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EstaPastaDeTrabalho"/>
  <mc:AlternateContent xmlns:mc="http://schemas.openxmlformats.org/markup-compatibility/2006">
    <mc:Choice Requires="x15">
      <x15ac:absPath xmlns:x15ac="http://schemas.microsoft.com/office/spreadsheetml/2010/11/ac" url="https://d.docs.live.net/cb9a5ee9f8119449/Documentos/Buddha/Fechamentos/"/>
    </mc:Choice>
  </mc:AlternateContent>
  <xr:revisionPtr revIDLastSave="0" documentId="8_{75B3C237-95A0-4B21-B615-DCEA42747435}" xr6:coauthVersionLast="47" xr6:coauthVersionMax="47" xr10:uidLastSave="{00000000-0000-0000-0000-000000000000}"/>
  <bookViews>
    <workbookView xWindow="-120" yWindow="-120" windowWidth="19440" windowHeight="10320" tabRatio="958" activeTab="9" xr2:uid="{00000000-000D-0000-FFFF-FFFF00000000}"/>
  </bookViews>
  <sheets>
    <sheet name="Instruções" sheetId="20" r:id="rId1"/>
    <sheet name="VE" sheetId="6" r:id="rId2"/>
    <sheet name="E-mail" sheetId="30" state="hidden" r:id="rId3"/>
    <sheet name="TikTok" sheetId="56" state="hidden" r:id="rId4"/>
    <sheet name="Facebook" sheetId="58" state="hidden" r:id="rId5"/>
    <sheet name="Google" sheetId="40" state="hidden" r:id="rId6"/>
    <sheet name="Linkedin" sheetId="57" state="hidden" r:id="rId7"/>
    <sheet name="TAb Din Check" sheetId="45" state="hidden" r:id="rId8"/>
    <sheet name="gRAPH" sheetId="51" r:id="rId9"/>
    <sheet name="Compilado 2023" sheetId="2" r:id="rId10"/>
    <sheet name="Estatísticos Mensais" sheetId="33" state="hidden" r:id="rId11"/>
    <sheet name="2023" sheetId="8" r:id="rId12"/>
    <sheet name="Check" sheetId="18" state="hidden" r:id="rId13"/>
    <sheet name="JAN" sheetId="14" state="hidden" r:id="rId14"/>
    <sheet name="FEV" sheetId="15" state="hidden" r:id="rId15"/>
    <sheet name="MAR" sheetId="16" state="hidden" r:id="rId16"/>
    <sheet name="ABR" sheetId="1" state="hidden" r:id="rId17"/>
    <sheet name="MAI" sheetId="4" state="hidden" r:id="rId18"/>
    <sheet name="JUN" sheetId="3" r:id="rId19"/>
    <sheet name="JUL" sheetId="5" r:id="rId20"/>
    <sheet name="AGO" sheetId="9" r:id="rId21"/>
    <sheet name="SET" sheetId="10" state="hidden" r:id="rId22"/>
    <sheet name="OUT" sheetId="11" state="hidden" r:id="rId23"/>
    <sheet name="NOV" sheetId="12" state="hidden" r:id="rId24"/>
    <sheet name="DEZ" sheetId="13" state="hidden" r:id="rId25"/>
    <sheet name="Referencia" sheetId="17" r:id="rId26"/>
    <sheet name="Compilado 2023 (2)" sheetId="42" state="hidden" r:id="rId27"/>
  </sheets>
  <definedNames>
    <definedName name="_xlnm._FilterDatabase" localSheetId="11" hidden="1">'2023'!$A$3:$AB$72</definedName>
    <definedName name="_xlnm._FilterDatabase" localSheetId="9" hidden="1">'Compilado 2023'!$A$2:$AG$732</definedName>
    <definedName name="_xlnm._FilterDatabase" localSheetId="26" hidden="1">'Compilado 2023 (2)'!$A$2:$W$732</definedName>
    <definedName name="_xlnm._FilterDatabase" localSheetId="5" hidden="1">Google!#REF!</definedName>
    <definedName name="_xlnm._FilterDatabase" localSheetId="0" hidden="1">Instruções!$B$1:$C$751</definedName>
    <definedName name="_xlnm._FilterDatabase" localSheetId="13" hidden="1">JAN!$A$3:$AG$35</definedName>
    <definedName name="_xlnm._FilterDatabase" localSheetId="19" hidden="1">JUL!$A$3:$AG$3</definedName>
    <definedName name="_xlnm._FilterDatabase" localSheetId="18" hidden="1">JUN!$A$3:$AG$35</definedName>
    <definedName name="_xlnm._FilterDatabase" localSheetId="25" hidden="1">Referencia!$E$1:$AA$1</definedName>
    <definedName name="_xlcn.WorksheetConnection_Acompanhamento_BuddhaJunho2023.xlsb.xlsxTabela_Estatísticos_Mensais1" hidden="1">Tabela_Estatísticos_Mensais[]</definedName>
    <definedName name="_xlcn.WorksheetConnection_Acompanhamento_BuddhaJunho2023.xlsb.xlsxTabela_Facebook1" hidden="1">Tabela_Facebook</definedName>
    <definedName name="_xlcn.WorksheetConnection_Acompanhamento_BuddhaJunho2023.xlsb.xlsxTabela_Google1" hidden="1">Tabela_Google[]</definedName>
    <definedName name="Abril" localSheetId="26">'Compilado 2023 (2)'!$4:$33</definedName>
    <definedName name="Abril">'Compilado 2023'!$4:$33</definedName>
    <definedName name="Agosto" localSheetId="26">'Compilado 2023 (2)'!$126:$156</definedName>
    <definedName name="Agosto">'Compilado 2023'!$126:$156</definedName>
    <definedName name="compilado">'Compilado 2023'!$A$2:$U$245</definedName>
    <definedName name="DadosExternos_1" localSheetId="4" hidden="1">Facebook!$A$1:$C$589</definedName>
    <definedName name="DadosExternos_1" localSheetId="6" hidden="1">Linkedin!$A$1:$B$95</definedName>
    <definedName name="DadosExternos_2" localSheetId="10" hidden="1">'Estatísticos Mensais'!$A$1:$H$589</definedName>
    <definedName name="DadosExternos_2" localSheetId="3" hidden="1">TikTok!$A$1:$B$118</definedName>
    <definedName name="DadosExternos_4" localSheetId="5" hidden="1">Google!$A$1:$C$588</definedName>
    <definedName name="Dezembro" localSheetId="26">'Compilado 2023 (2)'!$248:$278</definedName>
    <definedName name="Dezembro">'Compilado 2023'!$248:$278</definedName>
    <definedName name="Fev" localSheetId="26">'Compilado 2023 (2)'!$35:$62</definedName>
    <definedName name="Fev">'Compilado 2023'!$35:$62</definedName>
    <definedName name="Jan" localSheetId="26">'Compilado 2023 (2)'!$4:$34</definedName>
    <definedName name="Jan">'Compilado 2023'!$4:$34</definedName>
    <definedName name="Julho" localSheetId="26">'Compilado 2023 (2)'!$95:$125</definedName>
    <definedName name="Julho">'Compilado 2023'!$95:$125</definedName>
    <definedName name="Junho" localSheetId="26">'Compilado 2023 (2)'!$65:$94</definedName>
    <definedName name="Junho">'Compilado 2023'!$65:$94</definedName>
    <definedName name="Maio" localSheetId="26">'Compilado 2023 (2)'!$34:$64</definedName>
    <definedName name="Maio">'Compilado 2023'!$34:$64</definedName>
    <definedName name="Novembro" localSheetId="26">'Compilado 2023 (2)'!$218:$247</definedName>
    <definedName name="Novembro">'Compilado 2023'!$218:$247</definedName>
    <definedName name="Outubro" localSheetId="26">'Compilado 2023 (2)'!$187:$217</definedName>
    <definedName name="Outubro">'Compilado 2023'!$187:$217</definedName>
    <definedName name="Setembro" localSheetId="26">'Compilado 2023 (2)'!$157:$186</definedName>
    <definedName name="Setembro">'Compilado 2023'!$157:$186</definedName>
  </definedNames>
  <calcPr calcId="191029"/>
  <pivotCaches>
    <pivotCache cacheId="0" r:id="rId28"/>
    <pivotCache cacheId="1" r:id="rId2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a_Google" name="Tabela_Google" connection="WorksheetConnection_Acompanhamento_Buddha - Junho 2023.xlsb.xlsx!Tabela_Google"/>
          <x15:modelTable id="Tabela_Facebook" name="Tabela_Facebook" connection="WorksheetConnection_Acompanhamento_Buddha - Junho 2023.xlsb.xlsx!Tabela_Facebook"/>
          <x15:modelTable id="Tabela_Estatísticos_Mensais" name="Tabela_Estatísticos_Mensais" connection="WorksheetConnection_Acompanhamento_Buddha - Junho 2023.xlsb.xlsx!Tabela_Estatísticos_Mensais"/>
        </x15:modelTables>
        <x15:modelRelationships>
          <x15:modelRelationship fromTable="Tabela_Facebook" fromColumn="Dia" toTable="Tabela_Google" toColumn="Data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abela_Estatísticos_Mensais" columnName="Data" columnId="Data">
                <x16:calculatedTimeColumn columnName="Data (Ano)" columnId="Data (Ano)" contentType="years" isSelected="1"/>
                <x16:calculatedTimeColumn columnName="Data (Trimestre)" columnId="Data (Trimestre)" contentType="quarters" isSelected="1"/>
                <x16:calculatedTimeColumn columnName="Data (Índice de Mês)" columnId="Data (Índice de Mês)" contentType="monthsindex" isSelected="1"/>
                <x16:calculatedTimeColumn columnName="Data (Mês)" columnId="Data (Mês)" contentType="months" isSelected="1"/>
              </x16:modelTimeGrouping>
              <x16:modelTimeGrouping tableName="Tabela_Facebook" columnName="Dia" columnId="Dia">
                <x16:calculatedTimeColumn columnName="Dia (Ano)" columnId="Dia (Ano)" contentType="years" isSelected="1"/>
                <x16:calculatedTimeColumn columnName="Dia (Trimestre)" columnId="Dia (Trimestre)" contentType="quarters" isSelected="1"/>
                <x16:calculatedTimeColumn columnName="Dia (Índice de Mês)" columnId="Dia (Índice de Mês)" contentType="monthsindex" isSelected="1"/>
                <x16:calculatedTimeColumn columnName="Dia (Mês)" columnId="Dia (Mês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" i="2" l="1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4" i="14" s="1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" i="15" s="1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" i="16" s="1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" i="1" s="1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" i="4" s="1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4" i="3" s="1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4" i="5" s="1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4" i="9" s="1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4" i="10" s="1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4" i="11" s="1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4" i="12" s="1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4" i="13" s="1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65" i="15" s="1"/>
  <c r="R36" i="2"/>
  <c r="R66" i="15" s="1"/>
  <c r="R37" i="2"/>
  <c r="R38" i="2"/>
  <c r="R39" i="2"/>
  <c r="R69" i="15" s="1"/>
  <c r="R40" i="2"/>
  <c r="R41" i="2"/>
  <c r="R42" i="2"/>
  <c r="R43" i="2"/>
  <c r="R73" i="15" s="1"/>
  <c r="R44" i="2"/>
  <c r="R74" i="15" s="1"/>
  <c r="R45" i="2"/>
  <c r="R46" i="2"/>
  <c r="R47" i="2"/>
  <c r="R77" i="15" s="1"/>
  <c r="R48" i="2"/>
  <c r="R49" i="2"/>
  <c r="R50" i="2"/>
  <c r="R51" i="2"/>
  <c r="R81" i="15" s="1"/>
  <c r="R52" i="2"/>
  <c r="R82" i="15" s="1"/>
  <c r="R53" i="2"/>
  <c r="R54" i="2"/>
  <c r="R55" i="2"/>
  <c r="R85" i="15" s="1"/>
  <c r="R56" i="2"/>
  <c r="R57" i="2"/>
  <c r="R58" i="2"/>
  <c r="R59" i="2"/>
  <c r="R89" i="15" s="1"/>
  <c r="R60" i="2"/>
  <c r="R90" i="15" s="1"/>
  <c r="R61" i="2"/>
  <c r="R62" i="2"/>
  <c r="R63" i="2"/>
  <c r="R64" i="2"/>
  <c r="R65" i="2"/>
  <c r="R66" i="2"/>
  <c r="R67" i="2"/>
  <c r="R69" i="16" s="1"/>
  <c r="R68" i="2"/>
  <c r="R70" i="16" s="1"/>
  <c r="R69" i="2"/>
  <c r="R70" i="2"/>
  <c r="R71" i="2"/>
  <c r="R73" i="16" s="1"/>
  <c r="R72" i="2"/>
  <c r="R73" i="2"/>
  <c r="R74" i="2"/>
  <c r="R75" i="2"/>
  <c r="R77" i="16" s="1"/>
  <c r="R76" i="2"/>
  <c r="R77" i="2"/>
  <c r="R78" i="2"/>
  <c r="R79" i="2"/>
  <c r="R81" i="16" s="1"/>
  <c r="R80" i="2"/>
  <c r="R81" i="2"/>
  <c r="R82" i="2"/>
  <c r="R83" i="2"/>
  <c r="R85" i="16" s="1"/>
  <c r="R84" i="2"/>
  <c r="R85" i="2"/>
  <c r="R86" i="2"/>
  <c r="R87" i="2"/>
  <c r="R89" i="16" s="1"/>
  <c r="R88" i="2"/>
  <c r="R89" i="2"/>
  <c r="R90" i="2"/>
  <c r="R91" i="2"/>
  <c r="R93" i="16" s="1"/>
  <c r="R92" i="2"/>
  <c r="R94" i="16" s="1"/>
  <c r="R93" i="2"/>
  <c r="R94" i="2"/>
  <c r="R95" i="2"/>
  <c r="R66" i="1" s="1"/>
  <c r="R96" i="2"/>
  <c r="R97" i="2"/>
  <c r="R98" i="2"/>
  <c r="R99" i="2"/>
  <c r="R100" i="2"/>
  <c r="R101" i="2"/>
  <c r="R102" i="2"/>
  <c r="R103" i="2"/>
  <c r="R74" i="1" s="1"/>
  <c r="R104" i="2"/>
  <c r="R105" i="2"/>
  <c r="R106" i="2"/>
  <c r="R107" i="2"/>
  <c r="R78" i="1" s="1"/>
  <c r="R108" i="2"/>
  <c r="R79" i="1" s="1"/>
  <c r="R109" i="2"/>
  <c r="R110" i="2"/>
  <c r="R111" i="2"/>
  <c r="R82" i="1" s="1"/>
  <c r="R112" i="2"/>
  <c r="R113" i="2"/>
  <c r="R114" i="2"/>
  <c r="R115" i="2"/>
  <c r="R116" i="2"/>
  <c r="R117" i="2"/>
  <c r="R118" i="2"/>
  <c r="R119" i="2"/>
  <c r="R90" i="1" s="1"/>
  <c r="R120" i="2"/>
  <c r="R121" i="2"/>
  <c r="R122" i="2"/>
  <c r="R123" i="2"/>
  <c r="R124" i="2"/>
  <c r="R125" i="2"/>
  <c r="R126" i="2"/>
  <c r="R127" i="2"/>
  <c r="R128" i="2"/>
  <c r="R129" i="2"/>
  <c r="R130" i="2"/>
  <c r="R131" i="2"/>
  <c r="R72" i="4" s="1"/>
  <c r="R132" i="2"/>
  <c r="R133" i="2"/>
  <c r="R134" i="2"/>
  <c r="R135" i="2"/>
  <c r="R76" i="4" s="1"/>
  <c r="R136" i="2"/>
  <c r="R137" i="2"/>
  <c r="R138" i="2"/>
  <c r="R139" i="2"/>
  <c r="R140" i="2"/>
  <c r="R141" i="2"/>
  <c r="R142" i="2"/>
  <c r="R143" i="2"/>
  <c r="R84" i="4" s="1"/>
  <c r="R144" i="2"/>
  <c r="R145" i="2"/>
  <c r="R146" i="2"/>
  <c r="R147" i="2"/>
  <c r="R88" i="4" s="1"/>
  <c r="R148" i="2"/>
  <c r="R149" i="2"/>
  <c r="R150" i="2"/>
  <c r="R151" i="2"/>
  <c r="R92" i="4" s="1"/>
  <c r="R152" i="2"/>
  <c r="R153" i="2"/>
  <c r="R154" i="2"/>
  <c r="R155" i="2"/>
  <c r="R156" i="2"/>
  <c r="R157" i="2"/>
  <c r="R158" i="2"/>
  <c r="R159" i="2"/>
  <c r="R69" i="3" s="1"/>
  <c r="R160" i="2"/>
  <c r="R161" i="2"/>
  <c r="R162" i="2"/>
  <c r="R163" i="2"/>
  <c r="R164" i="2"/>
  <c r="R165" i="2"/>
  <c r="R166" i="2"/>
  <c r="R167" i="2"/>
  <c r="R77" i="3" s="1"/>
  <c r="R168" i="2"/>
  <c r="R169" i="2"/>
  <c r="R170" i="2"/>
  <c r="R171" i="2"/>
  <c r="R81" i="3" s="1"/>
  <c r="R172" i="2"/>
  <c r="R82" i="3" s="1"/>
  <c r="R173" i="2"/>
  <c r="R174" i="2"/>
  <c r="R175" i="2"/>
  <c r="R85" i="3" s="1"/>
  <c r="R176" i="2"/>
  <c r="R177" i="2"/>
  <c r="R178" i="2"/>
  <c r="R179" i="2"/>
  <c r="R180" i="2"/>
  <c r="R181" i="2"/>
  <c r="R182" i="2"/>
  <c r="R183" i="2"/>
  <c r="R93" i="3" s="1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64" i="9" s="1"/>
  <c r="R216" i="2"/>
  <c r="R217" i="2"/>
  <c r="R218" i="2"/>
  <c r="R219" i="2"/>
  <c r="R220" i="2"/>
  <c r="R221" i="2"/>
  <c r="R222" i="2"/>
  <c r="R223" i="2"/>
  <c r="R72" i="9" s="1"/>
  <c r="R224" i="2"/>
  <c r="R225" i="2"/>
  <c r="R226" i="2"/>
  <c r="R227" i="2"/>
  <c r="R228" i="2"/>
  <c r="R229" i="2"/>
  <c r="R230" i="2"/>
  <c r="R231" i="2"/>
  <c r="R80" i="9" s="1"/>
  <c r="R232" i="2"/>
  <c r="R233" i="2"/>
  <c r="R234" i="2"/>
  <c r="R235" i="2"/>
  <c r="R84" i="9" s="1"/>
  <c r="R236" i="2"/>
  <c r="R237" i="2"/>
  <c r="R238" i="2"/>
  <c r="R239" i="2"/>
  <c r="R88" i="9" s="1"/>
  <c r="R240" i="2"/>
  <c r="R241" i="2"/>
  <c r="R242" i="2"/>
  <c r="R243" i="2"/>
  <c r="R92" i="9" s="1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67" i="11" s="1"/>
  <c r="R280" i="2"/>
  <c r="R281" i="2"/>
  <c r="R282" i="2"/>
  <c r="R283" i="2"/>
  <c r="R284" i="2"/>
  <c r="R285" i="2"/>
  <c r="R286" i="2"/>
  <c r="R287" i="2"/>
  <c r="R75" i="11" s="1"/>
  <c r="R288" i="2"/>
  <c r="R289" i="2"/>
  <c r="R290" i="2"/>
  <c r="R291" i="2"/>
  <c r="R292" i="2"/>
  <c r="R293" i="2"/>
  <c r="R294" i="2"/>
  <c r="R295" i="2"/>
  <c r="R83" i="11" s="1"/>
  <c r="R296" i="2"/>
  <c r="R297" i="2"/>
  <c r="R298" i="2"/>
  <c r="R299" i="2"/>
  <c r="R300" i="2"/>
  <c r="R301" i="2"/>
  <c r="R302" i="2"/>
  <c r="R303" i="2"/>
  <c r="R91" i="11" s="1"/>
  <c r="R304" i="2"/>
  <c r="R305" i="2"/>
  <c r="R306" i="2"/>
  <c r="R307" i="2"/>
  <c r="R308" i="2"/>
  <c r="R309" i="2"/>
  <c r="R310" i="2"/>
  <c r="R311" i="2"/>
  <c r="R68" i="12" s="1"/>
  <c r="R312" i="2"/>
  <c r="R313" i="2"/>
  <c r="R314" i="2"/>
  <c r="R315" i="2"/>
  <c r="R316" i="2"/>
  <c r="R317" i="2"/>
  <c r="R318" i="2"/>
  <c r="R319" i="2"/>
  <c r="R76" i="12" s="1"/>
  <c r="R320" i="2"/>
  <c r="R321" i="2"/>
  <c r="R322" i="2"/>
  <c r="R323" i="2"/>
  <c r="R324" i="2"/>
  <c r="R325" i="2"/>
  <c r="R326" i="2"/>
  <c r="R327" i="2"/>
  <c r="R84" i="12" s="1"/>
  <c r="R328" i="2"/>
  <c r="R329" i="2"/>
  <c r="R330" i="2"/>
  <c r="R331" i="2"/>
  <c r="R332" i="2"/>
  <c r="R333" i="2"/>
  <c r="R334" i="2"/>
  <c r="R335" i="2"/>
  <c r="R92" i="12" s="1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T65" i="8"/>
  <c r="S65" i="8"/>
  <c r="T64" i="8"/>
  <c r="S64" i="8"/>
  <c r="Y94" i="15"/>
  <c r="X94" i="15"/>
  <c r="W94" i="15"/>
  <c r="U94" i="15"/>
  <c r="T94" i="15"/>
  <c r="S94" i="15"/>
  <c r="R94" i="15"/>
  <c r="Q94" i="15"/>
  <c r="P94" i="15"/>
  <c r="O94" i="15"/>
  <c r="N94" i="15"/>
  <c r="K94" i="15"/>
  <c r="G94" i="15"/>
  <c r="F94" i="15"/>
  <c r="E94" i="15"/>
  <c r="D94" i="15"/>
  <c r="Y93" i="15"/>
  <c r="X93" i="15"/>
  <c r="W93" i="15"/>
  <c r="U93" i="15"/>
  <c r="T93" i="15"/>
  <c r="S93" i="15"/>
  <c r="R93" i="15"/>
  <c r="Q93" i="15"/>
  <c r="P93" i="15"/>
  <c r="O93" i="15"/>
  <c r="N93" i="15"/>
  <c r="K93" i="15"/>
  <c r="G93" i="15"/>
  <c r="F93" i="15"/>
  <c r="E93" i="15"/>
  <c r="D93" i="15"/>
  <c r="Y92" i="15"/>
  <c r="X92" i="15"/>
  <c r="W92" i="15"/>
  <c r="U92" i="15"/>
  <c r="T92" i="15"/>
  <c r="S92" i="15"/>
  <c r="R92" i="15"/>
  <c r="Q92" i="15"/>
  <c r="P92" i="15"/>
  <c r="O92" i="15"/>
  <c r="N92" i="15"/>
  <c r="K92" i="15"/>
  <c r="G92" i="15"/>
  <c r="F92" i="15"/>
  <c r="E92" i="15"/>
  <c r="D92" i="15"/>
  <c r="C92" i="15" s="1"/>
  <c r="Y91" i="15"/>
  <c r="X91" i="15"/>
  <c r="W91" i="15"/>
  <c r="U91" i="15"/>
  <c r="T91" i="15"/>
  <c r="S91" i="15"/>
  <c r="R91" i="15"/>
  <c r="Q91" i="15"/>
  <c r="P91" i="15"/>
  <c r="N91" i="15"/>
  <c r="K91" i="15"/>
  <c r="G91" i="15"/>
  <c r="F91" i="15"/>
  <c r="E91" i="15"/>
  <c r="D91" i="15"/>
  <c r="Y90" i="15"/>
  <c r="X90" i="15"/>
  <c r="W90" i="15"/>
  <c r="U90" i="15"/>
  <c r="T90" i="15"/>
  <c r="S90" i="15"/>
  <c r="Q90" i="15"/>
  <c r="P90" i="15"/>
  <c r="N90" i="15"/>
  <c r="K90" i="15"/>
  <c r="G90" i="15"/>
  <c r="F90" i="15"/>
  <c r="E90" i="15"/>
  <c r="D90" i="15"/>
  <c r="Y89" i="15"/>
  <c r="X89" i="15"/>
  <c r="W89" i="15"/>
  <c r="U89" i="15"/>
  <c r="T89" i="15"/>
  <c r="S89" i="15"/>
  <c r="Q89" i="15"/>
  <c r="P89" i="15"/>
  <c r="N89" i="15"/>
  <c r="K89" i="15"/>
  <c r="G89" i="15"/>
  <c r="F89" i="15"/>
  <c r="E89" i="15"/>
  <c r="D89" i="15"/>
  <c r="Y88" i="15"/>
  <c r="X88" i="15"/>
  <c r="W88" i="15"/>
  <c r="U88" i="15"/>
  <c r="T88" i="15"/>
  <c r="S88" i="15"/>
  <c r="R88" i="15"/>
  <c r="Q88" i="15"/>
  <c r="P88" i="15"/>
  <c r="N88" i="15"/>
  <c r="K88" i="15"/>
  <c r="G88" i="15"/>
  <c r="F88" i="15"/>
  <c r="L88" i="15" s="1"/>
  <c r="E88" i="15"/>
  <c r="D88" i="15"/>
  <c r="Y87" i="15"/>
  <c r="X87" i="15"/>
  <c r="W87" i="15"/>
  <c r="U87" i="15"/>
  <c r="T87" i="15"/>
  <c r="S87" i="15"/>
  <c r="R87" i="15"/>
  <c r="Q87" i="15"/>
  <c r="P87" i="15"/>
  <c r="N87" i="15"/>
  <c r="K87" i="15"/>
  <c r="G87" i="15"/>
  <c r="F87" i="15"/>
  <c r="E87" i="15"/>
  <c r="D87" i="15"/>
  <c r="Y86" i="15"/>
  <c r="X86" i="15"/>
  <c r="W86" i="15"/>
  <c r="U86" i="15"/>
  <c r="T86" i="15"/>
  <c r="S86" i="15"/>
  <c r="R86" i="15"/>
  <c r="Q86" i="15"/>
  <c r="P86" i="15"/>
  <c r="N86" i="15"/>
  <c r="K86" i="15"/>
  <c r="G86" i="15"/>
  <c r="F86" i="15"/>
  <c r="E86" i="15"/>
  <c r="D86" i="15"/>
  <c r="C86" i="15" s="1"/>
  <c r="Y85" i="15"/>
  <c r="X85" i="15"/>
  <c r="W85" i="15"/>
  <c r="U85" i="15"/>
  <c r="T85" i="15"/>
  <c r="S85" i="15"/>
  <c r="Q85" i="15"/>
  <c r="P85" i="15"/>
  <c r="N85" i="15"/>
  <c r="K85" i="15"/>
  <c r="G85" i="15"/>
  <c r="F85" i="15"/>
  <c r="E85" i="15"/>
  <c r="D85" i="15"/>
  <c r="Y84" i="15"/>
  <c r="X84" i="15"/>
  <c r="W84" i="15"/>
  <c r="U84" i="15"/>
  <c r="T84" i="15"/>
  <c r="S84" i="15"/>
  <c r="R84" i="15"/>
  <c r="Q84" i="15"/>
  <c r="P84" i="15"/>
  <c r="N84" i="15"/>
  <c r="K84" i="15"/>
  <c r="G84" i="15"/>
  <c r="F84" i="15"/>
  <c r="L84" i="15" s="1"/>
  <c r="E84" i="15"/>
  <c r="D84" i="15"/>
  <c r="Y83" i="15"/>
  <c r="X83" i="15"/>
  <c r="W83" i="15"/>
  <c r="U83" i="15"/>
  <c r="T83" i="15"/>
  <c r="S83" i="15"/>
  <c r="R83" i="15"/>
  <c r="Q83" i="15"/>
  <c r="P83" i="15"/>
  <c r="N83" i="15"/>
  <c r="K83" i="15"/>
  <c r="G83" i="15"/>
  <c r="F83" i="15"/>
  <c r="E83" i="15"/>
  <c r="D83" i="15"/>
  <c r="Y82" i="15"/>
  <c r="X82" i="15"/>
  <c r="W82" i="15"/>
  <c r="U82" i="15"/>
  <c r="T82" i="15"/>
  <c r="S82" i="15"/>
  <c r="Q82" i="15"/>
  <c r="P82" i="15"/>
  <c r="N82" i="15"/>
  <c r="K82" i="15"/>
  <c r="G82" i="15"/>
  <c r="F82" i="15"/>
  <c r="E82" i="15"/>
  <c r="D82" i="15"/>
  <c r="Y81" i="15"/>
  <c r="X81" i="15"/>
  <c r="W81" i="15"/>
  <c r="U81" i="15"/>
  <c r="T81" i="15"/>
  <c r="S81" i="15"/>
  <c r="Q81" i="15"/>
  <c r="P81" i="15"/>
  <c r="N81" i="15"/>
  <c r="K81" i="15"/>
  <c r="G81" i="15"/>
  <c r="F81" i="15"/>
  <c r="E81" i="15"/>
  <c r="D81" i="15"/>
  <c r="Y80" i="15"/>
  <c r="X80" i="15"/>
  <c r="W80" i="15"/>
  <c r="U80" i="15"/>
  <c r="T80" i="15"/>
  <c r="S80" i="15"/>
  <c r="R80" i="15"/>
  <c r="Q80" i="15"/>
  <c r="P80" i="15"/>
  <c r="N80" i="15"/>
  <c r="K80" i="15"/>
  <c r="G80" i="15"/>
  <c r="F80" i="15"/>
  <c r="E80" i="15"/>
  <c r="D80" i="15"/>
  <c r="Y79" i="15"/>
  <c r="X79" i="15"/>
  <c r="W79" i="15"/>
  <c r="U79" i="15"/>
  <c r="T79" i="15"/>
  <c r="S79" i="15"/>
  <c r="R79" i="15"/>
  <c r="Q79" i="15"/>
  <c r="P79" i="15"/>
  <c r="N79" i="15"/>
  <c r="K79" i="15"/>
  <c r="G79" i="15"/>
  <c r="F79" i="15"/>
  <c r="E79" i="15"/>
  <c r="D79" i="15"/>
  <c r="Y78" i="15"/>
  <c r="X78" i="15"/>
  <c r="W78" i="15"/>
  <c r="U78" i="15"/>
  <c r="T78" i="15"/>
  <c r="S78" i="15"/>
  <c r="R78" i="15"/>
  <c r="Q78" i="15"/>
  <c r="P78" i="15"/>
  <c r="N78" i="15"/>
  <c r="K78" i="15"/>
  <c r="G78" i="15"/>
  <c r="F78" i="15"/>
  <c r="E78" i="15"/>
  <c r="D78" i="15"/>
  <c r="Y77" i="15"/>
  <c r="X77" i="15"/>
  <c r="W77" i="15"/>
  <c r="U77" i="15"/>
  <c r="T77" i="15"/>
  <c r="S77" i="15"/>
  <c r="Q77" i="15"/>
  <c r="P77" i="15"/>
  <c r="N77" i="15"/>
  <c r="K77" i="15"/>
  <c r="G77" i="15"/>
  <c r="F77" i="15"/>
  <c r="E77" i="15"/>
  <c r="D77" i="15"/>
  <c r="Y76" i="15"/>
  <c r="X76" i="15"/>
  <c r="W76" i="15"/>
  <c r="U76" i="15"/>
  <c r="T76" i="15"/>
  <c r="S76" i="15"/>
  <c r="R76" i="15"/>
  <c r="Q76" i="15"/>
  <c r="P76" i="15"/>
  <c r="N76" i="15"/>
  <c r="K76" i="15"/>
  <c r="G76" i="15"/>
  <c r="F76" i="15"/>
  <c r="E76" i="15"/>
  <c r="D76" i="15"/>
  <c r="Y75" i="15"/>
  <c r="X75" i="15"/>
  <c r="W75" i="15"/>
  <c r="U75" i="15"/>
  <c r="T75" i="15"/>
  <c r="S75" i="15"/>
  <c r="R75" i="15"/>
  <c r="Q75" i="15"/>
  <c r="P75" i="15"/>
  <c r="N75" i="15"/>
  <c r="K75" i="15"/>
  <c r="G75" i="15"/>
  <c r="F75" i="15"/>
  <c r="E75" i="15"/>
  <c r="D75" i="15"/>
  <c r="Y74" i="15"/>
  <c r="X74" i="15"/>
  <c r="W74" i="15"/>
  <c r="U74" i="15"/>
  <c r="T74" i="15"/>
  <c r="S74" i="15"/>
  <c r="Q74" i="15"/>
  <c r="P74" i="15"/>
  <c r="N74" i="15"/>
  <c r="K74" i="15"/>
  <c r="G74" i="15"/>
  <c r="F74" i="15"/>
  <c r="E74" i="15"/>
  <c r="D74" i="15"/>
  <c r="Y73" i="15"/>
  <c r="X73" i="15"/>
  <c r="W73" i="15"/>
  <c r="U73" i="15"/>
  <c r="T73" i="15"/>
  <c r="S73" i="15"/>
  <c r="Q73" i="15"/>
  <c r="P73" i="15"/>
  <c r="N73" i="15"/>
  <c r="K73" i="15"/>
  <c r="G73" i="15"/>
  <c r="F73" i="15"/>
  <c r="E73" i="15"/>
  <c r="D73" i="15"/>
  <c r="Y72" i="15"/>
  <c r="X72" i="15"/>
  <c r="W72" i="15"/>
  <c r="U72" i="15"/>
  <c r="T72" i="15"/>
  <c r="S72" i="15"/>
  <c r="R72" i="15"/>
  <c r="Q72" i="15"/>
  <c r="P72" i="15"/>
  <c r="N72" i="15"/>
  <c r="K72" i="15"/>
  <c r="G72" i="15"/>
  <c r="F72" i="15"/>
  <c r="E72" i="15"/>
  <c r="D72" i="15"/>
  <c r="Y71" i="15"/>
  <c r="X71" i="15"/>
  <c r="W71" i="15"/>
  <c r="U71" i="15"/>
  <c r="T71" i="15"/>
  <c r="S71" i="15"/>
  <c r="R71" i="15"/>
  <c r="Q71" i="15"/>
  <c r="P71" i="15"/>
  <c r="N71" i="15"/>
  <c r="K71" i="15"/>
  <c r="G71" i="15"/>
  <c r="F71" i="15"/>
  <c r="E71" i="15"/>
  <c r="D71" i="15"/>
  <c r="Y70" i="15"/>
  <c r="X70" i="15"/>
  <c r="W70" i="15"/>
  <c r="U70" i="15"/>
  <c r="T70" i="15"/>
  <c r="S70" i="15"/>
  <c r="R70" i="15"/>
  <c r="Q70" i="15"/>
  <c r="P70" i="15"/>
  <c r="N70" i="15"/>
  <c r="K70" i="15"/>
  <c r="G70" i="15"/>
  <c r="F70" i="15"/>
  <c r="E70" i="15"/>
  <c r="D70" i="15"/>
  <c r="Y69" i="15"/>
  <c r="X69" i="15"/>
  <c r="W69" i="15"/>
  <c r="U69" i="15"/>
  <c r="T69" i="15"/>
  <c r="S69" i="15"/>
  <c r="Q69" i="15"/>
  <c r="P69" i="15"/>
  <c r="N69" i="15"/>
  <c r="K69" i="15"/>
  <c r="G69" i="15"/>
  <c r="F69" i="15"/>
  <c r="L69" i="15" s="1"/>
  <c r="E69" i="15"/>
  <c r="D69" i="15"/>
  <c r="Y68" i="15"/>
  <c r="X68" i="15"/>
  <c r="W68" i="15"/>
  <c r="U68" i="15"/>
  <c r="T68" i="15"/>
  <c r="S68" i="15"/>
  <c r="R68" i="15"/>
  <c r="Q68" i="15"/>
  <c r="P68" i="15"/>
  <c r="N68" i="15"/>
  <c r="K68" i="15"/>
  <c r="G68" i="15"/>
  <c r="F68" i="15"/>
  <c r="E68" i="15"/>
  <c r="D68" i="15"/>
  <c r="Y67" i="15"/>
  <c r="X67" i="15"/>
  <c r="W67" i="15"/>
  <c r="U67" i="15"/>
  <c r="T67" i="15"/>
  <c r="S67" i="15"/>
  <c r="R67" i="15"/>
  <c r="Q67" i="15"/>
  <c r="P67" i="15"/>
  <c r="N67" i="15"/>
  <c r="K67" i="15"/>
  <c r="G67" i="15"/>
  <c r="F67" i="15"/>
  <c r="E67" i="15"/>
  <c r="D67" i="15"/>
  <c r="Y66" i="15"/>
  <c r="X66" i="15"/>
  <c r="W66" i="15"/>
  <c r="U66" i="15"/>
  <c r="T66" i="15"/>
  <c r="S66" i="15"/>
  <c r="Q66" i="15"/>
  <c r="P66" i="15"/>
  <c r="N66" i="15"/>
  <c r="K66" i="15"/>
  <c r="G66" i="15"/>
  <c r="F66" i="15"/>
  <c r="E66" i="15"/>
  <c r="D66" i="15"/>
  <c r="Y65" i="15"/>
  <c r="X65" i="15"/>
  <c r="W65" i="15"/>
  <c r="U65" i="15"/>
  <c r="T65" i="15"/>
  <c r="S65" i="15"/>
  <c r="Q65" i="15"/>
  <c r="P65" i="15"/>
  <c r="N65" i="15"/>
  <c r="K65" i="15"/>
  <c r="G65" i="15"/>
  <c r="F65" i="15"/>
  <c r="E65" i="15"/>
  <c r="D65" i="15"/>
  <c r="Y64" i="15"/>
  <c r="X64" i="15"/>
  <c r="W64" i="15"/>
  <c r="U64" i="15"/>
  <c r="T64" i="15"/>
  <c r="S64" i="15"/>
  <c r="R64" i="15"/>
  <c r="Q64" i="15"/>
  <c r="P64" i="15"/>
  <c r="N64" i="15"/>
  <c r="K64" i="15"/>
  <c r="G64" i="15"/>
  <c r="F64" i="15"/>
  <c r="E64" i="15"/>
  <c r="D64" i="15"/>
  <c r="Y94" i="16"/>
  <c r="X94" i="16"/>
  <c r="W94" i="16"/>
  <c r="U94" i="16"/>
  <c r="T94" i="16"/>
  <c r="S94" i="16"/>
  <c r="Q94" i="16"/>
  <c r="P94" i="16"/>
  <c r="N94" i="16"/>
  <c r="K94" i="16"/>
  <c r="G94" i="16"/>
  <c r="F94" i="16"/>
  <c r="E94" i="16"/>
  <c r="D94" i="16"/>
  <c r="Y93" i="16"/>
  <c r="X93" i="16"/>
  <c r="W93" i="16"/>
  <c r="U93" i="16"/>
  <c r="T93" i="16"/>
  <c r="S93" i="16"/>
  <c r="Q93" i="16"/>
  <c r="P93" i="16"/>
  <c r="N93" i="16"/>
  <c r="K93" i="16"/>
  <c r="G93" i="16"/>
  <c r="F93" i="16"/>
  <c r="E93" i="16"/>
  <c r="D93" i="16"/>
  <c r="Y92" i="16"/>
  <c r="X92" i="16"/>
  <c r="W92" i="16"/>
  <c r="U92" i="16"/>
  <c r="T92" i="16"/>
  <c r="S92" i="16"/>
  <c r="R92" i="16"/>
  <c r="Q92" i="16"/>
  <c r="P92" i="16"/>
  <c r="N92" i="16"/>
  <c r="K92" i="16"/>
  <c r="G92" i="16"/>
  <c r="F92" i="16"/>
  <c r="E92" i="16"/>
  <c r="D92" i="16"/>
  <c r="Y91" i="16"/>
  <c r="X91" i="16"/>
  <c r="W91" i="16"/>
  <c r="U91" i="16"/>
  <c r="T91" i="16"/>
  <c r="S91" i="16"/>
  <c r="R91" i="16"/>
  <c r="Q91" i="16"/>
  <c r="P91" i="16"/>
  <c r="N91" i="16"/>
  <c r="K91" i="16"/>
  <c r="G91" i="16"/>
  <c r="F91" i="16"/>
  <c r="E91" i="16"/>
  <c r="D91" i="16"/>
  <c r="C91" i="16" s="1"/>
  <c r="Y90" i="16"/>
  <c r="X90" i="16"/>
  <c r="W90" i="16"/>
  <c r="U90" i="16"/>
  <c r="T90" i="16"/>
  <c r="S90" i="16"/>
  <c r="R90" i="16"/>
  <c r="Q90" i="16"/>
  <c r="P90" i="16"/>
  <c r="N90" i="16"/>
  <c r="K90" i="16"/>
  <c r="G90" i="16"/>
  <c r="F90" i="16"/>
  <c r="E90" i="16"/>
  <c r="D90" i="16"/>
  <c r="Y89" i="16"/>
  <c r="X89" i="16"/>
  <c r="W89" i="16"/>
  <c r="U89" i="16"/>
  <c r="T89" i="16"/>
  <c r="S89" i="16"/>
  <c r="Q89" i="16"/>
  <c r="P89" i="16"/>
  <c r="N89" i="16"/>
  <c r="K89" i="16"/>
  <c r="G89" i="16"/>
  <c r="F89" i="16"/>
  <c r="E89" i="16"/>
  <c r="D89" i="16"/>
  <c r="Y88" i="16"/>
  <c r="X88" i="16"/>
  <c r="W88" i="16"/>
  <c r="U88" i="16"/>
  <c r="T88" i="16"/>
  <c r="S88" i="16"/>
  <c r="R88" i="16"/>
  <c r="Q88" i="16"/>
  <c r="P88" i="16"/>
  <c r="N88" i="16"/>
  <c r="K88" i="16"/>
  <c r="G88" i="16"/>
  <c r="F88" i="16"/>
  <c r="E88" i="16"/>
  <c r="D88" i="16"/>
  <c r="Y87" i="16"/>
  <c r="X87" i="16"/>
  <c r="W87" i="16"/>
  <c r="U87" i="16"/>
  <c r="T87" i="16"/>
  <c r="S87" i="16"/>
  <c r="R87" i="16"/>
  <c r="Q87" i="16"/>
  <c r="P87" i="16"/>
  <c r="N87" i="16"/>
  <c r="K87" i="16"/>
  <c r="G87" i="16"/>
  <c r="F87" i="16"/>
  <c r="L87" i="16" s="1"/>
  <c r="E87" i="16"/>
  <c r="D87" i="16"/>
  <c r="Y86" i="16"/>
  <c r="X86" i="16"/>
  <c r="W86" i="16"/>
  <c r="U86" i="16"/>
  <c r="T86" i="16"/>
  <c r="S86" i="16"/>
  <c r="R86" i="16"/>
  <c r="Q86" i="16"/>
  <c r="P86" i="16"/>
  <c r="N86" i="16"/>
  <c r="K86" i="16"/>
  <c r="G86" i="16"/>
  <c r="F86" i="16"/>
  <c r="E86" i="16"/>
  <c r="D86" i="16"/>
  <c r="Y85" i="16"/>
  <c r="X85" i="16"/>
  <c r="W85" i="16"/>
  <c r="U85" i="16"/>
  <c r="T85" i="16"/>
  <c r="S85" i="16"/>
  <c r="Q85" i="16"/>
  <c r="P85" i="16"/>
  <c r="N85" i="16"/>
  <c r="K85" i="16"/>
  <c r="G85" i="16"/>
  <c r="F85" i="16"/>
  <c r="E85" i="16"/>
  <c r="D85" i="16"/>
  <c r="Y84" i="16"/>
  <c r="X84" i="16"/>
  <c r="W84" i="16"/>
  <c r="U84" i="16"/>
  <c r="T84" i="16"/>
  <c r="S84" i="16"/>
  <c r="R84" i="16"/>
  <c r="Q84" i="16"/>
  <c r="P84" i="16"/>
  <c r="N84" i="16"/>
  <c r="K84" i="16"/>
  <c r="G84" i="16"/>
  <c r="F84" i="16"/>
  <c r="L84" i="16" s="1"/>
  <c r="E84" i="16"/>
  <c r="D84" i="16"/>
  <c r="Y83" i="16"/>
  <c r="X83" i="16"/>
  <c r="W83" i="16"/>
  <c r="U83" i="16"/>
  <c r="T83" i="16"/>
  <c r="S83" i="16"/>
  <c r="R83" i="16"/>
  <c r="Q83" i="16"/>
  <c r="P83" i="16"/>
  <c r="N83" i="16"/>
  <c r="K83" i="16"/>
  <c r="G83" i="16"/>
  <c r="F83" i="16"/>
  <c r="E83" i="16"/>
  <c r="D83" i="16"/>
  <c r="Y82" i="16"/>
  <c r="X82" i="16"/>
  <c r="W82" i="16"/>
  <c r="U82" i="16"/>
  <c r="T82" i="16"/>
  <c r="S82" i="16"/>
  <c r="R82" i="16"/>
  <c r="Q82" i="16"/>
  <c r="P82" i="16"/>
  <c r="N82" i="16"/>
  <c r="K82" i="16"/>
  <c r="G82" i="16"/>
  <c r="F82" i="16"/>
  <c r="E82" i="16"/>
  <c r="D82" i="16"/>
  <c r="Y81" i="16"/>
  <c r="X81" i="16"/>
  <c r="W81" i="16"/>
  <c r="U81" i="16"/>
  <c r="T81" i="16"/>
  <c r="S81" i="16"/>
  <c r="Q81" i="16"/>
  <c r="P81" i="16"/>
  <c r="N81" i="16"/>
  <c r="K81" i="16"/>
  <c r="G81" i="16"/>
  <c r="F81" i="16"/>
  <c r="E81" i="16"/>
  <c r="D81" i="16"/>
  <c r="Y80" i="16"/>
  <c r="X80" i="16"/>
  <c r="W80" i="16"/>
  <c r="U80" i="16"/>
  <c r="T80" i="16"/>
  <c r="S80" i="16"/>
  <c r="R80" i="16"/>
  <c r="Q80" i="16"/>
  <c r="P80" i="16"/>
  <c r="N80" i="16"/>
  <c r="K80" i="16"/>
  <c r="G80" i="16"/>
  <c r="F80" i="16"/>
  <c r="L80" i="16" s="1"/>
  <c r="E80" i="16"/>
  <c r="D80" i="16"/>
  <c r="Y79" i="16"/>
  <c r="X79" i="16"/>
  <c r="W79" i="16"/>
  <c r="U79" i="16"/>
  <c r="T79" i="16"/>
  <c r="S79" i="16"/>
  <c r="R79" i="16"/>
  <c r="Q79" i="16"/>
  <c r="P79" i="16"/>
  <c r="N79" i="16"/>
  <c r="K79" i="16"/>
  <c r="G79" i="16"/>
  <c r="F79" i="16"/>
  <c r="E79" i="16"/>
  <c r="D79" i="16"/>
  <c r="Y78" i="16"/>
  <c r="X78" i="16"/>
  <c r="W78" i="16"/>
  <c r="U78" i="16"/>
  <c r="T78" i="16"/>
  <c r="S78" i="16"/>
  <c r="R78" i="16"/>
  <c r="Q78" i="16"/>
  <c r="P78" i="16"/>
  <c r="N78" i="16"/>
  <c r="K78" i="16"/>
  <c r="G78" i="16"/>
  <c r="F78" i="16"/>
  <c r="E78" i="16"/>
  <c r="D78" i="16"/>
  <c r="Y77" i="16"/>
  <c r="X77" i="16"/>
  <c r="W77" i="16"/>
  <c r="U77" i="16"/>
  <c r="T77" i="16"/>
  <c r="S77" i="16"/>
  <c r="Q77" i="16"/>
  <c r="P77" i="16"/>
  <c r="N77" i="16"/>
  <c r="K77" i="16"/>
  <c r="G77" i="16"/>
  <c r="F77" i="16"/>
  <c r="E77" i="16"/>
  <c r="D77" i="16"/>
  <c r="Y76" i="16"/>
  <c r="X76" i="16"/>
  <c r="W76" i="16"/>
  <c r="U76" i="16"/>
  <c r="T76" i="16"/>
  <c r="S76" i="16"/>
  <c r="R76" i="16"/>
  <c r="Q76" i="16"/>
  <c r="P76" i="16"/>
  <c r="N76" i="16"/>
  <c r="K76" i="16"/>
  <c r="G76" i="16"/>
  <c r="F76" i="16"/>
  <c r="E76" i="16"/>
  <c r="D76" i="16"/>
  <c r="Y75" i="16"/>
  <c r="X75" i="16"/>
  <c r="W75" i="16"/>
  <c r="U75" i="16"/>
  <c r="T75" i="16"/>
  <c r="S75" i="16"/>
  <c r="R75" i="16"/>
  <c r="Q75" i="16"/>
  <c r="P75" i="16"/>
  <c r="N75" i="16"/>
  <c r="K75" i="16"/>
  <c r="G75" i="16"/>
  <c r="F75" i="16"/>
  <c r="E75" i="16"/>
  <c r="D75" i="16"/>
  <c r="Y74" i="16"/>
  <c r="X74" i="16"/>
  <c r="W74" i="16"/>
  <c r="U74" i="16"/>
  <c r="T74" i="16"/>
  <c r="S74" i="16"/>
  <c r="R74" i="16"/>
  <c r="Q74" i="16"/>
  <c r="P74" i="16"/>
  <c r="N74" i="16"/>
  <c r="K74" i="16"/>
  <c r="G74" i="16"/>
  <c r="F74" i="16"/>
  <c r="E74" i="16"/>
  <c r="D74" i="16"/>
  <c r="Y73" i="16"/>
  <c r="X73" i="16"/>
  <c r="W73" i="16"/>
  <c r="U73" i="16"/>
  <c r="T73" i="16"/>
  <c r="S73" i="16"/>
  <c r="Q73" i="16"/>
  <c r="P73" i="16"/>
  <c r="N73" i="16"/>
  <c r="K73" i="16"/>
  <c r="G73" i="16"/>
  <c r="F73" i="16"/>
  <c r="E73" i="16"/>
  <c r="D73" i="16"/>
  <c r="Y72" i="16"/>
  <c r="X72" i="16"/>
  <c r="W72" i="16"/>
  <c r="U72" i="16"/>
  <c r="T72" i="16"/>
  <c r="S72" i="16"/>
  <c r="R72" i="16"/>
  <c r="Q72" i="16"/>
  <c r="P72" i="16"/>
  <c r="N72" i="16"/>
  <c r="K72" i="16"/>
  <c r="G72" i="16"/>
  <c r="F72" i="16"/>
  <c r="E72" i="16"/>
  <c r="D72" i="16"/>
  <c r="Y71" i="16"/>
  <c r="X71" i="16"/>
  <c r="W71" i="16"/>
  <c r="U71" i="16"/>
  <c r="T71" i="16"/>
  <c r="S71" i="16"/>
  <c r="R71" i="16"/>
  <c r="Q71" i="16"/>
  <c r="P71" i="16"/>
  <c r="N71" i="16"/>
  <c r="K71" i="16"/>
  <c r="G71" i="16"/>
  <c r="F71" i="16"/>
  <c r="E71" i="16"/>
  <c r="D71" i="16"/>
  <c r="Y70" i="16"/>
  <c r="X70" i="16"/>
  <c r="W70" i="16"/>
  <c r="U70" i="16"/>
  <c r="T70" i="16"/>
  <c r="S70" i="16"/>
  <c r="Q70" i="16"/>
  <c r="P70" i="16"/>
  <c r="N70" i="16"/>
  <c r="K70" i="16"/>
  <c r="G70" i="16"/>
  <c r="F70" i="16"/>
  <c r="E70" i="16"/>
  <c r="D70" i="16"/>
  <c r="Y69" i="16"/>
  <c r="X69" i="16"/>
  <c r="W69" i="16"/>
  <c r="U69" i="16"/>
  <c r="T69" i="16"/>
  <c r="S69" i="16"/>
  <c r="Q69" i="16"/>
  <c r="P69" i="16"/>
  <c r="N69" i="16"/>
  <c r="K69" i="16"/>
  <c r="G69" i="16"/>
  <c r="F69" i="16"/>
  <c r="E69" i="16"/>
  <c r="D69" i="16"/>
  <c r="Y68" i="16"/>
  <c r="X68" i="16"/>
  <c r="W68" i="16"/>
  <c r="U68" i="16"/>
  <c r="T68" i="16"/>
  <c r="S68" i="16"/>
  <c r="R68" i="16"/>
  <c r="Q68" i="16"/>
  <c r="P68" i="16"/>
  <c r="N68" i="16"/>
  <c r="K68" i="16"/>
  <c r="G68" i="16"/>
  <c r="F68" i="16"/>
  <c r="E68" i="16"/>
  <c r="D68" i="16"/>
  <c r="Y67" i="16"/>
  <c r="X67" i="16"/>
  <c r="W67" i="16"/>
  <c r="U67" i="16"/>
  <c r="T67" i="16"/>
  <c r="S67" i="16"/>
  <c r="R67" i="16"/>
  <c r="Q67" i="16"/>
  <c r="P67" i="16"/>
  <c r="N67" i="16"/>
  <c r="K67" i="16"/>
  <c r="G67" i="16"/>
  <c r="F67" i="16"/>
  <c r="E67" i="16"/>
  <c r="D67" i="16"/>
  <c r="Y66" i="16"/>
  <c r="X66" i="16"/>
  <c r="W66" i="16"/>
  <c r="U66" i="16"/>
  <c r="T66" i="16"/>
  <c r="S66" i="16"/>
  <c r="R66" i="16"/>
  <c r="Q66" i="16"/>
  <c r="P66" i="16"/>
  <c r="N66" i="16"/>
  <c r="K66" i="16"/>
  <c r="G66" i="16"/>
  <c r="F66" i="16"/>
  <c r="E66" i="16"/>
  <c r="D66" i="16"/>
  <c r="Y65" i="16"/>
  <c r="X65" i="16"/>
  <c r="W65" i="16"/>
  <c r="U65" i="16"/>
  <c r="T65" i="16"/>
  <c r="S65" i="16"/>
  <c r="R65" i="16"/>
  <c r="Q65" i="16"/>
  <c r="P65" i="16"/>
  <c r="N65" i="16"/>
  <c r="K65" i="16"/>
  <c r="G65" i="16"/>
  <c r="F65" i="16"/>
  <c r="E65" i="16"/>
  <c r="D65" i="16"/>
  <c r="Y64" i="16"/>
  <c r="X64" i="16"/>
  <c r="W64" i="16"/>
  <c r="U64" i="16"/>
  <c r="T64" i="16"/>
  <c r="S64" i="16"/>
  <c r="R64" i="16"/>
  <c r="Q64" i="16"/>
  <c r="P64" i="16"/>
  <c r="N64" i="16"/>
  <c r="K64" i="16"/>
  <c r="G64" i="16"/>
  <c r="F64" i="16"/>
  <c r="E64" i="16"/>
  <c r="D64" i="16"/>
  <c r="Y94" i="1"/>
  <c r="X94" i="1"/>
  <c r="W94" i="1"/>
  <c r="U94" i="1"/>
  <c r="T94" i="1"/>
  <c r="S94" i="1"/>
  <c r="R94" i="1"/>
  <c r="Q94" i="1"/>
  <c r="P94" i="1"/>
  <c r="O94" i="1"/>
  <c r="N94" i="1"/>
  <c r="K94" i="1"/>
  <c r="G94" i="1"/>
  <c r="F94" i="1"/>
  <c r="E94" i="1"/>
  <c r="D94" i="1"/>
  <c r="Y93" i="1"/>
  <c r="X93" i="1"/>
  <c r="W93" i="1"/>
  <c r="U93" i="1"/>
  <c r="T93" i="1"/>
  <c r="S93" i="1"/>
  <c r="R93" i="1"/>
  <c r="Q93" i="1"/>
  <c r="P93" i="1"/>
  <c r="N93" i="1"/>
  <c r="K93" i="1"/>
  <c r="G93" i="1"/>
  <c r="F93" i="1"/>
  <c r="E93" i="1"/>
  <c r="D93" i="1"/>
  <c r="Y92" i="1"/>
  <c r="X92" i="1"/>
  <c r="W92" i="1"/>
  <c r="U92" i="1"/>
  <c r="T92" i="1"/>
  <c r="S92" i="1"/>
  <c r="R92" i="1"/>
  <c r="Q92" i="1"/>
  <c r="P92" i="1"/>
  <c r="N92" i="1"/>
  <c r="K92" i="1"/>
  <c r="G92" i="1"/>
  <c r="F92" i="1"/>
  <c r="E92" i="1"/>
  <c r="D92" i="1"/>
  <c r="Y91" i="1"/>
  <c r="X91" i="1"/>
  <c r="W91" i="1"/>
  <c r="U91" i="1"/>
  <c r="T91" i="1"/>
  <c r="S91" i="1"/>
  <c r="R91" i="1"/>
  <c r="Q91" i="1"/>
  <c r="P91" i="1"/>
  <c r="N91" i="1"/>
  <c r="K91" i="1"/>
  <c r="G91" i="1"/>
  <c r="F91" i="1"/>
  <c r="E91" i="1"/>
  <c r="D91" i="1"/>
  <c r="Y90" i="1"/>
  <c r="X90" i="1"/>
  <c r="W90" i="1"/>
  <c r="U90" i="1"/>
  <c r="T90" i="1"/>
  <c r="S90" i="1"/>
  <c r="Q90" i="1"/>
  <c r="P90" i="1"/>
  <c r="N90" i="1"/>
  <c r="K90" i="1"/>
  <c r="G90" i="1"/>
  <c r="F90" i="1"/>
  <c r="E90" i="1"/>
  <c r="D90" i="1"/>
  <c r="Y89" i="1"/>
  <c r="X89" i="1"/>
  <c r="W89" i="1"/>
  <c r="U89" i="1"/>
  <c r="T89" i="1"/>
  <c r="S89" i="1"/>
  <c r="R89" i="1"/>
  <c r="Q89" i="1"/>
  <c r="P89" i="1"/>
  <c r="N89" i="1"/>
  <c r="K89" i="1"/>
  <c r="G89" i="1"/>
  <c r="F89" i="1"/>
  <c r="E89" i="1"/>
  <c r="D89" i="1"/>
  <c r="Y88" i="1"/>
  <c r="X88" i="1"/>
  <c r="W88" i="1"/>
  <c r="U88" i="1"/>
  <c r="T88" i="1"/>
  <c r="S88" i="1"/>
  <c r="R88" i="1"/>
  <c r="Q88" i="1"/>
  <c r="P88" i="1"/>
  <c r="N88" i="1"/>
  <c r="K88" i="1"/>
  <c r="G88" i="1"/>
  <c r="F88" i="1"/>
  <c r="E88" i="1"/>
  <c r="D88" i="1"/>
  <c r="Y87" i="1"/>
  <c r="X87" i="1"/>
  <c r="W87" i="1"/>
  <c r="U87" i="1"/>
  <c r="T87" i="1"/>
  <c r="S87" i="1"/>
  <c r="R87" i="1"/>
  <c r="Q87" i="1"/>
  <c r="P87" i="1"/>
  <c r="N87" i="1"/>
  <c r="K87" i="1"/>
  <c r="G87" i="1"/>
  <c r="F87" i="1"/>
  <c r="E87" i="1"/>
  <c r="D87" i="1"/>
  <c r="Y86" i="1"/>
  <c r="X86" i="1"/>
  <c r="W86" i="1"/>
  <c r="U86" i="1"/>
  <c r="T86" i="1"/>
  <c r="S86" i="1"/>
  <c r="R86" i="1"/>
  <c r="Q86" i="1"/>
  <c r="P86" i="1"/>
  <c r="N86" i="1"/>
  <c r="K86" i="1"/>
  <c r="G86" i="1"/>
  <c r="F86" i="1"/>
  <c r="E86" i="1"/>
  <c r="D86" i="1"/>
  <c r="Y85" i="1"/>
  <c r="X85" i="1"/>
  <c r="W85" i="1"/>
  <c r="U85" i="1"/>
  <c r="T85" i="1"/>
  <c r="S85" i="1"/>
  <c r="R85" i="1"/>
  <c r="Q85" i="1"/>
  <c r="P85" i="1"/>
  <c r="N85" i="1"/>
  <c r="K85" i="1"/>
  <c r="G85" i="1"/>
  <c r="F85" i="1"/>
  <c r="E85" i="1"/>
  <c r="D85" i="1"/>
  <c r="Y84" i="1"/>
  <c r="X84" i="1"/>
  <c r="W84" i="1"/>
  <c r="U84" i="1"/>
  <c r="T84" i="1"/>
  <c r="S84" i="1"/>
  <c r="R84" i="1"/>
  <c r="Q84" i="1"/>
  <c r="P84" i="1"/>
  <c r="N84" i="1"/>
  <c r="K84" i="1"/>
  <c r="G84" i="1"/>
  <c r="F84" i="1"/>
  <c r="E84" i="1"/>
  <c r="D84" i="1"/>
  <c r="Y83" i="1"/>
  <c r="X83" i="1"/>
  <c r="W83" i="1"/>
  <c r="U83" i="1"/>
  <c r="T83" i="1"/>
  <c r="S83" i="1"/>
  <c r="R83" i="1"/>
  <c r="Q83" i="1"/>
  <c r="P83" i="1"/>
  <c r="N83" i="1"/>
  <c r="K83" i="1"/>
  <c r="G83" i="1"/>
  <c r="F83" i="1"/>
  <c r="E83" i="1"/>
  <c r="D83" i="1"/>
  <c r="Y82" i="1"/>
  <c r="X82" i="1"/>
  <c r="W82" i="1"/>
  <c r="U82" i="1"/>
  <c r="T82" i="1"/>
  <c r="S82" i="1"/>
  <c r="Q82" i="1"/>
  <c r="P82" i="1"/>
  <c r="N82" i="1"/>
  <c r="K82" i="1"/>
  <c r="G82" i="1"/>
  <c r="F82" i="1"/>
  <c r="E82" i="1"/>
  <c r="D82" i="1"/>
  <c r="Y81" i="1"/>
  <c r="X81" i="1"/>
  <c r="W81" i="1"/>
  <c r="U81" i="1"/>
  <c r="T81" i="1"/>
  <c r="S81" i="1"/>
  <c r="R81" i="1"/>
  <c r="Q81" i="1"/>
  <c r="P81" i="1"/>
  <c r="N81" i="1"/>
  <c r="K81" i="1"/>
  <c r="G81" i="1"/>
  <c r="F81" i="1"/>
  <c r="E81" i="1"/>
  <c r="D81" i="1"/>
  <c r="Y80" i="1"/>
  <c r="X80" i="1"/>
  <c r="W80" i="1"/>
  <c r="U80" i="1"/>
  <c r="T80" i="1"/>
  <c r="S80" i="1"/>
  <c r="R80" i="1"/>
  <c r="Q80" i="1"/>
  <c r="P80" i="1"/>
  <c r="N80" i="1"/>
  <c r="K80" i="1"/>
  <c r="G80" i="1"/>
  <c r="F80" i="1"/>
  <c r="E80" i="1"/>
  <c r="D80" i="1"/>
  <c r="Y79" i="1"/>
  <c r="X79" i="1"/>
  <c r="W79" i="1"/>
  <c r="U79" i="1"/>
  <c r="T79" i="1"/>
  <c r="S79" i="1"/>
  <c r="Q79" i="1"/>
  <c r="P79" i="1"/>
  <c r="N79" i="1"/>
  <c r="K79" i="1"/>
  <c r="G79" i="1"/>
  <c r="F79" i="1"/>
  <c r="E79" i="1"/>
  <c r="D79" i="1"/>
  <c r="Y78" i="1"/>
  <c r="X78" i="1"/>
  <c r="W78" i="1"/>
  <c r="U78" i="1"/>
  <c r="T78" i="1"/>
  <c r="S78" i="1"/>
  <c r="Q78" i="1"/>
  <c r="P78" i="1"/>
  <c r="N78" i="1"/>
  <c r="K78" i="1"/>
  <c r="G78" i="1"/>
  <c r="F78" i="1"/>
  <c r="E78" i="1"/>
  <c r="D78" i="1"/>
  <c r="Y77" i="1"/>
  <c r="X77" i="1"/>
  <c r="W77" i="1"/>
  <c r="U77" i="1"/>
  <c r="T77" i="1"/>
  <c r="S77" i="1"/>
  <c r="R77" i="1"/>
  <c r="Q77" i="1"/>
  <c r="P77" i="1"/>
  <c r="N77" i="1"/>
  <c r="K77" i="1"/>
  <c r="G77" i="1"/>
  <c r="F77" i="1"/>
  <c r="E77" i="1"/>
  <c r="D77" i="1"/>
  <c r="Y76" i="1"/>
  <c r="X76" i="1"/>
  <c r="W76" i="1"/>
  <c r="U76" i="1"/>
  <c r="T76" i="1"/>
  <c r="S76" i="1"/>
  <c r="R76" i="1"/>
  <c r="Q76" i="1"/>
  <c r="P76" i="1"/>
  <c r="N76" i="1"/>
  <c r="K76" i="1"/>
  <c r="G76" i="1"/>
  <c r="F76" i="1"/>
  <c r="E76" i="1"/>
  <c r="D76" i="1"/>
  <c r="Y75" i="1"/>
  <c r="X75" i="1"/>
  <c r="W75" i="1"/>
  <c r="U75" i="1"/>
  <c r="T75" i="1"/>
  <c r="S75" i="1"/>
  <c r="R75" i="1"/>
  <c r="Q75" i="1"/>
  <c r="P75" i="1"/>
  <c r="N75" i="1"/>
  <c r="K75" i="1"/>
  <c r="G75" i="1"/>
  <c r="F75" i="1"/>
  <c r="E75" i="1"/>
  <c r="D75" i="1"/>
  <c r="Y74" i="1"/>
  <c r="X74" i="1"/>
  <c r="W74" i="1"/>
  <c r="U74" i="1"/>
  <c r="T74" i="1"/>
  <c r="S74" i="1"/>
  <c r="Q74" i="1"/>
  <c r="P74" i="1"/>
  <c r="N74" i="1"/>
  <c r="K74" i="1"/>
  <c r="G74" i="1"/>
  <c r="F74" i="1"/>
  <c r="E74" i="1"/>
  <c r="D74" i="1"/>
  <c r="Y73" i="1"/>
  <c r="X73" i="1"/>
  <c r="W73" i="1"/>
  <c r="U73" i="1"/>
  <c r="T73" i="1"/>
  <c r="S73" i="1"/>
  <c r="R73" i="1"/>
  <c r="Q73" i="1"/>
  <c r="P73" i="1"/>
  <c r="N73" i="1"/>
  <c r="K73" i="1"/>
  <c r="G73" i="1"/>
  <c r="F73" i="1"/>
  <c r="E73" i="1"/>
  <c r="D73" i="1"/>
  <c r="Y72" i="1"/>
  <c r="X72" i="1"/>
  <c r="W72" i="1"/>
  <c r="U72" i="1"/>
  <c r="T72" i="1"/>
  <c r="S72" i="1"/>
  <c r="R72" i="1"/>
  <c r="Q72" i="1"/>
  <c r="P72" i="1"/>
  <c r="N72" i="1"/>
  <c r="K72" i="1"/>
  <c r="G72" i="1"/>
  <c r="F72" i="1"/>
  <c r="E72" i="1"/>
  <c r="D72" i="1"/>
  <c r="Y71" i="1"/>
  <c r="X71" i="1"/>
  <c r="W71" i="1"/>
  <c r="U71" i="1"/>
  <c r="T71" i="1"/>
  <c r="S71" i="1"/>
  <c r="R71" i="1"/>
  <c r="Q71" i="1"/>
  <c r="P71" i="1"/>
  <c r="N71" i="1"/>
  <c r="K71" i="1"/>
  <c r="G71" i="1"/>
  <c r="F71" i="1"/>
  <c r="E71" i="1"/>
  <c r="D71" i="1"/>
  <c r="Y70" i="1"/>
  <c r="X70" i="1"/>
  <c r="W70" i="1"/>
  <c r="U70" i="1"/>
  <c r="T70" i="1"/>
  <c r="S70" i="1"/>
  <c r="R70" i="1"/>
  <c r="Q70" i="1"/>
  <c r="P70" i="1"/>
  <c r="N70" i="1"/>
  <c r="K70" i="1"/>
  <c r="G70" i="1"/>
  <c r="F70" i="1"/>
  <c r="E70" i="1"/>
  <c r="D70" i="1"/>
  <c r="Y69" i="1"/>
  <c r="X69" i="1"/>
  <c r="W69" i="1"/>
  <c r="U69" i="1"/>
  <c r="T69" i="1"/>
  <c r="S69" i="1"/>
  <c r="R69" i="1"/>
  <c r="Q69" i="1"/>
  <c r="P69" i="1"/>
  <c r="N69" i="1"/>
  <c r="K69" i="1"/>
  <c r="G69" i="1"/>
  <c r="F69" i="1"/>
  <c r="E69" i="1"/>
  <c r="D69" i="1"/>
  <c r="Y68" i="1"/>
  <c r="X68" i="1"/>
  <c r="W68" i="1"/>
  <c r="U68" i="1"/>
  <c r="T68" i="1"/>
  <c r="S68" i="1"/>
  <c r="R68" i="1"/>
  <c r="Q68" i="1"/>
  <c r="P68" i="1"/>
  <c r="N68" i="1"/>
  <c r="K68" i="1"/>
  <c r="G68" i="1"/>
  <c r="F68" i="1"/>
  <c r="L68" i="1" s="1"/>
  <c r="E68" i="1"/>
  <c r="D68" i="1"/>
  <c r="Y67" i="1"/>
  <c r="X67" i="1"/>
  <c r="W67" i="1"/>
  <c r="U67" i="1"/>
  <c r="T67" i="1"/>
  <c r="S67" i="1"/>
  <c r="R67" i="1"/>
  <c r="Q67" i="1"/>
  <c r="P67" i="1"/>
  <c r="N67" i="1"/>
  <c r="K67" i="1"/>
  <c r="G67" i="1"/>
  <c r="F67" i="1"/>
  <c r="E67" i="1"/>
  <c r="D67" i="1"/>
  <c r="Y66" i="1"/>
  <c r="X66" i="1"/>
  <c r="W66" i="1"/>
  <c r="U66" i="1"/>
  <c r="T66" i="1"/>
  <c r="S66" i="1"/>
  <c r="Q66" i="1"/>
  <c r="P66" i="1"/>
  <c r="N66" i="1"/>
  <c r="K66" i="1"/>
  <c r="G66" i="1"/>
  <c r="F66" i="1"/>
  <c r="E66" i="1"/>
  <c r="D66" i="1"/>
  <c r="Y65" i="1"/>
  <c r="X65" i="1"/>
  <c r="W65" i="1"/>
  <c r="U65" i="1"/>
  <c r="T65" i="1"/>
  <c r="S65" i="1"/>
  <c r="R65" i="1"/>
  <c r="Q65" i="1"/>
  <c r="P65" i="1"/>
  <c r="N65" i="1"/>
  <c r="K65" i="1"/>
  <c r="G65" i="1"/>
  <c r="F65" i="1"/>
  <c r="E65" i="1"/>
  <c r="D65" i="1"/>
  <c r="Y64" i="1"/>
  <c r="X64" i="1"/>
  <c r="W64" i="1"/>
  <c r="U64" i="1"/>
  <c r="T64" i="1"/>
  <c r="S64" i="1"/>
  <c r="R64" i="1"/>
  <c r="Q64" i="1"/>
  <c r="P64" i="1"/>
  <c r="N64" i="1"/>
  <c r="K64" i="1"/>
  <c r="G64" i="1"/>
  <c r="F64" i="1"/>
  <c r="E64" i="1"/>
  <c r="D64" i="1"/>
  <c r="Y94" i="4"/>
  <c r="X94" i="4"/>
  <c r="W94" i="4"/>
  <c r="U94" i="4"/>
  <c r="T94" i="4"/>
  <c r="S94" i="4"/>
  <c r="R94" i="4"/>
  <c r="Q94" i="4"/>
  <c r="P94" i="4"/>
  <c r="N94" i="4"/>
  <c r="K94" i="4"/>
  <c r="G94" i="4"/>
  <c r="F94" i="4"/>
  <c r="E94" i="4"/>
  <c r="D94" i="4"/>
  <c r="Y93" i="4"/>
  <c r="X93" i="4"/>
  <c r="W93" i="4"/>
  <c r="U93" i="4"/>
  <c r="T93" i="4"/>
  <c r="S93" i="4"/>
  <c r="R93" i="4"/>
  <c r="Q93" i="4"/>
  <c r="P93" i="4"/>
  <c r="N93" i="4"/>
  <c r="K93" i="4"/>
  <c r="G93" i="4"/>
  <c r="F93" i="4"/>
  <c r="E93" i="4"/>
  <c r="D93" i="4"/>
  <c r="Y92" i="4"/>
  <c r="X92" i="4"/>
  <c r="W92" i="4"/>
  <c r="U92" i="4"/>
  <c r="T92" i="4"/>
  <c r="S92" i="4"/>
  <c r="Q92" i="4"/>
  <c r="P92" i="4"/>
  <c r="N92" i="4"/>
  <c r="K92" i="4"/>
  <c r="G92" i="4"/>
  <c r="F92" i="4"/>
  <c r="E92" i="4"/>
  <c r="D92" i="4"/>
  <c r="Y91" i="4"/>
  <c r="X91" i="4"/>
  <c r="W91" i="4"/>
  <c r="U91" i="4"/>
  <c r="T91" i="4"/>
  <c r="S91" i="4"/>
  <c r="R91" i="4"/>
  <c r="Q91" i="4"/>
  <c r="P91" i="4"/>
  <c r="N91" i="4"/>
  <c r="K91" i="4"/>
  <c r="G91" i="4"/>
  <c r="F91" i="4"/>
  <c r="L91" i="4" s="1"/>
  <c r="E91" i="4"/>
  <c r="D91" i="4"/>
  <c r="Y90" i="4"/>
  <c r="X90" i="4"/>
  <c r="W90" i="4"/>
  <c r="U90" i="4"/>
  <c r="T90" i="4"/>
  <c r="S90" i="4"/>
  <c r="R90" i="4"/>
  <c r="Q90" i="4"/>
  <c r="P90" i="4"/>
  <c r="N90" i="4"/>
  <c r="K90" i="4"/>
  <c r="G90" i="4"/>
  <c r="F90" i="4"/>
  <c r="E90" i="4"/>
  <c r="D90" i="4"/>
  <c r="Y89" i="4"/>
  <c r="X89" i="4"/>
  <c r="W89" i="4"/>
  <c r="U89" i="4"/>
  <c r="T89" i="4"/>
  <c r="S89" i="4"/>
  <c r="R89" i="4"/>
  <c r="Q89" i="4"/>
  <c r="P89" i="4"/>
  <c r="N89" i="4"/>
  <c r="K89" i="4"/>
  <c r="G89" i="4"/>
  <c r="F89" i="4"/>
  <c r="E89" i="4"/>
  <c r="D89" i="4"/>
  <c r="Y88" i="4"/>
  <c r="X88" i="4"/>
  <c r="W88" i="4"/>
  <c r="U88" i="4"/>
  <c r="T88" i="4"/>
  <c r="S88" i="4"/>
  <c r="Q88" i="4"/>
  <c r="P88" i="4"/>
  <c r="N88" i="4"/>
  <c r="K88" i="4"/>
  <c r="G88" i="4"/>
  <c r="F88" i="4"/>
  <c r="E88" i="4"/>
  <c r="D88" i="4"/>
  <c r="Y87" i="4"/>
  <c r="X87" i="4"/>
  <c r="W87" i="4"/>
  <c r="U87" i="4"/>
  <c r="T87" i="4"/>
  <c r="S87" i="4"/>
  <c r="R87" i="4"/>
  <c r="Q87" i="4"/>
  <c r="P87" i="4"/>
  <c r="N87" i="4"/>
  <c r="K87" i="4"/>
  <c r="G87" i="4"/>
  <c r="F87" i="4"/>
  <c r="E87" i="4"/>
  <c r="D87" i="4"/>
  <c r="Y86" i="4"/>
  <c r="X86" i="4"/>
  <c r="W86" i="4"/>
  <c r="U86" i="4"/>
  <c r="T86" i="4"/>
  <c r="S86" i="4"/>
  <c r="R86" i="4"/>
  <c r="Q86" i="4"/>
  <c r="P86" i="4"/>
  <c r="N86" i="4"/>
  <c r="K86" i="4"/>
  <c r="G86" i="4"/>
  <c r="F86" i="4"/>
  <c r="E86" i="4"/>
  <c r="D86" i="4"/>
  <c r="Y85" i="4"/>
  <c r="X85" i="4"/>
  <c r="W85" i="4"/>
  <c r="U85" i="4"/>
  <c r="T85" i="4"/>
  <c r="S85" i="4"/>
  <c r="R85" i="4"/>
  <c r="Q85" i="4"/>
  <c r="P85" i="4"/>
  <c r="N85" i="4"/>
  <c r="K85" i="4"/>
  <c r="G85" i="4"/>
  <c r="F85" i="4"/>
  <c r="E85" i="4"/>
  <c r="D85" i="4"/>
  <c r="Y84" i="4"/>
  <c r="X84" i="4"/>
  <c r="W84" i="4"/>
  <c r="U84" i="4"/>
  <c r="T84" i="4"/>
  <c r="S84" i="4"/>
  <c r="Q84" i="4"/>
  <c r="P84" i="4"/>
  <c r="N84" i="4"/>
  <c r="K84" i="4"/>
  <c r="G84" i="4"/>
  <c r="F84" i="4"/>
  <c r="E84" i="4"/>
  <c r="D84" i="4"/>
  <c r="Y83" i="4"/>
  <c r="X83" i="4"/>
  <c r="W83" i="4"/>
  <c r="U83" i="4"/>
  <c r="T83" i="4"/>
  <c r="S83" i="4"/>
  <c r="R83" i="4"/>
  <c r="Q83" i="4"/>
  <c r="P83" i="4"/>
  <c r="N83" i="4"/>
  <c r="K83" i="4"/>
  <c r="G83" i="4"/>
  <c r="F83" i="4"/>
  <c r="E83" i="4"/>
  <c r="D83" i="4"/>
  <c r="Y82" i="4"/>
  <c r="X82" i="4"/>
  <c r="W82" i="4"/>
  <c r="U82" i="4"/>
  <c r="T82" i="4"/>
  <c r="S82" i="4"/>
  <c r="R82" i="4"/>
  <c r="Q82" i="4"/>
  <c r="P82" i="4"/>
  <c r="N82" i="4"/>
  <c r="K82" i="4"/>
  <c r="G82" i="4"/>
  <c r="F82" i="4"/>
  <c r="E82" i="4"/>
  <c r="D82" i="4"/>
  <c r="Y81" i="4"/>
  <c r="X81" i="4"/>
  <c r="W81" i="4"/>
  <c r="U81" i="4"/>
  <c r="T81" i="4"/>
  <c r="S81" i="4"/>
  <c r="R81" i="4"/>
  <c r="Q81" i="4"/>
  <c r="P81" i="4"/>
  <c r="N81" i="4"/>
  <c r="K81" i="4"/>
  <c r="G81" i="4"/>
  <c r="F81" i="4"/>
  <c r="E81" i="4"/>
  <c r="D81" i="4"/>
  <c r="Y80" i="4"/>
  <c r="X80" i="4"/>
  <c r="W80" i="4"/>
  <c r="U80" i="4"/>
  <c r="T80" i="4"/>
  <c r="S80" i="4"/>
  <c r="R80" i="4"/>
  <c r="Q80" i="4"/>
  <c r="P80" i="4"/>
  <c r="N80" i="4"/>
  <c r="K80" i="4"/>
  <c r="G80" i="4"/>
  <c r="F80" i="4"/>
  <c r="E80" i="4"/>
  <c r="D80" i="4"/>
  <c r="Y79" i="4"/>
  <c r="X79" i="4"/>
  <c r="W79" i="4"/>
  <c r="U79" i="4"/>
  <c r="T79" i="4"/>
  <c r="S79" i="4"/>
  <c r="R79" i="4"/>
  <c r="Q79" i="4"/>
  <c r="P79" i="4"/>
  <c r="N79" i="4"/>
  <c r="K79" i="4"/>
  <c r="G79" i="4"/>
  <c r="F79" i="4"/>
  <c r="E79" i="4"/>
  <c r="D79" i="4"/>
  <c r="Y78" i="4"/>
  <c r="X78" i="4"/>
  <c r="W78" i="4"/>
  <c r="U78" i="4"/>
  <c r="T78" i="4"/>
  <c r="S78" i="4"/>
  <c r="R78" i="4"/>
  <c r="Q78" i="4"/>
  <c r="P78" i="4"/>
  <c r="N78" i="4"/>
  <c r="K78" i="4"/>
  <c r="G78" i="4"/>
  <c r="F78" i="4"/>
  <c r="E78" i="4"/>
  <c r="D78" i="4"/>
  <c r="Y77" i="4"/>
  <c r="X77" i="4"/>
  <c r="W77" i="4"/>
  <c r="U77" i="4"/>
  <c r="T77" i="4"/>
  <c r="S77" i="4"/>
  <c r="R77" i="4"/>
  <c r="Q77" i="4"/>
  <c r="P77" i="4"/>
  <c r="N77" i="4"/>
  <c r="K77" i="4"/>
  <c r="G77" i="4"/>
  <c r="F77" i="4"/>
  <c r="E77" i="4"/>
  <c r="D77" i="4"/>
  <c r="Y76" i="4"/>
  <c r="X76" i="4"/>
  <c r="W76" i="4"/>
  <c r="U76" i="4"/>
  <c r="T76" i="4"/>
  <c r="S76" i="4"/>
  <c r="Q76" i="4"/>
  <c r="P76" i="4"/>
  <c r="N76" i="4"/>
  <c r="K76" i="4"/>
  <c r="G76" i="4"/>
  <c r="F76" i="4"/>
  <c r="E76" i="4"/>
  <c r="D76" i="4"/>
  <c r="Y75" i="4"/>
  <c r="X75" i="4"/>
  <c r="W75" i="4"/>
  <c r="U75" i="4"/>
  <c r="T75" i="4"/>
  <c r="S75" i="4"/>
  <c r="R75" i="4"/>
  <c r="Q75" i="4"/>
  <c r="P75" i="4"/>
  <c r="N75" i="4"/>
  <c r="K75" i="4"/>
  <c r="G75" i="4"/>
  <c r="F75" i="4"/>
  <c r="E75" i="4"/>
  <c r="D75" i="4"/>
  <c r="Y74" i="4"/>
  <c r="X74" i="4"/>
  <c r="W74" i="4"/>
  <c r="U74" i="4"/>
  <c r="T74" i="4"/>
  <c r="S74" i="4"/>
  <c r="R74" i="4"/>
  <c r="Q74" i="4"/>
  <c r="P74" i="4"/>
  <c r="N74" i="4"/>
  <c r="K74" i="4"/>
  <c r="G74" i="4"/>
  <c r="F74" i="4"/>
  <c r="L74" i="4" s="1"/>
  <c r="E74" i="4"/>
  <c r="D74" i="4"/>
  <c r="Y73" i="4"/>
  <c r="X73" i="4"/>
  <c r="W73" i="4"/>
  <c r="U73" i="4"/>
  <c r="T73" i="4"/>
  <c r="S73" i="4"/>
  <c r="R73" i="4"/>
  <c r="Q73" i="4"/>
  <c r="P73" i="4"/>
  <c r="N73" i="4"/>
  <c r="K73" i="4"/>
  <c r="G73" i="4"/>
  <c r="F73" i="4"/>
  <c r="E73" i="4"/>
  <c r="D73" i="4"/>
  <c r="Y72" i="4"/>
  <c r="X72" i="4"/>
  <c r="W72" i="4"/>
  <c r="U72" i="4"/>
  <c r="T72" i="4"/>
  <c r="S72" i="4"/>
  <c r="Q72" i="4"/>
  <c r="P72" i="4"/>
  <c r="N72" i="4"/>
  <c r="K72" i="4"/>
  <c r="G72" i="4"/>
  <c r="F72" i="4"/>
  <c r="E72" i="4"/>
  <c r="D72" i="4"/>
  <c r="Y71" i="4"/>
  <c r="X71" i="4"/>
  <c r="W71" i="4"/>
  <c r="U71" i="4"/>
  <c r="T71" i="4"/>
  <c r="S71" i="4"/>
  <c r="R71" i="4"/>
  <c r="Q71" i="4"/>
  <c r="P71" i="4"/>
  <c r="N71" i="4"/>
  <c r="K71" i="4"/>
  <c r="G71" i="4"/>
  <c r="F71" i="4"/>
  <c r="E71" i="4"/>
  <c r="D71" i="4"/>
  <c r="Y70" i="4"/>
  <c r="X70" i="4"/>
  <c r="W70" i="4"/>
  <c r="U70" i="4"/>
  <c r="T70" i="4"/>
  <c r="S70" i="4"/>
  <c r="R70" i="4"/>
  <c r="Q70" i="4"/>
  <c r="P70" i="4"/>
  <c r="N70" i="4"/>
  <c r="K70" i="4"/>
  <c r="G70" i="4"/>
  <c r="F70" i="4"/>
  <c r="E70" i="4"/>
  <c r="D70" i="4"/>
  <c r="Y69" i="4"/>
  <c r="X69" i="4"/>
  <c r="W69" i="4"/>
  <c r="U69" i="4"/>
  <c r="T69" i="4"/>
  <c r="S69" i="4"/>
  <c r="R69" i="4"/>
  <c r="Q69" i="4"/>
  <c r="P69" i="4"/>
  <c r="N69" i="4"/>
  <c r="K69" i="4"/>
  <c r="G69" i="4"/>
  <c r="F69" i="4"/>
  <c r="E69" i="4"/>
  <c r="D69" i="4"/>
  <c r="Y68" i="4"/>
  <c r="X68" i="4"/>
  <c r="W68" i="4"/>
  <c r="U68" i="4"/>
  <c r="T68" i="4"/>
  <c r="S68" i="4"/>
  <c r="R68" i="4"/>
  <c r="Q68" i="4"/>
  <c r="P68" i="4"/>
  <c r="N68" i="4"/>
  <c r="K68" i="4"/>
  <c r="G68" i="4"/>
  <c r="F68" i="4"/>
  <c r="E68" i="4"/>
  <c r="D68" i="4"/>
  <c r="Y67" i="4"/>
  <c r="X67" i="4"/>
  <c r="W67" i="4"/>
  <c r="U67" i="4"/>
  <c r="T67" i="4"/>
  <c r="S67" i="4"/>
  <c r="R67" i="4"/>
  <c r="Q67" i="4"/>
  <c r="P67" i="4"/>
  <c r="N67" i="4"/>
  <c r="K67" i="4"/>
  <c r="G67" i="4"/>
  <c r="F67" i="4"/>
  <c r="E67" i="4"/>
  <c r="D67" i="4"/>
  <c r="Y66" i="4"/>
  <c r="X66" i="4"/>
  <c r="W66" i="4"/>
  <c r="U66" i="4"/>
  <c r="T66" i="4"/>
  <c r="S66" i="4"/>
  <c r="R66" i="4"/>
  <c r="Q66" i="4"/>
  <c r="P66" i="4"/>
  <c r="N66" i="4"/>
  <c r="K66" i="4"/>
  <c r="G66" i="4"/>
  <c r="F66" i="4"/>
  <c r="E66" i="4"/>
  <c r="D66" i="4"/>
  <c r="Y65" i="4"/>
  <c r="X65" i="4"/>
  <c r="W65" i="4"/>
  <c r="U65" i="4"/>
  <c r="T65" i="4"/>
  <c r="S65" i="4"/>
  <c r="R65" i="4"/>
  <c r="Q65" i="4"/>
  <c r="P65" i="4"/>
  <c r="N65" i="4"/>
  <c r="K65" i="4"/>
  <c r="G65" i="4"/>
  <c r="F65" i="4"/>
  <c r="E65" i="4"/>
  <c r="D65" i="4"/>
  <c r="Y64" i="4"/>
  <c r="X64" i="4"/>
  <c r="W64" i="4"/>
  <c r="U64" i="4"/>
  <c r="T64" i="4"/>
  <c r="S64" i="4"/>
  <c r="R64" i="4"/>
  <c r="Q64" i="4"/>
  <c r="P64" i="4"/>
  <c r="N64" i="4"/>
  <c r="K64" i="4"/>
  <c r="G64" i="4"/>
  <c r="F64" i="4"/>
  <c r="E64" i="4"/>
  <c r="D64" i="4"/>
  <c r="Y94" i="3"/>
  <c r="X94" i="3"/>
  <c r="W94" i="3"/>
  <c r="U94" i="3"/>
  <c r="T94" i="3"/>
  <c r="S94" i="3"/>
  <c r="R94" i="3"/>
  <c r="Q94" i="3"/>
  <c r="P94" i="3"/>
  <c r="O94" i="3"/>
  <c r="N94" i="3"/>
  <c r="K94" i="3"/>
  <c r="G94" i="3"/>
  <c r="F94" i="3"/>
  <c r="E94" i="3"/>
  <c r="D94" i="3"/>
  <c r="Y93" i="3"/>
  <c r="X93" i="3"/>
  <c r="W93" i="3"/>
  <c r="U93" i="3"/>
  <c r="T93" i="3"/>
  <c r="S93" i="3"/>
  <c r="Q93" i="3"/>
  <c r="P93" i="3"/>
  <c r="N93" i="3"/>
  <c r="K93" i="3"/>
  <c r="G93" i="3"/>
  <c r="F93" i="3"/>
  <c r="E93" i="3"/>
  <c r="D93" i="3"/>
  <c r="Y92" i="3"/>
  <c r="X92" i="3"/>
  <c r="W92" i="3"/>
  <c r="U92" i="3"/>
  <c r="T92" i="3"/>
  <c r="S92" i="3"/>
  <c r="R92" i="3"/>
  <c r="Q92" i="3"/>
  <c r="P92" i="3"/>
  <c r="N92" i="3"/>
  <c r="K92" i="3"/>
  <c r="G92" i="3"/>
  <c r="F92" i="3"/>
  <c r="E92" i="3"/>
  <c r="D92" i="3"/>
  <c r="Y91" i="3"/>
  <c r="X91" i="3"/>
  <c r="W91" i="3"/>
  <c r="U91" i="3"/>
  <c r="T91" i="3"/>
  <c r="S91" i="3"/>
  <c r="R91" i="3"/>
  <c r="Q91" i="3"/>
  <c r="P91" i="3"/>
  <c r="N91" i="3"/>
  <c r="K91" i="3"/>
  <c r="G91" i="3"/>
  <c r="F91" i="3"/>
  <c r="E91" i="3"/>
  <c r="D91" i="3"/>
  <c r="Y90" i="3"/>
  <c r="X90" i="3"/>
  <c r="W90" i="3"/>
  <c r="U90" i="3"/>
  <c r="T90" i="3"/>
  <c r="S90" i="3"/>
  <c r="R90" i="3"/>
  <c r="Q90" i="3"/>
  <c r="P90" i="3"/>
  <c r="N90" i="3"/>
  <c r="K90" i="3"/>
  <c r="G90" i="3"/>
  <c r="F90" i="3"/>
  <c r="E90" i="3"/>
  <c r="D90" i="3"/>
  <c r="Y89" i="3"/>
  <c r="X89" i="3"/>
  <c r="W89" i="3"/>
  <c r="U89" i="3"/>
  <c r="T89" i="3"/>
  <c r="S89" i="3"/>
  <c r="R89" i="3"/>
  <c r="Q89" i="3"/>
  <c r="P89" i="3"/>
  <c r="N89" i="3"/>
  <c r="K89" i="3"/>
  <c r="G89" i="3"/>
  <c r="F89" i="3"/>
  <c r="E89" i="3"/>
  <c r="D89" i="3"/>
  <c r="Y88" i="3"/>
  <c r="X88" i="3"/>
  <c r="W88" i="3"/>
  <c r="U88" i="3"/>
  <c r="T88" i="3"/>
  <c r="S88" i="3"/>
  <c r="R88" i="3"/>
  <c r="Q88" i="3"/>
  <c r="P88" i="3"/>
  <c r="N88" i="3"/>
  <c r="K88" i="3"/>
  <c r="G88" i="3"/>
  <c r="F88" i="3"/>
  <c r="E88" i="3"/>
  <c r="D88" i="3"/>
  <c r="Y87" i="3"/>
  <c r="X87" i="3"/>
  <c r="W87" i="3"/>
  <c r="U87" i="3"/>
  <c r="T87" i="3"/>
  <c r="S87" i="3"/>
  <c r="R87" i="3"/>
  <c r="Q87" i="3"/>
  <c r="P87" i="3"/>
  <c r="N87" i="3"/>
  <c r="K87" i="3"/>
  <c r="G87" i="3"/>
  <c r="F87" i="3"/>
  <c r="E87" i="3"/>
  <c r="D87" i="3"/>
  <c r="Y86" i="3"/>
  <c r="X86" i="3"/>
  <c r="W86" i="3"/>
  <c r="U86" i="3"/>
  <c r="T86" i="3"/>
  <c r="S86" i="3"/>
  <c r="R86" i="3"/>
  <c r="Q86" i="3"/>
  <c r="P86" i="3"/>
  <c r="N86" i="3"/>
  <c r="K86" i="3"/>
  <c r="G86" i="3"/>
  <c r="F86" i="3"/>
  <c r="E86" i="3"/>
  <c r="D86" i="3"/>
  <c r="Y85" i="3"/>
  <c r="X85" i="3"/>
  <c r="W85" i="3"/>
  <c r="U85" i="3"/>
  <c r="T85" i="3"/>
  <c r="S85" i="3"/>
  <c r="Q85" i="3"/>
  <c r="P85" i="3"/>
  <c r="N85" i="3"/>
  <c r="K85" i="3"/>
  <c r="G85" i="3"/>
  <c r="F85" i="3"/>
  <c r="E85" i="3"/>
  <c r="D85" i="3"/>
  <c r="Y84" i="3"/>
  <c r="X84" i="3"/>
  <c r="W84" i="3"/>
  <c r="U84" i="3"/>
  <c r="T84" i="3"/>
  <c r="S84" i="3"/>
  <c r="R84" i="3"/>
  <c r="Q84" i="3"/>
  <c r="P84" i="3"/>
  <c r="N84" i="3"/>
  <c r="K84" i="3"/>
  <c r="G84" i="3"/>
  <c r="F84" i="3"/>
  <c r="E84" i="3"/>
  <c r="D84" i="3"/>
  <c r="Y83" i="3"/>
  <c r="X83" i="3"/>
  <c r="W83" i="3"/>
  <c r="U83" i="3"/>
  <c r="T83" i="3"/>
  <c r="S83" i="3"/>
  <c r="R83" i="3"/>
  <c r="Q83" i="3"/>
  <c r="P83" i="3"/>
  <c r="N83" i="3"/>
  <c r="K83" i="3"/>
  <c r="G83" i="3"/>
  <c r="F83" i="3"/>
  <c r="E83" i="3"/>
  <c r="D83" i="3"/>
  <c r="Y82" i="3"/>
  <c r="X82" i="3"/>
  <c r="W82" i="3"/>
  <c r="U82" i="3"/>
  <c r="T82" i="3"/>
  <c r="S82" i="3"/>
  <c r="Q82" i="3"/>
  <c r="P82" i="3"/>
  <c r="N82" i="3"/>
  <c r="K82" i="3"/>
  <c r="G82" i="3"/>
  <c r="F82" i="3"/>
  <c r="E82" i="3"/>
  <c r="D82" i="3"/>
  <c r="Y81" i="3"/>
  <c r="X81" i="3"/>
  <c r="W81" i="3"/>
  <c r="U81" i="3"/>
  <c r="T81" i="3"/>
  <c r="S81" i="3"/>
  <c r="Q81" i="3"/>
  <c r="P81" i="3"/>
  <c r="N81" i="3"/>
  <c r="K81" i="3"/>
  <c r="G81" i="3"/>
  <c r="F81" i="3"/>
  <c r="E81" i="3"/>
  <c r="D81" i="3"/>
  <c r="Y80" i="3"/>
  <c r="X80" i="3"/>
  <c r="W80" i="3"/>
  <c r="U80" i="3"/>
  <c r="T80" i="3"/>
  <c r="S80" i="3"/>
  <c r="R80" i="3"/>
  <c r="Q80" i="3"/>
  <c r="P80" i="3"/>
  <c r="N80" i="3"/>
  <c r="K80" i="3"/>
  <c r="G80" i="3"/>
  <c r="F80" i="3"/>
  <c r="E80" i="3"/>
  <c r="D80" i="3"/>
  <c r="Y79" i="3"/>
  <c r="X79" i="3"/>
  <c r="W79" i="3"/>
  <c r="U79" i="3"/>
  <c r="T79" i="3"/>
  <c r="S79" i="3"/>
  <c r="R79" i="3"/>
  <c r="Q79" i="3"/>
  <c r="P79" i="3"/>
  <c r="N79" i="3"/>
  <c r="K79" i="3"/>
  <c r="G79" i="3"/>
  <c r="F79" i="3"/>
  <c r="E79" i="3"/>
  <c r="D79" i="3"/>
  <c r="Y78" i="3"/>
  <c r="X78" i="3"/>
  <c r="W78" i="3"/>
  <c r="U78" i="3"/>
  <c r="T78" i="3"/>
  <c r="S78" i="3"/>
  <c r="R78" i="3"/>
  <c r="Q78" i="3"/>
  <c r="P78" i="3"/>
  <c r="N78" i="3"/>
  <c r="K78" i="3"/>
  <c r="G78" i="3"/>
  <c r="F78" i="3"/>
  <c r="E78" i="3"/>
  <c r="D78" i="3"/>
  <c r="Y77" i="3"/>
  <c r="X77" i="3"/>
  <c r="W77" i="3"/>
  <c r="U77" i="3"/>
  <c r="T77" i="3"/>
  <c r="S77" i="3"/>
  <c r="Q77" i="3"/>
  <c r="P77" i="3"/>
  <c r="N77" i="3"/>
  <c r="K77" i="3"/>
  <c r="G77" i="3"/>
  <c r="F77" i="3"/>
  <c r="E77" i="3"/>
  <c r="D77" i="3"/>
  <c r="Y76" i="3"/>
  <c r="X76" i="3"/>
  <c r="W76" i="3"/>
  <c r="U76" i="3"/>
  <c r="T76" i="3"/>
  <c r="S76" i="3"/>
  <c r="R76" i="3"/>
  <c r="Q76" i="3"/>
  <c r="P76" i="3"/>
  <c r="N76" i="3"/>
  <c r="K76" i="3"/>
  <c r="G76" i="3"/>
  <c r="F76" i="3"/>
  <c r="E76" i="3"/>
  <c r="D76" i="3"/>
  <c r="Y75" i="3"/>
  <c r="X75" i="3"/>
  <c r="W75" i="3"/>
  <c r="U75" i="3"/>
  <c r="T75" i="3"/>
  <c r="S75" i="3"/>
  <c r="R75" i="3"/>
  <c r="Q75" i="3"/>
  <c r="P75" i="3"/>
  <c r="N75" i="3"/>
  <c r="K75" i="3"/>
  <c r="G75" i="3"/>
  <c r="F75" i="3"/>
  <c r="L75" i="3" s="1"/>
  <c r="E75" i="3"/>
  <c r="D75" i="3"/>
  <c r="Y74" i="3"/>
  <c r="X74" i="3"/>
  <c r="W74" i="3"/>
  <c r="U74" i="3"/>
  <c r="T74" i="3"/>
  <c r="S74" i="3"/>
  <c r="R74" i="3"/>
  <c r="Q74" i="3"/>
  <c r="P74" i="3"/>
  <c r="N74" i="3"/>
  <c r="K74" i="3"/>
  <c r="G74" i="3"/>
  <c r="F74" i="3"/>
  <c r="E74" i="3"/>
  <c r="D74" i="3"/>
  <c r="Y73" i="3"/>
  <c r="X73" i="3"/>
  <c r="W73" i="3"/>
  <c r="U73" i="3"/>
  <c r="T73" i="3"/>
  <c r="S73" i="3"/>
  <c r="R73" i="3"/>
  <c r="Q73" i="3"/>
  <c r="P73" i="3"/>
  <c r="N73" i="3"/>
  <c r="K73" i="3"/>
  <c r="G73" i="3"/>
  <c r="F73" i="3"/>
  <c r="E73" i="3"/>
  <c r="D73" i="3"/>
  <c r="Y72" i="3"/>
  <c r="X72" i="3"/>
  <c r="W72" i="3"/>
  <c r="U72" i="3"/>
  <c r="T72" i="3"/>
  <c r="S72" i="3"/>
  <c r="R72" i="3"/>
  <c r="Q72" i="3"/>
  <c r="P72" i="3"/>
  <c r="N72" i="3"/>
  <c r="K72" i="3"/>
  <c r="G72" i="3"/>
  <c r="F72" i="3"/>
  <c r="E72" i="3"/>
  <c r="D72" i="3"/>
  <c r="Y71" i="3"/>
  <c r="X71" i="3"/>
  <c r="W71" i="3"/>
  <c r="U71" i="3"/>
  <c r="T71" i="3"/>
  <c r="S71" i="3"/>
  <c r="R71" i="3"/>
  <c r="Q71" i="3"/>
  <c r="P71" i="3"/>
  <c r="N71" i="3"/>
  <c r="K71" i="3"/>
  <c r="G71" i="3"/>
  <c r="F71" i="3"/>
  <c r="E71" i="3"/>
  <c r="D71" i="3"/>
  <c r="Y70" i="3"/>
  <c r="X70" i="3"/>
  <c r="W70" i="3"/>
  <c r="U70" i="3"/>
  <c r="T70" i="3"/>
  <c r="S70" i="3"/>
  <c r="R70" i="3"/>
  <c r="Q70" i="3"/>
  <c r="P70" i="3"/>
  <c r="N70" i="3"/>
  <c r="K70" i="3"/>
  <c r="G70" i="3"/>
  <c r="F70" i="3"/>
  <c r="E70" i="3"/>
  <c r="D70" i="3"/>
  <c r="Y69" i="3"/>
  <c r="X69" i="3"/>
  <c r="W69" i="3"/>
  <c r="U69" i="3"/>
  <c r="T69" i="3"/>
  <c r="S69" i="3"/>
  <c r="Q69" i="3"/>
  <c r="P69" i="3"/>
  <c r="N69" i="3"/>
  <c r="K69" i="3"/>
  <c r="G69" i="3"/>
  <c r="F69" i="3"/>
  <c r="E69" i="3"/>
  <c r="D69" i="3"/>
  <c r="Y68" i="3"/>
  <c r="X68" i="3"/>
  <c r="W68" i="3"/>
  <c r="U68" i="3"/>
  <c r="T68" i="3"/>
  <c r="S68" i="3"/>
  <c r="R68" i="3"/>
  <c r="Q68" i="3"/>
  <c r="P68" i="3"/>
  <c r="N68" i="3"/>
  <c r="K68" i="3"/>
  <c r="G68" i="3"/>
  <c r="F68" i="3"/>
  <c r="E68" i="3"/>
  <c r="D68" i="3"/>
  <c r="Y67" i="3"/>
  <c r="X67" i="3"/>
  <c r="W67" i="3"/>
  <c r="U67" i="3"/>
  <c r="T67" i="3"/>
  <c r="S67" i="3"/>
  <c r="R67" i="3"/>
  <c r="Q67" i="3"/>
  <c r="P67" i="3"/>
  <c r="N67" i="3"/>
  <c r="K67" i="3"/>
  <c r="G67" i="3"/>
  <c r="F67" i="3"/>
  <c r="L67" i="3" s="1"/>
  <c r="E67" i="3"/>
  <c r="D67" i="3"/>
  <c r="Y66" i="3"/>
  <c r="X66" i="3"/>
  <c r="W66" i="3"/>
  <c r="U66" i="3"/>
  <c r="T66" i="3"/>
  <c r="S66" i="3"/>
  <c r="R66" i="3"/>
  <c r="Q66" i="3"/>
  <c r="P66" i="3"/>
  <c r="N66" i="3"/>
  <c r="K66" i="3"/>
  <c r="G66" i="3"/>
  <c r="F66" i="3"/>
  <c r="E66" i="3"/>
  <c r="D66" i="3"/>
  <c r="Y65" i="3"/>
  <c r="X65" i="3"/>
  <c r="W65" i="3"/>
  <c r="U65" i="3"/>
  <c r="T65" i="3"/>
  <c r="S65" i="3"/>
  <c r="R65" i="3"/>
  <c r="Q65" i="3"/>
  <c r="P65" i="3"/>
  <c r="N65" i="3"/>
  <c r="K65" i="3"/>
  <c r="G65" i="3"/>
  <c r="F65" i="3"/>
  <c r="E65" i="3"/>
  <c r="D65" i="3"/>
  <c r="Y64" i="3"/>
  <c r="X64" i="3"/>
  <c r="W64" i="3"/>
  <c r="U64" i="3"/>
  <c r="T64" i="3"/>
  <c r="S64" i="3"/>
  <c r="R64" i="3"/>
  <c r="Q64" i="3"/>
  <c r="P64" i="3"/>
  <c r="N64" i="3"/>
  <c r="K64" i="3"/>
  <c r="G64" i="3"/>
  <c r="F64" i="3"/>
  <c r="E64" i="3"/>
  <c r="D64" i="3"/>
  <c r="Y94" i="9"/>
  <c r="X94" i="9"/>
  <c r="W94" i="9"/>
  <c r="U94" i="9"/>
  <c r="T94" i="9"/>
  <c r="S94" i="9"/>
  <c r="R94" i="9"/>
  <c r="Q94" i="9"/>
  <c r="P94" i="9"/>
  <c r="N94" i="9"/>
  <c r="K94" i="9"/>
  <c r="G94" i="9"/>
  <c r="F94" i="9"/>
  <c r="E94" i="9"/>
  <c r="D94" i="9"/>
  <c r="Y93" i="9"/>
  <c r="X93" i="9"/>
  <c r="W93" i="9"/>
  <c r="U93" i="9"/>
  <c r="T93" i="9"/>
  <c r="S93" i="9"/>
  <c r="R93" i="9"/>
  <c r="Q93" i="9"/>
  <c r="P93" i="9"/>
  <c r="N93" i="9"/>
  <c r="K93" i="9"/>
  <c r="G93" i="9"/>
  <c r="F93" i="9"/>
  <c r="E93" i="9"/>
  <c r="D93" i="9"/>
  <c r="Y92" i="9"/>
  <c r="X92" i="9"/>
  <c r="W92" i="9"/>
  <c r="U92" i="9"/>
  <c r="T92" i="9"/>
  <c r="S92" i="9"/>
  <c r="Q92" i="9"/>
  <c r="P92" i="9"/>
  <c r="N92" i="9"/>
  <c r="K92" i="9"/>
  <c r="G92" i="9"/>
  <c r="F92" i="9"/>
  <c r="E92" i="9"/>
  <c r="D92" i="9"/>
  <c r="Y91" i="9"/>
  <c r="X91" i="9"/>
  <c r="W91" i="9"/>
  <c r="U91" i="9"/>
  <c r="T91" i="9"/>
  <c r="S91" i="9"/>
  <c r="R91" i="9"/>
  <c r="Q91" i="9"/>
  <c r="P91" i="9"/>
  <c r="N91" i="9"/>
  <c r="K91" i="9"/>
  <c r="G91" i="9"/>
  <c r="F91" i="9"/>
  <c r="E91" i="9"/>
  <c r="D91" i="9"/>
  <c r="Y90" i="9"/>
  <c r="X90" i="9"/>
  <c r="W90" i="9"/>
  <c r="U90" i="9"/>
  <c r="T90" i="9"/>
  <c r="S90" i="9"/>
  <c r="R90" i="9"/>
  <c r="Q90" i="9"/>
  <c r="P90" i="9"/>
  <c r="N90" i="9"/>
  <c r="K90" i="9"/>
  <c r="G90" i="9"/>
  <c r="F90" i="9"/>
  <c r="E90" i="9"/>
  <c r="D90" i="9"/>
  <c r="Y89" i="9"/>
  <c r="X89" i="9"/>
  <c r="W89" i="9"/>
  <c r="U89" i="9"/>
  <c r="T89" i="9"/>
  <c r="S89" i="9"/>
  <c r="R89" i="9"/>
  <c r="Q89" i="9"/>
  <c r="P89" i="9"/>
  <c r="N89" i="9"/>
  <c r="K89" i="9"/>
  <c r="G89" i="9"/>
  <c r="F89" i="9"/>
  <c r="E89" i="9"/>
  <c r="D89" i="9"/>
  <c r="Y88" i="9"/>
  <c r="X88" i="9"/>
  <c r="W88" i="9"/>
  <c r="U88" i="9"/>
  <c r="T88" i="9"/>
  <c r="S88" i="9"/>
  <c r="Q88" i="9"/>
  <c r="P88" i="9"/>
  <c r="N88" i="9"/>
  <c r="K88" i="9"/>
  <c r="G88" i="9"/>
  <c r="F88" i="9"/>
  <c r="E88" i="9"/>
  <c r="D88" i="9"/>
  <c r="Y87" i="9"/>
  <c r="X87" i="9"/>
  <c r="W87" i="9"/>
  <c r="U87" i="9"/>
  <c r="T87" i="9"/>
  <c r="S87" i="9"/>
  <c r="R87" i="9"/>
  <c r="Q87" i="9"/>
  <c r="P87" i="9"/>
  <c r="N87" i="9"/>
  <c r="K87" i="9"/>
  <c r="G87" i="9"/>
  <c r="F87" i="9"/>
  <c r="E87" i="9"/>
  <c r="D87" i="9"/>
  <c r="Y86" i="9"/>
  <c r="X86" i="9"/>
  <c r="W86" i="9"/>
  <c r="U86" i="9"/>
  <c r="T86" i="9"/>
  <c r="S86" i="9"/>
  <c r="R86" i="9"/>
  <c r="Q86" i="9"/>
  <c r="P86" i="9"/>
  <c r="N86" i="9"/>
  <c r="K86" i="9"/>
  <c r="G86" i="9"/>
  <c r="F86" i="9"/>
  <c r="E86" i="9"/>
  <c r="D86" i="9"/>
  <c r="Y85" i="9"/>
  <c r="X85" i="9"/>
  <c r="W85" i="9"/>
  <c r="U85" i="9"/>
  <c r="T85" i="9"/>
  <c r="S85" i="9"/>
  <c r="R85" i="9"/>
  <c r="Q85" i="9"/>
  <c r="P85" i="9"/>
  <c r="N85" i="9"/>
  <c r="K85" i="9"/>
  <c r="G85" i="9"/>
  <c r="F85" i="9"/>
  <c r="E85" i="9"/>
  <c r="D85" i="9"/>
  <c r="Y84" i="9"/>
  <c r="X84" i="9"/>
  <c r="W84" i="9"/>
  <c r="U84" i="9"/>
  <c r="T84" i="9"/>
  <c r="S84" i="9"/>
  <c r="Q84" i="9"/>
  <c r="P84" i="9"/>
  <c r="N84" i="9"/>
  <c r="K84" i="9"/>
  <c r="G84" i="9"/>
  <c r="F84" i="9"/>
  <c r="E84" i="9"/>
  <c r="D84" i="9"/>
  <c r="Y83" i="9"/>
  <c r="X83" i="9"/>
  <c r="W83" i="9"/>
  <c r="U83" i="9"/>
  <c r="T83" i="9"/>
  <c r="S83" i="9"/>
  <c r="R83" i="9"/>
  <c r="Q83" i="9"/>
  <c r="P83" i="9"/>
  <c r="N83" i="9"/>
  <c r="K83" i="9"/>
  <c r="G83" i="9"/>
  <c r="F83" i="9"/>
  <c r="E83" i="9"/>
  <c r="D83" i="9"/>
  <c r="Y82" i="9"/>
  <c r="X82" i="9"/>
  <c r="W82" i="9"/>
  <c r="U82" i="9"/>
  <c r="T82" i="9"/>
  <c r="S82" i="9"/>
  <c r="R82" i="9"/>
  <c r="Q82" i="9"/>
  <c r="P82" i="9"/>
  <c r="N82" i="9"/>
  <c r="K82" i="9"/>
  <c r="G82" i="9"/>
  <c r="F82" i="9"/>
  <c r="E82" i="9"/>
  <c r="D82" i="9"/>
  <c r="Y81" i="9"/>
  <c r="X81" i="9"/>
  <c r="W81" i="9"/>
  <c r="U81" i="9"/>
  <c r="T81" i="9"/>
  <c r="S81" i="9"/>
  <c r="R81" i="9"/>
  <c r="Q81" i="9"/>
  <c r="P81" i="9"/>
  <c r="N81" i="9"/>
  <c r="K81" i="9"/>
  <c r="G81" i="9"/>
  <c r="F81" i="9"/>
  <c r="E81" i="9"/>
  <c r="D81" i="9"/>
  <c r="Y80" i="9"/>
  <c r="X80" i="9"/>
  <c r="W80" i="9"/>
  <c r="U80" i="9"/>
  <c r="T80" i="9"/>
  <c r="S80" i="9"/>
  <c r="Q80" i="9"/>
  <c r="P80" i="9"/>
  <c r="N80" i="9"/>
  <c r="K80" i="9"/>
  <c r="G80" i="9"/>
  <c r="F80" i="9"/>
  <c r="E80" i="9"/>
  <c r="D80" i="9"/>
  <c r="Y79" i="9"/>
  <c r="X79" i="9"/>
  <c r="W79" i="9"/>
  <c r="U79" i="9"/>
  <c r="T79" i="9"/>
  <c r="S79" i="9"/>
  <c r="R79" i="9"/>
  <c r="Q79" i="9"/>
  <c r="P79" i="9"/>
  <c r="N79" i="9"/>
  <c r="K79" i="9"/>
  <c r="G79" i="9"/>
  <c r="F79" i="9"/>
  <c r="E79" i="9"/>
  <c r="D79" i="9"/>
  <c r="Y78" i="9"/>
  <c r="X78" i="9"/>
  <c r="W78" i="9"/>
  <c r="U78" i="9"/>
  <c r="T78" i="9"/>
  <c r="S78" i="9"/>
  <c r="R78" i="9"/>
  <c r="Q78" i="9"/>
  <c r="P78" i="9"/>
  <c r="N78" i="9"/>
  <c r="K78" i="9"/>
  <c r="G78" i="9"/>
  <c r="F78" i="9"/>
  <c r="E78" i="9"/>
  <c r="D78" i="9"/>
  <c r="Y77" i="9"/>
  <c r="X77" i="9"/>
  <c r="W77" i="9"/>
  <c r="U77" i="9"/>
  <c r="T77" i="9"/>
  <c r="S77" i="9"/>
  <c r="R77" i="9"/>
  <c r="Q77" i="9"/>
  <c r="P77" i="9"/>
  <c r="N77" i="9"/>
  <c r="K77" i="9"/>
  <c r="G77" i="9"/>
  <c r="F77" i="9"/>
  <c r="E77" i="9"/>
  <c r="D77" i="9"/>
  <c r="Y76" i="9"/>
  <c r="X76" i="9"/>
  <c r="W76" i="9"/>
  <c r="U76" i="9"/>
  <c r="T76" i="9"/>
  <c r="S76" i="9"/>
  <c r="R76" i="9"/>
  <c r="Q76" i="9"/>
  <c r="P76" i="9"/>
  <c r="N76" i="9"/>
  <c r="K76" i="9"/>
  <c r="G76" i="9"/>
  <c r="F76" i="9"/>
  <c r="E76" i="9"/>
  <c r="D76" i="9"/>
  <c r="Y75" i="9"/>
  <c r="X75" i="9"/>
  <c r="W75" i="9"/>
  <c r="U75" i="9"/>
  <c r="T75" i="9"/>
  <c r="S75" i="9"/>
  <c r="R75" i="9"/>
  <c r="Q75" i="9"/>
  <c r="P75" i="9"/>
  <c r="N75" i="9"/>
  <c r="K75" i="9"/>
  <c r="G75" i="9"/>
  <c r="F75" i="9"/>
  <c r="E75" i="9"/>
  <c r="D75" i="9"/>
  <c r="Y74" i="9"/>
  <c r="X74" i="9"/>
  <c r="W74" i="9"/>
  <c r="U74" i="9"/>
  <c r="T74" i="9"/>
  <c r="S74" i="9"/>
  <c r="R74" i="9"/>
  <c r="Q74" i="9"/>
  <c r="P74" i="9"/>
  <c r="N74" i="9"/>
  <c r="K74" i="9"/>
  <c r="G74" i="9"/>
  <c r="F74" i="9"/>
  <c r="E74" i="9"/>
  <c r="D74" i="9"/>
  <c r="Y73" i="9"/>
  <c r="X73" i="9"/>
  <c r="W73" i="9"/>
  <c r="U73" i="9"/>
  <c r="T73" i="9"/>
  <c r="S73" i="9"/>
  <c r="R73" i="9"/>
  <c r="Q73" i="9"/>
  <c r="P73" i="9"/>
  <c r="N73" i="9"/>
  <c r="K73" i="9"/>
  <c r="G73" i="9"/>
  <c r="F73" i="9"/>
  <c r="E73" i="9"/>
  <c r="D73" i="9"/>
  <c r="Y72" i="9"/>
  <c r="X72" i="9"/>
  <c r="W72" i="9"/>
  <c r="U72" i="9"/>
  <c r="T72" i="9"/>
  <c r="S72" i="9"/>
  <c r="Q72" i="9"/>
  <c r="P72" i="9"/>
  <c r="N72" i="9"/>
  <c r="K72" i="9"/>
  <c r="G72" i="9"/>
  <c r="F72" i="9"/>
  <c r="E72" i="9"/>
  <c r="D72" i="9"/>
  <c r="Y71" i="9"/>
  <c r="X71" i="9"/>
  <c r="W71" i="9"/>
  <c r="U71" i="9"/>
  <c r="T71" i="9"/>
  <c r="S71" i="9"/>
  <c r="R71" i="9"/>
  <c r="Q71" i="9"/>
  <c r="P71" i="9"/>
  <c r="N71" i="9"/>
  <c r="K71" i="9"/>
  <c r="G71" i="9"/>
  <c r="F71" i="9"/>
  <c r="E71" i="9"/>
  <c r="D71" i="9"/>
  <c r="Y70" i="9"/>
  <c r="X70" i="9"/>
  <c r="W70" i="9"/>
  <c r="U70" i="9"/>
  <c r="T70" i="9"/>
  <c r="S70" i="9"/>
  <c r="R70" i="9"/>
  <c r="Q70" i="9"/>
  <c r="P70" i="9"/>
  <c r="N70" i="9"/>
  <c r="K70" i="9"/>
  <c r="G70" i="9"/>
  <c r="F70" i="9"/>
  <c r="E70" i="9"/>
  <c r="D70" i="9"/>
  <c r="Y69" i="9"/>
  <c r="X69" i="9"/>
  <c r="W69" i="9"/>
  <c r="U69" i="9"/>
  <c r="T69" i="9"/>
  <c r="S69" i="9"/>
  <c r="R69" i="9"/>
  <c r="Q69" i="9"/>
  <c r="P69" i="9"/>
  <c r="N69" i="9"/>
  <c r="K69" i="9"/>
  <c r="G69" i="9"/>
  <c r="F69" i="9"/>
  <c r="E69" i="9"/>
  <c r="D69" i="9"/>
  <c r="Y68" i="9"/>
  <c r="X68" i="9"/>
  <c r="W68" i="9"/>
  <c r="U68" i="9"/>
  <c r="T68" i="9"/>
  <c r="S68" i="9"/>
  <c r="R68" i="9"/>
  <c r="Q68" i="9"/>
  <c r="P68" i="9"/>
  <c r="N68" i="9"/>
  <c r="K68" i="9"/>
  <c r="G68" i="9"/>
  <c r="F68" i="9"/>
  <c r="E68" i="9"/>
  <c r="D68" i="9"/>
  <c r="Y67" i="9"/>
  <c r="X67" i="9"/>
  <c r="W67" i="9"/>
  <c r="U67" i="9"/>
  <c r="T67" i="9"/>
  <c r="S67" i="9"/>
  <c r="R67" i="9"/>
  <c r="Q67" i="9"/>
  <c r="P67" i="9"/>
  <c r="N67" i="9"/>
  <c r="K67" i="9"/>
  <c r="G67" i="9"/>
  <c r="F67" i="9"/>
  <c r="E67" i="9"/>
  <c r="D67" i="9"/>
  <c r="Y66" i="9"/>
  <c r="X66" i="9"/>
  <c r="W66" i="9"/>
  <c r="U66" i="9"/>
  <c r="T66" i="9"/>
  <c r="S66" i="9"/>
  <c r="R66" i="9"/>
  <c r="Q66" i="9"/>
  <c r="P66" i="9"/>
  <c r="N66" i="9"/>
  <c r="K66" i="9"/>
  <c r="G66" i="9"/>
  <c r="F66" i="9"/>
  <c r="E66" i="9"/>
  <c r="D66" i="9"/>
  <c r="Y65" i="9"/>
  <c r="X65" i="9"/>
  <c r="W65" i="9"/>
  <c r="U65" i="9"/>
  <c r="T65" i="9"/>
  <c r="S65" i="9"/>
  <c r="R65" i="9"/>
  <c r="Q65" i="9"/>
  <c r="P65" i="9"/>
  <c r="N65" i="9"/>
  <c r="K65" i="9"/>
  <c r="G65" i="9"/>
  <c r="F65" i="9"/>
  <c r="E65" i="9"/>
  <c r="D65" i="9"/>
  <c r="Y64" i="9"/>
  <c r="X64" i="9"/>
  <c r="W64" i="9"/>
  <c r="U64" i="9"/>
  <c r="T64" i="9"/>
  <c r="S64" i="9"/>
  <c r="Q64" i="9"/>
  <c r="P64" i="9"/>
  <c r="N64" i="9"/>
  <c r="K64" i="9"/>
  <c r="G64" i="9"/>
  <c r="F64" i="9"/>
  <c r="E64" i="9"/>
  <c r="D64" i="9"/>
  <c r="Y94" i="10"/>
  <c r="X94" i="10"/>
  <c r="W94" i="10"/>
  <c r="U94" i="10"/>
  <c r="T94" i="10"/>
  <c r="S94" i="10"/>
  <c r="R94" i="10"/>
  <c r="Q94" i="10"/>
  <c r="P94" i="10"/>
  <c r="O94" i="10"/>
  <c r="N94" i="10"/>
  <c r="K94" i="10"/>
  <c r="G94" i="10"/>
  <c r="F94" i="10"/>
  <c r="E94" i="10"/>
  <c r="D94" i="10"/>
  <c r="Y93" i="10"/>
  <c r="X93" i="10"/>
  <c r="W93" i="10"/>
  <c r="U93" i="10"/>
  <c r="T93" i="10"/>
  <c r="S93" i="10"/>
  <c r="R93" i="10"/>
  <c r="Q93" i="10"/>
  <c r="P93" i="10"/>
  <c r="N93" i="10"/>
  <c r="K93" i="10"/>
  <c r="G93" i="10"/>
  <c r="F93" i="10"/>
  <c r="E93" i="10"/>
  <c r="D93" i="10"/>
  <c r="Y92" i="10"/>
  <c r="X92" i="10"/>
  <c r="W92" i="10"/>
  <c r="U92" i="10"/>
  <c r="T92" i="10"/>
  <c r="S92" i="10"/>
  <c r="R92" i="10"/>
  <c r="Q92" i="10"/>
  <c r="P92" i="10"/>
  <c r="N92" i="10"/>
  <c r="K92" i="10"/>
  <c r="G92" i="10"/>
  <c r="F92" i="10"/>
  <c r="E92" i="10"/>
  <c r="D92" i="10"/>
  <c r="Y91" i="10"/>
  <c r="X91" i="10"/>
  <c r="W91" i="10"/>
  <c r="U91" i="10"/>
  <c r="T91" i="10"/>
  <c r="S91" i="10"/>
  <c r="R91" i="10"/>
  <c r="Q91" i="10"/>
  <c r="P91" i="10"/>
  <c r="N91" i="10"/>
  <c r="K91" i="10"/>
  <c r="G91" i="10"/>
  <c r="F91" i="10"/>
  <c r="E91" i="10"/>
  <c r="D91" i="10"/>
  <c r="Y90" i="10"/>
  <c r="X90" i="10"/>
  <c r="W90" i="10"/>
  <c r="U90" i="10"/>
  <c r="T90" i="10"/>
  <c r="S90" i="10"/>
  <c r="R90" i="10"/>
  <c r="Q90" i="10"/>
  <c r="P90" i="10"/>
  <c r="N90" i="10"/>
  <c r="K90" i="10"/>
  <c r="G90" i="10"/>
  <c r="F90" i="10"/>
  <c r="E90" i="10"/>
  <c r="D90" i="10"/>
  <c r="Y89" i="10"/>
  <c r="X89" i="10"/>
  <c r="W89" i="10"/>
  <c r="U89" i="10"/>
  <c r="T89" i="10"/>
  <c r="S89" i="10"/>
  <c r="R89" i="10"/>
  <c r="Q89" i="10"/>
  <c r="P89" i="10"/>
  <c r="N89" i="10"/>
  <c r="K89" i="10"/>
  <c r="G89" i="10"/>
  <c r="F89" i="10"/>
  <c r="E89" i="10"/>
  <c r="D89" i="10"/>
  <c r="Y88" i="10"/>
  <c r="X88" i="10"/>
  <c r="W88" i="10"/>
  <c r="U88" i="10"/>
  <c r="T88" i="10"/>
  <c r="S88" i="10"/>
  <c r="R88" i="10"/>
  <c r="Q88" i="10"/>
  <c r="P88" i="10"/>
  <c r="N88" i="10"/>
  <c r="K88" i="10"/>
  <c r="G88" i="10"/>
  <c r="F88" i="10"/>
  <c r="E88" i="10"/>
  <c r="D88" i="10"/>
  <c r="Y87" i="10"/>
  <c r="X87" i="10"/>
  <c r="W87" i="10"/>
  <c r="U87" i="10"/>
  <c r="T87" i="10"/>
  <c r="S87" i="10"/>
  <c r="R87" i="10"/>
  <c r="Q87" i="10"/>
  <c r="P87" i="10"/>
  <c r="N87" i="10"/>
  <c r="K87" i="10"/>
  <c r="G87" i="10"/>
  <c r="F87" i="10"/>
  <c r="E87" i="10"/>
  <c r="D87" i="10"/>
  <c r="Y86" i="10"/>
  <c r="X86" i="10"/>
  <c r="W86" i="10"/>
  <c r="U86" i="10"/>
  <c r="T86" i="10"/>
  <c r="S86" i="10"/>
  <c r="R86" i="10"/>
  <c r="Q86" i="10"/>
  <c r="P86" i="10"/>
  <c r="N86" i="10"/>
  <c r="K86" i="10"/>
  <c r="G86" i="10"/>
  <c r="F86" i="10"/>
  <c r="E86" i="10"/>
  <c r="D86" i="10"/>
  <c r="Y85" i="10"/>
  <c r="X85" i="10"/>
  <c r="W85" i="10"/>
  <c r="U85" i="10"/>
  <c r="T85" i="10"/>
  <c r="S85" i="10"/>
  <c r="R85" i="10"/>
  <c r="Q85" i="10"/>
  <c r="P85" i="10"/>
  <c r="N85" i="10"/>
  <c r="K85" i="10"/>
  <c r="G85" i="10"/>
  <c r="F85" i="10"/>
  <c r="E85" i="10"/>
  <c r="D85" i="10"/>
  <c r="Y84" i="10"/>
  <c r="X84" i="10"/>
  <c r="W84" i="10"/>
  <c r="U84" i="10"/>
  <c r="T84" i="10"/>
  <c r="S84" i="10"/>
  <c r="R84" i="10"/>
  <c r="Q84" i="10"/>
  <c r="P84" i="10"/>
  <c r="N84" i="10"/>
  <c r="K84" i="10"/>
  <c r="G84" i="10"/>
  <c r="F84" i="10"/>
  <c r="E84" i="10"/>
  <c r="D84" i="10"/>
  <c r="Y83" i="10"/>
  <c r="X83" i="10"/>
  <c r="W83" i="10"/>
  <c r="U83" i="10"/>
  <c r="T83" i="10"/>
  <c r="S83" i="10"/>
  <c r="R83" i="10"/>
  <c r="Q83" i="10"/>
  <c r="P83" i="10"/>
  <c r="N83" i="10"/>
  <c r="K83" i="10"/>
  <c r="G83" i="10"/>
  <c r="F83" i="10"/>
  <c r="E83" i="10"/>
  <c r="D83" i="10"/>
  <c r="Y82" i="10"/>
  <c r="X82" i="10"/>
  <c r="W82" i="10"/>
  <c r="U82" i="10"/>
  <c r="T82" i="10"/>
  <c r="S82" i="10"/>
  <c r="R82" i="10"/>
  <c r="Q82" i="10"/>
  <c r="P82" i="10"/>
  <c r="N82" i="10"/>
  <c r="K82" i="10"/>
  <c r="G82" i="10"/>
  <c r="F82" i="10"/>
  <c r="E82" i="10"/>
  <c r="D82" i="10"/>
  <c r="Y81" i="10"/>
  <c r="X81" i="10"/>
  <c r="W81" i="10"/>
  <c r="U81" i="10"/>
  <c r="T81" i="10"/>
  <c r="S81" i="10"/>
  <c r="R81" i="10"/>
  <c r="Q81" i="10"/>
  <c r="P81" i="10"/>
  <c r="N81" i="10"/>
  <c r="K81" i="10"/>
  <c r="G81" i="10"/>
  <c r="F81" i="10"/>
  <c r="E81" i="10"/>
  <c r="D81" i="10"/>
  <c r="Y80" i="10"/>
  <c r="X80" i="10"/>
  <c r="W80" i="10"/>
  <c r="U80" i="10"/>
  <c r="T80" i="10"/>
  <c r="S80" i="10"/>
  <c r="R80" i="10"/>
  <c r="Q80" i="10"/>
  <c r="P80" i="10"/>
  <c r="N80" i="10"/>
  <c r="K80" i="10"/>
  <c r="G80" i="10"/>
  <c r="F80" i="10"/>
  <c r="E80" i="10"/>
  <c r="D80" i="10"/>
  <c r="Y79" i="10"/>
  <c r="X79" i="10"/>
  <c r="W79" i="10"/>
  <c r="U79" i="10"/>
  <c r="T79" i="10"/>
  <c r="S79" i="10"/>
  <c r="R79" i="10"/>
  <c r="Q79" i="10"/>
  <c r="P79" i="10"/>
  <c r="N79" i="10"/>
  <c r="K79" i="10"/>
  <c r="G79" i="10"/>
  <c r="F79" i="10"/>
  <c r="E79" i="10"/>
  <c r="D79" i="10"/>
  <c r="Y78" i="10"/>
  <c r="X78" i="10"/>
  <c r="W78" i="10"/>
  <c r="U78" i="10"/>
  <c r="T78" i="10"/>
  <c r="S78" i="10"/>
  <c r="R78" i="10"/>
  <c r="Q78" i="10"/>
  <c r="P78" i="10"/>
  <c r="N78" i="10"/>
  <c r="K78" i="10"/>
  <c r="G78" i="10"/>
  <c r="F78" i="10"/>
  <c r="E78" i="10"/>
  <c r="D78" i="10"/>
  <c r="Y77" i="10"/>
  <c r="X77" i="10"/>
  <c r="W77" i="10"/>
  <c r="U77" i="10"/>
  <c r="T77" i="10"/>
  <c r="S77" i="10"/>
  <c r="R77" i="10"/>
  <c r="Q77" i="10"/>
  <c r="P77" i="10"/>
  <c r="N77" i="10"/>
  <c r="K77" i="10"/>
  <c r="G77" i="10"/>
  <c r="F77" i="10"/>
  <c r="E77" i="10"/>
  <c r="D77" i="10"/>
  <c r="Y76" i="10"/>
  <c r="X76" i="10"/>
  <c r="W76" i="10"/>
  <c r="U76" i="10"/>
  <c r="T76" i="10"/>
  <c r="S76" i="10"/>
  <c r="R76" i="10"/>
  <c r="Q76" i="10"/>
  <c r="P76" i="10"/>
  <c r="N76" i="10"/>
  <c r="K76" i="10"/>
  <c r="G76" i="10"/>
  <c r="F76" i="10"/>
  <c r="E76" i="10"/>
  <c r="D76" i="10"/>
  <c r="Y75" i="10"/>
  <c r="X75" i="10"/>
  <c r="W75" i="10"/>
  <c r="U75" i="10"/>
  <c r="T75" i="10"/>
  <c r="S75" i="10"/>
  <c r="R75" i="10"/>
  <c r="Q75" i="10"/>
  <c r="P75" i="10"/>
  <c r="N75" i="10"/>
  <c r="K75" i="10"/>
  <c r="G75" i="10"/>
  <c r="F75" i="10"/>
  <c r="E75" i="10"/>
  <c r="D75" i="10"/>
  <c r="Y74" i="10"/>
  <c r="X74" i="10"/>
  <c r="W74" i="10"/>
  <c r="U74" i="10"/>
  <c r="T74" i="10"/>
  <c r="S74" i="10"/>
  <c r="R74" i="10"/>
  <c r="Q74" i="10"/>
  <c r="P74" i="10"/>
  <c r="N74" i="10"/>
  <c r="K74" i="10"/>
  <c r="G74" i="10"/>
  <c r="F74" i="10"/>
  <c r="E74" i="10"/>
  <c r="D74" i="10"/>
  <c r="Y73" i="10"/>
  <c r="X73" i="10"/>
  <c r="W73" i="10"/>
  <c r="U73" i="10"/>
  <c r="T73" i="10"/>
  <c r="S73" i="10"/>
  <c r="R73" i="10"/>
  <c r="Q73" i="10"/>
  <c r="P73" i="10"/>
  <c r="N73" i="10"/>
  <c r="K73" i="10"/>
  <c r="G73" i="10"/>
  <c r="F73" i="10"/>
  <c r="E73" i="10"/>
  <c r="D73" i="10"/>
  <c r="Y72" i="10"/>
  <c r="X72" i="10"/>
  <c r="W72" i="10"/>
  <c r="U72" i="10"/>
  <c r="T72" i="10"/>
  <c r="S72" i="10"/>
  <c r="R72" i="10"/>
  <c r="Q72" i="10"/>
  <c r="P72" i="10"/>
  <c r="N72" i="10"/>
  <c r="K72" i="10"/>
  <c r="G72" i="10"/>
  <c r="F72" i="10"/>
  <c r="E72" i="10"/>
  <c r="D72" i="10"/>
  <c r="Y71" i="10"/>
  <c r="X71" i="10"/>
  <c r="W71" i="10"/>
  <c r="U71" i="10"/>
  <c r="T71" i="10"/>
  <c r="S71" i="10"/>
  <c r="R71" i="10"/>
  <c r="Q71" i="10"/>
  <c r="P71" i="10"/>
  <c r="N71" i="10"/>
  <c r="K71" i="10"/>
  <c r="G71" i="10"/>
  <c r="F71" i="10"/>
  <c r="E71" i="10"/>
  <c r="D71" i="10"/>
  <c r="Y70" i="10"/>
  <c r="X70" i="10"/>
  <c r="W70" i="10"/>
  <c r="U70" i="10"/>
  <c r="T70" i="10"/>
  <c r="S70" i="10"/>
  <c r="R70" i="10"/>
  <c r="Q70" i="10"/>
  <c r="P70" i="10"/>
  <c r="N70" i="10"/>
  <c r="K70" i="10"/>
  <c r="G70" i="10"/>
  <c r="F70" i="10"/>
  <c r="E70" i="10"/>
  <c r="D70" i="10"/>
  <c r="Y69" i="10"/>
  <c r="X69" i="10"/>
  <c r="W69" i="10"/>
  <c r="U69" i="10"/>
  <c r="T69" i="10"/>
  <c r="S69" i="10"/>
  <c r="R69" i="10"/>
  <c r="Q69" i="10"/>
  <c r="P69" i="10"/>
  <c r="N69" i="10"/>
  <c r="N45" i="10" s="1"/>
  <c r="M45" i="8" s="1"/>
  <c r="K69" i="10"/>
  <c r="G69" i="10"/>
  <c r="F69" i="10"/>
  <c r="E69" i="10"/>
  <c r="D69" i="10"/>
  <c r="Y68" i="10"/>
  <c r="X68" i="10"/>
  <c r="W68" i="10"/>
  <c r="U68" i="10"/>
  <c r="T68" i="10"/>
  <c r="S68" i="10"/>
  <c r="R68" i="10"/>
  <c r="Q68" i="10"/>
  <c r="P68" i="10"/>
  <c r="N68" i="10"/>
  <c r="K68" i="10"/>
  <c r="G68" i="10"/>
  <c r="F68" i="10"/>
  <c r="E68" i="10"/>
  <c r="D68" i="10"/>
  <c r="Y67" i="10"/>
  <c r="X67" i="10"/>
  <c r="W67" i="10"/>
  <c r="U67" i="10"/>
  <c r="T67" i="10"/>
  <c r="S67" i="10"/>
  <c r="R67" i="10"/>
  <c r="Q67" i="10"/>
  <c r="P67" i="10"/>
  <c r="N67" i="10"/>
  <c r="K67" i="10"/>
  <c r="G67" i="10"/>
  <c r="F67" i="10"/>
  <c r="E67" i="10"/>
  <c r="D67" i="10"/>
  <c r="Y66" i="10"/>
  <c r="X66" i="10"/>
  <c r="W66" i="10"/>
  <c r="U66" i="10"/>
  <c r="T66" i="10"/>
  <c r="S66" i="10"/>
  <c r="R66" i="10"/>
  <c r="Q66" i="10"/>
  <c r="P66" i="10"/>
  <c r="N66" i="10"/>
  <c r="K66" i="10"/>
  <c r="G66" i="10"/>
  <c r="F66" i="10"/>
  <c r="E66" i="10"/>
  <c r="D66" i="10"/>
  <c r="Y65" i="10"/>
  <c r="X65" i="10"/>
  <c r="W65" i="10"/>
  <c r="U65" i="10"/>
  <c r="T65" i="10"/>
  <c r="S65" i="10"/>
  <c r="R65" i="10"/>
  <c r="Q65" i="10"/>
  <c r="P65" i="10"/>
  <c r="N65" i="10"/>
  <c r="K65" i="10"/>
  <c r="G65" i="10"/>
  <c r="F65" i="10"/>
  <c r="E65" i="10"/>
  <c r="D65" i="10"/>
  <c r="Y64" i="10"/>
  <c r="X64" i="10"/>
  <c r="W64" i="10"/>
  <c r="U64" i="10"/>
  <c r="T64" i="10"/>
  <c r="S64" i="10"/>
  <c r="R64" i="10"/>
  <c r="Q64" i="10"/>
  <c r="P64" i="10"/>
  <c r="N64" i="10"/>
  <c r="K64" i="10"/>
  <c r="G64" i="10"/>
  <c r="F64" i="10"/>
  <c r="E64" i="10"/>
  <c r="D64" i="10"/>
  <c r="Y94" i="11"/>
  <c r="X94" i="11"/>
  <c r="W94" i="11"/>
  <c r="U94" i="11"/>
  <c r="T94" i="11"/>
  <c r="S94" i="11"/>
  <c r="P94" i="11"/>
  <c r="Y93" i="11"/>
  <c r="X93" i="11"/>
  <c r="W93" i="11"/>
  <c r="U93" i="11"/>
  <c r="T93" i="11"/>
  <c r="S93" i="11"/>
  <c r="R93" i="11"/>
  <c r="Q93" i="11"/>
  <c r="P93" i="11"/>
  <c r="N93" i="11"/>
  <c r="K93" i="11"/>
  <c r="G93" i="11"/>
  <c r="F93" i="11"/>
  <c r="E93" i="11"/>
  <c r="D93" i="11"/>
  <c r="Y92" i="11"/>
  <c r="X92" i="11"/>
  <c r="W92" i="11"/>
  <c r="U92" i="11"/>
  <c r="T92" i="11"/>
  <c r="S92" i="11"/>
  <c r="R92" i="11"/>
  <c r="Q92" i="11"/>
  <c r="P92" i="11"/>
  <c r="N92" i="11"/>
  <c r="K92" i="11"/>
  <c r="G92" i="11"/>
  <c r="F92" i="11"/>
  <c r="E92" i="11"/>
  <c r="D92" i="11"/>
  <c r="Y91" i="11"/>
  <c r="X91" i="11"/>
  <c r="W91" i="11"/>
  <c r="U91" i="11"/>
  <c r="T91" i="11"/>
  <c r="S91" i="11"/>
  <c r="Q91" i="11"/>
  <c r="P91" i="11"/>
  <c r="N91" i="11"/>
  <c r="K91" i="11"/>
  <c r="G91" i="11"/>
  <c r="F91" i="11"/>
  <c r="E91" i="11"/>
  <c r="D91" i="11"/>
  <c r="Y90" i="11"/>
  <c r="X90" i="11"/>
  <c r="W90" i="11"/>
  <c r="U90" i="11"/>
  <c r="T90" i="11"/>
  <c r="S90" i="11"/>
  <c r="R90" i="11"/>
  <c r="Q90" i="11"/>
  <c r="P90" i="11"/>
  <c r="N90" i="11"/>
  <c r="K90" i="11"/>
  <c r="G90" i="11"/>
  <c r="F90" i="11"/>
  <c r="E90" i="11"/>
  <c r="D90" i="11"/>
  <c r="Y89" i="11"/>
  <c r="X89" i="11"/>
  <c r="W89" i="11"/>
  <c r="U89" i="11"/>
  <c r="T89" i="11"/>
  <c r="S89" i="11"/>
  <c r="R89" i="11"/>
  <c r="Q89" i="11"/>
  <c r="P89" i="11"/>
  <c r="N89" i="11"/>
  <c r="K89" i="11"/>
  <c r="G89" i="11"/>
  <c r="F89" i="11"/>
  <c r="E89" i="11"/>
  <c r="D89" i="11"/>
  <c r="Y88" i="11"/>
  <c r="X88" i="11"/>
  <c r="W88" i="11"/>
  <c r="U88" i="11"/>
  <c r="T88" i="11"/>
  <c r="S88" i="11"/>
  <c r="R88" i="11"/>
  <c r="Q88" i="11"/>
  <c r="P88" i="11"/>
  <c r="N88" i="11"/>
  <c r="K88" i="11"/>
  <c r="G88" i="11"/>
  <c r="F88" i="11"/>
  <c r="E88" i="11"/>
  <c r="D88" i="11"/>
  <c r="Y87" i="11"/>
  <c r="X87" i="11"/>
  <c r="W87" i="11"/>
  <c r="U87" i="11"/>
  <c r="T87" i="11"/>
  <c r="S87" i="11"/>
  <c r="R87" i="11"/>
  <c r="Q87" i="11"/>
  <c r="P87" i="11"/>
  <c r="N87" i="11"/>
  <c r="K87" i="11"/>
  <c r="G87" i="11"/>
  <c r="F87" i="11"/>
  <c r="E87" i="11"/>
  <c r="D87" i="11"/>
  <c r="Y86" i="11"/>
  <c r="X86" i="11"/>
  <c r="W86" i="11"/>
  <c r="U86" i="11"/>
  <c r="T86" i="11"/>
  <c r="S86" i="11"/>
  <c r="R86" i="11"/>
  <c r="Q86" i="11"/>
  <c r="P86" i="11"/>
  <c r="N86" i="11"/>
  <c r="K86" i="11"/>
  <c r="G86" i="11"/>
  <c r="F86" i="11"/>
  <c r="E86" i="11"/>
  <c r="D86" i="11"/>
  <c r="Y85" i="11"/>
  <c r="X85" i="11"/>
  <c r="W85" i="11"/>
  <c r="U85" i="11"/>
  <c r="T85" i="11"/>
  <c r="S85" i="11"/>
  <c r="R85" i="11"/>
  <c r="Q85" i="11"/>
  <c r="P85" i="11"/>
  <c r="N85" i="11"/>
  <c r="K85" i="11"/>
  <c r="G85" i="11"/>
  <c r="F85" i="11"/>
  <c r="E85" i="11"/>
  <c r="D85" i="11"/>
  <c r="Y84" i="11"/>
  <c r="X84" i="11"/>
  <c r="W84" i="11"/>
  <c r="U84" i="11"/>
  <c r="T84" i="11"/>
  <c r="S84" i="11"/>
  <c r="R84" i="11"/>
  <c r="Q84" i="11"/>
  <c r="P84" i="11"/>
  <c r="N84" i="11"/>
  <c r="K84" i="11"/>
  <c r="G84" i="11"/>
  <c r="F84" i="11"/>
  <c r="E84" i="11"/>
  <c r="D84" i="11"/>
  <c r="Y83" i="11"/>
  <c r="X83" i="11"/>
  <c r="W83" i="11"/>
  <c r="U83" i="11"/>
  <c r="T83" i="11"/>
  <c r="S83" i="11"/>
  <c r="Q83" i="11"/>
  <c r="P83" i="11"/>
  <c r="N83" i="11"/>
  <c r="K83" i="11"/>
  <c r="G83" i="11"/>
  <c r="F83" i="11"/>
  <c r="E83" i="11"/>
  <c r="D83" i="11"/>
  <c r="Y82" i="11"/>
  <c r="X82" i="11"/>
  <c r="W82" i="11"/>
  <c r="U82" i="11"/>
  <c r="T82" i="11"/>
  <c r="S82" i="11"/>
  <c r="R82" i="11"/>
  <c r="Q82" i="11"/>
  <c r="P82" i="11"/>
  <c r="N82" i="11"/>
  <c r="K82" i="11"/>
  <c r="G82" i="11"/>
  <c r="F82" i="11"/>
  <c r="E82" i="11"/>
  <c r="D82" i="11"/>
  <c r="Y81" i="11"/>
  <c r="X81" i="11"/>
  <c r="W81" i="11"/>
  <c r="U81" i="11"/>
  <c r="T81" i="11"/>
  <c r="S81" i="11"/>
  <c r="R81" i="11"/>
  <c r="Q81" i="11"/>
  <c r="P81" i="11"/>
  <c r="N81" i="11"/>
  <c r="K81" i="11"/>
  <c r="G81" i="11"/>
  <c r="F81" i="11"/>
  <c r="E81" i="11"/>
  <c r="D81" i="11"/>
  <c r="Y80" i="11"/>
  <c r="X80" i="11"/>
  <c r="W80" i="11"/>
  <c r="U80" i="11"/>
  <c r="T80" i="11"/>
  <c r="S80" i="11"/>
  <c r="R80" i="11"/>
  <c r="Q80" i="11"/>
  <c r="P80" i="11"/>
  <c r="N80" i="11"/>
  <c r="K80" i="11"/>
  <c r="G80" i="11"/>
  <c r="F80" i="11"/>
  <c r="E80" i="11"/>
  <c r="D80" i="11"/>
  <c r="Y79" i="11"/>
  <c r="X79" i="11"/>
  <c r="W79" i="11"/>
  <c r="U79" i="11"/>
  <c r="T79" i="11"/>
  <c r="S79" i="11"/>
  <c r="R79" i="11"/>
  <c r="Q79" i="11"/>
  <c r="P79" i="11"/>
  <c r="N79" i="11"/>
  <c r="K79" i="11"/>
  <c r="G79" i="11"/>
  <c r="F79" i="11"/>
  <c r="E79" i="11"/>
  <c r="D79" i="11"/>
  <c r="Y78" i="11"/>
  <c r="X78" i="11"/>
  <c r="W78" i="11"/>
  <c r="U78" i="11"/>
  <c r="T78" i="11"/>
  <c r="S78" i="11"/>
  <c r="R78" i="11"/>
  <c r="Q78" i="11"/>
  <c r="P78" i="11"/>
  <c r="N78" i="11"/>
  <c r="K78" i="11"/>
  <c r="G78" i="11"/>
  <c r="F78" i="11"/>
  <c r="E78" i="11"/>
  <c r="D78" i="11"/>
  <c r="Y77" i="11"/>
  <c r="X77" i="11"/>
  <c r="W77" i="11"/>
  <c r="U77" i="11"/>
  <c r="T77" i="11"/>
  <c r="S77" i="11"/>
  <c r="R77" i="11"/>
  <c r="Q77" i="11"/>
  <c r="P77" i="11"/>
  <c r="N77" i="11"/>
  <c r="K77" i="11"/>
  <c r="G77" i="11"/>
  <c r="F77" i="11"/>
  <c r="E77" i="11"/>
  <c r="D77" i="11"/>
  <c r="Y76" i="11"/>
  <c r="X76" i="11"/>
  <c r="W76" i="11"/>
  <c r="U76" i="11"/>
  <c r="T76" i="11"/>
  <c r="S76" i="11"/>
  <c r="R76" i="11"/>
  <c r="Q76" i="11"/>
  <c r="P76" i="11"/>
  <c r="N76" i="11"/>
  <c r="K76" i="11"/>
  <c r="G76" i="11"/>
  <c r="F76" i="11"/>
  <c r="E76" i="11"/>
  <c r="D76" i="11"/>
  <c r="Y75" i="11"/>
  <c r="X75" i="11"/>
  <c r="W75" i="11"/>
  <c r="U75" i="11"/>
  <c r="T75" i="11"/>
  <c r="S75" i="11"/>
  <c r="Q75" i="11"/>
  <c r="P75" i="11"/>
  <c r="N75" i="11"/>
  <c r="K75" i="11"/>
  <c r="G75" i="11"/>
  <c r="F75" i="11"/>
  <c r="E75" i="11"/>
  <c r="D75" i="11"/>
  <c r="Y74" i="11"/>
  <c r="X74" i="11"/>
  <c r="W74" i="11"/>
  <c r="U74" i="11"/>
  <c r="T74" i="11"/>
  <c r="S74" i="11"/>
  <c r="R74" i="11"/>
  <c r="Q74" i="11"/>
  <c r="P74" i="11"/>
  <c r="N74" i="11"/>
  <c r="K74" i="11"/>
  <c r="G74" i="11"/>
  <c r="F74" i="11"/>
  <c r="E74" i="11"/>
  <c r="D74" i="11"/>
  <c r="Y73" i="11"/>
  <c r="X73" i="11"/>
  <c r="W73" i="11"/>
  <c r="U73" i="11"/>
  <c r="T73" i="11"/>
  <c r="S73" i="11"/>
  <c r="R73" i="11"/>
  <c r="Q73" i="11"/>
  <c r="P73" i="11"/>
  <c r="N73" i="11"/>
  <c r="K73" i="11"/>
  <c r="G73" i="11"/>
  <c r="F73" i="11"/>
  <c r="E73" i="11"/>
  <c r="D73" i="11"/>
  <c r="Y72" i="11"/>
  <c r="X72" i="11"/>
  <c r="W72" i="11"/>
  <c r="U72" i="11"/>
  <c r="T72" i="11"/>
  <c r="S72" i="11"/>
  <c r="R72" i="11"/>
  <c r="Q72" i="11"/>
  <c r="P72" i="11"/>
  <c r="N72" i="11"/>
  <c r="K72" i="11"/>
  <c r="G72" i="11"/>
  <c r="F72" i="11"/>
  <c r="E72" i="11"/>
  <c r="D72" i="11"/>
  <c r="Y71" i="11"/>
  <c r="X71" i="11"/>
  <c r="W71" i="11"/>
  <c r="U71" i="11"/>
  <c r="T71" i="11"/>
  <c r="S71" i="11"/>
  <c r="R71" i="11"/>
  <c r="Q71" i="11"/>
  <c r="P71" i="11"/>
  <c r="N71" i="11"/>
  <c r="K71" i="11"/>
  <c r="G71" i="11"/>
  <c r="F71" i="11"/>
  <c r="E71" i="11"/>
  <c r="D71" i="11"/>
  <c r="Y70" i="11"/>
  <c r="X70" i="11"/>
  <c r="W70" i="11"/>
  <c r="U70" i="11"/>
  <c r="T70" i="11"/>
  <c r="S70" i="11"/>
  <c r="R70" i="11"/>
  <c r="Q70" i="11"/>
  <c r="P70" i="11"/>
  <c r="N70" i="11"/>
  <c r="K70" i="11"/>
  <c r="G70" i="11"/>
  <c r="F70" i="11"/>
  <c r="E70" i="11"/>
  <c r="D70" i="11"/>
  <c r="Y69" i="11"/>
  <c r="X69" i="11"/>
  <c r="W69" i="11"/>
  <c r="U69" i="11"/>
  <c r="T69" i="11"/>
  <c r="S69" i="11"/>
  <c r="R69" i="11"/>
  <c r="Q69" i="11"/>
  <c r="P69" i="11"/>
  <c r="N69" i="11"/>
  <c r="K69" i="11"/>
  <c r="G69" i="11"/>
  <c r="F69" i="11"/>
  <c r="E69" i="11"/>
  <c r="D69" i="11"/>
  <c r="Y68" i="11"/>
  <c r="X68" i="11"/>
  <c r="W68" i="11"/>
  <c r="U68" i="11"/>
  <c r="T68" i="11"/>
  <c r="S68" i="11"/>
  <c r="R68" i="11"/>
  <c r="Q68" i="11"/>
  <c r="P68" i="11"/>
  <c r="N68" i="11"/>
  <c r="K68" i="11"/>
  <c r="G68" i="11"/>
  <c r="F68" i="11"/>
  <c r="E68" i="11"/>
  <c r="D68" i="11"/>
  <c r="Y67" i="11"/>
  <c r="X67" i="11"/>
  <c r="W67" i="11"/>
  <c r="U67" i="11"/>
  <c r="T67" i="11"/>
  <c r="S67" i="11"/>
  <c r="Q67" i="11"/>
  <c r="P67" i="11"/>
  <c r="N67" i="11"/>
  <c r="K67" i="11"/>
  <c r="G67" i="11"/>
  <c r="F67" i="11"/>
  <c r="E67" i="11"/>
  <c r="D67" i="11"/>
  <c r="Y66" i="11"/>
  <c r="X66" i="11"/>
  <c r="W66" i="11"/>
  <c r="U66" i="11"/>
  <c r="T66" i="11"/>
  <c r="S66" i="11"/>
  <c r="R66" i="11"/>
  <c r="Q66" i="11"/>
  <c r="P66" i="11"/>
  <c r="N66" i="11"/>
  <c r="K66" i="11"/>
  <c r="G66" i="11"/>
  <c r="F66" i="11"/>
  <c r="E66" i="11"/>
  <c r="D66" i="11"/>
  <c r="Y65" i="11"/>
  <c r="X65" i="11"/>
  <c r="W65" i="11"/>
  <c r="U65" i="11"/>
  <c r="T65" i="11"/>
  <c r="S65" i="11"/>
  <c r="R65" i="11"/>
  <c r="Q65" i="11"/>
  <c r="P65" i="11"/>
  <c r="N65" i="11"/>
  <c r="K65" i="11"/>
  <c r="G65" i="11"/>
  <c r="F65" i="11"/>
  <c r="E65" i="11"/>
  <c r="D65" i="11"/>
  <c r="Y64" i="11"/>
  <c r="X64" i="11"/>
  <c r="W64" i="11"/>
  <c r="U64" i="11"/>
  <c r="T64" i="11"/>
  <c r="S64" i="11"/>
  <c r="R64" i="11"/>
  <c r="Q64" i="11"/>
  <c r="P64" i="11"/>
  <c r="N64" i="11"/>
  <c r="K64" i="11"/>
  <c r="G64" i="11"/>
  <c r="F64" i="11"/>
  <c r="E64" i="11"/>
  <c r="D64" i="11"/>
  <c r="Y94" i="12"/>
  <c r="X94" i="12"/>
  <c r="W94" i="12"/>
  <c r="U94" i="12"/>
  <c r="T94" i="12"/>
  <c r="S94" i="12"/>
  <c r="R94" i="12"/>
  <c r="Q94" i="12"/>
  <c r="P94" i="12"/>
  <c r="O94" i="12"/>
  <c r="N94" i="12"/>
  <c r="K94" i="12"/>
  <c r="G94" i="12"/>
  <c r="F94" i="12"/>
  <c r="E94" i="12"/>
  <c r="D94" i="12"/>
  <c r="Y93" i="12"/>
  <c r="X93" i="12"/>
  <c r="W93" i="12"/>
  <c r="U93" i="12"/>
  <c r="T93" i="12"/>
  <c r="S93" i="12"/>
  <c r="R93" i="12"/>
  <c r="Q93" i="12"/>
  <c r="P93" i="12"/>
  <c r="N93" i="12"/>
  <c r="K93" i="12"/>
  <c r="G93" i="12"/>
  <c r="F93" i="12"/>
  <c r="E93" i="12"/>
  <c r="D93" i="12"/>
  <c r="Y92" i="12"/>
  <c r="X92" i="12"/>
  <c r="W92" i="12"/>
  <c r="U92" i="12"/>
  <c r="T92" i="12"/>
  <c r="S92" i="12"/>
  <c r="Q92" i="12"/>
  <c r="P92" i="12"/>
  <c r="N92" i="12"/>
  <c r="K92" i="12"/>
  <c r="G92" i="12"/>
  <c r="F92" i="12"/>
  <c r="E92" i="12"/>
  <c r="D92" i="12"/>
  <c r="Y91" i="12"/>
  <c r="X91" i="12"/>
  <c r="W91" i="12"/>
  <c r="U91" i="12"/>
  <c r="T91" i="12"/>
  <c r="S91" i="12"/>
  <c r="R91" i="12"/>
  <c r="Q91" i="12"/>
  <c r="P91" i="12"/>
  <c r="N91" i="12"/>
  <c r="K91" i="12"/>
  <c r="G91" i="12"/>
  <c r="F91" i="12"/>
  <c r="E91" i="12"/>
  <c r="D91" i="12"/>
  <c r="Y90" i="12"/>
  <c r="X90" i="12"/>
  <c r="W90" i="12"/>
  <c r="U90" i="12"/>
  <c r="T90" i="12"/>
  <c r="S90" i="12"/>
  <c r="R90" i="12"/>
  <c r="Q90" i="12"/>
  <c r="P90" i="12"/>
  <c r="N90" i="12"/>
  <c r="K90" i="12"/>
  <c r="G90" i="12"/>
  <c r="F90" i="12"/>
  <c r="E90" i="12"/>
  <c r="D90" i="12"/>
  <c r="Y89" i="12"/>
  <c r="X89" i="12"/>
  <c r="W89" i="12"/>
  <c r="U89" i="12"/>
  <c r="T89" i="12"/>
  <c r="S89" i="12"/>
  <c r="R89" i="12"/>
  <c r="Q89" i="12"/>
  <c r="P89" i="12"/>
  <c r="N89" i="12"/>
  <c r="K89" i="12"/>
  <c r="G89" i="12"/>
  <c r="F89" i="12"/>
  <c r="E89" i="12"/>
  <c r="D89" i="12"/>
  <c r="Y88" i="12"/>
  <c r="X88" i="12"/>
  <c r="W88" i="12"/>
  <c r="U88" i="12"/>
  <c r="T88" i="12"/>
  <c r="S88" i="12"/>
  <c r="R88" i="12"/>
  <c r="Q88" i="12"/>
  <c r="P88" i="12"/>
  <c r="N88" i="12"/>
  <c r="K88" i="12"/>
  <c r="G88" i="12"/>
  <c r="F88" i="12"/>
  <c r="E88" i="12"/>
  <c r="D88" i="12"/>
  <c r="Y87" i="12"/>
  <c r="X87" i="12"/>
  <c r="W87" i="12"/>
  <c r="U87" i="12"/>
  <c r="T87" i="12"/>
  <c r="S87" i="12"/>
  <c r="R87" i="12"/>
  <c r="Q87" i="12"/>
  <c r="P87" i="12"/>
  <c r="N87" i="12"/>
  <c r="K87" i="12"/>
  <c r="G87" i="12"/>
  <c r="F87" i="12"/>
  <c r="E87" i="12"/>
  <c r="D87" i="12"/>
  <c r="Y86" i="12"/>
  <c r="X86" i="12"/>
  <c r="W86" i="12"/>
  <c r="U86" i="12"/>
  <c r="T86" i="12"/>
  <c r="S86" i="12"/>
  <c r="R86" i="12"/>
  <c r="Q86" i="12"/>
  <c r="P86" i="12"/>
  <c r="N86" i="12"/>
  <c r="K86" i="12"/>
  <c r="G86" i="12"/>
  <c r="F86" i="12"/>
  <c r="E86" i="12"/>
  <c r="D86" i="12"/>
  <c r="Y85" i="12"/>
  <c r="X85" i="12"/>
  <c r="W85" i="12"/>
  <c r="U85" i="12"/>
  <c r="T85" i="12"/>
  <c r="S85" i="12"/>
  <c r="R85" i="12"/>
  <c r="Q85" i="12"/>
  <c r="P85" i="12"/>
  <c r="N85" i="12"/>
  <c r="K85" i="12"/>
  <c r="G85" i="12"/>
  <c r="F85" i="12"/>
  <c r="E85" i="12"/>
  <c r="D85" i="12"/>
  <c r="Y84" i="12"/>
  <c r="X84" i="12"/>
  <c r="W84" i="12"/>
  <c r="U84" i="12"/>
  <c r="T84" i="12"/>
  <c r="S84" i="12"/>
  <c r="Q84" i="12"/>
  <c r="P84" i="12"/>
  <c r="N84" i="12"/>
  <c r="K84" i="12"/>
  <c r="G84" i="12"/>
  <c r="F84" i="12"/>
  <c r="E84" i="12"/>
  <c r="D84" i="12"/>
  <c r="Y83" i="12"/>
  <c r="X83" i="12"/>
  <c r="W83" i="12"/>
  <c r="U83" i="12"/>
  <c r="T83" i="12"/>
  <c r="S83" i="12"/>
  <c r="R83" i="12"/>
  <c r="Q83" i="12"/>
  <c r="P83" i="12"/>
  <c r="N83" i="12"/>
  <c r="K83" i="12"/>
  <c r="G83" i="12"/>
  <c r="F83" i="12"/>
  <c r="E83" i="12"/>
  <c r="D83" i="12"/>
  <c r="Y82" i="12"/>
  <c r="X82" i="12"/>
  <c r="W82" i="12"/>
  <c r="U82" i="12"/>
  <c r="T82" i="12"/>
  <c r="S82" i="12"/>
  <c r="R82" i="12"/>
  <c r="Q82" i="12"/>
  <c r="P82" i="12"/>
  <c r="N82" i="12"/>
  <c r="K82" i="12"/>
  <c r="G82" i="12"/>
  <c r="F82" i="12"/>
  <c r="E82" i="12"/>
  <c r="D82" i="12"/>
  <c r="Y81" i="12"/>
  <c r="X81" i="12"/>
  <c r="W81" i="12"/>
  <c r="U81" i="12"/>
  <c r="T81" i="12"/>
  <c r="S81" i="12"/>
  <c r="R81" i="12"/>
  <c r="Q81" i="12"/>
  <c r="P81" i="12"/>
  <c r="N81" i="12"/>
  <c r="K81" i="12"/>
  <c r="G81" i="12"/>
  <c r="F81" i="12"/>
  <c r="E81" i="12"/>
  <c r="D81" i="12"/>
  <c r="Y80" i="12"/>
  <c r="X80" i="12"/>
  <c r="W80" i="12"/>
  <c r="U80" i="12"/>
  <c r="T80" i="12"/>
  <c r="S80" i="12"/>
  <c r="R80" i="12"/>
  <c r="Q80" i="12"/>
  <c r="P80" i="12"/>
  <c r="N80" i="12"/>
  <c r="K80" i="12"/>
  <c r="G80" i="12"/>
  <c r="F80" i="12"/>
  <c r="E80" i="12"/>
  <c r="D80" i="12"/>
  <c r="Y79" i="12"/>
  <c r="X79" i="12"/>
  <c r="W79" i="12"/>
  <c r="U79" i="12"/>
  <c r="T79" i="12"/>
  <c r="S79" i="12"/>
  <c r="R79" i="12"/>
  <c r="Q79" i="12"/>
  <c r="P79" i="12"/>
  <c r="N79" i="12"/>
  <c r="K79" i="12"/>
  <c r="G79" i="12"/>
  <c r="F79" i="12"/>
  <c r="E79" i="12"/>
  <c r="D79" i="12"/>
  <c r="Y78" i="12"/>
  <c r="X78" i="12"/>
  <c r="W78" i="12"/>
  <c r="U78" i="12"/>
  <c r="T78" i="12"/>
  <c r="S78" i="12"/>
  <c r="R78" i="12"/>
  <c r="Q78" i="12"/>
  <c r="P78" i="12"/>
  <c r="N78" i="12"/>
  <c r="K78" i="12"/>
  <c r="G78" i="12"/>
  <c r="F78" i="12"/>
  <c r="L78" i="12" s="1"/>
  <c r="E78" i="12"/>
  <c r="D78" i="12"/>
  <c r="Y77" i="12"/>
  <c r="X77" i="12"/>
  <c r="W77" i="12"/>
  <c r="U77" i="12"/>
  <c r="T77" i="12"/>
  <c r="S77" i="12"/>
  <c r="R77" i="12"/>
  <c r="Q77" i="12"/>
  <c r="P77" i="12"/>
  <c r="N77" i="12"/>
  <c r="K77" i="12"/>
  <c r="G77" i="12"/>
  <c r="F77" i="12"/>
  <c r="E77" i="12"/>
  <c r="D77" i="12"/>
  <c r="Y76" i="12"/>
  <c r="X76" i="12"/>
  <c r="W76" i="12"/>
  <c r="U76" i="12"/>
  <c r="T76" i="12"/>
  <c r="S76" i="12"/>
  <c r="Q76" i="12"/>
  <c r="P76" i="12"/>
  <c r="N76" i="12"/>
  <c r="K76" i="12"/>
  <c r="G76" i="12"/>
  <c r="F76" i="12"/>
  <c r="E76" i="12"/>
  <c r="D76" i="12"/>
  <c r="Y75" i="12"/>
  <c r="X75" i="12"/>
  <c r="W75" i="12"/>
  <c r="U75" i="12"/>
  <c r="T75" i="12"/>
  <c r="S75" i="12"/>
  <c r="R75" i="12"/>
  <c r="Q75" i="12"/>
  <c r="P75" i="12"/>
  <c r="N75" i="12"/>
  <c r="K75" i="12"/>
  <c r="G75" i="12"/>
  <c r="F75" i="12"/>
  <c r="E75" i="12"/>
  <c r="D75" i="12"/>
  <c r="Y74" i="12"/>
  <c r="X74" i="12"/>
  <c r="W74" i="12"/>
  <c r="U74" i="12"/>
  <c r="T74" i="12"/>
  <c r="S74" i="12"/>
  <c r="R74" i="12"/>
  <c r="Q74" i="12"/>
  <c r="P74" i="12"/>
  <c r="N74" i="12"/>
  <c r="K74" i="12"/>
  <c r="G74" i="12"/>
  <c r="F74" i="12"/>
  <c r="E74" i="12"/>
  <c r="D74" i="12"/>
  <c r="Y73" i="12"/>
  <c r="X73" i="12"/>
  <c r="W73" i="12"/>
  <c r="U73" i="12"/>
  <c r="T73" i="12"/>
  <c r="S73" i="12"/>
  <c r="R73" i="12"/>
  <c r="Q73" i="12"/>
  <c r="P73" i="12"/>
  <c r="N73" i="12"/>
  <c r="K73" i="12"/>
  <c r="G73" i="12"/>
  <c r="F73" i="12"/>
  <c r="E73" i="12"/>
  <c r="D73" i="12"/>
  <c r="Y72" i="12"/>
  <c r="X72" i="12"/>
  <c r="W72" i="12"/>
  <c r="U72" i="12"/>
  <c r="T72" i="12"/>
  <c r="S72" i="12"/>
  <c r="R72" i="12"/>
  <c r="Q72" i="12"/>
  <c r="P72" i="12"/>
  <c r="N72" i="12"/>
  <c r="K72" i="12"/>
  <c r="G72" i="12"/>
  <c r="F72" i="12"/>
  <c r="E72" i="12"/>
  <c r="D72" i="12"/>
  <c r="Y71" i="12"/>
  <c r="X71" i="12"/>
  <c r="W71" i="12"/>
  <c r="U71" i="12"/>
  <c r="T71" i="12"/>
  <c r="S71" i="12"/>
  <c r="R71" i="12"/>
  <c r="Q71" i="12"/>
  <c r="P71" i="12"/>
  <c r="N71" i="12"/>
  <c r="K71" i="12"/>
  <c r="G71" i="12"/>
  <c r="F71" i="12"/>
  <c r="E71" i="12"/>
  <c r="D71" i="12"/>
  <c r="Y70" i="12"/>
  <c r="X70" i="12"/>
  <c r="W70" i="12"/>
  <c r="U70" i="12"/>
  <c r="T70" i="12"/>
  <c r="S70" i="12"/>
  <c r="R70" i="12"/>
  <c r="Q70" i="12"/>
  <c r="P70" i="12"/>
  <c r="N70" i="12"/>
  <c r="K70" i="12"/>
  <c r="G70" i="12"/>
  <c r="F70" i="12"/>
  <c r="E70" i="12"/>
  <c r="D70" i="12"/>
  <c r="Y69" i="12"/>
  <c r="X69" i="12"/>
  <c r="W69" i="12"/>
  <c r="U69" i="12"/>
  <c r="T69" i="12"/>
  <c r="S69" i="12"/>
  <c r="R69" i="12"/>
  <c r="Q69" i="12"/>
  <c r="P69" i="12"/>
  <c r="N69" i="12"/>
  <c r="K69" i="12"/>
  <c r="G69" i="12"/>
  <c r="F69" i="12"/>
  <c r="E69" i="12"/>
  <c r="D69" i="12"/>
  <c r="Y68" i="12"/>
  <c r="X68" i="12"/>
  <c r="W68" i="12"/>
  <c r="U68" i="12"/>
  <c r="T68" i="12"/>
  <c r="S68" i="12"/>
  <c r="Q68" i="12"/>
  <c r="Q45" i="12" s="1"/>
  <c r="P55" i="8" s="1"/>
  <c r="P68" i="12"/>
  <c r="N68" i="12"/>
  <c r="K68" i="12"/>
  <c r="G68" i="12"/>
  <c r="F68" i="12"/>
  <c r="E68" i="12"/>
  <c r="D68" i="12"/>
  <c r="Y67" i="12"/>
  <c r="X67" i="12"/>
  <c r="W67" i="12"/>
  <c r="U67" i="12"/>
  <c r="T67" i="12"/>
  <c r="S67" i="12"/>
  <c r="R67" i="12"/>
  <c r="Q67" i="12"/>
  <c r="P67" i="12"/>
  <c r="N67" i="12"/>
  <c r="K67" i="12"/>
  <c r="G67" i="12"/>
  <c r="F67" i="12"/>
  <c r="E67" i="12"/>
  <c r="D67" i="12"/>
  <c r="Y66" i="12"/>
  <c r="X66" i="12"/>
  <c r="W66" i="12"/>
  <c r="U66" i="12"/>
  <c r="T66" i="12"/>
  <c r="S66" i="12"/>
  <c r="R66" i="12"/>
  <c r="Q66" i="12"/>
  <c r="P66" i="12"/>
  <c r="N66" i="12"/>
  <c r="K66" i="12"/>
  <c r="G66" i="12"/>
  <c r="F66" i="12"/>
  <c r="E66" i="12"/>
  <c r="D66" i="12"/>
  <c r="Y65" i="12"/>
  <c r="X65" i="12"/>
  <c r="W65" i="12"/>
  <c r="U65" i="12"/>
  <c r="T65" i="12"/>
  <c r="S65" i="12"/>
  <c r="R65" i="12"/>
  <c r="Q65" i="12"/>
  <c r="P65" i="12"/>
  <c r="N65" i="12"/>
  <c r="K65" i="12"/>
  <c r="G65" i="12"/>
  <c r="F65" i="12"/>
  <c r="E65" i="12"/>
  <c r="D65" i="12"/>
  <c r="Y64" i="12"/>
  <c r="X64" i="12"/>
  <c r="W64" i="12"/>
  <c r="U64" i="12"/>
  <c r="T64" i="12"/>
  <c r="S64" i="12"/>
  <c r="R64" i="12"/>
  <c r="Q64" i="12"/>
  <c r="P64" i="12"/>
  <c r="N64" i="12"/>
  <c r="K64" i="12"/>
  <c r="G64" i="12"/>
  <c r="F64" i="12"/>
  <c r="E64" i="12"/>
  <c r="D64" i="12"/>
  <c r="Y94" i="13"/>
  <c r="X94" i="13"/>
  <c r="W94" i="13"/>
  <c r="U94" i="13"/>
  <c r="T94" i="13"/>
  <c r="S94" i="13"/>
  <c r="R94" i="13"/>
  <c r="Q94" i="13"/>
  <c r="P94" i="13"/>
  <c r="N94" i="13"/>
  <c r="K94" i="13"/>
  <c r="G94" i="13"/>
  <c r="F94" i="13"/>
  <c r="E94" i="13"/>
  <c r="D94" i="13"/>
  <c r="Y93" i="13"/>
  <c r="X93" i="13"/>
  <c r="W93" i="13"/>
  <c r="U93" i="13"/>
  <c r="T93" i="13"/>
  <c r="S93" i="13"/>
  <c r="R93" i="13"/>
  <c r="Q93" i="13"/>
  <c r="P93" i="13"/>
  <c r="N93" i="13"/>
  <c r="K93" i="13"/>
  <c r="G93" i="13"/>
  <c r="F93" i="13"/>
  <c r="E93" i="13"/>
  <c r="D93" i="13"/>
  <c r="Y92" i="13"/>
  <c r="X92" i="13"/>
  <c r="W92" i="13"/>
  <c r="U92" i="13"/>
  <c r="T92" i="13"/>
  <c r="S92" i="13"/>
  <c r="R92" i="13"/>
  <c r="Q92" i="13"/>
  <c r="P92" i="13"/>
  <c r="N92" i="13"/>
  <c r="K92" i="13"/>
  <c r="G92" i="13"/>
  <c r="F92" i="13"/>
  <c r="E92" i="13"/>
  <c r="D92" i="13"/>
  <c r="Y91" i="13"/>
  <c r="X91" i="13"/>
  <c r="W91" i="13"/>
  <c r="U91" i="13"/>
  <c r="T91" i="13"/>
  <c r="S91" i="13"/>
  <c r="R91" i="13"/>
  <c r="Q91" i="13"/>
  <c r="P91" i="13"/>
  <c r="N91" i="13"/>
  <c r="K91" i="13"/>
  <c r="G91" i="13"/>
  <c r="F91" i="13"/>
  <c r="E91" i="13"/>
  <c r="D91" i="13"/>
  <c r="Y90" i="13"/>
  <c r="X90" i="13"/>
  <c r="W90" i="13"/>
  <c r="U90" i="13"/>
  <c r="T90" i="13"/>
  <c r="S90" i="13"/>
  <c r="R90" i="13"/>
  <c r="Q90" i="13"/>
  <c r="P90" i="13"/>
  <c r="N90" i="13"/>
  <c r="K90" i="13"/>
  <c r="G90" i="13"/>
  <c r="F90" i="13"/>
  <c r="E90" i="13"/>
  <c r="D90" i="13"/>
  <c r="Y89" i="13"/>
  <c r="X89" i="13"/>
  <c r="W89" i="13"/>
  <c r="U89" i="13"/>
  <c r="T89" i="13"/>
  <c r="S89" i="13"/>
  <c r="R89" i="13"/>
  <c r="Q89" i="13"/>
  <c r="P89" i="13"/>
  <c r="N89" i="13"/>
  <c r="K89" i="13"/>
  <c r="G89" i="13"/>
  <c r="F89" i="13"/>
  <c r="E89" i="13"/>
  <c r="D89" i="13"/>
  <c r="Y88" i="13"/>
  <c r="X88" i="13"/>
  <c r="W88" i="13"/>
  <c r="U88" i="13"/>
  <c r="T88" i="13"/>
  <c r="S88" i="13"/>
  <c r="R88" i="13"/>
  <c r="Q88" i="13"/>
  <c r="P88" i="13"/>
  <c r="N88" i="13"/>
  <c r="K88" i="13"/>
  <c r="G88" i="13"/>
  <c r="F88" i="13"/>
  <c r="E88" i="13"/>
  <c r="D88" i="13"/>
  <c r="Y87" i="13"/>
  <c r="X87" i="13"/>
  <c r="W87" i="13"/>
  <c r="U87" i="13"/>
  <c r="T87" i="13"/>
  <c r="S87" i="13"/>
  <c r="R87" i="13"/>
  <c r="Q87" i="13"/>
  <c r="P87" i="13"/>
  <c r="N87" i="13"/>
  <c r="K87" i="13"/>
  <c r="G87" i="13"/>
  <c r="F87" i="13"/>
  <c r="E87" i="13"/>
  <c r="D87" i="13"/>
  <c r="Y86" i="13"/>
  <c r="X86" i="13"/>
  <c r="W86" i="13"/>
  <c r="U86" i="13"/>
  <c r="T86" i="13"/>
  <c r="S86" i="13"/>
  <c r="R86" i="13"/>
  <c r="Q86" i="13"/>
  <c r="P86" i="13"/>
  <c r="N86" i="13"/>
  <c r="K86" i="13"/>
  <c r="G86" i="13"/>
  <c r="F86" i="13"/>
  <c r="E86" i="13"/>
  <c r="D86" i="13"/>
  <c r="Y85" i="13"/>
  <c r="X85" i="13"/>
  <c r="W85" i="13"/>
  <c r="U85" i="13"/>
  <c r="T85" i="13"/>
  <c r="S85" i="13"/>
  <c r="R85" i="13"/>
  <c r="Q85" i="13"/>
  <c r="P85" i="13"/>
  <c r="N85" i="13"/>
  <c r="K85" i="13"/>
  <c r="G85" i="13"/>
  <c r="F85" i="13"/>
  <c r="E85" i="13"/>
  <c r="D85" i="13"/>
  <c r="Y84" i="13"/>
  <c r="X84" i="13"/>
  <c r="W84" i="13"/>
  <c r="U84" i="13"/>
  <c r="T84" i="13"/>
  <c r="S84" i="13"/>
  <c r="R84" i="13"/>
  <c r="Q84" i="13"/>
  <c r="P84" i="13"/>
  <c r="N84" i="13"/>
  <c r="K84" i="13"/>
  <c r="G84" i="13"/>
  <c r="F84" i="13"/>
  <c r="E84" i="13"/>
  <c r="D84" i="13"/>
  <c r="Y83" i="13"/>
  <c r="X83" i="13"/>
  <c r="W83" i="13"/>
  <c r="U83" i="13"/>
  <c r="T83" i="13"/>
  <c r="S83" i="13"/>
  <c r="R83" i="13"/>
  <c r="Q83" i="13"/>
  <c r="P83" i="13"/>
  <c r="N83" i="13"/>
  <c r="K83" i="13"/>
  <c r="G83" i="13"/>
  <c r="F83" i="13"/>
  <c r="E83" i="13"/>
  <c r="D83" i="13"/>
  <c r="Y82" i="13"/>
  <c r="X82" i="13"/>
  <c r="W82" i="13"/>
  <c r="U82" i="13"/>
  <c r="T82" i="13"/>
  <c r="S82" i="13"/>
  <c r="R82" i="13"/>
  <c r="Q82" i="13"/>
  <c r="P82" i="13"/>
  <c r="N82" i="13"/>
  <c r="K82" i="13"/>
  <c r="G82" i="13"/>
  <c r="F82" i="13"/>
  <c r="E82" i="13"/>
  <c r="D82" i="13"/>
  <c r="Y81" i="13"/>
  <c r="X81" i="13"/>
  <c r="W81" i="13"/>
  <c r="U81" i="13"/>
  <c r="T81" i="13"/>
  <c r="S81" i="13"/>
  <c r="R81" i="13"/>
  <c r="Q81" i="13"/>
  <c r="P81" i="13"/>
  <c r="N81" i="13"/>
  <c r="K81" i="13"/>
  <c r="G81" i="13"/>
  <c r="F81" i="13"/>
  <c r="E81" i="13"/>
  <c r="D81" i="13"/>
  <c r="Y80" i="13"/>
  <c r="X80" i="13"/>
  <c r="W80" i="13"/>
  <c r="U80" i="13"/>
  <c r="T80" i="13"/>
  <c r="S80" i="13"/>
  <c r="R80" i="13"/>
  <c r="Q80" i="13"/>
  <c r="P80" i="13"/>
  <c r="N80" i="13"/>
  <c r="K80" i="13"/>
  <c r="G80" i="13"/>
  <c r="F80" i="13"/>
  <c r="E80" i="13"/>
  <c r="D80" i="13"/>
  <c r="Y79" i="13"/>
  <c r="X79" i="13"/>
  <c r="W79" i="13"/>
  <c r="U79" i="13"/>
  <c r="T79" i="13"/>
  <c r="S79" i="13"/>
  <c r="R79" i="13"/>
  <c r="Q79" i="13"/>
  <c r="P79" i="13"/>
  <c r="N79" i="13"/>
  <c r="K79" i="13"/>
  <c r="G79" i="13"/>
  <c r="F79" i="13"/>
  <c r="E79" i="13"/>
  <c r="D79" i="13"/>
  <c r="Y78" i="13"/>
  <c r="X78" i="13"/>
  <c r="W78" i="13"/>
  <c r="U78" i="13"/>
  <c r="T78" i="13"/>
  <c r="S78" i="13"/>
  <c r="R78" i="13"/>
  <c r="Q78" i="13"/>
  <c r="P78" i="13"/>
  <c r="N78" i="13"/>
  <c r="K78" i="13"/>
  <c r="G78" i="13"/>
  <c r="F78" i="13"/>
  <c r="L78" i="13" s="1"/>
  <c r="E78" i="13"/>
  <c r="D78" i="13"/>
  <c r="Y77" i="13"/>
  <c r="X77" i="13"/>
  <c r="W77" i="13"/>
  <c r="U77" i="13"/>
  <c r="T77" i="13"/>
  <c r="S77" i="13"/>
  <c r="R77" i="13"/>
  <c r="Q77" i="13"/>
  <c r="P77" i="13"/>
  <c r="N77" i="13"/>
  <c r="K77" i="13"/>
  <c r="G77" i="13"/>
  <c r="F77" i="13"/>
  <c r="E77" i="13"/>
  <c r="D77" i="13"/>
  <c r="Y76" i="13"/>
  <c r="X76" i="13"/>
  <c r="W76" i="13"/>
  <c r="U76" i="13"/>
  <c r="T76" i="13"/>
  <c r="S76" i="13"/>
  <c r="R76" i="13"/>
  <c r="Q76" i="13"/>
  <c r="P76" i="13"/>
  <c r="N76" i="13"/>
  <c r="K76" i="13"/>
  <c r="G76" i="13"/>
  <c r="F76" i="13"/>
  <c r="E76" i="13"/>
  <c r="D76" i="13"/>
  <c r="Y75" i="13"/>
  <c r="X75" i="13"/>
  <c r="W75" i="13"/>
  <c r="U75" i="13"/>
  <c r="T75" i="13"/>
  <c r="S75" i="13"/>
  <c r="R75" i="13"/>
  <c r="Q75" i="13"/>
  <c r="P75" i="13"/>
  <c r="N75" i="13"/>
  <c r="K75" i="13"/>
  <c r="G75" i="13"/>
  <c r="F75" i="13"/>
  <c r="E75" i="13"/>
  <c r="D75" i="13"/>
  <c r="Y74" i="13"/>
  <c r="X74" i="13"/>
  <c r="W74" i="13"/>
  <c r="U74" i="13"/>
  <c r="T74" i="13"/>
  <c r="S74" i="13"/>
  <c r="R74" i="13"/>
  <c r="Q74" i="13"/>
  <c r="P74" i="13"/>
  <c r="N74" i="13"/>
  <c r="K74" i="13"/>
  <c r="G74" i="13"/>
  <c r="F74" i="13"/>
  <c r="E74" i="13"/>
  <c r="D74" i="13"/>
  <c r="Y73" i="13"/>
  <c r="X73" i="13"/>
  <c r="W73" i="13"/>
  <c r="U73" i="13"/>
  <c r="T73" i="13"/>
  <c r="S73" i="13"/>
  <c r="R73" i="13"/>
  <c r="Q73" i="13"/>
  <c r="P73" i="13"/>
  <c r="N73" i="13"/>
  <c r="K73" i="13"/>
  <c r="G73" i="13"/>
  <c r="F73" i="13"/>
  <c r="E73" i="13"/>
  <c r="D73" i="13"/>
  <c r="Y72" i="13"/>
  <c r="X72" i="13"/>
  <c r="W72" i="13"/>
  <c r="U72" i="13"/>
  <c r="T72" i="13"/>
  <c r="S72" i="13"/>
  <c r="R72" i="13"/>
  <c r="Q72" i="13"/>
  <c r="P72" i="13"/>
  <c r="N72" i="13"/>
  <c r="K72" i="13"/>
  <c r="G72" i="13"/>
  <c r="F72" i="13"/>
  <c r="E72" i="13"/>
  <c r="D72" i="13"/>
  <c r="Y71" i="13"/>
  <c r="X71" i="13"/>
  <c r="W71" i="13"/>
  <c r="U71" i="13"/>
  <c r="T71" i="13"/>
  <c r="S71" i="13"/>
  <c r="R71" i="13"/>
  <c r="Q71" i="13"/>
  <c r="P71" i="13"/>
  <c r="N71" i="13"/>
  <c r="K71" i="13"/>
  <c r="G71" i="13"/>
  <c r="F71" i="13"/>
  <c r="E71" i="13"/>
  <c r="D71" i="13"/>
  <c r="Y70" i="13"/>
  <c r="X70" i="13"/>
  <c r="W70" i="13"/>
  <c r="U70" i="13"/>
  <c r="T70" i="13"/>
  <c r="S70" i="13"/>
  <c r="R70" i="13"/>
  <c r="Q70" i="13"/>
  <c r="P70" i="13"/>
  <c r="N70" i="13"/>
  <c r="K70" i="13"/>
  <c r="G70" i="13"/>
  <c r="F70" i="13"/>
  <c r="E70" i="13"/>
  <c r="D70" i="13"/>
  <c r="Y69" i="13"/>
  <c r="X69" i="13"/>
  <c r="W69" i="13"/>
  <c r="U69" i="13"/>
  <c r="T69" i="13"/>
  <c r="S69" i="13"/>
  <c r="R69" i="13"/>
  <c r="Q69" i="13"/>
  <c r="P69" i="13"/>
  <c r="N69" i="13"/>
  <c r="K69" i="13"/>
  <c r="G69" i="13"/>
  <c r="F69" i="13"/>
  <c r="E69" i="13"/>
  <c r="D69" i="13"/>
  <c r="Y68" i="13"/>
  <c r="X68" i="13"/>
  <c r="W68" i="13"/>
  <c r="U68" i="13"/>
  <c r="T68" i="13"/>
  <c r="S68" i="13"/>
  <c r="R68" i="13"/>
  <c r="Q68" i="13"/>
  <c r="P68" i="13"/>
  <c r="N68" i="13"/>
  <c r="K68" i="13"/>
  <c r="G68" i="13"/>
  <c r="F68" i="13"/>
  <c r="E68" i="13"/>
  <c r="D68" i="13"/>
  <c r="Y67" i="13"/>
  <c r="X67" i="13"/>
  <c r="W67" i="13"/>
  <c r="U67" i="13"/>
  <c r="T67" i="13"/>
  <c r="S67" i="13"/>
  <c r="R67" i="13"/>
  <c r="Q67" i="13"/>
  <c r="P67" i="13"/>
  <c r="N67" i="13"/>
  <c r="K67" i="13"/>
  <c r="G67" i="13"/>
  <c r="F67" i="13"/>
  <c r="E67" i="13"/>
  <c r="D67" i="13"/>
  <c r="Y66" i="13"/>
  <c r="X66" i="13"/>
  <c r="W66" i="13"/>
  <c r="U66" i="13"/>
  <c r="T66" i="13"/>
  <c r="S66" i="13"/>
  <c r="R66" i="13"/>
  <c r="Q66" i="13"/>
  <c r="P66" i="13"/>
  <c r="N66" i="13"/>
  <c r="K66" i="13"/>
  <c r="G66" i="13"/>
  <c r="F66" i="13"/>
  <c r="E66" i="13"/>
  <c r="D66" i="13"/>
  <c r="Y65" i="13"/>
  <c r="X65" i="13"/>
  <c r="W65" i="13"/>
  <c r="U65" i="13"/>
  <c r="T65" i="13"/>
  <c r="S65" i="13"/>
  <c r="R65" i="13"/>
  <c r="Q65" i="13"/>
  <c r="P65" i="13"/>
  <c r="N65" i="13"/>
  <c r="N45" i="13" s="1"/>
  <c r="N52" i="15" s="1"/>
  <c r="K65" i="13"/>
  <c r="G65" i="13"/>
  <c r="F65" i="13"/>
  <c r="E65" i="13"/>
  <c r="D65" i="13"/>
  <c r="Y64" i="13"/>
  <c r="X64" i="13"/>
  <c r="W64" i="13"/>
  <c r="U64" i="13"/>
  <c r="T64" i="13"/>
  <c r="S64" i="13"/>
  <c r="R64" i="13"/>
  <c r="Q64" i="13"/>
  <c r="P64" i="13"/>
  <c r="N64" i="13"/>
  <c r="K64" i="13"/>
  <c r="G64" i="13"/>
  <c r="F64" i="13"/>
  <c r="E64" i="13"/>
  <c r="D64" i="13"/>
  <c r="Y94" i="14"/>
  <c r="X94" i="14"/>
  <c r="W94" i="14"/>
  <c r="U94" i="14"/>
  <c r="T94" i="14"/>
  <c r="S94" i="14"/>
  <c r="R94" i="14"/>
  <c r="Q94" i="14"/>
  <c r="P94" i="14"/>
  <c r="N94" i="14"/>
  <c r="K94" i="14"/>
  <c r="G94" i="14"/>
  <c r="F94" i="14"/>
  <c r="E94" i="14"/>
  <c r="D94" i="14"/>
  <c r="Y93" i="14"/>
  <c r="X93" i="14"/>
  <c r="W93" i="14"/>
  <c r="U93" i="14"/>
  <c r="T93" i="14"/>
  <c r="S93" i="14"/>
  <c r="R93" i="14"/>
  <c r="Q93" i="14"/>
  <c r="P93" i="14"/>
  <c r="N93" i="14"/>
  <c r="K93" i="14"/>
  <c r="G93" i="14"/>
  <c r="F93" i="14"/>
  <c r="E93" i="14"/>
  <c r="D93" i="14"/>
  <c r="Y92" i="14"/>
  <c r="X92" i="14"/>
  <c r="W92" i="14"/>
  <c r="U92" i="14"/>
  <c r="T92" i="14"/>
  <c r="S92" i="14"/>
  <c r="R92" i="14"/>
  <c r="Q92" i="14"/>
  <c r="P92" i="14"/>
  <c r="N92" i="14"/>
  <c r="K92" i="14"/>
  <c r="G92" i="14"/>
  <c r="F92" i="14"/>
  <c r="E92" i="14"/>
  <c r="D92" i="14"/>
  <c r="Y91" i="14"/>
  <c r="X91" i="14"/>
  <c r="W91" i="14"/>
  <c r="U91" i="14"/>
  <c r="T91" i="14"/>
  <c r="S91" i="14"/>
  <c r="R91" i="14"/>
  <c r="Q91" i="14"/>
  <c r="P91" i="14"/>
  <c r="N91" i="14"/>
  <c r="K91" i="14"/>
  <c r="G91" i="14"/>
  <c r="F91" i="14"/>
  <c r="E91" i="14"/>
  <c r="D91" i="14"/>
  <c r="Y90" i="14"/>
  <c r="X90" i="14"/>
  <c r="W90" i="14"/>
  <c r="U90" i="14"/>
  <c r="T90" i="14"/>
  <c r="S90" i="14"/>
  <c r="R90" i="14"/>
  <c r="Q90" i="14"/>
  <c r="P90" i="14"/>
  <c r="N90" i="14"/>
  <c r="K90" i="14"/>
  <c r="G90" i="14"/>
  <c r="F90" i="14"/>
  <c r="E90" i="14"/>
  <c r="D90" i="14"/>
  <c r="Y89" i="14"/>
  <c r="X89" i="14"/>
  <c r="W89" i="14"/>
  <c r="U89" i="14"/>
  <c r="T89" i="14"/>
  <c r="S89" i="14"/>
  <c r="R89" i="14"/>
  <c r="Q89" i="14"/>
  <c r="P89" i="14"/>
  <c r="N89" i="14"/>
  <c r="K89" i="14"/>
  <c r="G89" i="14"/>
  <c r="F89" i="14"/>
  <c r="E89" i="14"/>
  <c r="D89" i="14"/>
  <c r="Y88" i="14"/>
  <c r="X88" i="14"/>
  <c r="W88" i="14"/>
  <c r="U88" i="14"/>
  <c r="T88" i="14"/>
  <c r="S88" i="14"/>
  <c r="R88" i="14"/>
  <c r="Q88" i="14"/>
  <c r="P88" i="14"/>
  <c r="N88" i="14"/>
  <c r="K88" i="14"/>
  <c r="G88" i="14"/>
  <c r="F88" i="14"/>
  <c r="E88" i="14"/>
  <c r="D88" i="14"/>
  <c r="Y87" i="14"/>
  <c r="X87" i="14"/>
  <c r="W87" i="14"/>
  <c r="U87" i="14"/>
  <c r="T87" i="14"/>
  <c r="S87" i="14"/>
  <c r="R87" i="14"/>
  <c r="Q87" i="14"/>
  <c r="P87" i="14"/>
  <c r="N87" i="14"/>
  <c r="K87" i="14"/>
  <c r="G87" i="14"/>
  <c r="F87" i="14"/>
  <c r="E87" i="14"/>
  <c r="D87" i="14"/>
  <c r="Y86" i="14"/>
  <c r="X86" i="14"/>
  <c r="W86" i="14"/>
  <c r="U86" i="14"/>
  <c r="T86" i="14"/>
  <c r="S86" i="14"/>
  <c r="R86" i="14"/>
  <c r="Q86" i="14"/>
  <c r="P86" i="14"/>
  <c r="N86" i="14"/>
  <c r="K86" i="14"/>
  <c r="G86" i="14"/>
  <c r="F86" i="14"/>
  <c r="E86" i="14"/>
  <c r="D86" i="14"/>
  <c r="Y85" i="14"/>
  <c r="X85" i="14"/>
  <c r="W85" i="14"/>
  <c r="U85" i="14"/>
  <c r="T85" i="14"/>
  <c r="S85" i="14"/>
  <c r="R85" i="14"/>
  <c r="Q85" i="14"/>
  <c r="P85" i="14"/>
  <c r="N85" i="14"/>
  <c r="K85" i="14"/>
  <c r="G85" i="14"/>
  <c r="F85" i="14"/>
  <c r="E85" i="14"/>
  <c r="D85" i="14"/>
  <c r="Y84" i="14"/>
  <c r="X84" i="14"/>
  <c r="W84" i="14"/>
  <c r="U84" i="14"/>
  <c r="T84" i="14"/>
  <c r="S84" i="14"/>
  <c r="R84" i="14"/>
  <c r="Q84" i="14"/>
  <c r="P84" i="14"/>
  <c r="N84" i="14"/>
  <c r="K84" i="14"/>
  <c r="G84" i="14"/>
  <c r="F84" i="14"/>
  <c r="E84" i="14"/>
  <c r="D84" i="14"/>
  <c r="Y83" i="14"/>
  <c r="X83" i="14"/>
  <c r="W83" i="14"/>
  <c r="U83" i="14"/>
  <c r="T83" i="14"/>
  <c r="S83" i="14"/>
  <c r="R83" i="14"/>
  <c r="Q83" i="14"/>
  <c r="P83" i="14"/>
  <c r="N83" i="14"/>
  <c r="K83" i="14"/>
  <c r="G83" i="14"/>
  <c r="F83" i="14"/>
  <c r="E83" i="14"/>
  <c r="D83" i="14"/>
  <c r="Y82" i="14"/>
  <c r="X82" i="14"/>
  <c r="W82" i="14"/>
  <c r="U82" i="14"/>
  <c r="T82" i="14"/>
  <c r="S82" i="14"/>
  <c r="R82" i="14"/>
  <c r="Q82" i="14"/>
  <c r="P82" i="14"/>
  <c r="N82" i="14"/>
  <c r="K82" i="14"/>
  <c r="G82" i="14"/>
  <c r="F82" i="14"/>
  <c r="E82" i="14"/>
  <c r="D82" i="14"/>
  <c r="Y81" i="14"/>
  <c r="X81" i="14"/>
  <c r="W81" i="14"/>
  <c r="U81" i="14"/>
  <c r="T81" i="14"/>
  <c r="S81" i="14"/>
  <c r="R81" i="14"/>
  <c r="Q81" i="14"/>
  <c r="P81" i="14"/>
  <c r="N81" i="14"/>
  <c r="K81" i="14"/>
  <c r="G81" i="14"/>
  <c r="F81" i="14"/>
  <c r="E81" i="14"/>
  <c r="D81" i="14"/>
  <c r="Y80" i="14"/>
  <c r="X80" i="14"/>
  <c r="W80" i="14"/>
  <c r="U80" i="14"/>
  <c r="T80" i="14"/>
  <c r="S80" i="14"/>
  <c r="R80" i="14"/>
  <c r="Q80" i="14"/>
  <c r="P80" i="14"/>
  <c r="N80" i="14"/>
  <c r="K80" i="14"/>
  <c r="G80" i="14"/>
  <c r="F80" i="14"/>
  <c r="E80" i="14"/>
  <c r="D80" i="14"/>
  <c r="Y79" i="14"/>
  <c r="X79" i="14"/>
  <c r="W79" i="14"/>
  <c r="U79" i="14"/>
  <c r="T79" i="14"/>
  <c r="S79" i="14"/>
  <c r="R79" i="14"/>
  <c r="Q79" i="14"/>
  <c r="P79" i="14"/>
  <c r="N79" i="14"/>
  <c r="K79" i="14"/>
  <c r="G79" i="14"/>
  <c r="F79" i="14"/>
  <c r="E79" i="14"/>
  <c r="D79" i="14"/>
  <c r="Y78" i="14"/>
  <c r="X78" i="14"/>
  <c r="W78" i="14"/>
  <c r="U78" i="14"/>
  <c r="T78" i="14"/>
  <c r="S78" i="14"/>
  <c r="R78" i="14"/>
  <c r="Q78" i="14"/>
  <c r="P78" i="14"/>
  <c r="N78" i="14"/>
  <c r="K78" i="14"/>
  <c r="G78" i="14"/>
  <c r="F78" i="14"/>
  <c r="E78" i="14"/>
  <c r="D78" i="14"/>
  <c r="Y77" i="14"/>
  <c r="X77" i="14"/>
  <c r="W77" i="14"/>
  <c r="U77" i="14"/>
  <c r="T77" i="14"/>
  <c r="S77" i="14"/>
  <c r="R77" i="14"/>
  <c r="Q77" i="14"/>
  <c r="P77" i="14"/>
  <c r="N77" i="14"/>
  <c r="K77" i="14"/>
  <c r="G77" i="14"/>
  <c r="F77" i="14"/>
  <c r="L77" i="14" s="1"/>
  <c r="E77" i="14"/>
  <c r="D77" i="14"/>
  <c r="Y76" i="14"/>
  <c r="X76" i="14"/>
  <c r="W76" i="14"/>
  <c r="U76" i="14"/>
  <c r="T76" i="14"/>
  <c r="S76" i="14"/>
  <c r="R76" i="14"/>
  <c r="Q76" i="14"/>
  <c r="P76" i="14"/>
  <c r="N76" i="14"/>
  <c r="K76" i="14"/>
  <c r="G76" i="14"/>
  <c r="F76" i="14"/>
  <c r="E76" i="14"/>
  <c r="D76" i="14"/>
  <c r="Y75" i="14"/>
  <c r="X75" i="14"/>
  <c r="W75" i="14"/>
  <c r="U75" i="14"/>
  <c r="T75" i="14"/>
  <c r="S75" i="14"/>
  <c r="R75" i="14"/>
  <c r="Q75" i="14"/>
  <c r="P75" i="14"/>
  <c r="N75" i="14"/>
  <c r="K75" i="14"/>
  <c r="G75" i="14"/>
  <c r="F75" i="14"/>
  <c r="E75" i="14"/>
  <c r="D75" i="14"/>
  <c r="Y74" i="14"/>
  <c r="X74" i="14"/>
  <c r="W74" i="14"/>
  <c r="U74" i="14"/>
  <c r="T74" i="14"/>
  <c r="S74" i="14"/>
  <c r="R74" i="14"/>
  <c r="Q74" i="14"/>
  <c r="P74" i="14"/>
  <c r="N74" i="14"/>
  <c r="K74" i="14"/>
  <c r="G74" i="14"/>
  <c r="F74" i="14"/>
  <c r="E74" i="14"/>
  <c r="D74" i="14"/>
  <c r="Y73" i="14"/>
  <c r="X73" i="14"/>
  <c r="W73" i="14"/>
  <c r="U73" i="14"/>
  <c r="T73" i="14"/>
  <c r="S73" i="14"/>
  <c r="R73" i="14"/>
  <c r="Q73" i="14"/>
  <c r="P73" i="14"/>
  <c r="N73" i="14"/>
  <c r="K73" i="14"/>
  <c r="G73" i="14"/>
  <c r="F73" i="14"/>
  <c r="E73" i="14"/>
  <c r="D73" i="14"/>
  <c r="Y72" i="14"/>
  <c r="X72" i="14"/>
  <c r="W72" i="14"/>
  <c r="U72" i="14"/>
  <c r="T72" i="14"/>
  <c r="S72" i="14"/>
  <c r="R72" i="14"/>
  <c r="Q72" i="14"/>
  <c r="P72" i="14"/>
  <c r="N72" i="14"/>
  <c r="K72" i="14"/>
  <c r="G72" i="14"/>
  <c r="F72" i="14"/>
  <c r="E72" i="14"/>
  <c r="D72" i="14"/>
  <c r="Y71" i="14"/>
  <c r="X71" i="14"/>
  <c r="W71" i="14"/>
  <c r="U71" i="14"/>
  <c r="T71" i="14"/>
  <c r="S71" i="14"/>
  <c r="R71" i="14"/>
  <c r="Q71" i="14"/>
  <c r="P71" i="14"/>
  <c r="N71" i="14"/>
  <c r="K71" i="14"/>
  <c r="G71" i="14"/>
  <c r="F71" i="14"/>
  <c r="E71" i="14"/>
  <c r="D71" i="14"/>
  <c r="Y70" i="14"/>
  <c r="X70" i="14"/>
  <c r="W70" i="14"/>
  <c r="U70" i="14"/>
  <c r="T70" i="14"/>
  <c r="S70" i="14"/>
  <c r="R70" i="14"/>
  <c r="Q70" i="14"/>
  <c r="P70" i="14"/>
  <c r="N70" i="14"/>
  <c r="K70" i="14"/>
  <c r="G70" i="14"/>
  <c r="F70" i="14"/>
  <c r="E70" i="14"/>
  <c r="D70" i="14"/>
  <c r="Y69" i="14"/>
  <c r="X69" i="14"/>
  <c r="W69" i="14"/>
  <c r="U69" i="14"/>
  <c r="T69" i="14"/>
  <c r="S69" i="14"/>
  <c r="R69" i="14"/>
  <c r="Q69" i="14"/>
  <c r="P69" i="14"/>
  <c r="N69" i="14"/>
  <c r="K69" i="14"/>
  <c r="G69" i="14"/>
  <c r="F69" i="14"/>
  <c r="E69" i="14"/>
  <c r="C69" i="14" s="1"/>
  <c r="D69" i="14"/>
  <c r="Y68" i="14"/>
  <c r="X68" i="14"/>
  <c r="W68" i="14"/>
  <c r="U68" i="14"/>
  <c r="T68" i="14"/>
  <c r="S68" i="14"/>
  <c r="R68" i="14"/>
  <c r="Q68" i="14"/>
  <c r="P68" i="14"/>
  <c r="N68" i="14"/>
  <c r="K68" i="14"/>
  <c r="G68" i="14"/>
  <c r="F68" i="14"/>
  <c r="E68" i="14"/>
  <c r="D68" i="14"/>
  <c r="Y67" i="14"/>
  <c r="X67" i="14"/>
  <c r="W67" i="14"/>
  <c r="U67" i="14"/>
  <c r="T67" i="14"/>
  <c r="S67" i="14"/>
  <c r="R67" i="14"/>
  <c r="Q67" i="14"/>
  <c r="P67" i="14"/>
  <c r="N67" i="14"/>
  <c r="K67" i="14"/>
  <c r="G67" i="14"/>
  <c r="F67" i="14"/>
  <c r="E67" i="14"/>
  <c r="D67" i="14"/>
  <c r="Y66" i="14"/>
  <c r="X66" i="14"/>
  <c r="W66" i="14"/>
  <c r="U66" i="14"/>
  <c r="T66" i="14"/>
  <c r="S66" i="14"/>
  <c r="R66" i="14"/>
  <c r="Q66" i="14"/>
  <c r="P66" i="14"/>
  <c r="N66" i="14"/>
  <c r="K66" i="14"/>
  <c r="G66" i="14"/>
  <c r="F66" i="14"/>
  <c r="E66" i="14"/>
  <c r="D66" i="14"/>
  <c r="Y65" i="14"/>
  <c r="X65" i="14"/>
  <c r="W65" i="14"/>
  <c r="U65" i="14"/>
  <c r="T65" i="14"/>
  <c r="S65" i="14"/>
  <c r="R65" i="14"/>
  <c r="Q65" i="14"/>
  <c r="P65" i="14"/>
  <c r="N65" i="14"/>
  <c r="K65" i="14"/>
  <c r="G65" i="14"/>
  <c r="F65" i="14"/>
  <c r="E65" i="14"/>
  <c r="D65" i="14"/>
  <c r="Y64" i="14"/>
  <c r="X64" i="14"/>
  <c r="W64" i="14"/>
  <c r="U64" i="14"/>
  <c r="T64" i="14"/>
  <c r="S64" i="14"/>
  <c r="R64" i="14"/>
  <c r="Q64" i="14"/>
  <c r="P64" i="14"/>
  <c r="N64" i="14"/>
  <c r="K64" i="14"/>
  <c r="G64" i="14"/>
  <c r="F64" i="14"/>
  <c r="E64" i="14"/>
  <c r="D64" i="14"/>
  <c r="Y94" i="5"/>
  <c r="X94" i="5"/>
  <c r="W94" i="5"/>
  <c r="U94" i="5"/>
  <c r="T94" i="5"/>
  <c r="S94" i="5"/>
  <c r="R94" i="5"/>
  <c r="Q94" i="5"/>
  <c r="P94" i="5"/>
  <c r="N94" i="5"/>
  <c r="K94" i="5"/>
  <c r="G94" i="5"/>
  <c r="F94" i="5"/>
  <c r="E94" i="5"/>
  <c r="D94" i="5"/>
  <c r="Y93" i="5"/>
  <c r="X93" i="5"/>
  <c r="W93" i="5"/>
  <c r="U93" i="5"/>
  <c r="T93" i="5"/>
  <c r="S93" i="5"/>
  <c r="R93" i="5"/>
  <c r="Q93" i="5"/>
  <c r="P93" i="5"/>
  <c r="N93" i="5"/>
  <c r="K93" i="5"/>
  <c r="G93" i="5"/>
  <c r="F93" i="5"/>
  <c r="L93" i="5" s="1"/>
  <c r="E93" i="5"/>
  <c r="D93" i="5"/>
  <c r="Y92" i="5"/>
  <c r="X92" i="5"/>
  <c r="W92" i="5"/>
  <c r="U92" i="5"/>
  <c r="T92" i="5"/>
  <c r="S92" i="5"/>
  <c r="R92" i="5"/>
  <c r="Q92" i="5"/>
  <c r="P92" i="5"/>
  <c r="N92" i="5"/>
  <c r="K92" i="5"/>
  <c r="G92" i="5"/>
  <c r="F92" i="5"/>
  <c r="E92" i="5"/>
  <c r="D92" i="5"/>
  <c r="Y91" i="5"/>
  <c r="X91" i="5"/>
  <c r="W91" i="5"/>
  <c r="U91" i="5"/>
  <c r="T91" i="5"/>
  <c r="S91" i="5"/>
  <c r="R91" i="5"/>
  <c r="Q91" i="5"/>
  <c r="P91" i="5"/>
  <c r="N91" i="5"/>
  <c r="K91" i="5"/>
  <c r="G91" i="5"/>
  <c r="F91" i="5"/>
  <c r="E91" i="5"/>
  <c r="D91" i="5"/>
  <c r="Y90" i="5"/>
  <c r="X90" i="5"/>
  <c r="W90" i="5"/>
  <c r="U90" i="5"/>
  <c r="T90" i="5"/>
  <c r="S90" i="5"/>
  <c r="R90" i="5"/>
  <c r="Q90" i="5"/>
  <c r="P90" i="5"/>
  <c r="N90" i="5"/>
  <c r="K90" i="5"/>
  <c r="G90" i="5"/>
  <c r="F90" i="5"/>
  <c r="E90" i="5"/>
  <c r="D90" i="5"/>
  <c r="Y89" i="5"/>
  <c r="X89" i="5"/>
  <c r="W89" i="5"/>
  <c r="U89" i="5"/>
  <c r="T89" i="5"/>
  <c r="S89" i="5"/>
  <c r="R89" i="5"/>
  <c r="Q89" i="5"/>
  <c r="P89" i="5"/>
  <c r="N89" i="5"/>
  <c r="K89" i="5"/>
  <c r="G89" i="5"/>
  <c r="F89" i="5"/>
  <c r="E89" i="5"/>
  <c r="D89" i="5"/>
  <c r="Y88" i="5"/>
  <c r="X88" i="5"/>
  <c r="W88" i="5"/>
  <c r="U88" i="5"/>
  <c r="T88" i="5"/>
  <c r="S88" i="5"/>
  <c r="R88" i="5"/>
  <c r="Q88" i="5"/>
  <c r="P88" i="5"/>
  <c r="N88" i="5"/>
  <c r="K88" i="5"/>
  <c r="G88" i="5"/>
  <c r="F88" i="5"/>
  <c r="E88" i="5"/>
  <c r="D88" i="5"/>
  <c r="Y87" i="5"/>
  <c r="X87" i="5"/>
  <c r="W87" i="5"/>
  <c r="U87" i="5"/>
  <c r="T87" i="5"/>
  <c r="S87" i="5"/>
  <c r="R87" i="5"/>
  <c r="Q87" i="5"/>
  <c r="P87" i="5"/>
  <c r="N87" i="5"/>
  <c r="K87" i="5"/>
  <c r="G87" i="5"/>
  <c r="F87" i="5"/>
  <c r="E87" i="5"/>
  <c r="D87" i="5"/>
  <c r="Y86" i="5"/>
  <c r="X86" i="5"/>
  <c r="W86" i="5"/>
  <c r="U86" i="5"/>
  <c r="T86" i="5"/>
  <c r="S86" i="5"/>
  <c r="R86" i="5"/>
  <c r="Q86" i="5"/>
  <c r="P86" i="5"/>
  <c r="N86" i="5"/>
  <c r="K86" i="5"/>
  <c r="G86" i="5"/>
  <c r="F86" i="5"/>
  <c r="E86" i="5"/>
  <c r="D86" i="5"/>
  <c r="Y85" i="5"/>
  <c r="X85" i="5"/>
  <c r="W85" i="5"/>
  <c r="U85" i="5"/>
  <c r="T85" i="5"/>
  <c r="S85" i="5"/>
  <c r="R85" i="5"/>
  <c r="Q85" i="5"/>
  <c r="P85" i="5"/>
  <c r="N85" i="5"/>
  <c r="K85" i="5"/>
  <c r="G85" i="5"/>
  <c r="F85" i="5"/>
  <c r="E85" i="5"/>
  <c r="D85" i="5"/>
  <c r="Y84" i="5"/>
  <c r="X84" i="5"/>
  <c r="W84" i="5"/>
  <c r="U84" i="5"/>
  <c r="T84" i="5"/>
  <c r="S84" i="5"/>
  <c r="R84" i="5"/>
  <c r="Q84" i="5"/>
  <c r="P84" i="5"/>
  <c r="N84" i="5"/>
  <c r="K84" i="5"/>
  <c r="G84" i="5"/>
  <c r="F84" i="5"/>
  <c r="E84" i="5"/>
  <c r="D84" i="5"/>
  <c r="Y83" i="5"/>
  <c r="X83" i="5"/>
  <c r="W83" i="5"/>
  <c r="U83" i="5"/>
  <c r="T83" i="5"/>
  <c r="S83" i="5"/>
  <c r="R83" i="5"/>
  <c r="Q83" i="5"/>
  <c r="P83" i="5"/>
  <c r="N83" i="5"/>
  <c r="K83" i="5"/>
  <c r="G83" i="5"/>
  <c r="F83" i="5"/>
  <c r="E83" i="5"/>
  <c r="D83" i="5"/>
  <c r="Y82" i="5"/>
  <c r="X82" i="5"/>
  <c r="W82" i="5"/>
  <c r="U82" i="5"/>
  <c r="T82" i="5"/>
  <c r="S82" i="5"/>
  <c r="R82" i="5"/>
  <c r="Q82" i="5"/>
  <c r="P82" i="5"/>
  <c r="N82" i="5"/>
  <c r="K82" i="5"/>
  <c r="G82" i="5"/>
  <c r="F82" i="5"/>
  <c r="E82" i="5"/>
  <c r="D82" i="5"/>
  <c r="Y81" i="5"/>
  <c r="X81" i="5"/>
  <c r="W81" i="5"/>
  <c r="U81" i="5"/>
  <c r="T81" i="5"/>
  <c r="S81" i="5"/>
  <c r="R81" i="5"/>
  <c r="Q81" i="5"/>
  <c r="P81" i="5"/>
  <c r="N81" i="5"/>
  <c r="K81" i="5"/>
  <c r="G81" i="5"/>
  <c r="F81" i="5"/>
  <c r="E81" i="5"/>
  <c r="D81" i="5"/>
  <c r="Y80" i="5"/>
  <c r="X80" i="5"/>
  <c r="W80" i="5"/>
  <c r="U80" i="5"/>
  <c r="T80" i="5"/>
  <c r="S80" i="5"/>
  <c r="R80" i="5"/>
  <c r="Q80" i="5"/>
  <c r="P80" i="5"/>
  <c r="N80" i="5"/>
  <c r="K80" i="5"/>
  <c r="G80" i="5"/>
  <c r="F80" i="5"/>
  <c r="L80" i="5" s="1"/>
  <c r="E80" i="5"/>
  <c r="D80" i="5"/>
  <c r="Y79" i="5"/>
  <c r="X79" i="5"/>
  <c r="W79" i="5"/>
  <c r="U79" i="5"/>
  <c r="T79" i="5"/>
  <c r="S79" i="5"/>
  <c r="R79" i="5"/>
  <c r="Q79" i="5"/>
  <c r="P79" i="5"/>
  <c r="N79" i="5"/>
  <c r="K79" i="5"/>
  <c r="G79" i="5"/>
  <c r="F79" i="5"/>
  <c r="E79" i="5"/>
  <c r="D79" i="5"/>
  <c r="Y78" i="5"/>
  <c r="X78" i="5"/>
  <c r="W78" i="5"/>
  <c r="U78" i="5"/>
  <c r="T78" i="5"/>
  <c r="S78" i="5"/>
  <c r="R78" i="5"/>
  <c r="Q78" i="5"/>
  <c r="P78" i="5"/>
  <c r="N78" i="5"/>
  <c r="K78" i="5"/>
  <c r="G78" i="5"/>
  <c r="F78" i="5"/>
  <c r="E78" i="5"/>
  <c r="D78" i="5"/>
  <c r="Y77" i="5"/>
  <c r="X77" i="5"/>
  <c r="W77" i="5"/>
  <c r="U77" i="5"/>
  <c r="T77" i="5"/>
  <c r="S77" i="5"/>
  <c r="R77" i="5"/>
  <c r="Q77" i="5"/>
  <c r="P77" i="5"/>
  <c r="N77" i="5"/>
  <c r="K77" i="5"/>
  <c r="G77" i="5"/>
  <c r="F77" i="5"/>
  <c r="E77" i="5"/>
  <c r="D77" i="5"/>
  <c r="Y76" i="5"/>
  <c r="X76" i="5"/>
  <c r="W76" i="5"/>
  <c r="U76" i="5"/>
  <c r="T76" i="5"/>
  <c r="S76" i="5"/>
  <c r="R76" i="5"/>
  <c r="Q76" i="5"/>
  <c r="P76" i="5"/>
  <c r="N76" i="5"/>
  <c r="K76" i="5"/>
  <c r="G76" i="5"/>
  <c r="F76" i="5"/>
  <c r="E76" i="5"/>
  <c r="D76" i="5"/>
  <c r="Y75" i="5"/>
  <c r="X75" i="5"/>
  <c r="W75" i="5"/>
  <c r="U75" i="5"/>
  <c r="T75" i="5"/>
  <c r="S75" i="5"/>
  <c r="R75" i="5"/>
  <c r="Q75" i="5"/>
  <c r="P75" i="5"/>
  <c r="N75" i="5"/>
  <c r="K75" i="5"/>
  <c r="G75" i="5"/>
  <c r="F75" i="5"/>
  <c r="E75" i="5"/>
  <c r="D75" i="5"/>
  <c r="Y74" i="5"/>
  <c r="X74" i="5"/>
  <c r="W74" i="5"/>
  <c r="U74" i="5"/>
  <c r="T74" i="5"/>
  <c r="S74" i="5"/>
  <c r="R74" i="5"/>
  <c r="Q74" i="5"/>
  <c r="P74" i="5"/>
  <c r="N74" i="5"/>
  <c r="K74" i="5"/>
  <c r="G74" i="5"/>
  <c r="F74" i="5"/>
  <c r="E74" i="5"/>
  <c r="D74" i="5"/>
  <c r="Y73" i="5"/>
  <c r="X73" i="5"/>
  <c r="W73" i="5"/>
  <c r="U73" i="5"/>
  <c r="T73" i="5"/>
  <c r="S73" i="5"/>
  <c r="R73" i="5"/>
  <c r="Q73" i="5"/>
  <c r="P73" i="5"/>
  <c r="N73" i="5"/>
  <c r="K73" i="5"/>
  <c r="G73" i="5"/>
  <c r="F73" i="5"/>
  <c r="E73" i="5"/>
  <c r="D73" i="5"/>
  <c r="Y72" i="5"/>
  <c r="X72" i="5"/>
  <c r="W72" i="5"/>
  <c r="U72" i="5"/>
  <c r="T72" i="5"/>
  <c r="S72" i="5"/>
  <c r="R72" i="5"/>
  <c r="Q72" i="5"/>
  <c r="P72" i="5"/>
  <c r="N72" i="5"/>
  <c r="K72" i="5"/>
  <c r="G72" i="5"/>
  <c r="F72" i="5"/>
  <c r="E72" i="5"/>
  <c r="D72" i="5"/>
  <c r="Y71" i="5"/>
  <c r="X71" i="5"/>
  <c r="W71" i="5"/>
  <c r="U71" i="5"/>
  <c r="T71" i="5"/>
  <c r="S71" i="5"/>
  <c r="R71" i="5"/>
  <c r="Q71" i="5"/>
  <c r="P71" i="5"/>
  <c r="N71" i="5"/>
  <c r="K71" i="5"/>
  <c r="G71" i="5"/>
  <c r="F71" i="5"/>
  <c r="E71" i="5"/>
  <c r="D71" i="5"/>
  <c r="Y70" i="5"/>
  <c r="X70" i="5"/>
  <c r="W70" i="5"/>
  <c r="U70" i="5"/>
  <c r="T70" i="5"/>
  <c r="S70" i="5"/>
  <c r="R70" i="5"/>
  <c r="Q70" i="5"/>
  <c r="P70" i="5"/>
  <c r="N70" i="5"/>
  <c r="K70" i="5"/>
  <c r="G70" i="5"/>
  <c r="F70" i="5"/>
  <c r="E70" i="5"/>
  <c r="D70" i="5"/>
  <c r="Y69" i="5"/>
  <c r="X69" i="5"/>
  <c r="W69" i="5"/>
  <c r="U69" i="5"/>
  <c r="T69" i="5"/>
  <c r="S69" i="5"/>
  <c r="R69" i="5"/>
  <c r="Q69" i="5"/>
  <c r="P69" i="5"/>
  <c r="N69" i="5"/>
  <c r="K69" i="5"/>
  <c r="G69" i="5"/>
  <c r="F69" i="5"/>
  <c r="E69" i="5"/>
  <c r="D69" i="5"/>
  <c r="Y68" i="5"/>
  <c r="X68" i="5"/>
  <c r="W68" i="5"/>
  <c r="U68" i="5"/>
  <c r="T68" i="5"/>
  <c r="S68" i="5"/>
  <c r="R68" i="5"/>
  <c r="Q68" i="5"/>
  <c r="P68" i="5"/>
  <c r="N68" i="5"/>
  <c r="K68" i="5"/>
  <c r="G68" i="5"/>
  <c r="F68" i="5"/>
  <c r="E68" i="5"/>
  <c r="D68" i="5"/>
  <c r="Y67" i="5"/>
  <c r="X67" i="5"/>
  <c r="W67" i="5"/>
  <c r="U67" i="5"/>
  <c r="T67" i="5"/>
  <c r="S67" i="5"/>
  <c r="R67" i="5"/>
  <c r="Q67" i="5"/>
  <c r="P67" i="5"/>
  <c r="N67" i="5"/>
  <c r="K67" i="5"/>
  <c r="G67" i="5"/>
  <c r="F67" i="5"/>
  <c r="E67" i="5"/>
  <c r="D67" i="5"/>
  <c r="Y66" i="5"/>
  <c r="X66" i="5"/>
  <c r="W66" i="5"/>
  <c r="U66" i="5"/>
  <c r="T66" i="5"/>
  <c r="S66" i="5"/>
  <c r="R66" i="5"/>
  <c r="Q66" i="5"/>
  <c r="P66" i="5"/>
  <c r="N66" i="5"/>
  <c r="K66" i="5"/>
  <c r="G66" i="5"/>
  <c r="F66" i="5"/>
  <c r="E66" i="5"/>
  <c r="D66" i="5"/>
  <c r="Y65" i="5"/>
  <c r="X65" i="5"/>
  <c r="W65" i="5"/>
  <c r="U65" i="5"/>
  <c r="T65" i="5"/>
  <c r="S65" i="5"/>
  <c r="R65" i="5"/>
  <c r="Q65" i="5"/>
  <c r="P65" i="5"/>
  <c r="N65" i="5"/>
  <c r="K65" i="5"/>
  <c r="G65" i="5"/>
  <c r="F65" i="5"/>
  <c r="E65" i="5"/>
  <c r="D65" i="5"/>
  <c r="Y64" i="5"/>
  <c r="X64" i="5"/>
  <c r="W64" i="5"/>
  <c r="U64" i="5"/>
  <c r="T64" i="5"/>
  <c r="S64" i="5"/>
  <c r="R64" i="5"/>
  <c r="Q64" i="5"/>
  <c r="P64" i="5"/>
  <c r="N64" i="5"/>
  <c r="K64" i="5"/>
  <c r="G64" i="5"/>
  <c r="F64" i="5"/>
  <c r="L64" i="5" s="1"/>
  <c r="E64" i="5"/>
  <c r="D64" i="5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94" i="11" s="1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94" i="13" s="1"/>
  <c r="O366" i="2"/>
  <c r="O93" i="13" s="1"/>
  <c r="O365" i="2"/>
  <c r="O92" i="13" s="1"/>
  <c r="O364" i="2"/>
  <c r="O91" i="13" s="1"/>
  <c r="O363" i="2"/>
  <c r="O90" i="13" s="1"/>
  <c r="O362" i="2"/>
  <c r="O89" i="13" s="1"/>
  <c r="O361" i="2"/>
  <c r="O88" i="13" s="1"/>
  <c r="O360" i="2"/>
  <c r="O87" i="13" s="1"/>
  <c r="O359" i="2"/>
  <c r="O86" i="13" s="1"/>
  <c r="O358" i="2"/>
  <c r="O85" i="13" s="1"/>
  <c r="O357" i="2"/>
  <c r="O84" i="13" s="1"/>
  <c r="O356" i="2"/>
  <c r="O83" i="13" s="1"/>
  <c r="O355" i="2"/>
  <c r="O82" i="13" s="1"/>
  <c r="O354" i="2"/>
  <c r="O81" i="13" s="1"/>
  <c r="O353" i="2"/>
  <c r="O80" i="13" s="1"/>
  <c r="O352" i="2"/>
  <c r="O79" i="13" s="1"/>
  <c r="O351" i="2"/>
  <c r="O78" i="13" s="1"/>
  <c r="O350" i="2"/>
  <c r="O77" i="13" s="1"/>
  <c r="O349" i="2"/>
  <c r="O76" i="13" s="1"/>
  <c r="O348" i="2"/>
  <c r="O75" i="13" s="1"/>
  <c r="O347" i="2"/>
  <c r="O74" i="13" s="1"/>
  <c r="O346" i="2"/>
  <c r="O73" i="13" s="1"/>
  <c r="O345" i="2"/>
  <c r="O72" i="13" s="1"/>
  <c r="O344" i="2"/>
  <c r="O71" i="13" s="1"/>
  <c r="O343" i="2"/>
  <c r="O70" i="13" s="1"/>
  <c r="O342" i="2"/>
  <c r="O69" i="13" s="1"/>
  <c r="O341" i="2"/>
  <c r="O68" i="13" s="1"/>
  <c r="O340" i="2"/>
  <c r="O67" i="13" s="1"/>
  <c r="O339" i="2"/>
  <c r="O66" i="13" s="1"/>
  <c r="O338" i="2"/>
  <c r="O65" i="13" s="1"/>
  <c r="O337" i="2"/>
  <c r="O64" i="13" s="1"/>
  <c r="O336" i="2"/>
  <c r="O93" i="12" s="1"/>
  <c r="O335" i="2"/>
  <c r="O92" i="12" s="1"/>
  <c r="O334" i="2"/>
  <c r="O91" i="12" s="1"/>
  <c r="O333" i="2"/>
  <c r="O90" i="12" s="1"/>
  <c r="O332" i="2"/>
  <c r="O89" i="12" s="1"/>
  <c r="O331" i="2"/>
  <c r="O88" i="12" s="1"/>
  <c r="O330" i="2"/>
  <c r="O87" i="12" s="1"/>
  <c r="O329" i="2"/>
  <c r="O86" i="12" s="1"/>
  <c r="O328" i="2"/>
  <c r="O85" i="12" s="1"/>
  <c r="O327" i="2"/>
  <c r="O84" i="12" s="1"/>
  <c r="O326" i="2"/>
  <c r="O83" i="12" s="1"/>
  <c r="O325" i="2"/>
  <c r="O82" i="12" s="1"/>
  <c r="O324" i="2"/>
  <c r="O81" i="12" s="1"/>
  <c r="O323" i="2"/>
  <c r="O80" i="12" s="1"/>
  <c r="O322" i="2"/>
  <c r="O79" i="12" s="1"/>
  <c r="O321" i="2"/>
  <c r="O78" i="12" s="1"/>
  <c r="O320" i="2"/>
  <c r="O77" i="12" s="1"/>
  <c r="O319" i="2"/>
  <c r="O76" i="12" s="1"/>
  <c r="O318" i="2"/>
  <c r="O75" i="12" s="1"/>
  <c r="O317" i="2"/>
  <c r="O74" i="12" s="1"/>
  <c r="O316" i="2"/>
  <c r="O73" i="12" s="1"/>
  <c r="O315" i="2"/>
  <c r="O72" i="12" s="1"/>
  <c r="O314" i="2"/>
  <c r="O71" i="12" s="1"/>
  <c r="O313" i="2"/>
  <c r="O70" i="12" s="1"/>
  <c r="O312" i="2"/>
  <c r="O69" i="12" s="1"/>
  <c r="O311" i="2"/>
  <c r="O68" i="12" s="1"/>
  <c r="O310" i="2"/>
  <c r="O67" i="12" s="1"/>
  <c r="O309" i="2"/>
  <c r="O66" i="12" s="1"/>
  <c r="O308" i="2"/>
  <c r="O65" i="12" s="1"/>
  <c r="O307" i="2"/>
  <c r="O64" i="12" s="1"/>
  <c r="O306" i="2"/>
  <c r="O305" i="2"/>
  <c r="O93" i="11" s="1"/>
  <c r="O304" i="2"/>
  <c r="O92" i="11" s="1"/>
  <c r="O303" i="2"/>
  <c r="O91" i="11" s="1"/>
  <c r="O302" i="2"/>
  <c r="O90" i="11" s="1"/>
  <c r="O301" i="2"/>
  <c r="O89" i="11" s="1"/>
  <c r="O300" i="2"/>
  <c r="O88" i="11" s="1"/>
  <c r="O299" i="2"/>
  <c r="O87" i="11" s="1"/>
  <c r="O298" i="2"/>
  <c r="O86" i="11" s="1"/>
  <c r="O297" i="2"/>
  <c r="O85" i="11" s="1"/>
  <c r="O296" i="2"/>
  <c r="O84" i="11" s="1"/>
  <c r="O295" i="2"/>
  <c r="O83" i="11" s="1"/>
  <c r="O294" i="2"/>
  <c r="O82" i="11" s="1"/>
  <c r="O293" i="2"/>
  <c r="O81" i="11" s="1"/>
  <c r="O292" i="2"/>
  <c r="O80" i="11" s="1"/>
  <c r="O291" i="2"/>
  <c r="O79" i="11" s="1"/>
  <c r="O290" i="2"/>
  <c r="O78" i="11" s="1"/>
  <c r="O289" i="2"/>
  <c r="O77" i="11" s="1"/>
  <c r="O288" i="2"/>
  <c r="O76" i="11" s="1"/>
  <c r="O287" i="2"/>
  <c r="O75" i="11" s="1"/>
  <c r="O286" i="2"/>
  <c r="O74" i="11" s="1"/>
  <c r="O285" i="2"/>
  <c r="O73" i="11" s="1"/>
  <c r="O284" i="2"/>
  <c r="O72" i="11" s="1"/>
  <c r="O283" i="2"/>
  <c r="O71" i="11" s="1"/>
  <c r="O282" i="2"/>
  <c r="O70" i="11" s="1"/>
  <c r="O281" i="2"/>
  <c r="O69" i="11" s="1"/>
  <c r="O280" i="2"/>
  <c r="O68" i="11" s="1"/>
  <c r="O279" i="2"/>
  <c r="O67" i="11" s="1"/>
  <c r="O278" i="2"/>
  <c r="O66" i="11" s="1"/>
  <c r="O277" i="2"/>
  <c r="O65" i="11" s="1"/>
  <c r="O276" i="2"/>
  <c r="O64" i="11" s="1"/>
  <c r="O275" i="2"/>
  <c r="O93" i="10" s="1"/>
  <c r="O274" i="2"/>
  <c r="O92" i="10" s="1"/>
  <c r="O273" i="2"/>
  <c r="O91" i="10" s="1"/>
  <c r="O272" i="2"/>
  <c r="O90" i="10" s="1"/>
  <c r="O271" i="2"/>
  <c r="O89" i="10" s="1"/>
  <c r="O270" i="2"/>
  <c r="O88" i="10" s="1"/>
  <c r="O269" i="2"/>
  <c r="O87" i="10" s="1"/>
  <c r="O268" i="2"/>
  <c r="O86" i="10" s="1"/>
  <c r="O267" i="2"/>
  <c r="O85" i="10" s="1"/>
  <c r="O266" i="2"/>
  <c r="O84" i="10" s="1"/>
  <c r="O265" i="2"/>
  <c r="O83" i="10" s="1"/>
  <c r="O264" i="2"/>
  <c r="O82" i="10" s="1"/>
  <c r="O263" i="2"/>
  <c r="O81" i="10" s="1"/>
  <c r="O262" i="2"/>
  <c r="O80" i="10" s="1"/>
  <c r="O261" i="2"/>
  <c r="O79" i="10" s="1"/>
  <c r="O260" i="2"/>
  <c r="O78" i="10" s="1"/>
  <c r="O259" i="2"/>
  <c r="O77" i="10" s="1"/>
  <c r="O258" i="2"/>
  <c r="O76" i="10" s="1"/>
  <c r="O257" i="2"/>
  <c r="O75" i="10" s="1"/>
  <c r="O256" i="2"/>
  <c r="O74" i="10" s="1"/>
  <c r="O255" i="2"/>
  <c r="O73" i="10" s="1"/>
  <c r="O254" i="2"/>
  <c r="O72" i="10" s="1"/>
  <c r="O253" i="2"/>
  <c r="O71" i="10" s="1"/>
  <c r="O252" i="2"/>
  <c r="O70" i="10" s="1"/>
  <c r="O251" i="2"/>
  <c r="O69" i="10" s="1"/>
  <c r="O250" i="2"/>
  <c r="O68" i="10" s="1"/>
  <c r="O249" i="2"/>
  <c r="O67" i="10" s="1"/>
  <c r="O248" i="2"/>
  <c r="O66" i="10" s="1"/>
  <c r="O247" i="2"/>
  <c r="O65" i="10" s="1"/>
  <c r="O246" i="2"/>
  <c r="O64" i="10" s="1"/>
  <c r="O245" i="2"/>
  <c r="O94" i="9" s="1"/>
  <c r="O244" i="2"/>
  <c r="O93" i="9" s="1"/>
  <c r="O243" i="2"/>
  <c r="O92" i="9" s="1"/>
  <c r="O242" i="2"/>
  <c r="O91" i="9" s="1"/>
  <c r="O241" i="2"/>
  <c r="O90" i="9" s="1"/>
  <c r="O240" i="2"/>
  <c r="O89" i="9" s="1"/>
  <c r="O239" i="2"/>
  <c r="O88" i="9" s="1"/>
  <c r="O238" i="2"/>
  <c r="O87" i="9" s="1"/>
  <c r="O237" i="2"/>
  <c r="O86" i="9" s="1"/>
  <c r="O236" i="2"/>
  <c r="O85" i="9" s="1"/>
  <c r="O235" i="2"/>
  <c r="O84" i="9" s="1"/>
  <c r="O234" i="2"/>
  <c r="O83" i="9" s="1"/>
  <c r="O233" i="2"/>
  <c r="O82" i="9" s="1"/>
  <c r="O232" i="2"/>
  <c r="O81" i="9" s="1"/>
  <c r="O231" i="2"/>
  <c r="O80" i="9" s="1"/>
  <c r="O230" i="2"/>
  <c r="O79" i="9" s="1"/>
  <c r="O229" i="2"/>
  <c r="O78" i="9" s="1"/>
  <c r="O228" i="2"/>
  <c r="O77" i="9" s="1"/>
  <c r="O227" i="2"/>
  <c r="O76" i="9" s="1"/>
  <c r="O226" i="2"/>
  <c r="O75" i="9" s="1"/>
  <c r="O225" i="2"/>
  <c r="O74" i="9" s="1"/>
  <c r="O224" i="2"/>
  <c r="O73" i="9" s="1"/>
  <c r="O223" i="2"/>
  <c r="O72" i="9" s="1"/>
  <c r="O222" i="2"/>
  <c r="O71" i="9" s="1"/>
  <c r="O221" i="2"/>
  <c r="O70" i="9" s="1"/>
  <c r="O220" i="2"/>
  <c r="O69" i="9" s="1"/>
  <c r="O219" i="2"/>
  <c r="O68" i="9" s="1"/>
  <c r="O218" i="2"/>
  <c r="O67" i="9" s="1"/>
  <c r="O217" i="2"/>
  <c r="O66" i="9" s="1"/>
  <c r="O216" i="2"/>
  <c r="O65" i="9" s="1"/>
  <c r="O215" i="2"/>
  <c r="O64" i="9" s="1"/>
  <c r="O214" i="2"/>
  <c r="O94" i="5" s="1"/>
  <c r="O213" i="2"/>
  <c r="O93" i="5" s="1"/>
  <c r="O212" i="2"/>
  <c r="O92" i="5" s="1"/>
  <c r="O211" i="2"/>
  <c r="O91" i="5" s="1"/>
  <c r="O210" i="2"/>
  <c r="O90" i="5" s="1"/>
  <c r="O209" i="2"/>
  <c r="O89" i="5" s="1"/>
  <c r="O208" i="2"/>
  <c r="O88" i="5" s="1"/>
  <c r="O207" i="2"/>
  <c r="O87" i="5" s="1"/>
  <c r="O206" i="2"/>
  <c r="O86" i="5" s="1"/>
  <c r="O205" i="2"/>
  <c r="O85" i="5" s="1"/>
  <c r="O204" i="2"/>
  <c r="O84" i="5" s="1"/>
  <c r="O203" i="2"/>
  <c r="O83" i="5" s="1"/>
  <c r="O202" i="2"/>
  <c r="O82" i="5" s="1"/>
  <c r="O201" i="2"/>
  <c r="O81" i="5" s="1"/>
  <c r="O200" i="2"/>
  <c r="O80" i="5" s="1"/>
  <c r="O199" i="2"/>
  <c r="O79" i="5" s="1"/>
  <c r="O198" i="2"/>
  <c r="O78" i="5" s="1"/>
  <c r="O197" i="2"/>
  <c r="O77" i="5" s="1"/>
  <c r="O196" i="2"/>
  <c r="O76" i="5" s="1"/>
  <c r="O195" i="2"/>
  <c r="O75" i="5" s="1"/>
  <c r="O194" i="2"/>
  <c r="O74" i="5" s="1"/>
  <c r="O193" i="2"/>
  <c r="O73" i="5" s="1"/>
  <c r="O192" i="2"/>
  <c r="O72" i="5" s="1"/>
  <c r="O191" i="2"/>
  <c r="O71" i="5" s="1"/>
  <c r="O190" i="2"/>
  <c r="O70" i="5" s="1"/>
  <c r="O189" i="2"/>
  <c r="O69" i="5" s="1"/>
  <c r="O188" i="2"/>
  <c r="O68" i="5" s="1"/>
  <c r="O187" i="2"/>
  <c r="O67" i="5" s="1"/>
  <c r="O186" i="2"/>
  <c r="O66" i="5" s="1"/>
  <c r="O185" i="2"/>
  <c r="O65" i="5" s="1"/>
  <c r="O184" i="2"/>
  <c r="O64" i="5" s="1"/>
  <c r="O183" i="2"/>
  <c r="O93" i="3" s="1"/>
  <c r="O182" i="2"/>
  <c r="O92" i="3" s="1"/>
  <c r="O181" i="2"/>
  <c r="O91" i="3" s="1"/>
  <c r="O180" i="2"/>
  <c r="O90" i="3" s="1"/>
  <c r="O179" i="2"/>
  <c r="O89" i="3" s="1"/>
  <c r="O178" i="2"/>
  <c r="O88" i="3" s="1"/>
  <c r="O177" i="2"/>
  <c r="O87" i="3" s="1"/>
  <c r="O176" i="2"/>
  <c r="O86" i="3" s="1"/>
  <c r="O175" i="2"/>
  <c r="O85" i="3" s="1"/>
  <c r="O174" i="2"/>
  <c r="O84" i="3" s="1"/>
  <c r="O173" i="2"/>
  <c r="O83" i="3" s="1"/>
  <c r="O172" i="2"/>
  <c r="O82" i="3" s="1"/>
  <c r="O171" i="2"/>
  <c r="O81" i="3" s="1"/>
  <c r="O170" i="2"/>
  <c r="O80" i="3" s="1"/>
  <c r="O169" i="2"/>
  <c r="O79" i="3" s="1"/>
  <c r="O168" i="2"/>
  <c r="O78" i="3" s="1"/>
  <c r="O167" i="2"/>
  <c r="O77" i="3" s="1"/>
  <c r="O166" i="2"/>
  <c r="O76" i="3" s="1"/>
  <c r="O165" i="2"/>
  <c r="O75" i="3" s="1"/>
  <c r="O164" i="2"/>
  <c r="O74" i="3" s="1"/>
  <c r="O163" i="2"/>
  <c r="O73" i="3" s="1"/>
  <c r="O162" i="2"/>
  <c r="O72" i="3" s="1"/>
  <c r="O161" i="2"/>
  <c r="O71" i="3" s="1"/>
  <c r="O160" i="2"/>
  <c r="O70" i="3" s="1"/>
  <c r="O159" i="2"/>
  <c r="O69" i="3" s="1"/>
  <c r="O158" i="2"/>
  <c r="O68" i="3" s="1"/>
  <c r="O157" i="2"/>
  <c r="O67" i="3" s="1"/>
  <c r="O156" i="2"/>
  <c r="O66" i="3" s="1"/>
  <c r="O155" i="2"/>
  <c r="O65" i="3" s="1"/>
  <c r="O154" i="2"/>
  <c r="O64" i="3" s="1"/>
  <c r="O153" i="2"/>
  <c r="O94" i="4" s="1"/>
  <c r="O152" i="2"/>
  <c r="O93" i="4" s="1"/>
  <c r="O151" i="2"/>
  <c r="O92" i="4" s="1"/>
  <c r="O150" i="2"/>
  <c r="O91" i="4" s="1"/>
  <c r="O149" i="2"/>
  <c r="O90" i="4" s="1"/>
  <c r="O148" i="2"/>
  <c r="O89" i="4" s="1"/>
  <c r="O147" i="2"/>
  <c r="O88" i="4" s="1"/>
  <c r="O146" i="2"/>
  <c r="O87" i="4" s="1"/>
  <c r="O145" i="2"/>
  <c r="O86" i="4" s="1"/>
  <c r="O144" i="2"/>
  <c r="O85" i="4" s="1"/>
  <c r="O143" i="2"/>
  <c r="O84" i="4" s="1"/>
  <c r="O142" i="2"/>
  <c r="O83" i="4" s="1"/>
  <c r="O141" i="2"/>
  <c r="O82" i="4" s="1"/>
  <c r="O140" i="2"/>
  <c r="O81" i="4" s="1"/>
  <c r="O139" i="2"/>
  <c r="O80" i="4" s="1"/>
  <c r="O138" i="2"/>
  <c r="O79" i="4" s="1"/>
  <c r="O137" i="2"/>
  <c r="O78" i="4" s="1"/>
  <c r="O136" i="2"/>
  <c r="O77" i="4" s="1"/>
  <c r="O135" i="2"/>
  <c r="O76" i="4" s="1"/>
  <c r="O134" i="2"/>
  <c r="O75" i="4" s="1"/>
  <c r="O133" i="2"/>
  <c r="O74" i="4" s="1"/>
  <c r="O132" i="2"/>
  <c r="O73" i="4" s="1"/>
  <c r="O131" i="2"/>
  <c r="O72" i="4" s="1"/>
  <c r="O130" i="2"/>
  <c r="O71" i="4" s="1"/>
  <c r="O129" i="2"/>
  <c r="O70" i="4" s="1"/>
  <c r="O128" i="2"/>
  <c r="O69" i="4" s="1"/>
  <c r="O127" i="2"/>
  <c r="O68" i="4" s="1"/>
  <c r="O126" i="2"/>
  <c r="O67" i="4" s="1"/>
  <c r="O125" i="2"/>
  <c r="O66" i="4" s="1"/>
  <c r="O124" i="2"/>
  <c r="O65" i="4" s="1"/>
  <c r="O123" i="2"/>
  <c r="O64" i="4" s="1"/>
  <c r="O122" i="2"/>
  <c r="O93" i="1" s="1"/>
  <c r="O121" i="2"/>
  <c r="O92" i="1" s="1"/>
  <c r="O120" i="2"/>
  <c r="O91" i="1" s="1"/>
  <c r="O119" i="2"/>
  <c r="O90" i="1" s="1"/>
  <c r="O118" i="2"/>
  <c r="O89" i="1" s="1"/>
  <c r="O117" i="2"/>
  <c r="O88" i="1" s="1"/>
  <c r="O116" i="2"/>
  <c r="O87" i="1" s="1"/>
  <c r="O115" i="2"/>
  <c r="O86" i="1" s="1"/>
  <c r="O114" i="2"/>
  <c r="O85" i="1" s="1"/>
  <c r="O113" i="2"/>
  <c r="O84" i="1" s="1"/>
  <c r="O112" i="2"/>
  <c r="O83" i="1" s="1"/>
  <c r="O111" i="2"/>
  <c r="O82" i="1" s="1"/>
  <c r="O110" i="2"/>
  <c r="O81" i="1" s="1"/>
  <c r="O109" i="2"/>
  <c r="O80" i="1" s="1"/>
  <c r="O108" i="2"/>
  <c r="O79" i="1" s="1"/>
  <c r="O107" i="2"/>
  <c r="O78" i="1" s="1"/>
  <c r="O106" i="2"/>
  <c r="O77" i="1" s="1"/>
  <c r="O105" i="2"/>
  <c r="O76" i="1" s="1"/>
  <c r="O104" i="2"/>
  <c r="O75" i="1" s="1"/>
  <c r="O103" i="2"/>
  <c r="O74" i="1" s="1"/>
  <c r="O102" i="2"/>
  <c r="O73" i="1" s="1"/>
  <c r="O101" i="2"/>
  <c r="O72" i="1" s="1"/>
  <c r="O100" i="2"/>
  <c r="O71" i="1" s="1"/>
  <c r="O99" i="2"/>
  <c r="O70" i="1" s="1"/>
  <c r="O98" i="2"/>
  <c r="O69" i="1" s="1"/>
  <c r="O97" i="2"/>
  <c r="O68" i="1" s="1"/>
  <c r="O96" i="2"/>
  <c r="O67" i="1" s="1"/>
  <c r="O95" i="2"/>
  <c r="O66" i="1" s="1"/>
  <c r="O94" i="2"/>
  <c r="O65" i="1" s="1"/>
  <c r="O93" i="2"/>
  <c r="O64" i="1" s="1"/>
  <c r="O92" i="2"/>
  <c r="O94" i="16" s="1"/>
  <c r="O91" i="2"/>
  <c r="O93" i="16" s="1"/>
  <c r="O90" i="2"/>
  <c r="O92" i="16" s="1"/>
  <c r="O89" i="2"/>
  <c r="O91" i="16" s="1"/>
  <c r="O88" i="2"/>
  <c r="O90" i="16" s="1"/>
  <c r="O87" i="2"/>
  <c r="O89" i="16" s="1"/>
  <c r="O86" i="2"/>
  <c r="O88" i="16" s="1"/>
  <c r="O85" i="2"/>
  <c r="O87" i="16" s="1"/>
  <c r="O84" i="2"/>
  <c r="O86" i="16" s="1"/>
  <c r="O83" i="2"/>
  <c r="O85" i="16" s="1"/>
  <c r="O82" i="2"/>
  <c r="O84" i="16" s="1"/>
  <c r="O81" i="2"/>
  <c r="O83" i="16" s="1"/>
  <c r="O80" i="2"/>
  <c r="O82" i="16" s="1"/>
  <c r="O79" i="2"/>
  <c r="O81" i="16" s="1"/>
  <c r="O78" i="2"/>
  <c r="O80" i="16" s="1"/>
  <c r="O77" i="2"/>
  <c r="O79" i="16" s="1"/>
  <c r="O76" i="2"/>
  <c r="O78" i="16" s="1"/>
  <c r="O75" i="2"/>
  <c r="O77" i="16" s="1"/>
  <c r="I77" i="16" s="1"/>
  <c r="O74" i="2"/>
  <c r="O76" i="16" s="1"/>
  <c r="O73" i="2"/>
  <c r="O75" i="16" s="1"/>
  <c r="O72" i="2"/>
  <c r="O74" i="16" s="1"/>
  <c r="O71" i="2"/>
  <c r="O73" i="16" s="1"/>
  <c r="O70" i="2"/>
  <c r="O72" i="16" s="1"/>
  <c r="O69" i="2"/>
  <c r="O71" i="16" s="1"/>
  <c r="O68" i="2"/>
  <c r="O70" i="16" s="1"/>
  <c r="O67" i="2"/>
  <c r="O69" i="16" s="1"/>
  <c r="I69" i="16" s="1"/>
  <c r="O66" i="2"/>
  <c r="O68" i="16" s="1"/>
  <c r="O65" i="2"/>
  <c r="O67" i="16" s="1"/>
  <c r="O64" i="2"/>
  <c r="O66" i="16" s="1"/>
  <c r="O63" i="2"/>
  <c r="O65" i="16" s="1"/>
  <c r="O62" i="2"/>
  <c r="O64" i="16" s="1"/>
  <c r="O61" i="2"/>
  <c r="O91" i="15" s="1"/>
  <c r="O60" i="2"/>
  <c r="O90" i="15" s="1"/>
  <c r="O59" i="2"/>
  <c r="O89" i="15" s="1"/>
  <c r="I89" i="15" s="1"/>
  <c r="O58" i="2"/>
  <c r="O88" i="15" s="1"/>
  <c r="O57" i="2"/>
  <c r="O87" i="15" s="1"/>
  <c r="O56" i="2"/>
  <c r="O86" i="15" s="1"/>
  <c r="I86" i="15" s="1"/>
  <c r="O55" i="2"/>
  <c r="O85" i="15" s="1"/>
  <c r="O54" i="2"/>
  <c r="O84" i="15" s="1"/>
  <c r="O53" i="2"/>
  <c r="O83" i="15" s="1"/>
  <c r="O52" i="2"/>
  <c r="O82" i="15" s="1"/>
  <c r="O51" i="2"/>
  <c r="O81" i="15" s="1"/>
  <c r="O50" i="2"/>
  <c r="O80" i="15" s="1"/>
  <c r="O49" i="2"/>
  <c r="O79" i="15" s="1"/>
  <c r="O48" i="2"/>
  <c r="O78" i="15" s="1"/>
  <c r="I78" i="15" s="1"/>
  <c r="O47" i="2"/>
  <c r="O77" i="15" s="1"/>
  <c r="O46" i="2"/>
  <c r="O76" i="15" s="1"/>
  <c r="O45" i="2"/>
  <c r="O75" i="15" s="1"/>
  <c r="O44" i="2"/>
  <c r="O74" i="15" s="1"/>
  <c r="O43" i="2"/>
  <c r="O73" i="15" s="1"/>
  <c r="I73" i="15" s="1"/>
  <c r="O42" i="2"/>
  <c r="O72" i="15" s="1"/>
  <c r="O41" i="2"/>
  <c r="O71" i="15" s="1"/>
  <c r="O40" i="2"/>
  <c r="O70" i="15" s="1"/>
  <c r="O39" i="2"/>
  <c r="O69" i="15" s="1"/>
  <c r="O38" i="2"/>
  <c r="O68" i="15" s="1"/>
  <c r="O37" i="2"/>
  <c r="O67" i="15" s="1"/>
  <c r="O36" i="2"/>
  <c r="O66" i="15" s="1"/>
  <c r="O35" i="2"/>
  <c r="O65" i="15" s="1"/>
  <c r="O34" i="2"/>
  <c r="O64" i="15" s="1"/>
  <c r="O33" i="2"/>
  <c r="O94" i="14" s="1"/>
  <c r="O32" i="2"/>
  <c r="O93" i="14" s="1"/>
  <c r="O31" i="2"/>
  <c r="O92" i="14" s="1"/>
  <c r="O30" i="2"/>
  <c r="O91" i="14" s="1"/>
  <c r="O29" i="2"/>
  <c r="O90" i="14" s="1"/>
  <c r="O28" i="2"/>
  <c r="O89" i="14" s="1"/>
  <c r="O27" i="2"/>
  <c r="O88" i="14" s="1"/>
  <c r="O26" i="2"/>
  <c r="O87" i="14" s="1"/>
  <c r="O25" i="2"/>
  <c r="O86" i="14" s="1"/>
  <c r="O24" i="2"/>
  <c r="O85" i="14" s="1"/>
  <c r="O23" i="2"/>
  <c r="O84" i="14" s="1"/>
  <c r="O22" i="2"/>
  <c r="O83" i="14" s="1"/>
  <c r="O21" i="2"/>
  <c r="O82" i="14" s="1"/>
  <c r="O20" i="2"/>
  <c r="O81" i="14" s="1"/>
  <c r="O19" i="2"/>
  <c r="O80" i="14" s="1"/>
  <c r="O18" i="2"/>
  <c r="O79" i="14" s="1"/>
  <c r="O17" i="2"/>
  <c r="O78" i="14" s="1"/>
  <c r="O16" i="2"/>
  <c r="O77" i="14" s="1"/>
  <c r="O15" i="2"/>
  <c r="O76" i="14" s="1"/>
  <c r="O14" i="2"/>
  <c r="O75" i="14" s="1"/>
  <c r="O13" i="2"/>
  <c r="O74" i="14" s="1"/>
  <c r="O12" i="2"/>
  <c r="O73" i="14" s="1"/>
  <c r="O11" i="2"/>
  <c r="O72" i="14" s="1"/>
  <c r="O10" i="2"/>
  <c r="O71" i="14" s="1"/>
  <c r="O9" i="2"/>
  <c r="O70" i="14" s="1"/>
  <c r="O8" i="2"/>
  <c r="O69" i="14" s="1"/>
  <c r="O7" i="2"/>
  <c r="O68" i="14" s="1"/>
  <c r="O6" i="2"/>
  <c r="O67" i="14" s="1"/>
  <c r="O5" i="2"/>
  <c r="O66" i="14" s="1"/>
  <c r="O4" i="2"/>
  <c r="O65" i="14" s="1"/>
  <c r="O3" i="2"/>
  <c r="O64" i="14" s="1"/>
  <c r="K45" i="16"/>
  <c r="G45" i="16"/>
  <c r="F45" i="16"/>
  <c r="E45" i="16"/>
  <c r="D45" i="16"/>
  <c r="C45" i="16"/>
  <c r="N14" i="17"/>
  <c r="W14" i="17"/>
  <c r="V14" i="17"/>
  <c r="U14" i="17"/>
  <c r="T14" i="17"/>
  <c r="S14" i="17"/>
  <c r="R14" i="17"/>
  <c r="Q14" i="17"/>
  <c r="J14" i="17"/>
  <c r="I14" i="17"/>
  <c r="H14" i="17"/>
  <c r="G14" i="17"/>
  <c r="F14" i="17"/>
  <c r="K589" i="2"/>
  <c r="G589" i="2"/>
  <c r="K588" i="2"/>
  <c r="G588" i="2"/>
  <c r="K587" i="2"/>
  <c r="G587" i="2"/>
  <c r="K586" i="2"/>
  <c r="G586" i="2"/>
  <c r="K585" i="2"/>
  <c r="G585" i="2"/>
  <c r="K584" i="2"/>
  <c r="G584" i="2"/>
  <c r="K583" i="2"/>
  <c r="G583" i="2"/>
  <c r="K582" i="2"/>
  <c r="G582" i="2"/>
  <c r="K581" i="2"/>
  <c r="G581" i="2"/>
  <c r="K580" i="2"/>
  <c r="G580" i="2"/>
  <c r="K579" i="2"/>
  <c r="L579" i="2" s="1"/>
  <c r="H579" i="2"/>
  <c r="G579" i="2"/>
  <c r="K578" i="2"/>
  <c r="L578" i="2" s="1"/>
  <c r="H578" i="2"/>
  <c r="G578" i="2"/>
  <c r="K577" i="2"/>
  <c r="L577" i="2" s="1"/>
  <c r="H577" i="2"/>
  <c r="G577" i="2"/>
  <c r="K576" i="2"/>
  <c r="L576" i="2" s="1"/>
  <c r="H576" i="2"/>
  <c r="G576" i="2"/>
  <c r="K575" i="2"/>
  <c r="L575" i="2" s="1"/>
  <c r="H575" i="2"/>
  <c r="G575" i="2"/>
  <c r="K574" i="2"/>
  <c r="L574" i="2" s="1"/>
  <c r="H574" i="2"/>
  <c r="G574" i="2"/>
  <c r="K573" i="2"/>
  <c r="L573" i="2" s="1"/>
  <c r="H573" i="2"/>
  <c r="G573" i="2"/>
  <c r="K572" i="2"/>
  <c r="L572" i="2" s="1"/>
  <c r="H572" i="2"/>
  <c r="G572" i="2"/>
  <c r="F586" i="2"/>
  <c r="E586" i="2"/>
  <c r="D586" i="2"/>
  <c r="F585" i="2"/>
  <c r="E585" i="2"/>
  <c r="D585" i="2"/>
  <c r="F584" i="2"/>
  <c r="E584" i="2"/>
  <c r="D584" i="2"/>
  <c r="F583" i="2"/>
  <c r="E583" i="2"/>
  <c r="D583" i="2"/>
  <c r="F582" i="2"/>
  <c r="E582" i="2"/>
  <c r="D582" i="2"/>
  <c r="F581" i="2"/>
  <c r="E581" i="2"/>
  <c r="D581" i="2"/>
  <c r="F580" i="2"/>
  <c r="E580" i="2"/>
  <c r="D580" i="2"/>
  <c r="V45" i="16"/>
  <c r="U45" i="16"/>
  <c r="T45" i="16"/>
  <c r="S45" i="16"/>
  <c r="Q45" i="16"/>
  <c r="P45" i="16"/>
  <c r="N45" i="16"/>
  <c r="V45" i="1"/>
  <c r="U45" i="1"/>
  <c r="T45" i="1"/>
  <c r="S45" i="1"/>
  <c r="Q45" i="1"/>
  <c r="P45" i="1"/>
  <c r="N45" i="1"/>
  <c r="K45" i="1"/>
  <c r="V45" i="4"/>
  <c r="U45" i="4"/>
  <c r="T45" i="4"/>
  <c r="S45" i="4"/>
  <c r="K45" i="4"/>
  <c r="V45" i="3"/>
  <c r="T45" i="3"/>
  <c r="S45" i="3"/>
  <c r="V45" i="5"/>
  <c r="V45" i="9"/>
  <c r="U45" i="9"/>
  <c r="P45" i="9"/>
  <c r="N45" i="9"/>
  <c r="V45" i="10"/>
  <c r="V45" i="11"/>
  <c r="V45" i="12"/>
  <c r="V45" i="13"/>
  <c r="V45" i="15"/>
  <c r="U45" i="15"/>
  <c r="T45" i="15"/>
  <c r="S45" i="15"/>
  <c r="Q45" i="15"/>
  <c r="P45" i="15"/>
  <c r="N45" i="15"/>
  <c r="K45" i="15"/>
  <c r="A63" i="15"/>
  <c r="A94" i="15" s="1"/>
  <c r="A63" i="16"/>
  <c r="A93" i="16" s="1"/>
  <c r="A63" i="1"/>
  <c r="A92" i="1" s="1"/>
  <c r="A63" i="4"/>
  <c r="A91" i="4" s="1"/>
  <c r="A63" i="3"/>
  <c r="A90" i="3" s="1"/>
  <c r="A63" i="5"/>
  <c r="A89" i="5" s="1"/>
  <c r="A63" i="9"/>
  <c r="A69" i="9" s="1"/>
  <c r="A63" i="10"/>
  <c r="A91" i="10" s="1"/>
  <c r="A63" i="11"/>
  <c r="A94" i="11" s="1"/>
  <c r="A63" i="12"/>
  <c r="A93" i="12" s="1"/>
  <c r="A63" i="13"/>
  <c r="A92" i="13" s="1"/>
  <c r="A63" i="14"/>
  <c r="A88" i="14" s="1"/>
  <c r="A60" i="15"/>
  <c r="A60" i="16"/>
  <c r="A60" i="1"/>
  <c r="A60" i="4"/>
  <c r="A60" i="3"/>
  <c r="A60" i="10"/>
  <c r="A60" i="11"/>
  <c r="A60" i="12"/>
  <c r="A60" i="14"/>
  <c r="M52" i="15"/>
  <c r="M52" i="16"/>
  <c r="M52" i="1"/>
  <c r="M52" i="4"/>
  <c r="M52" i="3"/>
  <c r="M52" i="14"/>
  <c r="V45" i="14"/>
  <c r="L67" i="16" l="1"/>
  <c r="L79" i="16"/>
  <c r="O14" i="17"/>
  <c r="C73" i="5"/>
  <c r="H73" i="5" s="1"/>
  <c r="C81" i="5"/>
  <c r="H81" i="5" s="1"/>
  <c r="L68" i="14"/>
  <c r="L77" i="13"/>
  <c r="L75" i="11"/>
  <c r="L89" i="3"/>
  <c r="R45" i="16"/>
  <c r="N45" i="3"/>
  <c r="L68" i="13"/>
  <c r="L84" i="13"/>
  <c r="K45" i="3"/>
  <c r="L88" i="16"/>
  <c r="L68" i="15"/>
  <c r="G45" i="15"/>
  <c r="L72" i="13"/>
  <c r="C94" i="13"/>
  <c r="L79" i="12"/>
  <c r="L86" i="12"/>
  <c r="P45" i="10"/>
  <c r="O45" i="8" s="1"/>
  <c r="L69" i="4"/>
  <c r="C81" i="4"/>
  <c r="H81" i="4" s="1"/>
  <c r="K45" i="9"/>
  <c r="P45" i="4"/>
  <c r="N45" i="4"/>
  <c r="Q45" i="4"/>
  <c r="R45" i="3"/>
  <c r="R45" i="4"/>
  <c r="R45" i="1"/>
  <c r="R45" i="15"/>
  <c r="P45" i="3"/>
  <c r="L92" i="3"/>
  <c r="L85" i="4"/>
  <c r="L64" i="15"/>
  <c r="C64" i="5"/>
  <c r="T45" i="9"/>
  <c r="I72" i="16"/>
  <c r="I88" i="16"/>
  <c r="I75" i="4"/>
  <c r="I65" i="10"/>
  <c r="L80" i="15"/>
  <c r="L70" i="5"/>
  <c r="L68" i="12"/>
  <c r="P45" i="12"/>
  <c r="O55" i="8" s="1"/>
  <c r="L70" i="11"/>
  <c r="L81" i="9"/>
  <c r="L86" i="1"/>
  <c r="I92" i="1"/>
  <c r="I90" i="9"/>
  <c r="L91" i="12"/>
  <c r="L94" i="10"/>
  <c r="C76" i="15"/>
  <c r="L80" i="14"/>
  <c r="L73" i="13"/>
  <c r="L92" i="11"/>
  <c r="L69" i="10"/>
  <c r="L86" i="9"/>
  <c r="L93" i="9"/>
  <c r="L70" i="3"/>
  <c r="L76" i="16"/>
  <c r="H64" i="5"/>
  <c r="H92" i="15"/>
  <c r="F45" i="1"/>
  <c r="L81" i="11"/>
  <c r="L89" i="11"/>
  <c r="D45" i="15"/>
  <c r="C84" i="12"/>
  <c r="C87" i="5"/>
  <c r="E45" i="4"/>
  <c r="E45" i="1"/>
  <c r="C91" i="15"/>
  <c r="H91" i="15" s="1"/>
  <c r="C69" i="5"/>
  <c r="C66" i="5"/>
  <c r="H66" i="5" s="1"/>
  <c r="J86" i="15"/>
  <c r="D45" i="1"/>
  <c r="C75" i="1"/>
  <c r="C68" i="13"/>
  <c r="H68" i="13" s="1"/>
  <c r="C84" i="13"/>
  <c r="C69" i="12"/>
  <c r="H69" i="12" s="1"/>
  <c r="C85" i="12"/>
  <c r="H85" i="12" s="1"/>
  <c r="C76" i="11"/>
  <c r="H76" i="11" s="1"/>
  <c r="C84" i="11"/>
  <c r="H84" i="11" s="1"/>
  <c r="C70" i="5"/>
  <c r="H70" i="5" s="1"/>
  <c r="C88" i="5"/>
  <c r="H88" i="5" s="1"/>
  <c r="C65" i="14"/>
  <c r="H65" i="14" s="1"/>
  <c r="C82" i="14"/>
  <c r="H82" i="14" s="1"/>
  <c r="C86" i="12"/>
  <c r="H86" i="12" s="1"/>
  <c r="C88" i="11"/>
  <c r="C67" i="15"/>
  <c r="H67" i="15" s="1"/>
  <c r="E45" i="15"/>
  <c r="C72" i="13"/>
  <c r="H72" i="13" s="1"/>
  <c r="C65" i="12"/>
  <c r="H65" i="12" s="1"/>
  <c r="C78" i="10"/>
  <c r="C94" i="10"/>
  <c r="H94" i="10" s="1"/>
  <c r="C64" i="9"/>
  <c r="H64" i="9" s="1"/>
  <c r="C72" i="9"/>
  <c r="C77" i="10"/>
  <c r="H77" i="10" s="1"/>
  <c r="C92" i="1"/>
  <c r="J92" i="1" s="1"/>
  <c r="C83" i="16"/>
  <c r="H83" i="16" s="1"/>
  <c r="C83" i="15"/>
  <c r="H83" i="15" s="1"/>
  <c r="C80" i="5"/>
  <c r="C92" i="14"/>
  <c r="H92" i="14" s="1"/>
  <c r="C77" i="13"/>
  <c r="H77" i="13" s="1"/>
  <c r="C78" i="12"/>
  <c r="C88" i="12"/>
  <c r="H88" i="12" s="1"/>
  <c r="C69" i="4"/>
  <c r="H69" i="4" s="1"/>
  <c r="C76" i="4"/>
  <c r="H76" i="4" s="1"/>
  <c r="C76" i="1"/>
  <c r="H76" i="1" s="1"/>
  <c r="C90" i="1"/>
  <c r="D45" i="9"/>
  <c r="D45" i="3"/>
  <c r="C66" i="3"/>
  <c r="H66" i="3" s="1"/>
  <c r="D45" i="4"/>
  <c r="C79" i="16"/>
  <c r="H79" i="16" s="1"/>
  <c r="C81" i="13"/>
  <c r="C89" i="13"/>
  <c r="H89" i="13" s="1"/>
  <c r="C82" i="12"/>
  <c r="H82" i="12" s="1"/>
  <c r="C78" i="11"/>
  <c r="H78" i="11" s="1"/>
  <c r="D45" i="10"/>
  <c r="C45" i="8" s="1"/>
  <c r="C73" i="9"/>
  <c r="C94" i="1"/>
  <c r="H94" i="1" s="1"/>
  <c r="C64" i="16"/>
  <c r="H64" i="16" s="1"/>
  <c r="C86" i="5"/>
  <c r="H86" i="5" s="1"/>
  <c r="C65" i="13"/>
  <c r="H65" i="13" s="1"/>
  <c r="C92" i="10"/>
  <c r="H92" i="10" s="1"/>
  <c r="G45" i="4"/>
  <c r="G45" i="1"/>
  <c r="L64" i="12"/>
  <c r="L72" i="12"/>
  <c r="F45" i="15"/>
  <c r="L45" i="15" s="1"/>
  <c r="F45" i="4"/>
  <c r="L45" i="4" s="1"/>
  <c r="L92" i="4"/>
  <c r="L69" i="1"/>
  <c r="L80" i="1"/>
  <c r="H91" i="16"/>
  <c r="L89" i="13"/>
  <c r="C94" i="14"/>
  <c r="H94" i="14" s="1"/>
  <c r="C69" i="11"/>
  <c r="H69" i="11" s="1"/>
  <c r="C77" i="11"/>
  <c r="H77" i="11" s="1"/>
  <c r="L80" i="11"/>
  <c r="C93" i="11"/>
  <c r="H93" i="11" s="1"/>
  <c r="C70" i="10"/>
  <c r="H70" i="10" s="1"/>
  <c r="L73" i="10"/>
  <c r="C79" i="10"/>
  <c r="H79" i="10" s="1"/>
  <c r="C87" i="10"/>
  <c r="H87" i="10" s="1"/>
  <c r="C81" i="9"/>
  <c r="H81" i="9" s="1"/>
  <c r="L92" i="9"/>
  <c r="C64" i="3"/>
  <c r="H64" i="3" s="1"/>
  <c r="L68" i="3"/>
  <c r="C80" i="3"/>
  <c r="H80" i="3" s="1"/>
  <c r="L91" i="3"/>
  <c r="C87" i="1"/>
  <c r="H87" i="1" s="1"/>
  <c r="C93" i="16"/>
  <c r="H93" i="16" s="1"/>
  <c r="C88" i="15"/>
  <c r="H88" i="15" s="1"/>
  <c r="L68" i="5"/>
  <c r="L87" i="11"/>
  <c r="L90" i="10"/>
  <c r="F45" i="5"/>
  <c r="L74" i="13"/>
  <c r="C85" i="14"/>
  <c r="H85" i="14" s="1"/>
  <c r="C70" i="13"/>
  <c r="H70" i="13" s="1"/>
  <c r="C76" i="10"/>
  <c r="H76" i="10" s="1"/>
  <c r="C71" i="3"/>
  <c r="H71" i="3" s="1"/>
  <c r="C94" i="4"/>
  <c r="H94" i="4" s="1"/>
  <c r="C71" i="1"/>
  <c r="H71" i="1" s="1"/>
  <c r="C79" i="15"/>
  <c r="H79" i="15" s="1"/>
  <c r="C79" i="5"/>
  <c r="H79" i="5" s="1"/>
  <c r="L84" i="5"/>
  <c r="C67" i="14"/>
  <c r="H67" i="14" s="1"/>
  <c r="C83" i="14"/>
  <c r="H83" i="14" s="1"/>
  <c r="C91" i="14"/>
  <c r="H91" i="14" s="1"/>
  <c r="C76" i="13"/>
  <c r="H76" i="13" s="1"/>
  <c r="L73" i="12"/>
  <c r="C77" i="12"/>
  <c r="H77" i="12" s="1"/>
  <c r="C73" i="11"/>
  <c r="H73" i="11" s="1"/>
  <c r="C66" i="10"/>
  <c r="C74" i="10"/>
  <c r="H74" i="10" s="1"/>
  <c r="C85" i="10"/>
  <c r="H85" i="10" s="1"/>
  <c r="C93" i="10"/>
  <c r="H93" i="10" s="1"/>
  <c r="C86" i="9"/>
  <c r="H86" i="9" s="1"/>
  <c r="C77" i="3"/>
  <c r="L81" i="3"/>
  <c r="C84" i="3"/>
  <c r="C93" i="3"/>
  <c r="H93" i="3" s="1"/>
  <c r="C78" i="4"/>
  <c r="C85" i="4"/>
  <c r="C71" i="15"/>
  <c r="H71" i="15" s="1"/>
  <c r="L74" i="15"/>
  <c r="C84" i="15"/>
  <c r="H84" i="15" s="1"/>
  <c r="E45" i="3"/>
  <c r="F45" i="3"/>
  <c r="L65" i="5"/>
  <c r="L70" i="14"/>
  <c r="H84" i="12"/>
  <c r="L64" i="1"/>
  <c r="L72" i="1"/>
  <c r="H90" i="1"/>
  <c r="L73" i="5"/>
  <c r="C82" i="13"/>
  <c r="H82" i="13" s="1"/>
  <c r="L86" i="13"/>
  <c r="C90" i="13"/>
  <c r="H90" i="13" s="1"/>
  <c r="C67" i="12"/>
  <c r="H67" i="12" s="1"/>
  <c r="C76" i="12"/>
  <c r="H76" i="12" s="1"/>
  <c r="C93" i="12"/>
  <c r="H93" i="12" s="1"/>
  <c r="C79" i="11"/>
  <c r="H79" i="11" s="1"/>
  <c r="C83" i="10"/>
  <c r="H83" i="10" s="1"/>
  <c r="C77" i="9"/>
  <c r="H77" i="9" s="1"/>
  <c r="C84" i="9"/>
  <c r="H84" i="9" s="1"/>
  <c r="C91" i="9"/>
  <c r="H91" i="9" s="1"/>
  <c r="C67" i="3"/>
  <c r="H67" i="3" s="1"/>
  <c r="G45" i="3"/>
  <c r="C68" i="4"/>
  <c r="H68" i="4" s="1"/>
  <c r="C83" i="4"/>
  <c r="H83" i="4" s="1"/>
  <c r="C90" i="4"/>
  <c r="H90" i="4" s="1"/>
  <c r="C67" i="1"/>
  <c r="H67" i="1" s="1"/>
  <c r="C89" i="1"/>
  <c r="H89" i="1" s="1"/>
  <c r="C67" i="16"/>
  <c r="H67" i="16" s="1"/>
  <c r="L70" i="16"/>
  <c r="C74" i="16"/>
  <c r="L85" i="16"/>
  <c r="C75" i="15"/>
  <c r="H75" i="15" s="1"/>
  <c r="L73" i="14"/>
  <c r="C94" i="5"/>
  <c r="H94" i="5" s="1"/>
  <c r="C72" i="14"/>
  <c r="H72" i="14" s="1"/>
  <c r="C80" i="14"/>
  <c r="H80" i="14" s="1"/>
  <c r="C73" i="13"/>
  <c r="L93" i="13"/>
  <c r="C66" i="12"/>
  <c r="H66" i="12" s="1"/>
  <c r="L66" i="11"/>
  <c r="C70" i="11"/>
  <c r="H70" i="11" s="1"/>
  <c r="L90" i="11"/>
  <c r="L75" i="10"/>
  <c r="C81" i="10"/>
  <c r="H81" i="10" s="1"/>
  <c r="L71" i="9"/>
  <c r="C82" i="3"/>
  <c r="H82" i="3" s="1"/>
  <c r="C82" i="4"/>
  <c r="H82" i="4" s="1"/>
  <c r="H75" i="1"/>
  <c r="C66" i="16"/>
  <c r="H66" i="16" s="1"/>
  <c r="C94" i="16"/>
  <c r="H94" i="16" s="1"/>
  <c r="C68" i="15"/>
  <c r="H68" i="15" s="1"/>
  <c r="L70" i="15"/>
  <c r="L78" i="15"/>
  <c r="I81" i="5"/>
  <c r="J81" i="5" s="1"/>
  <c r="I71" i="12"/>
  <c r="E45" i="10"/>
  <c r="D45" i="8" s="1"/>
  <c r="I89" i="11"/>
  <c r="L67" i="5"/>
  <c r="C72" i="5"/>
  <c r="H72" i="5" s="1"/>
  <c r="L89" i="5"/>
  <c r="L90" i="5"/>
  <c r="L84" i="14"/>
  <c r="C88" i="14"/>
  <c r="H88" i="14" s="1"/>
  <c r="C71" i="13"/>
  <c r="H71" i="13" s="1"/>
  <c r="L88" i="13"/>
  <c r="C93" i="13"/>
  <c r="H93" i="13" s="1"/>
  <c r="C73" i="12"/>
  <c r="H73" i="12" s="1"/>
  <c r="C74" i="12"/>
  <c r="H74" i="12" s="1"/>
  <c r="I80" i="12"/>
  <c r="C83" i="12"/>
  <c r="C72" i="11"/>
  <c r="H72" i="11" s="1"/>
  <c r="C81" i="11"/>
  <c r="H81" i="11" s="1"/>
  <c r="C91" i="11"/>
  <c r="H91" i="11" s="1"/>
  <c r="L64" i="10"/>
  <c r="L70" i="10"/>
  <c r="L82" i="10"/>
  <c r="C86" i="10"/>
  <c r="H86" i="10" s="1"/>
  <c r="L77" i="9"/>
  <c r="C90" i="9"/>
  <c r="H90" i="9" s="1"/>
  <c r="C74" i="3"/>
  <c r="H74" i="3" s="1"/>
  <c r="C83" i="3"/>
  <c r="H83" i="3" s="1"/>
  <c r="L93" i="3"/>
  <c r="C71" i="4"/>
  <c r="H71" i="4" s="1"/>
  <c r="C87" i="4"/>
  <c r="H87" i="4" s="1"/>
  <c r="C81" i="1"/>
  <c r="H81" i="1" s="1"/>
  <c r="L82" i="1"/>
  <c r="L93" i="1"/>
  <c r="C75" i="16"/>
  <c r="H75" i="16" s="1"/>
  <c r="L86" i="16"/>
  <c r="C90" i="16"/>
  <c r="H90" i="16" s="1"/>
  <c r="L94" i="16"/>
  <c r="L85" i="15"/>
  <c r="C90" i="15"/>
  <c r="H90" i="15" s="1"/>
  <c r="O45" i="16"/>
  <c r="L66" i="5"/>
  <c r="C71" i="5"/>
  <c r="H71" i="5" s="1"/>
  <c r="L76" i="5"/>
  <c r="H87" i="5"/>
  <c r="C70" i="14"/>
  <c r="H70" i="14" s="1"/>
  <c r="C87" i="14"/>
  <c r="H87" i="14" s="1"/>
  <c r="L91" i="14"/>
  <c r="L92" i="14"/>
  <c r="L76" i="13"/>
  <c r="H84" i="13"/>
  <c r="L87" i="13"/>
  <c r="L66" i="12"/>
  <c r="C72" i="12"/>
  <c r="H72" i="12" s="1"/>
  <c r="C92" i="12"/>
  <c r="H92" i="12" s="1"/>
  <c r="L67" i="11"/>
  <c r="C71" i="11"/>
  <c r="H71" i="11" s="1"/>
  <c r="C80" i="11"/>
  <c r="H80" i="11" s="1"/>
  <c r="C89" i="11"/>
  <c r="H89" i="11" s="1"/>
  <c r="L91" i="11"/>
  <c r="L81" i="10"/>
  <c r="I82" i="10"/>
  <c r="C82" i="9"/>
  <c r="H82" i="9" s="1"/>
  <c r="C89" i="9"/>
  <c r="H89" i="9" s="1"/>
  <c r="L69" i="3"/>
  <c r="C81" i="3"/>
  <c r="H81" i="3" s="1"/>
  <c r="L86" i="3"/>
  <c r="C77" i="4"/>
  <c r="H77" i="4" s="1"/>
  <c r="L77" i="1"/>
  <c r="L92" i="1"/>
  <c r="C89" i="16"/>
  <c r="H89" i="16" s="1"/>
  <c r="L93" i="16"/>
  <c r="C72" i="15"/>
  <c r="H72" i="15" s="1"/>
  <c r="L92" i="15"/>
  <c r="L93" i="15"/>
  <c r="H69" i="5"/>
  <c r="L88" i="14"/>
  <c r="L72" i="11"/>
  <c r="L68" i="10"/>
  <c r="L78" i="10"/>
  <c r="L66" i="9"/>
  <c r="L66" i="3"/>
  <c r="L74" i="3"/>
  <c r="L83" i="3"/>
  <c r="L78" i="4"/>
  <c r="L75" i="16"/>
  <c r="L90" i="16"/>
  <c r="I85" i="14"/>
  <c r="I93" i="12"/>
  <c r="C68" i="5"/>
  <c r="H68" i="5" s="1"/>
  <c r="L74" i="5"/>
  <c r="C78" i="5"/>
  <c r="H78" i="5" s="1"/>
  <c r="L69" i="14"/>
  <c r="C64" i="13"/>
  <c r="H64" i="13" s="1"/>
  <c r="L70" i="13"/>
  <c r="C79" i="13"/>
  <c r="H79" i="13" s="1"/>
  <c r="C80" i="13"/>
  <c r="H80" i="13" s="1"/>
  <c r="C91" i="13"/>
  <c r="H91" i="13" s="1"/>
  <c r="L74" i="12"/>
  <c r="C90" i="12"/>
  <c r="H90" i="12" s="1"/>
  <c r="C91" i="12"/>
  <c r="H91" i="12" s="1"/>
  <c r="L65" i="11"/>
  <c r="L82" i="11"/>
  <c r="C87" i="11"/>
  <c r="H87" i="11" s="1"/>
  <c r="I93" i="11"/>
  <c r="L67" i="10"/>
  <c r="C73" i="10"/>
  <c r="H73" i="10" s="1"/>
  <c r="C84" i="10"/>
  <c r="H84" i="10" s="1"/>
  <c r="L89" i="10"/>
  <c r="L75" i="9"/>
  <c r="C80" i="9"/>
  <c r="H80" i="9" s="1"/>
  <c r="L82" i="9"/>
  <c r="L82" i="3"/>
  <c r="C88" i="3"/>
  <c r="H88" i="3" s="1"/>
  <c r="L90" i="3"/>
  <c r="L70" i="4"/>
  <c r="L77" i="4"/>
  <c r="C84" i="4"/>
  <c r="H84" i="4" s="1"/>
  <c r="L86" i="4"/>
  <c r="C91" i="4"/>
  <c r="H91" i="4" s="1"/>
  <c r="L73" i="1"/>
  <c r="C79" i="1"/>
  <c r="H79" i="1" s="1"/>
  <c r="L87" i="1"/>
  <c r="L68" i="16"/>
  <c r="L74" i="16"/>
  <c r="C80" i="16"/>
  <c r="H80" i="16" s="1"/>
  <c r="L66" i="15"/>
  <c r="C70" i="15"/>
  <c r="H70" i="15" s="1"/>
  <c r="C78" i="15"/>
  <c r="H78" i="15" s="1"/>
  <c r="L81" i="15"/>
  <c r="C89" i="15"/>
  <c r="H89" i="15" s="1"/>
  <c r="C67" i="5"/>
  <c r="H67" i="5" s="1"/>
  <c r="C64" i="14"/>
  <c r="H64" i="14" s="1"/>
  <c r="C75" i="14"/>
  <c r="H75" i="14" s="1"/>
  <c r="H81" i="13"/>
  <c r="C89" i="12"/>
  <c r="C68" i="11"/>
  <c r="H68" i="11" s="1"/>
  <c r="C86" i="11"/>
  <c r="H86" i="11" s="1"/>
  <c r="C72" i="10"/>
  <c r="H72" i="10" s="1"/>
  <c r="Q45" i="9"/>
  <c r="C93" i="9"/>
  <c r="H93" i="9" s="1"/>
  <c r="C78" i="3"/>
  <c r="H78" i="3" s="1"/>
  <c r="C65" i="4"/>
  <c r="H65" i="4" s="1"/>
  <c r="C74" i="4"/>
  <c r="H74" i="4" s="1"/>
  <c r="L66" i="16"/>
  <c r="C86" i="16"/>
  <c r="H86" i="16" s="1"/>
  <c r="L90" i="15"/>
  <c r="I94" i="15"/>
  <c r="J94" i="15" s="1"/>
  <c r="L78" i="5"/>
  <c r="L66" i="14"/>
  <c r="L76" i="14"/>
  <c r="L64" i="13"/>
  <c r="L80" i="13"/>
  <c r="L94" i="9"/>
  <c r="L71" i="3"/>
  <c r="H77" i="3"/>
  <c r="L75" i="4"/>
  <c r="D45" i="5"/>
  <c r="I85" i="5"/>
  <c r="C89" i="5"/>
  <c r="H89" i="5" s="1"/>
  <c r="C93" i="5"/>
  <c r="H93" i="5" s="1"/>
  <c r="C81" i="14"/>
  <c r="H81" i="14" s="1"/>
  <c r="L86" i="14"/>
  <c r="L66" i="13"/>
  <c r="C74" i="13"/>
  <c r="H74" i="13" s="1"/>
  <c r="C64" i="12"/>
  <c r="H64" i="12" s="1"/>
  <c r="C75" i="12"/>
  <c r="H75" i="12" s="1"/>
  <c r="C87" i="12"/>
  <c r="C67" i="11"/>
  <c r="H67" i="11" s="1"/>
  <c r="C74" i="11"/>
  <c r="H74" i="11" s="1"/>
  <c r="L88" i="11"/>
  <c r="L74" i="10"/>
  <c r="C80" i="10"/>
  <c r="H80" i="10" s="1"/>
  <c r="C91" i="10"/>
  <c r="H91" i="10" s="1"/>
  <c r="C69" i="9"/>
  <c r="H69" i="9" s="1"/>
  <c r="L72" i="9"/>
  <c r="C85" i="9"/>
  <c r="H85" i="9" s="1"/>
  <c r="L88" i="9"/>
  <c r="C92" i="9"/>
  <c r="H92" i="9" s="1"/>
  <c r="L64" i="3"/>
  <c r="C76" i="3"/>
  <c r="H76" i="3" s="1"/>
  <c r="L80" i="3"/>
  <c r="L68" i="4"/>
  <c r="C73" i="4"/>
  <c r="H73" i="4" s="1"/>
  <c r="C89" i="4"/>
  <c r="H89" i="4" s="1"/>
  <c r="C74" i="1"/>
  <c r="H74" i="1" s="1"/>
  <c r="C82" i="1"/>
  <c r="H82" i="1" s="1"/>
  <c r="C83" i="1"/>
  <c r="H83" i="1" s="1"/>
  <c r="L65" i="16"/>
  <c r="C70" i="16"/>
  <c r="H70" i="16" s="1"/>
  <c r="C85" i="16"/>
  <c r="H85" i="16" s="1"/>
  <c r="L71" i="15"/>
  <c r="C74" i="15"/>
  <c r="H74" i="15" s="1"/>
  <c r="O45" i="14"/>
  <c r="O45" i="11"/>
  <c r="N50" i="8" s="1"/>
  <c r="O45" i="15"/>
  <c r="O45" i="1"/>
  <c r="O45" i="4"/>
  <c r="O45" i="3"/>
  <c r="O45" i="5"/>
  <c r="O45" i="12"/>
  <c r="N55" i="8" s="1"/>
  <c r="I71" i="5"/>
  <c r="I82" i="5"/>
  <c r="I86" i="5"/>
  <c r="I87" i="5"/>
  <c r="J87" i="5" s="1"/>
  <c r="P45" i="14"/>
  <c r="L94" i="5"/>
  <c r="D45" i="14"/>
  <c r="I93" i="13"/>
  <c r="K14" i="17"/>
  <c r="L69" i="5"/>
  <c r="I74" i="5"/>
  <c r="I76" i="5"/>
  <c r="I77" i="5"/>
  <c r="L79" i="5"/>
  <c r="I88" i="5"/>
  <c r="L91" i="5"/>
  <c r="L92" i="5"/>
  <c r="E45" i="14"/>
  <c r="C68" i="14"/>
  <c r="H68" i="14" s="1"/>
  <c r="I74" i="14"/>
  <c r="L87" i="14"/>
  <c r="C93" i="14"/>
  <c r="H93" i="14" s="1"/>
  <c r="L83" i="13"/>
  <c r="I66" i="12"/>
  <c r="I74" i="12"/>
  <c r="L87" i="12"/>
  <c r="I86" i="9"/>
  <c r="G45" i="5"/>
  <c r="C82" i="5"/>
  <c r="H82" i="5" s="1"/>
  <c r="C83" i="5"/>
  <c r="H83" i="5" s="1"/>
  <c r="C84" i="5"/>
  <c r="H84" i="5" s="1"/>
  <c r="C85" i="5"/>
  <c r="H85" i="5" s="1"/>
  <c r="I92" i="5"/>
  <c r="I93" i="5"/>
  <c r="H69" i="14"/>
  <c r="C71" i="14"/>
  <c r="H71" i="14" s="1"/>
  <c r="L75" i="14"/>
  <c r="L78" i="14"/>
  <c r="L79" i="14"/>
  <c r="C84" i="14"/>
  <c r="H84" i="14" s="1"/>
  <c r="L89" i="14"/>
  <c r="C66" i="13"/>
  <c r="H66" i="13" s="1"/>
  <c r="C92" i="13"/>
  <c r="H92" i="13" s="1"/>
  <c r="L88" i="12"/>
  <c r="L89" i="12"/>
  <c r="I67" i="11"/>
  <c r="C71" i="10"/>
  <c r="H71" i="10" s="1"/>
  <c r="S45" i="9"/>
  <c r="C78" i="9"/>
  <c r="H78" i="9" s="1"/>
  <c r="I64" i="16"/>
  <c r="I77" i="14"/>
  <c r="I89" i="14"/>
  <c r="I74" i="3"/>
  <c r="I85" i="3"/>
  <c r="I64" i="5"/>
  <c r="U45" i="5"/>
  <c r="I78" i="5"/>
  <c r="I79" i="14"/>
  <c r="K45" i="10"/>
  <c r="J45" i="8" s="1"/>
  <c r="I66" i="5"/>
  <c r="I68" i="5"/>
  <c r="L71" i="5"/>
  <c r="C74" i="5"/>
  <c r="H74" i="5" s="1"/>
  <c r="C75" i="5"/>
  <c r="H75" i="5" s="1"/>
  <c r="C76" i="5"/>
  <c r="H76" i="5" s="1"/>
  <c r="C77" i="5"/>
  <c r="H77" i="5" s="1"/>
  <c r="I79" i="5"/>
  <c r="J79" i="5" s="1"/>
  <c r="L82" i="5"/>
  <c r="L83" i="5"/>
  <c r="L85" i="5"/>
  <c r="L86" i="5"/>
  <c r="L87" i="5"/>
  <c r="L71" i="14"/>
  <c r="C73" i="14"/>
  <c r="H73" i="14" s="1"/>
  <c r="C74" i="14"/>
  <c r="H74" i="14" s="1"/>
  <c r="L81" i="14"/>
  <c r="L82" i="14"/>
  <c r="U45" i="14"/>
  <c r="L85" i="14"/>
  <c r="C86" i="14"/>
  <c r="H86" i="14" s="1"/>
  <c r="G45" i="13"/>
  <c r="G52" i="16" s="1"/>
  <c r="T45" i="13"/>
  <c r="T52" i="15" s="1"/>
  <c r="L65" i="13"/>
  <c r="S45" i="13"/>
  <c r="S52" i="4" s="1"/>
  <c r="L67" i="13"/>
  <c r="L69" i="13"/>
  <c r="L82" i="13"/>
  <c r="L91" i="13"/>
  <c r="H78" i="10"/>
  <c r="I85" i="10"/>
  <c r="J85" i="10" s="1"/>
  <c r="L45" i="16"/>
  <c r="L72" i="5"/>
  <c r="L88" i="5"/>
  <c r="C90" i="5"/>
  <c r="H90" i="5" s="1"/>
  <c r="C91" i="5"/>
  <c r="H91" i="5" s="1"/>
  <c r="C92" i="5"/>
  <c r="H92" i="5" s="1"/>
  <c r="L67" i="14"/>
  <c r="L72" i="14"/>
  <c r="I81" i="14"/>
  <c r="I82" i="14"/>
  <c r="L94" i="14"/>
  <c r="K45" i="13"/>
  <c r="K52" i="15" s="1"/>
  <c r="U45" i="13"/>
  <c r="U52" i="15" s="1"/>
  <c r="L79" i="13"/>
  <c r="L94" i="13"/>
  <c r="C70" i="12"/>
  <c r="H70" i="12" s="1"/>
  <c r="C71" i="12"/>
  <c r="J71" i="12" s="1"/>
  <c r="L85" i="12"/>
  <c r="L76" i="11"/>
  <c r="G45" i="9"/>
  <c r="I77" i="15"/>
  <c r="C65" i="5"/>
  <c r="H65" i="5" s="1"/>
  <c r="P45" i="5"/>
  <c r="L75" i="5"/>
  <c r="L77" i="5"/>
  <c r="L81" i="5"/>
  <c r="I69" i="14"/>
  <c r="J69" i="14" s="1"/>
  <c r="L74" i="14"/>
  <c r="C76" i="14"/>
  <c r="H76" i="14" s="1"/>
  <c r="C77" i="14"/>
  <c r="H77" i="14" s="1"/>
  <c r="C78" i="14"/>
  <c r="H78" i="14" s="1"/>
  <c r="C79" i="14"/>
  <c r="H79" i="14" s="1"/>
  <c r="L83" i="14"/>
  <c r="C89" i="14"/>
  <c r="H89" i="14" s="1"/>
  <c r="I85" i="12"/>
  <c r="U45" i="10"/>
  <c r="I80" i="3"/>
  <c r="C66" i="4"/>
  <c r="H66" i="4" s="1"/>
  <c r="C66" i="1"/>
  <c r="H66" i="1" s="1"/>
  <c r="I65" i="16"/>
  <c r="I74" i="15"/>
  <c r="L71" i="13"/>
  <c r="L75" i="13"/>
  <c r="I88" i="13"/>
  <c r="L92" i="13"/>
  <c r="L71" i="12"/>
  <c r="L77" i="12"/>
  <c r="L83" i="12"/>
  <c r="I89" i="12"/>
  <c r="L71" i="11"/>
  <c r="U45" i="11"/>
  <c r="L73" i="11"/>
  <c r="L74" i="11"/>
  <c r="C83" i="11"/>
  <c r="H83" i="11" s="1"/>
  <c r="L65" i="10"/>
  <c r="L66" i="10"/>
  <c r="L71" i="10"/>
  <c r="L72" i="10"/>
  <c r="S45" i="10"/>
  <c r="R45" i="8" s="1"/>
  <c r="L76" i="10"/>
  <c r="L64" i="9"/>
  <c r="L65" i="9"/>
  <c r="L67" i="9"/>
  <c r="L68" i="9"/>
  <c r="L73" i="9"/>
  <c r="L74" i="9"/>
  <c r="L80" i="9"/>
  <c r="C94" i="9"/>
  <c r="H94" i="9" s="1"/>
  <c r="C79" i="3"/>
  <c r="H79" i="3" s="1"/>
  <c r="I87" i="1"/>
  <c r="I91" i="1"/>
  <c r="I85" i="16"/>
  <c r="C88" i="16"/>
  <c r="H88" i="16" s="1"/>
  <c r="I70" i="15"/>
  <c r="L90" i="14"/>
  <c r="L93" i="14"/>
  <c r="P45" i="13"/>
  <c r="C78" i="13"/>
  <c r="H78" i="13" s="1"/>
  <c r="I90" i="13"/>
  <c r="L69" i="12"/>
  <c r="L80" i="12"/>
  <c r="L81" i="12"/>
  <c r="L82" i="12"/>
  <c r="L84" i="12"/>
  <c r="L90" i="12"/>
  <c r="C94" i="12"/>
  <c r="H94" i="12" s="1"/>
  <c r="C64" i="11"/>
  <c r="H64" i="11" s="1"/>
  <c r="C65" i="11"/>
  <c r="H65" i="11" s="1"/>
  <c r="L79" i="11"/>
  <c r="L83" i="11"/>
  <c r="C85" i="11"/>
  <c r="H85" i="11" s="1"/>
  <c r="I66" i="10"/>
  <c r="I68" i="10"/>
  <c r="L77" i="10"/>
  <c r="L79" i="9"/>
  <c r="L87" i="9"/>
  <c r="L65" i="3"/>
  <c r="C70" i="3"/>
  <c r="H70" i="3" s="1"/>
  <c r="C72" i="3"/>
  <c r="H72" i="3" s="1"/>
  <c r="C73" i="3"/>
  <c r="H73" i="3" s="1"/>
  <c r="C75" i="3"/>
  <c r="H75" i="3" s="1"/>
  <c r="L85" i="3"/>
  <c r="L84" i="4"/>
  <c r="L87" i="4"/>
  <c r="L88" i="4"/>
  <c r="I66" i="15"/>
  <c r="I65" i="15"/>
  <c r="E45" i="13"/>
  <c r="E52" i="15" s="1"/>
  <c r="C69" i="13"/>
  <c r="H69" i="13" s="1"/>
  <c r="I75" i="13"/>
  <c r="L81" i="13"/>
  <c r="C83" i="13"/>
  <c r="H83" i="13" s="1"/>
  <c r="C85" i="13"/>
  <c r="H85" i="13" s="1"/>
  <c r="C86" i="13"/>
  <c r="H86" i="13" s="1"/>
  <c r="C87" i="13"/>
  <c r="H87" i="13" s="1"/>
  <c r="C88" i="13"/>
  <c r="H88" i="13" s="1"/>
  <c r="I92" i="12"/>
  <c r="L94" i="12"/>
  <c r="P45" i="11"/>
  <c r="O50" i="8" s="1"/>
  <c r="C90" i="11"/>
  <c r="H90" i="11" s="1"/>
  <c r="C64" i="10"/>
  <c r="H64" i="10" s="1"/>
  <c r="C65" i="10"/>
  <c r="H65" i="10" s="1"/>
  <c r="I75" i="10"/>
  <c r="C88" i="10"/>
  <c r="H88" i="10" s="1"/>
  <c r="C89" i="10"/>
  <c r="H89" i="10" s="1"/>
  <c r="C90" i="10"/>
  <c r="H90" i="10" s="1"/>
  <c r="I75" i="9"/>
  <c r="L76" i="9"/>
  <c r="L91" i="9"/>
  <c r="L84" i="3"/>
  <c r="L94" i="4"/>
  <c r="L65" i="1"/>
  <c r="I81" i="1"/>
  <c r="H74" i="16"/>
  <c r="C82" i="16"/>
  <c r="H82" i="16" s="1"/>
  <c r="I93" i="16"/>
  <c r="L86" i="11"/>
  <c r="I77" i="10"/>
  <c r="L80" i="10"/>
  <c r="L83" i="10"/>
  <c r="L84" i="10"/>
  <c r="L85" i="10"/>
  <c r="L86" i="10"/>
  <c r="I91" i="9"/>
  <c r="I77" i="3"/>
  <c r="L71" i="4"/>
  <c r="L72" i="4"/>
  <c r="L93" i="4"/>
  <c r="I82" i="15"/>
  <c r="I78" i="13"/>
  <c r="I80" i="13"/>
  <c r="L85" i="13"/>
  <c r="L65" i="12"/>
  <c r="U45" i="12"/>
  <c r="C68" i="12"/>
  <c r="H68" i="12" s="1"/>
  <c r="L76" i="12"/>
  <c r="C79" i="12"/>
  <c r="H79" i="12" s="1"/>
  <c r="C80" i="12"/>
  <c r="H80" i="12" s="1"/>
  <c r="L69" i="11"/>
  <c r="C75" i="11"/>
  <c r="H75" i="11" s="1"/>
  <c r="C92" i="11"/>
  <c r="H92" i="11" s="1"/>
  <c r="C68" i="10"/>
  <c r="H68" i="10" s="1"/>
  <c r="C69" i="10"/>
  <c r="H69" i="10" s="1"/>
  <c r="L88" i="10"/>
  <c r="L91" i="10"/>
  <c r="L92" i="10"/>
  <c r="L93" i="10"/>
  <c r="C65" i="9"/>
  <c r="H65" i="9" s="1"/>
  <c r="C68" i="9"/>
  <c r="H68" i="9" s="1"/>
  <c r="C87" i="9"/>
  <c r="H87" i="9" s="1"/>
  <c r="C88" i="9"/>
  <c r="H88" i="9" s="1"/>
  <c r="C65" i="3"/>
  <c r="H65" i="3" s="1"/>
  <c r="I76" i="3"/>
  <c r="I82" i="3"/>
  <c r="I86" i="3"/>
  <c r="C92" i="3"/>
  <c r="H92" i="3" s="1"/>
  <c r="C64" i="4"/>
  <c r="H64" i="4" s="1"/>
  <c r="I71" i="4"/>
  <c r="C79" i="4"/>
  <c r="H79" i="4" s="1"/>
  <c r="C68" i="1"/>
  <c r="H68" i="1" s="1"/>
  <c r="C69" i="1"/>
  <c r="H69" i="1" s="1"/>
  <c r="C70" i="1"/>
  <c r="C72" i="1"/>
  <c r="H72" i="1" s="1"/>
  <c r="C85" i="1"/>
  <c r="H85" i="1" s="1"/>
  <c r="C86" i="1"/>
  <c r="H86" i="1" s="1"/>
  <c r="I81" i="15"/>
  <c r="L73" i="16"/>
  <c r="C87" i="16"/>
  <c r="H87" i="16" s="1"/>
  <c r="L87" i="15"/>
  <c r="I88" i="15"/>
  <c r="H72" i="9"/>
  <c r="I79" i="9"/>
  <c r="L83" i="9"/>
  <c r="L84" i="9"/>
  <c r="I66" i="3"/>
  <c r="J66" i="3" s="1"/>
  <c r="I68" i="3"/>
  <c r="L72" i="3"/>
  <c r="L73" i="3"/>
  <c r="U45" i="3"/>
  <c r="L78" i="3"/>
  <c r="L79" i="3"/>
  <c r="H84" i="3"/>
  <c r="L94" i="3"/>
  <c r="L64" i="4"/>
  <c r="L66" i="4"/>
  <c r="L67" i="4"/>
  <c r="L76" i="4"/>
  <c r="L70" i="1"/>
  <c r="L71" i="1"/>
  <c r="I83" i="1"/>
  <c r="L84" i="1"/>
  <c r="L85" i="1"/>
  <c r="I68" i="16"/>
  <c r="L69" i="16"/>
  <c r="I73" i="16"/>
  <c r="I80" i="16"/>
  <c r="I81" i="16"/>
  <c r="L65" i="15"/>
  <c r="I85" i="15"/>
  <c r="L86" i="15"/>
  <c r="C94" i="15"/>
  <c r="H94" i="15" s="1"/>
  <c r="C82" i="10"/>
  <c r="H82" i="10" s="1"/>
  <c r="I93" i="10"/>
  <c r="C70" i="9"/>
  <c r="H70" i="9" s="1"/>
  <c r="E45" i="9"/>
  <c r="C74" i="9"/>
  <c r="H74" i="9" s="1"/>
  <c r="C75" i="9"/>
  <c r="H75" i="9" s="1"/>
  <c r="C76" i="9"/>
  <c r="H76" i="9" s="1"/>
  <c r="I83" i="9"/>
  <c r="L89" i="9"/>
  <c r="L90" i="9"/>
  <c r="I71" i="3"/>
  <c r="L76" i="3"/>
  <c r="L77" i="3"/>
  <c r="C85" i="3"/>
  <c r="H85" i="3" s="1"/>
  <c r="C86" i="3"/>
  <c r="H86" i="3" s="1"/>
  <c r="C87" i="3"/>
  <c r="H87" i="3" s="1"/>
  <c r="I93" i="3"/>
  <c r="C70" i="4"/>
  <c r="H70" i="4" s="1"/>
  <c r="L79" i="4"/>
  <c r="L80" i="4"/>
  <c r="L83" i="4"/>
  <c r="C86" i="4"/>
  <c r="H86" i="4" s="1"/>
  <c r="C77" i="1"/>
  <c r="H77" i="1" s="1"/>
  <c r="C78" i="1"/>
  <c r="H78" i="1" s="1"/>
  <c r="C80" i="1"/>
  <c r="H80" i="1" s="1"/>
  <c r="L89" i="16"/>
  <c r="L67" i="15"/>
  <c r="C73" i="15"/>
  <c r="H73" i="15" s="1"/>
  <c r="H76" i="15"/>
  <c r="C80" i="15"/>
  <c r="H80" i="15" s="1"/>
  <c r="C81" i="15"/>
  <c r="H81" i="15" s="1"/>
  <c r="L76" i="1"/>
  <c r="I88" i="1"/>
  <c r="L90" i="1"/>
  <c r="L91" i="1"/>
  <c r="C77" i="16"/>
  <c r="H77" i="16" s="1"/>
  <c r="L75" i="15"/>
  <c r="L77" i="15"/>
  <c r="C69" i="3"/>
  <c r="H69" i="3" s="1"/>
  <c r="I79" i="3"/>
  <c r="L87" i="3"/>
  <c r="C89" i="3"/>
  <c r="H89" i="3" s="1"/>
  <c r="C91" i="3"/>
  <c r="H91" i="3" s="1"/>
  <c r="L73" i="4"/>
  <c r="C92" i="4"/>
  <c r="H92" i="4" s="1"/>
  <c r="C93" i="4"/>
  <c r="H93" i="4" s="1"/>
  <c r="C64" i="1"/>
  <c r="H64" i="1" s="1"/>
  <c r="L78" i="1"/>
  <c r="L79" i="1"/>
  <c r="L81" i="1"/>
  <c r="C84" i="1"/>
  <c r="H84" i="1" s="1"/>
  <c r="L94" i="1"/>
  <c r="L64" i="16"/>
  <c r="C69" i="16"/>
  <c r="H69" i="16" s="1"/>
  <c r="C78" i="16"/>
  <c r="H78" i="16" s="1"/>
  <c r="I84" i="16"/>
  <c r="I92" i="16"/>
  <c r="L76" i="15"/>
  <c r="L89" i="1"/>
  <c r="C71" i="16"/>
  <c r="C72" i="16"/>
  <c r="H72" i="16" s="1"/>
  <c r="I76" i="16"/>
  <c r="L77" i="16"/>
  <c r="L78" i="16"/>
  <c r="L82" i="16"/>
  <c r="I89" i="16"/>
  <c r="L91" i="16"/>
  <c r="L92" i="16"/>
  <c r="L72" i="15"/>
  <c r="L73" i="15"/>
  <c r="L79" i="15"/>
  <c r="L83" i="15"/>
  <c r="H86" i="15"/>
  <c r="L91" i="15"/>
  <c r="L88" i="1"/>
  <c r="C93" i="1"/>
  <c r="H93" i="1" s="1"/>
  <c r="L71" i="16"/>
  <c r="L72" i="16"/>
  <c r="L81" i="16"/>
  <c r="C64" i="15"/>
  <c r="H64" i="15" s="1"/>
  <c r="C65" i="15"/>
  <c r="H65" i="15" s="1"/>
  <c r="I69" i="15"/>
  <c r="L82" i="15"/>
  <c r="C87" i="15"/>
  <c r="H87" i="15" s="1"/>
  <c r="I93" i="15"/>
  <c r="J93" i="15" s="1"/>
  <c r="L89" i="15"/>
  <c r="L94" i="15"/>
  <c r="I90" i="15"/>
  <c r="J90" i="15" s="1"/>
  <c r="R45" i="13"/>
  <c r="R52" i="16" s="1"/>
  <c r="K45" i="14"/>
  <c r="K45" i="12"/>
  <c r="J55" i="8" s="1"/>
  <c r="I67" i="5"/>
  <c r="N45" i="5"/>
  <c r="I70" i="5"/>
  <c r="J70" i="5" s="1"/>
  <c r="I72" i="5"/>
  <c r="I75" i="5"/>
  <c r="I80" i="5"/>
  <c r="J80" i="5" s="1"/>
  <c r="I84" i="5"/>
  <c r="I90" i="5"/>
  <c r="I94" i="5"/>
  <c r="I64" i="14"/>
  <c r="J64" i="14" s="1"/>
  <c r="I72" i="14"/>
  <c r="I78" i="14"/>
  <c r="I83" i="14"/>
  <c r="I86" i="14"/>
  <c r="I88" i="14"/>
  <c r="I91" i="14"/>
  <c r="I93" i="14"/>
  <c r="I65" i="13"/>
  <c r="I68" i="13"/>
  <c r="J68" i="13" s="1"/>
  <c r="I70" i="13"/>
  <c r="I73" i="13"/>
  <c r="J73" i="13" s="1"/>
  <c r="I83" i="13"/>
  <c r="I91" i="13"/>
  <c r="I68" i="12"/>
  <c r="I76" i="12"/>
  <c r="I77" i="12"/>
  <c r="I86" i="12"/>
  <c r="I87" i="12"/>
  <c r="J87" i="12" s="1"/>
  <c r="I64" i="11"/>
  <c r="I70" i="11"/>
  <c r="J70" i="11" s="1"/>
  <c r="I79" i="11"/>
  <c r="I80" i="11"/>
  <c r="I87" i="11"/>
  <c r="I72" i="10"/>
  <c r="I73" i="10"/>
  <c r="I78" i="10"/>
  <c r="J78" i="10" s="1"/>
  <c r="I80" i="10"/>
  <c r="J80" i="10" s="1"/>
  <c r="I86" i="10"/>
  <c r="J86" i="10" s="1"/>
  <c r="I88" i="10"/>
  <c r="I94" i="10"/>
  <c r="J94" i="10" s="1"/>
  <c r="I64" i="9"/>
  <c r="I66" i="9"/>
  <c r="I74" i="9"/>
  <c r="I88" i="9"/>
  <c r="I93" i="9"/>
  <c r="I78" i="3"/>
  <c r="I81" i="3"/>
  <c r="I88" i="3"/>
  <c r="I90" i="3"/>
  <c r="I67" i="4"/>
  <c r="I68" i="4"/>
  <c r="I70" i="4"/>
  <c r="I76" i="4"/>
  <c r="J76" i="4" s="1"/>
  <c r="I78" i="4"/>
  <c r="I83" i="4"/>
  <c r="I86" i="4"/>
  <c r="I91" i="4"/>
  <c r="I94" i="4"/>
  <c r="I68" i="1"/>
  <c r="I71" i="1"/>
  <c r="J71" i="1" s="1"/>
  <c r="I76" i="1"/>
  <c r="I79" i="1"/>
  <c r="I82" i="1"/>
  <c r="I90" i="1"/>
  <c r="J90" i="1" s="1"/>
  <c r="I75" i="16"/>
  <c r="I91" i="16"/>
  <c r="J91" i="16" s="1"/>
  <c r="I76" i="15"/>
  <c r="J76" i="15" s="1"/>
  <c r="I92" i="15"/>
  <c r="J92" i="15" s="1"/>
  <c r="I65" i="5"/>
  <c r="I73" i="5"/>
  <c r="J73" i="5" s="1"/>
  <c r="I83" i="5"/>
  <c r="I89" i="5"/>
  <c r="I91" i="5"/>
  <c r="I65" i="14"/>
  <c r="J65" i="14" s="1"/>
  <c r="Q45" i="14"/>
  <c r="I67" i="14"/>
  <c r="I70" i="14"/>
  <c r="I73" i="14"/>
  <c r="I75" i="14"/>
  <c r="I80" i="14"/>
  <c r="I94" i="14"/>
  <c r="Q45" i="13"/>
  <c r="Q52" i="4" s="1"/>
  <c r="I71" i="13"/>
  <c r="I74" i="13"/>
  <c r="I76" i="13"/>
  <c r="I79" i="13"/>
  <c r="I81" i="13"/>
  <c r="J81" i="13" s="1"/>
  <c r="I84" i="13"/>
  <c r="I86" i="13"/>
  <c r="I94" i="13"/>
  <c r="J94" i="13" s="1"/>
  <c r="I70" i="12"/>
  <c r="I78" i="12"/>
  <c r="J78" i="12" s="1"/>
  <c r="I88" i="12"/>
  <c r="I94" i="12"/>
  <c r="J94" i="12" s="1"/>
  <c r="I65" i="11"/>
  <c r="I71" i="11"/>
  <c r="I72" i="11"/>
  <c r="I78" i="11"/>
  <c r="I81" i="11"/>
  <c r="I88" i="11"/>
  <c r="J88" i="11" s="1"/>
  <c r="I71" i="10"/>
  <c r="Q45" i="10"/>
  <c r="P45" i="8" s="1"/>
  <c r="I79" i="10"/>
  <c r="I81" i="10"/>
  <c r="I87" i="10"/>
  <c r="I89" i="10"/>
  <c r="I71" i="9"/>
  <c r="I82" i="9"/>
  <c r="I87" i="9"/>
  <c r="I64" i="3"/>
  <c r="I67" i="3"/>
  <c r="J67" i="3" s="1"/>
  <c r="Q45" i="3"/>
  <c r="I72" i="3"/>
  <c r="I75" i="3"/>
  <c r="I83" i="3"/>
  <c r="I89" i="3"/>
  <c r="I91" i="3"/>
  <c r="I94" i="3"/>
  <c r="J94" i="3" s="1"/>
  <c r="I84" i="4"/>
  <c r="I92" i="4"/>
  <c r="I69" i="1"/>
  <c r="I77" i="1"/>
  <c r="I84" i="1"/>
  <c r="P52" i="15"/>
  <c r="P52" i="16"/>
  <c r="I66" i="13"/>
  <c r="J93" i="11"/>
  <c r="O45" i="13"/>
  <c r="N60" i="8" s="1"/>
  <c r="I84" i="14"/>
  <c r="C75" i="13"/>
  <c r="H75" i="13" s="1"/>
  <c r="I92" i="13"/>
  <c r="I84" i="12"/>
  <c r="J84" i="12" s="1"/>
  <c r="H87" i="12"/>
  <c r="I74" i="11"/>
  <c r="G45" i="10"/>
  <c r="F45" i="8" s="1"/>
  <c r="R45" i="10"/>
  <c r="Q45" i="8" s="1"/>
  <c r="C67" i="10"/>
  <c r="L78" i="9"/>
  <c r="F45" i="9"/>
  <c r="L45" i="9" s="1"/>
  <c r="D45" i="12"/>
  <c r="C55" i="8" s="1"/>
  <c r="E45" i="12"/>
  <c r="D55" i="8" s="1"/>
  <c r="I84" i="11"/>
  <c r="J84" i="11" s="1"/>
  <c r="T45" i="12"/>
  <c r="F45" i="13"/>
  <c r="F52" i="1" s="1"/>
  <c r="F45" i="12"/>
  <c r="E55" i="8" s="1"/>
  <c r="O45" i="10"/>
  <c r="N45" i="8" s="1"/>
  <c r="R45" i="14"/>
  <c r="I90" i="14"/>
  <c r="I64" i="13"/>
  <c r="G45" i="12"/>
  <c r="F55" i="8" s="1"/>
  <c r="I90" i="11"/>
  <c r="I67" i="9"/>
  <c r="I87" i="14"/>
  <c r="G45" i="14"/>
  <c r="L70" i="12"/>
  <c r="S45" i="14"/>
  <c r="I68" i="14"/>
  <c r="C90" i="14"/>
  <c r="H90" i="14" s="1"/>
  <c r="I69" i="13"/>
  <c r="I87" i="13"/>
  <c r="I67" i="12"/>
  <c r="J67" i="12" s="1"/>
  <c r="I82" i="12"/>
  <c r="J82" i="12" s="1"/>
  <c r="H83" i="12"/>
  <c r="T45" i="11"/>
  <c r="I73" i="11"/>
  <c r="I77" i="11"/>
  <c r="J77" i="11" s="1"/>
  <c r="I86" i="11"/>
  <c r="T45" i="10"/>
  <c r="I74" i="10"/>
  <c r="J74" i="10" s="1"/>
  <c r="L65" i="14"/>
  <c r="I92" i="14"/>
  <c r="J92" i="14" s="1"/>
  <c r="O45" i="9"/>
  <c r="I66" i="14"/>
  <c r="I71" i="14"/>
  <c r="I67" i="13"/>
  <c r="I72" i="13"/>
  <c r="J72" i="13" s="1"/>
  <c r="H73" i="13"/>
  <c r="I85" i="13"/>
  <c r="I64" i="12"/>
  <c r="S45" i="12"/>
  <c r="R55" i="8" s="1"/>
  <c r="I75" i="12"/>
  <c r="J75" i="12" s="1"/>
  <c r="I79" i="12"/>
  <c r="L64" i="11"/>
  <c r="I91" i="11"/>
  <c r="J91" i="11" s="1"/>
  <c r="I67" i="10"/>
  <c r="D45" i="13"/>
  <c r="D52" i="4" s="1"/>
  <c r="L64" i="14"/>
  <c r="F45" i="14"/>
  <c r="T45" i="14"/>
  <c r="I69" i="12"/>
  <c r="I70" i="9"/>
  <c r="R45" i="9"/>
  <c r="R45" i="12"/>
  <c r="Q55" i="8" s="1"/>
  <c r="I75" i="11"/>
  <c r="N45" i="12"/>
  <c r="M55" i="8" s="1"/>
  <c r="N45" i="14"/>
  <c r="C66" i="14"/>
  <c r="H66" i="14" s="1"/>
  <c r="I76" i="14"/>
  <c r="C67" i="13"/>
  <c r="H67" i="13" s="1"/>
  <c r="I77" i="13"/>
  <c r="J77" i="13" s="1"/>
  <c r="I82" i="13"/>
  <c r="I72" i="12"/>
  <c r="I90" i="12"/>
  <c r="L92" i="12"/>
  <c r="S45" i="11"/>
  <c r="R50" i="8" s="1"/>
  <c r="I68" i="11"/>
  <c r="I83" i="11"/>
  <c r="L85" i="11"/>
  <c r="F45" i="10"/>
  <c r="E45" i="8" s="1"/>
  <c r="I69" i="10"/>
  <c r="L90" i="13"/>
  <c r="I65" i="12"/>
  <c r="I83" i="12"/>
  <c r="I69" i="11"/>
  <c r="J69" i="11" s="1"/>
  <c r="L77" i="11"/>
  <c r="I85" i="11"/>
  <c r="L93" i="11"/>
  <c r="I64" i="10"/>
  <c r="I90" i="10"/>
  <c r="I91" i="10"/>
  <c r="L67" i="12"/>
  <c r="I73" i="12"/>
  <c r="H78" i="12"/>
  <c r="I91" i="12"/>
  <c r="J91" i="12" s="1"/>
  <c r="I66" i="11"/>
  <c r="L68" i="11"/>
  <c r="I82" i="11"/>
  <c r="L84" i="11"/>
  <c r="H88" i="11"/>
  <c r="I70" i="10"/>
  <c r="I76" i="10"/>
  <c r="I83" i="10"/>
  <c r="J83" i="10" s="1"/>
  <c r="I92" i="10"/>
  <c r="J92" i="10" s="1"/>
  <c r="J93" i="10"/>
  <c r="L45" i="1"/>
  <c r="I89" i="13"/>
  <c r="H94" i="13"/>
  <c r="L75" i="12"/>
  <c r="C81" i="12"/>
  <c r="I81" i="12"/>
  <c r="L93" i="12"/>
  <c r="C66" i="11"/>
  <c r="H66" i="11" s="1"/>
  <c r="I76" i="11"/>
  <c r="L78" i="11"/>
  <c r="C82" i="11"/>
  <c r="H82" i="11" s="1"/>
  <c r="I92" i="11"/>
  <c r="C75" i="10"/>
  <c r="H75" i="10" s="1"/>
  <c r="L79" i="10"/>
  <c r="I84" i="10"/>
  <c r="L87" i="10"/>
  <c r="I68" i="9"/>
  <c r="C66" i="9"/>
  <c r="L70" i="9"/>
  <c r="C71" i="9"/>
  <c r="H71" i="9" s="1"/>
  <c r="C79" i="9"/>
  <c r="H79" i="9" s="1"/>
  <c r="C83" i="9"/>
  <c r="H83" i="9" s="1"/>
  <c r="I84" i="9"/>
  <c r="I89" i="9"/>
  <c r="I70" i="3"/>
  <c r="I76" i="9"/>
  <c r="C67" i="9"/>
  <c r="H67" i="9" s="1"/>
  <c r="I69" i="9"/>
  <c r="I81" i="9"/>
  <c r="I85" i="9"/>
  <c r="I65" i="3"/>
  <c r="I73" i="9"/>
  <c r="J73" i="9" s="1"/>
  <c r="I80" i="9"/>
  <c r="J80" i="9" s="1"/>
  <c r="I73" i="3"/>
  <c r="I65" i="9"/>
  <c r="L69" i="9"/>
  <c r="I72" i="9"/>
  <c r="J72" i="9" s="1"/>
  <c r="I77" i="9"/>
  <c r="J77" i="9" s="1"/>
  <c r="I78" i="9"/>
  <c r="I92" i="9"/>
  <c r="J77" i="3"/>
  <c r="H73" i="9"/>
  <c r="L85" i="9"/>
  <c r="I94" i="9"/>
  <c r="C68" i="3"/>
  <c r="I69" i="3"/>
  <c r="C94" i="3"/>
  <c r="H94" i="3" s="1"/>
  <c r="I65" i="4"/>
  <c r="I72" i="4"/>
  <c r="C75" i="4"/>
  <c r="H75" i="4" s="1"/>
  <c r="C88" i="1"/>
  <c r="H88" i="1" s="1"/>
  <c r="C73" i="16"/>
  <c r="H73" i="16" s="1"/>
  <c r="I90" i="16"/>
  <c r="J90" i="16" s="1"/>
  <c r="I87" i="3"/>
  <c r="I66" i="4"/>
  <c r="I69" i="4"/>
  <c r="C72" i="4"/>
  <c r="H72" i="4" s="1"/>
  <c r="H78" i="4"/>
  <c r="I79" i="4"/>
  <c r="L81" i="4"/>
  <c r="I87" i="4"/>
  <c r="L89" i="4"/>
  <c r="I64" i="1"/>
  <c r="L66" i="1"/>
  <c r="I72" i="1"/>
  <c r="L74" i="1"/>
  <c r="I80" i="1"/>
  <c r="I89" i="1"/>
  <c r="C68" i="16"/>
  <c r="H68" i="16" s="1"/>
  <c r="I74" i="16"/>
  <c r="C84" i="16"/>
  <c r="H84" i="16" s="1"/>
  <c r="I94" i="16"/>
  <c r="J94" i="16" s="1"/>
  <c r="C69" i="15"/>
  <c r="H69" i="15" s="1"/>
  <c r="I75" i="15"/>
  <c r="C85" i="15"/>
  <c r="H85" i="15" s="1"/>
  <c r="I91" i="15"/>
  <c r="L65" i="4"/>
  <c r="L83" i="16"/>
  <c r="I92" i="3"/>
  <c r="I80" i="4"/>
  <c r="I88" i="4"/>
  <c r="I65" i="1"/>
  <c r="I73" i="1"/>
  <c r="L83" i="1"/>
  <c r="I85" i="1"/>
  <c r="I86" i="1"/>
  <c r="I70" i="16"/>
  <c r="J70" i="16" s="1"/>
  <c r="I71" i="16"/>
  <c r="I87" i="16"/>
  <c r="I72" i="15"/>
  <c r="C90" i="3"/>
  <c r="H90" i="3" s="1"/>
  <c r="I64" i="4"/>
  <c r="C67" i="4"/>
  <c r="I73" i="4"/>
  <c r="C80" i="4"/>
  <c r="H80" i="4" s="1"/>
  <c r="L82" i="4"/>
  <c r="C88" i="4"/>
  <c r="H88" i="4" s="1"/>
  <c r="L90" i="4"/>
  <c r="C65" i="1"/>
  <c r="L67" i="1"/>
  <c r="C73" i="1"/>
  <c r="H73" i="1" s="1"/>
  <c r="L75" i="1"/>
  <c r="C65" i="16"/>
  <c r="H65" i="16" s="1"/>
  <c r="C81" i="16"/>
  <c r="H81" i="16" s="1"/>
  <c r="I82" i="16"/>
  <c r="C66" i="15"/>
  <c r="I67" i="15"/>
  <c r="C82" i="15"/>
  <c r="H82" i="15" s="1"/>
  <c r="I83" i="15"/>
  <c r="I84" i="3"/>
  <c r="I74" i="4"/>
  <c r="I77" i="4"/>
  <c r="J77" i="4" s="1"/>
  <c r="I85" i="4"/>
  <c r="J85" i="4" s="1"/>
  <c r="I93" i="4"/>
  <c r="I70" i="1"/>
  <c r="I78" i="1"/>
  <c r="C91" i="1"/>
  <c r="H91" i="1" s="1"/>
  <c r="I66" i="16"/>
  <c r="C76" i="16"/>
  <c r="H76" i="16" s="1"/>
  <c r="I86" i="16"/>
  <c r="C92" i="16"/>
  <c r="H92" i="16" s="1"/>
  <c r="I71" i="15"/>
  <c r="J71" i="15" s="1"/>
  <c r="C77" i="15"/>
  <c r="H77" i="15" s="1"/>
  <c r="I87" i="15"/>
  <c r="C93" i="15"/>
  <c r="H93" i="15" s="1"/>
  <c r="L88" i="3"/>
  <c r="I81" i="4"/>
  <c r="I82" i="4"/>
  <c r="H85" i="4"/>
  <c r="I89" i="4"/>
  <c r="I90" i="4"/>
  <c r="I66" i="1"/>
  <c r="I67" i="1"/>
  <c r="J67" i="1" s="1"/>
  <c r="H70" i="1"/>
  <c r="I74" i="1"/>
  <c r="I75" i="1"/>
  <c r="J75" i="1" s="1"/>
  <c r="I93" i="1"/>
  <c r="I94" i="1"/>
  <c r="J94" i="1" s="1"/>
  <c r="I67" i="16"/>
  <c r="H71" i="16"/>
  <c r="I78" i="16"/>
  <c r="I79" i="16"/>
  <c r="I83" i="16"/>
  <c r="J83" i="16" s="1"/>
  <c r="I64" i="15"/>
  <c r="I68" i="15"/>
  <c r="J68" i="15" s="1"/>
  <c r="I79" i="15"/>
  <c r="I80" i="15"/>
  <c r="I84" i="15"/>
  <c r="J84" i="15" s="1"/>
  <c r="J76" i="5"/>
  <c r="E45" i="5"/>
  <c r="Q45" i="5"/>
  <c r="K45" i="5"/>
  <c r="L45" i="5" s="1"/>
  <c r="S45" i="5"/>
  <c r="I69" i="5"/>
  <c r="J69" i="5" s="1"/>
  <c r="H80" i="5"/>
  <c r="T45" i="5"/>
  <c r="R45" i="5"/>
  <c r="J64" i="5"/>
  <c r="C581" i="2"/>
  <c r="H581" i="2" s="1"/>
  <c r="R52" i="4"/>
  <c r="C583" i="2"/>
  <c r="H583" i="2" s="1"/>
  <c r="C582" i="2"/>
  <c r="H582" i="2" s="1"/>
  <c r="C585" i="2"/>
  <c r="H585" i="2" s="1"/>
  <c r="P52" i="4"/>
  <c r="R52" i="15"/>
  <c r="C580" i="2"/>
  <c r="H580" i="2" s="1"/>
  <c r="M60" i="8"/>
  <c r="O60" i="8"/>
  <c r="R52" i="3"/>
  <c r="L45" i="3"/>
  <c r="P52" i="14"/>
  <c r="C586" i="2"/>
  <c r="H586" i="2" s="1"/>
  <c r="P52" i="1"/>
  <c r="C584" i="2"/>
  <c r="H584" i="2" s="1"/>
  <c r="Q60" i="8"/>
  <c r="R60" i="8"/>
  <c r="U52" i="1"/>
  <c r="K52" i="3"/>
  <c r="U52" i="4"/>
  <c r="T52" i="14"/>
  <c r="U52" i="14"/>
  <c r="U52" i="3"/>
  <c r="N52" i="1"/>
  <c r="L580" i="2"/>
  <c r="L581" i="2"/>
  <c r="L582" i="2"/>
  <c r="L583" i="2"/>
  <c r="L584" i="2"/>
  <c r="L585" i="2"/>
  <c r="L586" i="2"/>
  <c r="N52" i="3"/>
  <c r="N52" i="4"/>
  <c r="N52" i="16"/>
  <c r="H45" i="16"/>
  <c r="N52" i="14"/>
  <c r="A68" i="10"/>
  <c r="A70" i="10"/>
  <c r="A76" i="10"/>
  <c r="A84" i="10"/>
  <c r="A92" i="10"/>
  <c r="A77" i="13"/>
  <c r="A79" i="13"/>
  <c r="A85" i="13"/>
  <c r="A87" i="13"/>
  <c r="A93" i="13"/>
  <c r="A71" i="11"/>
  <c r="A69" i="13"/>
  <c r="A79" i="11"/>
  <c r="A71" i="13"/>
  <c r="A87" i="11"/>
  <c r="A70" i="12"/>
  <c r="A94" i="12"/>
  <c r="A69" i="10"/>
  <c r="A77" i="10"/>
  <c r="A85" i="10"/>
  <c r="A93" i="10"/>
  <c r="A70" i="13"/>
  <c r="A78" i="13"/>
  <c r="A86" i="13"/>
  <c r="A94" i="13"/>
  <c r="A71" i="12"/>
  <c r="A79" i="12"/>
  <c r="A87" i="12"/>
  <c r="A64" i="11"/>
  <c r="A72" i="11"/>
  <c r="A80" i="11"/>
  <c r="A88" i="11"/>
  <c r="A64" i="12"/>
  <c r="A72" i="12"/>
  <c r="A80" i="12"/>
  <c r="A88" i="12"/>
  <c r="A65" i="11"/>
  <c r="A73" i="11"/>
  <c r="A81" i="11"/>
  <c r="A89" i="11"/>
  <c r="A71" i="10"/>
  <c r="A79" i="10"/>
  <c r="A87" i="10"/>
  <c r="A64" i="13"/>
  <c r="A72" i="13"/>
  <c r="A80" i="13"/>
  <c r="A88" i="13"/>
  <c r="A65" i="12"/>
  <c r="A73" i="12"/>
  <c r="A81" i="12"/>
  <c r="A89" i="12"/>
  <c r="A66" i="11"/>
  <c r="A74" i="11"/>
  <c r="A82" i="11"/>
  <c r="A90" i="11"/>
  <c r="A64" i="10"/>
  <c r="A72" i="10"/>
  <c r="A80" i="10"/>
  <c r="A88" i="10"/>
  <c r="A65" i="13"/>
  <c r="A73" i="13"/>
  <c r="A81" i="13"/>
  <c r="A89" i="13"/>
  <c r="A66" i="12"/>
  <c r="A74" i="12"/>
  <c r="A82" i="12"/>
  <c r="A90" i="12"/>
  <c r="A67" i="11"/>
  <c r="A75" i="11"/>
  <c r="A83" i="11"/>
  <c r="A91" i="11"/>
  <c r="A78" i="12"/>
  <c r="A94" i="10"/>
  <c r="A65" i="10"/>
  <c r="A73" i="10"/>
  <c r="A81" i="10"/>
  <c r="A89" i="10"/>
  <c r="A66" i="13"/>
  <c r="A74" i="13"/>
  <c r="A82" i="13"/>
  <c r="A90" i="13"/>
  <c r="A67" i="12"/>
  <c r="A75" i="12"/>
  <c r="A83" i="12"/>
  <c r="A91" i="12"/>
  <c r="A68" i="11"/>
  <c r="A76" i="11"/>
  <c r="A84" i="11"/>
  <c r="A92" i="11"/>
  <c r="A86" i="12"/>
  <c r="A86" i="10"/>
  <c r="A66" i="10"/>
  <c r="A74" i="10"/>
  <c r="A82" i="10"/>
  <c r="A90" i="10"/>
  <c r="A67" i="13"/>
  <c r="A75" i="13"/>
  <c r="A83" i="13"/>
  <c r="A91" i="13"/>
  <c r="A68" i="12"/>
  <c r="A76" i="12"/>
  <c r="A84" i="12"/>
  <c r="A92" i="12"/>
  <c r="A69" i="11"/>
  <c r="A77" i="11"/>
  <c r="A85" i="11"/>
  <c r="A93" i="11"/>
  <c r="A78" i="10"/>
  <c r="A67" i="10"/>
  <c r="A75" i="10"/>
  <c r="A83" i="10"/>
  <c r="A68" i="13"/>
  <c r="A76" i="13"/>
  <c r="A84" i="13"/>
  <c r="A69" i="12"/>
  <c r="A77" i="12"/>
  <c r="A85" i="12"/>
  <c r="A70" i="11"/>
  <c r="A78" i="11"/>
  <c r="A86" i="11"/>
  <c r="S52" i="3"/>
  <c r="S52" i="1"/>
  <c r="S52" i="15"/>
  <c r="S52" i="14"/>
  <c r="A71" i="9"/>
  <c r="A74" i="5"/>
  <c r="S52" i="16"/>
  <c r="A82" i="5"/>
  <c r="A89" i="14"/>
  <c r="A92" i="4"/>
  <c r="A66" i="5"/>
  <c r="A69" i="1"/>
  <c r="A77" i="1"/>
  <c r="A85" i="1"/>
  <c r="A87" i="9"/>
  <c r="A90" i="5"/>
  <c r="A93" i="1"/>
  <c r="A80" i="9"/>
  <c r="A65" i="14"/>
  <c r="A68" i="4"/>
  <c r="A71" i="15"/>
  <c r="A73" i="14"/>
  <c r="A76" i="4"/>
  <c r="A79" i="15"/>
  <c r="A81" i="14"/>
  <c r="A84" i="4"/>
  <c r="A87" i="15"/>
  <c r="A67" i="3"/>
  <c r="A75" i="3"/>
  <c r="A91" i="3"/>
  <c r="A70" i="16"/>
  <c r="A86" i="16"/>
  <c r="A94" i="16"/>
  <c r="A64" i="9"/>
  <c r="A81" i="9"/>
  <c r="A66" i="14"/>
  <c r="A74" i="14"/>
  <c r="A82" i="14"/>
  <c r="A90" i="14"/>
  <c r="A67" i="5"/>
  <c r="A75" i="5"/>
  <c r="A83" i="5"/>
  <c r="A91" i="5"/>
  <c r="A68" i="3"/>
  <c r="A76" i="3"/>
  <c r="A84" i="3"/>
  <c r="A92" i="3"/>
  <c r="A69" i="4"/>
  <c r="A77" i="4"/>
  <c r="A85" i="4"/>
  <c r="A93" i="4"/>
  <c r="A70" i="1"/>
  <c r="A78" i="1"/>
  <c r="A86" i="1"/>
  <c r="A94" i="1"/>
  <c r="A71" i="16"/>
  <c r="A79" i="16"/>
  <c r="A87" i="16"/>
  <c r="A64" i="15"/>
  <c r="A72" i="15"/>
  <c r="A80" i="15"/>
  <c r="A88" i="15"/>
  <c r="A78" i="16"/>
  <c r="A65" i="9"/>
  <c r="A82" i="9"/>
  <c r="A67" i="14"/>
  <c r="A75" i="14"/>
  <c r="A83" i="14"/>
  <c r="A91" i="14"/>
  <c r="A68" i="5"/>
  <c r="A76" i="5"/>
  <c r="A84" i="5"/>
  <c r="A92" i="5"/>
  <c r="A69" i="3"/>
  <c r="A77" i="3"/>
  <c r="A85" i="3"/>
  <c r="A93" i="3"/>
  <c r="A70" i="4"/>
  <c r="A78" i="4"/>
  <c r="A86" i="4"/>
  <c r="A94" i="4"/>
  <c r="A71" i="1"/>
  <c r="A79" i="1"/>
  <c r="A87" i="1"/>
  <c r="A64" i="16"/>
  <c r="A72" i="16"/>
  <c r="A80" i="16"/>
  <c r="A88" i="16"/>
  <c r="A65" i="15"/>
  <c r="A73" i="15"/>
  <c r="A81" i="15"/>
  <c r="A89" i="15"/>
  <c r="A83" i="3"/>
  <c r="A68" i="14"/>
  <c r="A76" i="14"/>
  <c r="A84" i="14"/>
  <c r="A92" i="14"/>
  <c r="A69" i="5"/>
  <c r="A77" i="5"/>
  <c r="A85" i="5"/>
  <c r="A93" i="5"/>
  <c r="A70" i="3"/>
  <c r="A78" i="3"/>
  <c r="A86" i="3"/>
  <c r="A94" i="3"/>
  <c r="A71" i="4"/>
  <c r="A79" i="4"/>
  <c r="A87" i="4"/>
  <c r="A64" i="1"/>
  <c r="A72" i="1"/>
  <c r="A80" i="1"/>
  <c r="A88" i="1"/>
  <c r="A65" i="16"/>
  <c r="A73" i="16"/>
  <c r="A81" i="16"/>
  <c r="A89" i="16"/>
  <c r="A66" i="15"/>
  <c r="A74" i="15"/>
  <c r="A82" i="15"/>
  <c r="A90" i="15"/>
  <c r="A72" i="9"/>
  <c r="A88" i="9"/>
  <c r="A69" i="14"/>
  <c r="A77" i="14"/>
  <c r="A85" i="14"/>
  <c r="A93" i="14"/>
  <c r="A70" i="5"/>
  <c r="A78" i="5"/>
  <c r="A86" i="5"/>
  <c r="A94" i="5"/>
  <c r="A71" i="3"/>
  <c r="A79" i="3"/>
  <c r="A87" i="3"/>
  <c r="A64" i="4"/>
  <c r="A72" i="4"/>
  <c r="A80" i="4"/>
  <c r="A88" i="4"/>
  <c r="A65" i="1"/>
  <c r="A73" i="1"/>
  <c r="A81" i="1"/>
  <c r="A89" i="1"/>
  <c r="A66" i="16"/>
  <c r="A74" i="16"/>
  <c r="A82" i="16"/>
  <c r="A90" i="16"/>
  <c r="A67" i="15"/>
  <c r="A75" i="15"/>
  <c r="A83" i="15"/>
  <c r="A91" i="15"/>
  <c r="A73" i="9"/>
  <c r="A89" i="9"/>
  <c r="A70" i="14"/>
  <c r="A78" i="14"/>
  <c r="A86" i="14"/>
  <c r="A94" i="14"/>
  <c r="A71" i="5"/>
  <c r="A79" i="5"/>
  <c r="A87" i="5"/>
  <c r="A64" i="3"/>
  <c r="A72" i="3"/>
  <c r="A80" i="3"/>
  <c r="A88" i="3"/>
  <c r="A65" i="4"/>
  <c r="A73" i="4"/>
  <c r="A81" i="4"/>
  <c r="A89" i="4"/>
  <c r="A66" i="1"/>
  <c r="A74" i="1"/>
  <c r="A82" i="1"/>
  <c r="A90" i="1"/>
  <c r="A67" i="16"/>
  <c r="A75" i="16"/>
  <c r="A83" i="16"/>
  <c r="A91" i="16"/>
  <c r="A68" i="15"/>
  <c r="A76" i="15"/>
  <c r="A84" i="15"/>
  <c r="A92" i="15"/>
  <c r="A74" i="9"/>
  <c r="A90" i="9"/>
  <c r="A71" i="14"/>
  <c r="A79" i="14"/>
  <c r="A87" i="14"/>
  <c r="A64" i="5"/>
  <c r="A72" i="5"/>
  <c r="A80" i="5"/>
  <c r="A88" i="5"/>
  <c r="A65" i="3"/>
  <c r="A73" i="3"/>
  <c r="A81" i="3"/>
  <c r="A89" i="3"/>
  <c r="A66" i="4"/>
  <c r="A74" i="4"/>
  <c r="A82" i="4"/>
  <c r="A90" i="4"/>
  <c r="A67" i="1"/>
  <c r="A75" i="1"/>
  <c r="A83" i="1"/>
  <c r="A91" i="1"/>
  <c r="A68" i="16"/>
  <c r="A76" i="16"/>
  <c r="A84" i="16"/>
  <c r="A92" i="16"/>
  <c r="A69" i="15"/>
  <c r="A77" i="15"/>
  <c r="A85" i="15"/>
  <c r="A93" i="15"/>
  <c r="A79" i="9"/>
  <c r="A64" i="14"/>
  <c r="A72" i="14"/>
  <c r="A80" i="14"/>
  <c r="A65" i="5"/>
  <c r="A73" i="5"/>
  <c r="A81" i="5"/>
  <c r="A66" i="3"/>
  <c r="A74" i="3"/>
  <c r="A82" i="3"/>
  <c r="A67" i="4"/>
  <c r="A75" i="4"/>
  <c r="A83" i="4"/>
  <c r="A68" i="1"/>
  <c r="A76" i="1"/>
  <c r="A84" i="1"/>
  <c r="A69" i="16"/>
  <c r="A77" i="16"/>
  <c r="A85" i="16"/>
  <c r="A70" i="15"/>
  <c r="A78" i="15"/>
  <c r="A86" i="15"/>
  <c r="A66" i="9"/>
  <c r="A75" i="9"/>
  <c r="A83" i="9"/>
  <c r="A91" i="9"/>
  <c r="A67" i="9"/>
  <c r="A76" i="9"/>
  <c r="A84" i="9"/>
  <c r="A92" i="9"/>
  <c r="A68" i="9"/>
  <c r="A77" i="9"/>
  <c r="A85" i="9"/>
  <c r="A93" i="9"/>
  <c r="A70" i="9"/>
  <c r="A78" i="9"/>
  <c r="A86" i="9"/>
  <c r="A94" i="9"/>
  <c r="R52" i="14"/>
  <c r="P52" i="3"/>
  <c r="G52" i="4"/>
  <c r="G52" i="1"/>
  <c r="O732" i="2"/>
  <c r="R94" i="11"/>
  <c r="R45" i="11" s="1"/>
  <c r="Q50" i="8" s="1"/>
  <c r="R4" i="3"/>
  <c r="R4" i="4"/>
  <c r="R4" i="1"/>
  <c r="R4" i="16"/>
  <c r="R4" i="15"/>
  <c r="R4" i="14"/>
  <c r="C63" i="14"/>
  <c r="B59" i="14"/>
  <c r="S60" i="10"/>
  <c r="R60" i="10"/>
  <c r="Q60" i="10"/>
  <c r="P60" i="10"/>
  <c r="O60" i="10"/>
  <c r="N60" i="10"/>
  <c r="K60" i="10"/>
  <c r="S60" i="11"/>
  <c r="R60" i="11"/>
  <c r="Q60" i="11"/>
  <c r="P60" i="11"/>
  <c r="O60" i="11"/>
  <c r="N60" i="11"/>
  <c r="K60" i="11"/>
  <c r="S60" i="12"/>
  <c r="R60" i="12"/>
  <c r="Q60" i="12"/>
  <c r="P60" i="12"/>
  <c r="O60" i="12"/>
  <c r="N60" i="12"/>
  <c r="K60" i="12"/>
  <c r="S60" i="13"/>
  <c r="R60" i="13"/>
  <c r="Q60" i="13"/>
  <c r="P60" i="13"/>
  <c r="O60" i="13"/>
  <c r="N60" i="13"/>
  <c r="K60" i="13"/>
  <c r="E52" i="4" l="1"/>
  <c r="D60" i="8"/>
  <c r="J81" i="1"/>
  <c r="K52" i="16"/>
  <c r="K52" i="4"/>
  <c r="J74" i="16"/>
  <c r="J87" i="3"/>
  <c r="J85" i="11"/>
  <c r="J76" i="12"/>
  <c r="J84" i="13"/>
  <c r="J88" i="3"/>
  <c r="J91" i="14"/>
  <c r="J71" i="3"/>
  <c r="J86" i="5"/>
  <c r="K52" i="14"/>
  <c r="J60" i="8"/>
  <c r="K52" i="1"/>
  <c r="J69" i="9"/>
  <c r="J81" i="4"/>
  <c r="J83" i="12"/>
  <c r="J82" i="3"/>
  <c r="T52" i="1"/>
  <c r="T52" i="16"/>
  <c r="G52" i="15"/>
  <c r="Q52" i="1"/>
  <c r="J77" i="5"/>
  <c r="J69" i="4"/>
  <c r="L45" i="14"/>
  <c r="J68" i="14"/>
  <c r="J66" i="13"/>
  <c r="J72" i="3"/>
  <c r="J66" i="10"/>
  <c r="J78" i="14"/>
  <c r="T52" i="4"/>
  <c r="J72" i="12"/>
  <c r="J84" i="4"/>
  <c r="J80" i="16"/>
  <c r="G52" i="14"/>
  <c r="J81" i="9"/>
  <c r="J79" i="1"/>
  <c r="J78" i="4"/>
  <c r="J75" i="9"/>
  <c r="Q52" i="3"/>
  <c r="J93" i="9"/>
  <c r="J89" i="12"/>
  <c r="T52" i="3"/>
  <c r="J80" i="1"/>
  <c r="J76" i="10"/>
  <c r="J87" i="13"/>
  <c r="J88" i="15"/>
  <c r="L45" i="12"/>
  <c r="K55" i="8" s="1"/>
  <c r="J89" i="1"/>
  <c r="H71" i="12"/>
  <c r="J91" i="13"/>
  <c r="J65" i="9"/>
  <c r="J70" i="14"/>
  <c r="J83" i="1"/>
  <c r="J84" i="3"/>
  <c r="J70" i="10"/>
  <c r="J74" i="13"/>
  <c r="J67" i="14"/>
  <c r="J70" i="13"/>
  <c r="J66" i="1"/>
  <c r="J93" i="16"/>
  <c r="J83" i="3"/>
  <c r="J90" i="4"/>
  <c r="J91" i="10"/>
  <c r="J78" i="11"/>
  <c r="J85" i="12"/>
  <c r="J67" i="15"/>
  <c r="J79" i="3"/>
  <c r="J78" i="9"/>
  <c r="J84" i="9"/>
  <c r="J73" i="11"/>
  <c r="J87" i="10"/>
  <c r="J94" i="14"/>
  <c r="J94" i="5"/>
  <c r="J82" i="14"/>
  <c r="J66" i="5"/>
  <c r="J77" i="12"/>
  <c r="J65" i="4"/>
  <c r="J80" i="3"/>
  <c r="J86" i="13"/>
  <c r="J64" i="9"/>
  <c r="J93" i="13"/>
  <c r="J79" i="15"/>
  <c r="H89" i="12"/>
  <c r="J69" i="12"/>
  <c r="J87" i="11"/>
  <c r="J79" i="13"/>
  <c r="J78" i="3"/>
  <c r="J91" i="15"/>
  <c r="J85" i="9"/>
  <c r="J88" i="9"/>
  <c r="J67" i="11"/>
  <c r="J87" i="9"/>
  <c r="J79" i="4"/>
  <c r="D52" i="15"/>
  <c r="J75" i="15"/>
  <c r="J69" i="10"/>
  <c r="J86" i="12"/>
  <c r="J73" i="4"/>
  <c r="J86" i="1"/>
  <c r="J76" i="1"/>
  <c r="J83" i="15"/>
  <c r="J73" i="3"/>
  <c r="J92" i="11"/>
  <c r="J80" i="13"/>
  <c r="J81" i="11"/>
  <c r="J71" i="13"/>
  <c r="J68" i="9"/>
  <c r="J89" i="13"/>
  <c r="J85" i="13"/>
  <c r="J65" i="13"/>
  <c r="H66" i="10"/>
  <c r="J75" i="16"/>
  <c r="J82" i="16"/>
  <c r="J65" i="12"/>
  <c r="J71" i="16"/>
  <c r="J83" i="4"/>
  <c r="J81" i="3"/>
  <c r="J79" i="11"/>
  <c r="J88" i="5"/>
  <c r="J87" i="4"/>
  <c r="J76" i="11"/>
  <c r="J87" i="14"/>
  <c r="J91" i="5"/>
  <c r="J91" i="9"/>
  <c r="J67" i="5"/>
  <c r="J81" i="10"/>
  <c r="J80" i="14"/>
  <c r="J84" i="10"/>
  <c r="J90" i="10"/>
  <c r="J83" i="5"/>
  <c r="J90" i="13"/>
  <c r="J74" i="4"/>
  <c r="J90" i="12"/>
  <c r="J64" i="3"/>
  <c r="J80" i="15"/>
  <c r="J67" i="16"/>
  <c r="J76" i="13"/>
  <c r="J65" i="5"/>
  <c r="J83" i="14"/>
  <c r="J76" i="9"/>
  <c r="J82" i="9"/>
  <c r="J78" i="5"/>
  <c r="J74" i="12"/>
  <c r="J89" i="4"/>
  <c r="J82" i="13"/>
  <c r="J84" i="1"/>
  <c r="J71" i="10"/>
  <c r="J72" i="5"/>
  <c r="J72" i="14"/>
  <c r="J71" i="4"/>
  <c r="J79" i="16"/>
  <c r="J74" i="1"/>
  <c r="J73" i="12"/>
  <c r="J94" i="4"/>
  <c r="J86" i="9"/>
  <c r="J64" i="16"/>
  <c r="D52" i="3"/>
  <c r="J86" i="16"/>
  <c r="H92" i="1"/>
  <c r="J69" i="15"/>
  <c r="J69" i="13"/>
  <c r="J70" i="9"/>
  <c r="J68" i="1"/>
  <c r="J68" i="4"/>
  <c r="J73" i="10"/>
  <c r="J72" i="11"/>
  <c r="J85" i="14"/>
  <c r="J91" i="3"/>
  <c r="J77" i="10"/>
  <c r="J72" i="15"/>
  <c r="J92" i="9"/>
  <c r="J78" i="13"/>
  <c r="J84" i="14"/>
  <c r="J88" i="12"/>
  <c r="J64" i="11"/>
  <c r="J75" i="5"/>
  <c r="J65" i="16"/>
  <c r="D52" i="1"/>
  <c r="J76" i="14"/>
  <c r="J70" i="12"/>
  <c r="J74" i="9"/>
  <c r="J81" i="15"/>
  <c r="J89" i="3"/>
  <c r="J69" i="1"/>
  <c r="J91" i="4"/>
  <c r="J93" i="14"/>
  <c r="J92" i="13"/>
  <c r="J65" i="11"/>
  <c r="J88" i="10"/>
  <c r="J70" i="15"/>
  <c r="J74" i="3"/>
  <c r="G52" i="3"/>
  <c r="F60" i="8"/>
  <c r="E60" i="8"/>
  <c r="L45" i="13"/>
  <c r="L52" i="14" s="1"/>
  <c r="F52" i="15"/>
  <c r="F52" i="14"/>
  <c r="F52" i="16"/>
  <c r="F52" i="3"/>
  <c r="E52" i="3"/>
  <c r="J84" i="5"/>
  <c r="J87" i="15"/>
  <c r="J78" i="1"/>
  <c r="J85" i="1"/>
  <c r="J94" i="9"/>
  <c r="J68" i="11"/>
  <c r="J89" i="5"/>
  <c r="J90" i="5"/>
  <c r="J77" i="14"/>
  <c r="J90" i="9"/>
  <c r="J79" i="10"/>
  <c r="J75" i="14"/>
  <c r="J82" i="1"/>
  <c r="J88" i="14"/>
  <c r="E52" i="16"/>
  <c r="J82" i="4"/>
  <c r="J70" i="1"/>
  <c r="J89" i="9"/>
  <c r="C45" i="5"/>
  <c r="H45" i="5" s="1"/>
  <c r="J78" i="16"/>
  <c r="J77" i="16"/>
  <c r="J73" i="14"/>
  <c r="J86" i="14"/>
  <c r="J93" i="5"/>
  <c r="J93" i="12"/>
  <c r="E52" i="14"/>
  <c r="J87" i="16"/>
  <c r="J66" i="4"/>
  <c r="J92" i="4"/>
  <c r="J76" i="3"/>
  <c r="J85" i="16"/>
  <c r="J66" i="12"/>
  <c r="J89" i="15"/>
  <c r="J78" i="15"/>
  <c r="E52" i="1"/>
  <c r="J92" i="5"/>
  <c r="J92" i="3"/>
  <c r="J75" i="11"/>
  <c r="J90" i="11"/>
  <c r="J79" i="14"/>
  <c r="J77" i="1"/>
  <c r="J75" i="3"/>
  <c r="J89" i="10"/>
  <c r="J72" i="10"/>
  <c r="J88" i="1"/>
  <c r="J93" i="3"/>
  <c r="J92" i="12"/>
  <c r="J87" i="1"/>
  <c r="J68" i="5"/>
  <c r="J71" i="5"/>
  <c r="Q52" i="14"/>
  <c r="L45" i="10"/>
  <c r="K45" i="8" s="1"/>
  <c r="J83" i="13"/>
  <c r="J82" i="10"/>
  <c r="C60" i="8"/>
  <c r="J74" i="15"/>
  <c r="P60" i="8"/>
  <c r="J69" i="3"/>
  <c r="J70" i="4"/>
  <c r="J89" i="11"/>
  <c r="J68" i="16"/>
  <c r="J93" i="4"/>
  <c r="J71" i="9"/>
  <c r="Q52" i="15"/>
  <c r="U52" i="16"/>
  <c r="F52" i="4"/>
  <c r="R52" i="1"/>
  <c r="J93" i="1"/>
  <c r="J85" i="15"/>
  <c r="J72" i="1"/>
  <c r="J70" i="3"/>
  <c r="J66" i="9"/>
  <c r="J83" i="11"/>
  <c r="J79" i="12"/>
  <c r="J71" i="14"/>
  <c r="J86" i="11"/>
  <c r="J74" i="11"/>
  <c r="Q52" i="16"/>
  <c r="J71" i="11"/>
  <c r="J86" i="4"/>
  <c r="J80" i="11"/>
  <c r="J68" i="12"/>
  <c r="J89" i="16"/>
  <c r="J81" i="14"/>
  <c r="J90" i="3"/>
  <c r="J88" i="13"/>
  <c r="J69" i="16"/>
  <c r="J65" i="10"/>
  <c r="J73" i="15"/>
  <c r="J89" i="14"/>
  <c r="J77" i="15"/>
  <c r="J85" i="5"/>
  <c r="J84" i="16"/>
  <c r="J68" i="10"/>
  <c r="J72" i="16"/>
  <c r="J82" i="5"/>
  <c r="J81" i="16"/>
  <c r="J86" i="3"/>
  <c r="J74" i="14"/>
  <c r="J67" i="10"/>
  <c r="J65" i="15"/>
  <c r="J74" i="5"/>
  <c r="J88" i="16"/>
  <c r="J76" i="16"/>
  <c r="J80" i="12"/>
  <c r="J81" i="12"/>
  <c r="J85" i="3"/>
  <c r="I45" i="14"/>
  <c r="H68" i="3"/>
  <c r="C45" i="3"/>
  <c r="J64" i="13"/>
  <c r="I45" i="13"/>
  <c r="H67" i="4"/>
  <c r="C45" i="4"/>
  <c r="H81" i="12"/>
  <c r="C45" i="12"/>
  <c r="J82" i="11"/>
  <c r="J79" i="9"/>
  <c r="J64" i="12"/>
  <c r="I45" i="12"/>
  <c r="H55" i="8" s="1"/>
  <c r="J90" i="14"/>
  <c r="H67" i="10"/>
  <c r="C45" i="10"/>
  <c r="J82" i="15"/>
  <c r="J68" i="3"/>
  <c r="J67" i="9"/>
  <c r="C45" i="14"/>
  <c r="H45" i="14" s="1"/>
  <c r="J64" i="15"/>
  <c r="I45" i="15"/>
  <c r="J73" i="16"/>
  <c r="H65" i="1"/>
  <c r="C45" i="1"/>
  <c r="J64" i="4"/>
  <c r="I45" i="4"/>
  <c r="J72" i="4"/>
  <c r="I45" i="9"/>
  <c r="O52" i="16"/>
  <c r="O52" i="3"/>
  <c r="O52" i="14"/>
  <c r="O52" i="4"/>
  <c r="O52" i="1"/>
  <c r="O52" i="15"/>
  <c r="H66" i="15"/>
  <c r="C45" i="15"/>
  <c r="J73" i="1"/>
  <c r="J66" i="15"/>
  <c r="J91" i="1"/>
  <c r="J83" i="9"/>
  <c r="J66" i="11"/>
  <c r="J75" i="10"/>
  <c r="J75" i="4"/>
  <c r="J65" i="1"/>
  <c r="J64" i="1"/>
  <c r="I45" i="1"/>
  <c r="J64" i="10"/>
  <c r="I45" i="10"/>
  <c r="H45" i="8" s="1"/>
  <c r="D52" i="16"/>
  <c r="D52" i="14"/>
  <c r="J67" i="13"/>
  <c r="J66" i="16"/>
  <c r="I45" i="16"/>
  <c r="J45" i="16" s="1"/>
  <c r="J88" i="4"/>
  <c r="J92" i="16"/>
  <c r="C45" i="13"/>
  <c r="J80" i="4"/>
  <c r="J67" i="4"/>
  <c r="J65" i="3"/>
  <c r="I45" i="3"/>
  <c r="H66" i="9"/>
  <c r="C45" i="9"/>
  <c r="J66" i="14"/>
  <c r="J75" i="13"/>
  <c r="I45" i="5"/>
  <c r="O60" i="14"/>
  <c r="L52" i="3"/>
  <c r="C60" i="9"/>
  <c r="B40" i="8" s="1"/>
  <c r="C60" i="15"/>
  <c r="C60" i="14"/>
  <c r="C60" i="3"/>
  <c r="C60" i="12"/>
  <c r="C60" i="11"/>
  <c r="C60" i="4"/>
  <c r="C60" i="1"/>
  <c r="C60" i="13"/>
  <c r="C60" i="16"/>
  <c r="C60" i="10"/>
  <c r="C60" i="5"/>
  <c r="F8" i="6"/>
  <c r="F9" i="6"/>
  <c r="F10" i="6"/>
  <c r="F11" i="6"/>
  <c r="F12" i="6"/>
  <c r="L52" i="4" l="1"/>
  <c r="K60" i="8"/>
  <c r="L52" i="16"/>
  <c r="J45" i="5"/>
  <c r="L52" i="1"/>
  <c r="L52" i="15"/>
  <c r="B45" i="8"/>
  <c r="H45" i="10"/>
  <c r="G45" i="8" s="1"/>
  <c r="J45" i="10"/>
  <c r="I45" i="8" s="1"/>
  <c r="J45" i="4"/>
  <c r="H45" i="4"/>
  <c r="I52" i="1"/>
  <c r="H60" i="8"/>
  <c r="I52" i="3"/>
  <c r="I52" i="4"/>
  <c r="I52" i="16"/>
  <c r="I52" i="15"/>
  <c r="I52" i="14"/>
  <c r="J45" i="15"/>
  <c r="H45" i="15"/>
  <c r="C52" i="14"/>
  <c r="J45" i="13"/>
  <c r="C52" i="15"/>
  <c r="C52" i="3"/>
  <c r="C52" i="16"/>
  <c r="H45" i="13"/>
  <c r="C52" i="4"/>
  <c r="C52" i="1"/>
  <c r="B60" i="8"/>
  <c r="H45" i="3"/>
  <c r="J45" i="3"/>
  <c r="H45" i="9"/>
  <c r="J45" i="9"/>
  <c r="J45" i="1"/>
  <c r="H45" i="1"/>
  <c r="B55" i="8"/>
  <c r="J45" i="12"/>
  <c r="I55" i="8" s="1"/>
  <c r="H45" i="12"/>
  <c r="J45" i="14"/>
  <c r="S60" i="1"/>
  <c r="R60" i="1"/>
  <c r="Q60" i="1"/>
  <c r="P60" i="1"/>
  <c r="O60" i="1"/>
  <c r="U60" i="1"/>
  <c r="T60" i="1"/>
  <c r="U60" i="15"/>
  <c r="T60" i="15"/>
  <c r="S60" i="15"/>
  <c r="R60" i="15"/>
  <c r="Q60" i="15"/>
  <c r="P60" i="15"/>
  <c r="O60" i="15"/>
  <c r="P60" i="14"/>
  <c r="T60" i="14"/>
  <c r="U60" i="14"/>
  <c r="S60" i="14"/>
  <c r="Q60" i="14"/>
  <c r="R60" i="14"/>
  <c r="T60" i="16"/>
  <c r="S60" i="16"/>
  <c r="R60" i="16"/>
  <c r="Q60" i="16"/>
  <c r="P60" i="16"/>
  <c r="O60" i="16"/>
  <c r="U60" i="16"/>
  <c r="Q60" i="3"/>
  <c r="P60" i="3"/>
  <c r="O60" i="3"/>
  <c r="R60" i="3"/>
  <c r="U60" i="3"/>
  <c r="T60" i="3"/>
  <c r="S60" i="3"/>
  <c r="R60" i="4"/>
  <c r="Q60" i="4"/>
  <c r="P60" i="4"/>
  <c r="O60" i="4"/>
  <c r="U60" i="4"/>
  <c r="T60" i="4"/>
  <c r="S60" i="4"/>
  <c r="N60" i="1"/>
  <c r="K60" i="14"/>
  <c r="N60" i="14"/>
  <c r="N60" i="15"/>
  <c r="N60" i="16"/>
  <c r="N60" i="3"/>
  <c r="N60" i="4"/>
  <c r="K60" i="1"/>
  <c r="K60" i="15"/>
  <c r="K60" i="16"/>
  <c r="K60" i="3"/>
  <c r="K60" i="4"/>
  <c r="B5" i="8"/>
  <c r="B20" i="8"/>
  <c r="B15" i="8"/>
  <c r="B35" i="8"/>
  <c r="U60" i="5"/>
  <c r="K60" i="5"/>
  <c r="S60" i="5"/>
  <c r="Q60" i="5"/>
  <c r="N60" i="5"/>
  <c r="O60" i="5"/>
  <c r="P60" i="5"/>
  <c r="E60" i="5"/>
  <c r="D60" i="5"/>
  <c r="F60" i="5"/>
  <c r="I60" i="5"/>
  <c r="R60" i="5"/>
  <c r="T60" i="5"/>
  <c r="G60" i="5"/>
  <c r="E60" i="12"/>
  <c r="U60" i="9"/>
  <c r="D60" i="9"/>
  <c r="T60" i="9"/>
  <c r="K60" i="9"/>
  <c r="S60" i="9"/>
  <c r="R60" i="9"/>
  <c r="I60" i="9"/>
  <c r="F60" i="9"/>
  <c r="Q60" i="9"/>
  <c r="P60" i="9"/>
  <c r="G60" i="9"/>
  <c r="O60" i="9"/>
  <c r="N60" i="9"/>
  <c r="E60" i="9"/>
  <c r="B30" i="8"/>
  <c r="E60" i="3"/>
  <c r="F60" i="3"/>
  <c r="D60" i="3"/>
  <c r="I60" i="3"/>
  <c r="G60" i="3"/>
  <c r="D60" i="16"/>
  <c r="F60" i="4"/>
  <c r="D60" i="1"/>
  <c r="I60" i="14"/>
  <c r="I60" i="16"/>
  <c r="I60" i="1"/>
  <c r="D60" i="14"/>
  <c r="F60" i="16"/>
  <c r="D60" i="4"/>
  <c r="G60" i="14"/>
  <c r="E60" i="14"/>
  <c r="F60" i="14"/>
  <c r="E60" i="16"/>
  <c r="G60" i="1"/>
  <c r="E60" i="1"/>
  <c r="G60" i="4"/>
  <c r="E60" i="4"/>
  <c r="G60" i="16"/>
  <c r="B25" i="8"/>
  <c r="F60" i="1"/>
  <c r="I60" i="4"/>
  <c r="F60" i="13"/>
  <c r="H60" i="13" s="1"/>
  <c r="E60" i="13"/>
  <c r="I60" i="13"/>
  <c r="J60" i="13" s="1"/>
  <c r="D60" i="13"/>
  <c r="G60" i="13"/>
  <c r="E60" i="10"/>
  <c r="I60" i="10"/>
  <c r="G60" i="10"/>
  <c r="F60" i="10"/>
  <c r="H60" i="10" s="1"/>
  <c r="D60" i="10"/>
  <c r="F60" i="11"/>
  <c r="H60" i="11" s="1"/>
  <c r="E60" i="11"/>
  <c r="I60" i="11"/>
  <c r="D60" i="11"/>
  <c r="G60" i="11"/>
  <c r="I60" i="12"/>
  <c r="G60" i="12"/>
  <c r="V35" i="15"/>
  <c r="V35" i="16"/>
  <c r="V35" i="1"/>
  <c r="V35" i="4"/>
  <c r="V35" i="14"/>
  <c r="V44" i="14" s="1"/>
  <c r="V35" i="10"/>
  <c r="V35" i="11"/>
  <c r="V35" i="12"/>
  <c r="V35" i="13"/>
  <c r="V35" i="9"/>
  <c r="V35" i="5"/>
  <c r="B4" i="42"/>
  <c r="B5" i="42" s="1"/>
  <c r="H3" i="42"/>
  <c r="E3" i="42"/>
  <c r="D3" i="42"/>
  <c r="C3" i="42"/>
  <c r="A3" i="42"/>
  <c r="A1" i="42"/>
  <c r="B3" i="30"/>
  <c r="B4" i="30"/>
  <c r="B5" i="30"/>
  <c r="B6" i="30"/>
  <c r="B7" i="30"/>
  <c r="B8" i="30"/>
  <c r="B9" i="30"/>
  <c r="B10" i="30"/>
  <c r="B11" i="30"/>
  <c r="B12" i="30"/>
  <c r="B13" i="30"/>
  <c r="B14" i="30"/>
  <c r="B15" i="30"/>
  <c r="B16" i="30"/>
  <c r="B17" i="30"/>
  <c r="B18" i="30"/>
  <c r="B19" i="30"/>
  <c r="B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5" i="30"/>
  <c r="B46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61" i="30"/>
  <c r="B62" i="30"/>
  <c r="B63" i="30"/>
  <c r="B64" i="30"/>
  <c r="B65" i="30"/>
  <c r="B66" i="30"/>
  <c r="B67" i="30"/>
  <c r="B68" i="30"/>
  <c r="B69" i="30"/>
  <c r="B70" i="30"/>
  <c r="B71" i="30"/>
  <c r="B72" i="30"/>
  <c r="B73" i="30"/>
  <c r="B74" i="30"/>
  <c r="B75" i="30"/>
  <c r="B76" i="30"/>
  <c r="B77" i="30"/>
  <c r="B78" i="30"/>
  <c r="B79" i="30"/>
  <c r="B80" i="30"/>
  <c r="B81" i="30"/>
  <c r="B82" i="30"/>
  <c r="B83" i="30"/>
  <c r="B84" i="30"/>
  <c r="B85" i="30"/>
  <c r="B86" i="30"/>
  <c r="B87" i="30"/>
  <c r="B88" i="30"/>
  <c r="B89" i="30"/>
  <c r="B90" i="30"/>
  <c r="B91" i="30"/>
  <c r="B92" i="30"/>
  <c r="B93" i="30"/>
  <c r="B94" i="30"/>
  <c r="B95" i="30"/>
  <c r="B96" i="30"/>
  <c r="B97" i="30"/>
  <c r="B98" i="30"/>
  <c r="B99" i="30"/>
  <c r="B100" i="30"/>
  <c r="B101" i="30"/>
  <c r="B102" i="30"/>
  <c r="B103" i="30"/>
  <c r="B104" i="30"/>
  <c r="B105" i="30"/>
  <c r="B106" i="30"/>
  <c r="B107" i="30"/>
  <c r="B108" i="30"/>
  <c r="B109" i="30"/>
  <c r="B110" i="30"/>
  <c r="B111" i="30"/>
  <c r="B112" i="30"/>
  <c r="B113" i="30"/>
  <c r="B114" i="30"/>
  <c r="B115" i="30"/>
  <c r="B116" i="30"/>
  <c r="B117" i="30"/>
  <c r="B118" i="30"/>
  <c r="B119" i="30"/>
  <c r="B120" i="30"/>
  <c r="B121" i="30"/>
  <c r="B122" i="30"/>
  <c r="B123" i="30"/>
  <c r="B124" i="30"/>
  <c r="B125" i="30"/>
  <c r="B126" i="30"/>
  <c r="B127" i="30"/>
  <c r="B128" i="30"/>
  <c r="B129" i="30"/>
  <c r="B130" i="30"/>
  <c r="B131" i="30"/>
  <c r="B132" i="30"/>
  <c r="B133" i="30"/>
  <c r="B134" i="30"/>
  <c r="B135" i="30"/>
  <c r="B136" i="30"/>
  <c r="B137" i="30"/>
  <c r="B138" i="30"/>
  <c r="B139" i="30"/>
  <c r="B140" i="30"/>
  <c r="B141" i="30"/>
  <c r="B142" i="30"/>
  <c r="B143" i="30"/>
  <c r="B144" i="30"/>
  <c r="B145" i="30"/>
  <c r="B146" i="30"/>
  <c r="B147" i="30"/>
  <c r="B148" i="30"/>
  <c r="B149" i="30"/>
  <c r="B150" i="30"/>
  <c r="B151" i="30"/>
  <c r="B152" i="30"/>
  <c r="B153" i="30"/>
  <c r="B154" i="30"/>
  <c r="B155" i="30"/>
  <c r="B156" i="30"/>
  <c r="B157" i="30"/>
  <c r="B158" i="30"/>
  <c r="B159" i="30"/>
  <c r="B160" i="30"/>
  <c r="B161" i="30"/>
  <c r="B162" i="30"/>
  <c r="B163" i="30"/>
  <c r="B164" i="30"/>
  <c r="B165" i="30"/>
  <c r="B166" i="30"/>
  <c r="B167" i="30"/>
  <c r="B168" i="30"/>
  <c r="B169" i="30"/>
  <c r="B170" i="30"/>
  <c r="B171" i="30"/>
  <c r="B172" i="30"/>
  <c r="B173" i="30"/>
  <c r="B174" i="30"/>
  <c r="B175" i="30"/>
  <c r="B176" i="30"/>
  <c r="B177" i="30"/>
  <c r="B178" i="30"/>
  <c r="B179" i="30"/>
  <c r="B180" i="30"/>
  <c r="B181" i="30"/>
  <c r="B182" i="30"/>
  <c r="B183" i="30"/>
  <c r="B184" i="30"/>
  <c r="B185" i="30"/>
  <c r="B186" i="30"/>
  <c r="B187" i="30"/>
  <c r="B188" i="30"/>
  <c r="B189" i="30"/>
  <c r="B190" i="30"/>
  <c r="B191" i="30"/>
  <c r="B192" i="30"/>
  <c r="B193" i="30"/>
  <c r="B194" i="30"/>
  <c r="B195" i="30"/>
  <c r="B196" i="30"/>
  <c r="B197" i="30"/>
  <c r="B198" i="30"/>
  <c r="B199" i="30"/>
  <c r="B200" i="30"/>
  <c r="B201" i="30"/>
  <c r="B202" i="30"/>
  <c r="B203" i="30"/>
  <c r="B204" i="30"/>
  <c r="B205" i="30"/>
  <c r="B206" i="30"/>
  <c r="B207" i="30"/>
  <c r="B208" i="30"/>
  <c r="B209" i="30"/>
  <c r="B210" i="30"/>
  <c r="B211" i="30"/>
  <c r="B212" i="30"/>
  <c r="B213" i="30"/>
  <c r="B214" i="30"/>
  <c r="B215" i="30"/>
  <c r="B216" i="30"/>
  <c r="B217" i="30"/>
  <c r="B218" i="30"/>
  <c r="B219" i="30"/>
  <c r="B220" i="30"/>
  <c r="B221" i="30"/>
  <c r="B222" i="30"/>
  <c r="B223" i="30"/>
  <c r="B224" i="30"/>
  <c r="B225" i="30"/>
  <c r="B226" i="30"/>
  <c r="B227" i="30"/>
  <c r="B228" i="30"/>
  <c r="B229" i="30"/>
  <c r="B230" i="30"/>
  <c r="B231" i="30"/>
  <c r="B232" i="30"/>
  <c r="B233" i="30"/>
  <c r="B234" i="30"/>
  <c r="B235" i="30"/>
  <c r="B236" i="30"/>
  <c r="B237" i="30"/>
  <c r="B238" i="30"/>
  <c r="B239" i="30"/>
  <c r="B240" i="30"/>
  <c r="B241" i="30"/>
  <c r="B242" i="30"/>
  <c r="B243" i="30"/>
  <c r="B244" i="30"/>
  <c r="B245" i="30"/>
  <c r="B246" i="30"/>
  <c r="B247" i="30"/>
  <c r="B248" i="30"/>
  <c r="B249" i="30"/>
  <c r="B250" i="30"/>
  <c r="B251" i="30"/>
  <c r="B252" i="30"/>
  <c r="B253" i="30"/>
  <c r="B254" i="30"/>
  <c r="B255" i="30"/>
  <c r="B256" i="30"/>
  <c r="B257" i="30"/>
  <c r="B258" i="30"/>
  <c r="B259" i="30"/>
  <c r="B260" i="30"/>
  <c r="B261" i="30"/>
  <c r="B262" i="30"/>
  <c r="B263" i="30"/>
  <c r="B264" i="30"/>
  <c r="B265" i="30"/>
  <c r="B266" i="30"/>
  <c r="B267" i="30"/>
  <c r="B268" i="30"/>
  <c r="B269" i="30"/>
  <c r="B270" i="30"/>
  <c r="B271" i="30"/>
  <c r="B272" i="30"/>
  <c r="B273" i="30"/>
  <c r="B274" i="30"/>
  <c r="B275" i="30"/>
  <c r="B276" i="30"/>
  <c r="B277" i="30"/>
  <c r="B278" i="30"/>
  <c r="B279" i="30"/>
  <c r="B280" i="30"/>
  <c r="B281" i="30"/>
  <c r="B282" i="30"/>
  <c r="B283" i="30"/>
  <c r="B284" i="30"/>
  <c r="B285" i="30"/>
  <c r="B286" i="30"/>
  <c r="B287" i="30"/>
  <c r="B288" i="30"/>
  <c r="B289" i="30"/>
  <c r="B290" i="30"/>
  <c r="B291" i="30"/>
  <c r="B292" i="30"/>
  <c r="B293" i="30"/>
  <c r="B294" i="30"/>
  <c r="B295" i="30"/>
  <c r="B296" i="30"/>
  <c r="B297" i="30"/>
  <c r="B298" i="30"/>
  <c r="B299" i="30"/>
  <c r="B300" i="30"/>
  <c r="B301" i="30"/>
  <c r="B302" i="30"/>
  <c r="B303" i="30"/>
  <c r="B304" i="30"/>
  <c r="B305" i="30"/>
  <c r="B306" i="30"/>
  <c r="B307" i="30"/>
  <c r="B308" i="30"/>
  <c r="B309" i="30"/>
  <c r="B310" i="30"/>
  <c r="B311" i="30"/>
  <c r="B312" i="30"/>
  <c r="B313" i="30"/>
  <c r="B314" i="30"/>
  <c r="B315" i="30"/>
  <c r="B316" i="30"/>
  <c r="B317" i="30"/>
  <c r="B318" i="30"/>
  <c r="B319" i="30"/>
  <c r="B320" i="30"/>
  <c r="B321" i="30"/>
  <c r="B322" i="30"/>
  <c r="B323" i="30"/>
  <c r="B324" i="30"/>
  <c r="B325" i="30"/>
  <c r="B326" i="30"/>
  <c r="B327" i="30"/>
  <c r="B328" i="30"/>
  <c r="B329" i="30"/>
  <c r="B330" i="30"/>
  <c r="B331" i="30"/>
  <c r="B332" i="30"/>
  <c r="B333" i="30"/>
  <c r="B334" i="30"/>
  <c r="B335" i="30"/>
  <c r="B336" i="30"/>
  <c r="B337" i="30"/>
  <c r="B338" i="30"/>
  <c r="B339" i="30"/>
  <c r="B340" i="30"/>
  <c r="B341" i="30"/>
  <c r="B342" i="30"/>
  <c r="B343" i="30"/>
  <c r="B344" i="30"/>
  <c r="B345" i="30"/>
  <c r="B346" i="30"/>
  <c r="B347" i="30"/>
  <c r="B348" i="30"/>
  <c r="B349" i="30"/>
  <c r="B350" i="30"/>
  <c r="B351" i="30"/>
  <c r="B352" i="30"/>
  <c r="B353" i="30"/>
  <c r="B354" i="30"/>
  <c r="B355" i="30"/>
  <c r="B356" i="30"/>
  <c r="B357" i="30"/>
  <c r="B358" i="30"/>
  <c r="B359" i="30"/>
  <c r="B360" i="30"/>
  <c r="B361" i="30"/>
  <c r="B362" i="30"/>
  <c r="B363" i="30"/>
  <c r="B364" i="30"/>
  <c r="B365" i="30"/>
  <c r="B366" i="30"/>
  <c r="B367" i="30"/>
  <c r="B368" i="30"/>
  <c r="B369" i="30"/>
  <c r="B370" i="30"/>
  <c r="B371" i="30"/>
  <c r="B372" i="30"/>
  <c r="B373" i="30"/>
  <c r="B374" i="30"/>
  <c r="B375" i="30"/>
  <c r="B376" i="30"/>
  <c r="B377" i="30"/>
  <c r="B378" i="30"/>
  <c r="B379" i="30"/>
  <c r="B380" i="30"/>
  <c r="B381" i="30"/>
  <c r="B382" i="30"/>
  <c r="B383" i="30"/>
  <c r="B384" i="30"/>
  <c r="B385" i="30"/>
  <c r="B386" i="30"/>
  <c r="B387" i="30"/>
  <c r="B388" i="30"/>
  <c r="B389" i="30"/>
  <c r="B390" i="30"/>
  <c r="B391" i="30"/>
  <c r="B392" i="30"/>
  <c r="B393" i="30"/>
  <c r="B394" i="30"/>
  <c r="B395" i="30"/>
  <c r="B396" i="30"/>
  <c r="B397" i="30"/>
  <c r="B398" i="30"/>
  <c r="B399" i="30"/>
  <c r="B400" i="30"/>
  <c r="B401" i="30"/>
  <c r="B402" i="30"/>
  <c r="B403" i="30"/>
  <c r="B404" i="30"/>
  <c r="B405" i="30"/>
  <c r="B406" i="30"/>
  <c r="B407" i="30"/>
  <c r="B408" i="30"/>
  <c r="B409" i="30"/>
  <c r="B410" i="30"/>
  <c r="B411" i="30"/>
  <c r="B412" i="30"/>
  <c r="B413" i="30"/>
  <c r="B414" i="30"/>
  <c r="B415" i="30"/>
  <c r="B416" i="30"/>
  <c r="B417" i="30"/>
  <c r="B418" i="30"/>
  <c r="B419" i="30"/>
  <c r="B420" i="30"/>
  <c r="B421" i="30"/>
  <c r="B422" i="30"/>
  <c r="B423" i="30"/>
  <c r="B424" i="30"/>
  <c r="B425" i="30"/>
  <c r="B426" i="30"/>
  <c r="B427" i="30"/>
  <c r="B428" i="30"/>
  <c r="B429" i="30"/>
  <c r="B430" i="30"/>
  <c r="B431" i="30"/>
  <c r="B432" i="30"/>
  <c r="B433" i="30"/>
  <c r="B434" i="30"/>
  <c r="B435" i="30"/>
  <c r="B436" i="30"/>
  <c r="B437" i="30"/>
  <c r="B438" i="30"/>
  <c r="B439" i="30"/>
  <c r="B440" i="30"/>
  <c r="B441" i="30"/>
  <c r="B442" i="30"/>
  <c r="B443" i="30"/>
  <c r="B444" i="30"/>
  <c r="B445" i="30"/>
  <c r="B446" i="30"/>
  <c r="B447" i="30"/>
  <c r="B448" i="30"/>
  <c r="B449" i="30"/>
  <c r="B450" i="30"/>
  <c r="B451" i="30"/>
  <c r="B452" i="30"/>
  <c r="B453" i="30"/>
  <c r="B454" i="30"/>
  <c r="B455" i="30"/>
  <c r="B456" i="30"/>
  <c r="B457" i="30"/>
  <c r="B458" i="30"/>
  <c r="B459" i="30"/>
  <c r="B460" i="30"/>
  <c r="B461" i="30"/>
  <c r="B462" i="30"/>
  <c r="B463" i="30"/>
  <c r="B464" i="30"/>
  <c r="B465" i="30"/>
  <c r="B466" i="30"/>
  <c r="B467" i="30"/>
  <c r="B468" i="30"/>
  <c r="B469" i="30"/>
  <c r="B470" i="30"/>
  <c r="B471" i="30"/>
  <c r="B472" i="30"/>
  <c r="B473" i="30"/>
  <c r="B474" i="30"/>
  <c r="B475" i="30"/>
  <c r="B476" i="30"/>
  <c r="B477" i="30"/>
  <c r="B478" i="30"/>
  <c r="B479" i="30"/>
  <c r="B480" i="30"/>
  <c r="B481" i="30"/>
  <c r="B482" i="30"/>
  <c r="B483" i="30"/>
  <c r="B484" i="30"/>
  <c r="B485" i="30"/>
  <c r="B486" i="30"/>
  <c r="B487" i="30"/>
  <c r="B488" i="30"/>
  <c r="B489" i="30"/>
  <c r="B490" i="30"/>
  <c r="B491" i="30"/>
  <c r="B492" i="30"/>
  <c r="B493" i="30"/>
  <c r="B494" i="30"/>
  <c r="B495" i="30"/>
  <c r="B496" i="30"/>
  <c r="B497" i="30"/>
  <c r="B498" i="30"/>
  <c r="B499" i="30"/>
  <c r="B500" i="30"/>
  <c r="B501" i="30"/>
  <c r="B502" i="30"/>
  <c r="B503" i="30"/>
  <c r="B504" i="30"/>
  <c r="B505" i="30"/>
  <c r="B506" i="30"/>
  <c r="B507" i="30"/>
  <c r="B508" i="30"/>
  <c r="B509" i="30"/>
  <c r="B510" i="30"/>
  <c r="B511" i="30"/>
  <c r="B512" i="30"/>
  <c r="B513" i="30"/>
  <c r="B514" i="30"/>
  <c r="B515" i="30"/>
  <c r="B516" i="30"/>
  <c r="B517" i="30"/>
  <c r="B518" i="30"/>
  <c r="B519" i="30"/>
  <c r="B520" i="30"/>
  <c r="B521" i="30"/>
  <c r="B522" i="30"/>
  <c r="B523" i="30"/>
  <c r="B524" i="30"/>
  <c r="B525" i="30"/>
  <c r="B526" i="30"/>
  <c r="B527" i="30"/>
  <c r="B528" i="30"/>
  <c r="B529" i="30"/>
  <c r="B530" i="30"/>
  <c r="B531" i="30"/>
  <c r="B532" i="30"/>
  <c r="B533" i="30"/>
  <c r="B534" i="30"/>
  <c r="B535" i="30"/>
  <c r="B536" i="30"/>
  <c r="B537" i="30"/>
  <c r="B538" i="30"/>
  <c r="B539" i="30"/>
  <c r="B540" i="30"/>
  <c r="B541" i="30"/>
  <c r="B542" i="30"/>
  <c r="B543" i="30"/>
  <c r="B544" i="30"/>
  <c r="B545" i="30"/>
  <c r="B546" i="30"/>
  <c r="B547" i="30"/>
  <c r="B548" i="30"/>
  <c r="B549" i="30"/>
  <c r="B550" i="30"/>
  <c r="B551" i="30"/>
  <c r="B552" i="30"/>
  <c r="B553" i="30"/>
  <c r="B554" i="30"/>
  <c r="B555" i="30"/>
  <c r="B556" i="30"/>
  <c r="B557" i="30"/>
  <c r="B558" i="30"/>
  <c r="B559" i="30"/>
  <c r="B560" i="30"/>
  <c r="B561" i="30"/>
  <c r="B562" i="30"/>
  <c r="B563" i="30"/>
  <c r="B564" i="30"/>
  <c r="B565" i="30"/>
  <c r="B566" i="30"/>
  <c r="B567" i="30"/>
  <c r="B568" i="30"/>
  <c r="B569" i="30"/>
  <c r="B570" i="30"/>
  <c r="B571" i="30"/>
  <c r="B572" i="30"/>
  <c r="B573" i="30"/>
  <c r="B574" i="30"/>
  <c r="B575" i="30"/>
  <c r="B576" i="30"/>
  <c r="B577" i="30"/>
  <c r="B578" i="30"/>
  <c r="B579" i="30"/>
  <c r="B580" i="30"/>
  <c r="B581" i="30"/>
  <c r="B582" i="30"/>
  <c r="B583" i="30"/>
  <c r="B584" i="30"/>
  <c r="B585" i="30"/>
  <c r="B586" i="30"/>
  <c r="B587" i="30"/>
  <c r="B588" i="30"/>
  <c r="B589" i="30"/>
  <c r="B590" i="30"/>
  <c r="B591" i="30"/>
  <c r="B592" i="30"/>
  <c r="B593" i="30"/>
  <c r="B594" i="30"/>
  <c r="B595" i="30"/>
  <c r="B596" i="30"/>
  <c r="B597" i="30"/>
  <c r="B598" i="30"/>
  <c r="B599" i="30"/>
  <c r="B600" i="30"/>
  <c r="B601" i="30"/>
  <c r="B602" i="30"/>
  <c r="B603" i="30"/>
  <c r="B604" i="30"/>
  <c r="B605" i="30"/>
  <c r="B606" i="30"/>
  <c r="B607" i="30"/>
  <c r="B608" i="30"/>
  <c r="B609" i="30"/>
  <c r="B610" i="30"/>
  <c r="B611" i="30"/>
  <c r="B612" i="30"/>
  <c r="B613" i="30"/>
  <c r="B614" i="30"/>
  <c r="B615" i="30"/>
  <c r="B616" i="30"/>
  <c r="B617" i="30"/>
  <c r="B618" i="30"/>
  <c r="B619" i="30"/>
  <c r="B620" i="30"/>
  <c r="B621" i="30"/>
  <c r="B622" i="30"/>
  <c r="B623" i="30"/>
  <c r="B624" i="30"/>
  <c r="B625" i="30"/>
  <c r="B626" i="30"/>
  <c r="B627" i="30"/>
  <c r="B628" i="30"/>
  <c r="B629" i="30"/>
  <c r="B630" i="30"/>
  <c r="B631" i="30"/>
  <c r="B632" i="30"/>
  <c r="B633" i="30"/>
  <c r="B634" i="30"/>
  <c r="B635" i="30"/>
  <c r="B636" i="30"/>
  <c r="B637" i="30"/>
  <c r="B638" i="30"/>
  <c r="B639" i="30"/>
  <c r="B640" i="30"/>
  <c r="B641" i="30"/>
  <c r="B642" i="30"/>
  <c r="B643" i="30"/>
  <c r="B644" i="30"/>
  <c r="B645" i="30"/>
  <c r="B646" i="30"/>
  <c r="B647" i="30"/>
  <c r="B648" i="30"/>
  <c r="B649" i="30"/>
  <c r="B650" i="30"/>
  <c r="B651" i="30"/>
  <c r="B652" i="30"/>
  <c r="B653" i="30"/>
  <c r="B654" i="30"/>
  <c r="B655" i="30"/>
  <c r="B656" i="30"/>
  <c r="B657" i="30"/>
  <c r="B658" i="30"/>
  <c r="B659" i="30"/>
  <c r="B660" i="30"/>
  <c r="B661" i="30"/>
  <c r="B662" i="30"/>
  <c r="B663" i="30"/>
  <c r="B664" i="30"/>
  <c r="B665" i="30"/>
  <c r="B666" i="30"/>
  <c r="B667" i="30"/>
  <c r="B668" i="30"/>
  <c r="B669" i="30"/>
  <c r="B670" i="30"/>
  <c r="B671" i="30"/>
  <c r="B672" i="30"/>
  <c r="B673" i="30"/>
  <c r="B674" i="30"/>
  <c r="B675" i="30"/>
  <c r="B676" i="30"/>
  <c r="B677" i="30"/>
  <c r="B678" i="30"/>
  <c r="B679" i="30"/>
  <c r="B680" i="30"/>
  <c r="B681" i="30"/>
  <c r="B682" i="30"/>
  <c r="B683" i="30"/>
  <c r="B684" i="30"/>
  <c r="B685" i="30"/>
  <c r="B686" i="30"/>
  <c r="B687" i="30"/>
  <c r="B688" i="30"/>
  <c r="B689" i="30"/>
  <c r="B690" i="30"/>
  <c r="B691" i="30"/>
  <c r="B692" i="30"/>
  <c r="B693" i="30"/>
  <c r="B694" i="30"/>
  <c r="B695" i="30"/>
  <c r="B696" i="30"/>
  <c r="B697" i="30"/>
  <c r="B698" i="30"/>
  <c r="B699" i="30"/>
  <c r="B700" i="30"/>
  <c r="B701" i="30"/>
  <c r="B702" i="30"/>
  <c r="B703" i="30"/>
  <c r="B704" i="30"/>
  <c r="B705" i="30"/>
  <c r="B706" i="30"/>
  <c r="B707" i="30"/>
  <c r="B708" i="30"/>
  <c r="B709" i="30"/>
  <c r="B710" i="30"/>
  <c r="B711" i="30"/>
  <c r="B712" i="30"/>
  <c r="B713" i="30"/>
  <c r="B714" i="30"/>
  <c r="B715" i="30"/>
  <c r="B716" i="30"/>
  <c r="B717" i="30"/>
  <c r="B718" i="30"/>
  <c r="B719" i="30"/>
  <c r="B720" i="30"/>
  <c r="B721" i="30"/>
  <c r="B722" i="30"/>
  <c r="B723" i="30"/>
  <c r="B724" i="30"/>
  <c r="B725" i="30"/>
  <c r="B726" i="30"/>
  <c r="B727" i="30"/>
  <c r="B728" i="30"/>
  <c r="B729" i="30"/>
  <c r="B730" i="30"/>
  <c r="B731" i="30"/>
  <c r="B2" i="30"/>
  <c r="G2" i="30"/>
  <c r="B5" i="15"/>
  <c r="B5" i="16"/>
  <c r="B5" i="1"/>
  <c r="S5" i="1" s="1"/>
  <c r="B5" i="4"/>
  <c r="B5" i="3"/>
  <c r="B5" i="5"/>
  <c r="B5" i="9"/>
  <c r="B5" i="10"/>
  <c r="B5" i="11"/>
  <c r="B5" i="12"/>
  <c r="B5" i="13"/>
  <c r="B5" i="14"/>
  <c r="A4" i="15"/>
  <c r="A4" i="16"/>
  <c r="A4" i="1"/>
  <c r="A4" i="4"/>
  <c r="A4" i="3"/>
  <c r="A4" i="5"/>
  <c r="A4" i="9"/>
  <c r="A4" i="10"/>
  <c r="A4" i="11"/>
  <c r="A4" i="12"/>
  <c r="A4" i="13"/>
  <c r="A4" i="14"/>
  <c r="H11" i="18"/>
  <c r="H8" i="18"/>
  <c r="H13" i="18"/>
  <c r="H10" i="18"/>
  <c r="H5" i="18"/>
  <c r="H9" i="18"/>
  <c r="H6" i="18"/>
  <c r="H3" i="18"/>
  <c r="H4" i="18"/>
  <c r="H12" i="18"/>
  <c r="H14" i="18"/>
  <c r="H7" i="18"/>
  <c r="B6" i="5" l="1"/>
  <c r="S6" i="5" s="1"/>
  <c r="S5" i="5"/>
  <c r="A5" i="14"/>
  <c r="S5" i="14"/>
  <c r="B6" i="12"/>
  <c r="S6" i="12" s="1"/>
  <c r="S5" i="12"/>
  <c r="B6" i="16"/>
  <c r="S6" i="16" s="1"/>
  <c r="S5" i="16"/>
  <c r="B6" i="15"/>
  <c r="S6" i="15" s="1"/>
  <c r="S5" i="15"/>
  <c r="B6" i="3"/>
  <c r="S5" i="3"/>
  <c r="B6" i="4"/>
  <c r="S6" i="4" s="1"/>
  <c r="S5" i="4"/>
  <c r="A5" i="13"/>
  <c r="S5" i="13"/>
  <c r="B6" i="11"/>
  <c r="S6" i="11" s="1"/>
  <c r="S5" i="11"/>
  <c r="B6" i="10"/>
  <c r="S6" i="10" s="1"/>
  <c r="S5" i="10"/>
  <c r="A5" i="9"/>
  <c r="S5" i="9"/>
  <c r="H52" i="4"/>
  <c r="H52" i="14"/>
  <c r="H52" i="16"/>
  <c r="H52" i="15"/>
  <c r="H52" i="1"/>
  <c r="H52" i="3"/>
  <c r="I60" i="8"/>
  <c r="J52" i="16"/>
  <c r="J52" i="14"/>
  <c r="J52" i="1"/>
  <c r="J52" i="15"/>
  <c r="J52" i="4"/>
  <c r="J52" i="3"/>
  <c r="H60" i="1"/>
  <c r="H60" i="14"/>
  <c r="H60" i="16"/>
  <c r="H60" i="5"/>
  <c r="H60" i="9"/>
  <c r="H60" i="4"/>
  <c r="H60" i="3"/>
  <c r="F5" i="8"/>
  <c r="D40" i="8"/>
  <c r="F35" i="8"/>
  <c r="D25" i="8"/>
  <c r="C25" i="8"/>
  <c r="C15" i="8"/>
  <c r="M40" i="8"/>
  <c r="R40" i="8"/>
  <c r="M35" i="8"/>
  <c r="N30" i="8"/>
  <c r="F15" i="8"/>
  <c r="Q40" i="8"/>
  <c r="N35" i="8"/>
  <c r="F25" i="8"/>
  <c r="E15" i="8"/>
  <c r="F30" i="8"/>
  <c r="N40" i="8"/>
  <c r="Q35" i="8"/>
  <c r="P35" i="8"/>
  <c r="J25" i="8"/>
  <c r="O30" i="8"/>
  <c r="D20" i="8"/>
  <c r="C5" i="8"/>
  <c r="H30" i="8"/>
  <c r="F40" i="8"/>
  <c r="J40" i="8"/>
  <c r="H35" i="8"/>
  <c r="R35" i="8"/>
  <c r="J30" i="8"/>
  <c r="P30" i="8"/>
  <c r="F20" i="8"/>
  <c r="C30" i="8"/>
  <c r="O40" i="8"/>
  <c r="E35" i="8"/>
  <c r="J35" i="8"/>
  <c r="J15" i="8"/>
  <c r="J5" i="8"/>
  <c r="H20" i="8"/>
  <c r="H25" i="8"/>
  <c r="D15" i="8"/>
  <c r="H15" i="8"/>
  <c r="P40" i="8"/>
  <c r="C40" i="8"/>
  <c r="C35" i="8"/>
  <c r="J10" i="8"/>
  <c r="R30" i="8"/>
  <c r="E20" i="8"/>
  <c r="E5" i="8"/>
  <c r="H5" i="8"/>
  <c r="D30" i="8"/>
  <c r="D35" i="8"/>
  <c r="J20" i="8"/>
  <c r="D5" i="8"/>
  <c r="C20" i="8"/>
  <c r="H40" i="8"/>
  <c r="O35" i="8"/>
  <c r="Q30" i="8"/>
  <c r="Q15" i="8"/>
  <c r="N5" i="8"/>
  <c r="M15" i="8"/>
  <c r="N25" i="8"/>
  <c r="R15" i="8"/>
  <c r="O5" i="8"/>
  <c r="M30" i="8"/>
  <c r="M5" i="8"/>
  <c r="P25" i="8"/>
  <c r="Q5" i="8"/>
  <c r="O10" i="8"/>
  <c r="N20" i="8"/>
  <c r="O25" i="8"/>
  <c r="N10" i="8"/>
  <c r="Q25" i="8"/>
  <c r="P5" i="8"/>
  <c r="P10" i="8"/>
  <c r="O20" i="8"/>
  <c r="M20" i="8"/>
  <c r="N15" i="8"/>
  <c r="R5" i="8"/>
  <c r="Q10" i="8"/>
  <c r="P20" i="8"/>
  <c r="R25" i="8"/>
  <c r="O15" i="8"/>
  <c r="R10" i="8"/>
  <c r="Q20" i="8"/>
  <c r="M10" i="8"/>
  <c r="M25" i="8"/>
  <c r="P15" i="8"/>
  <c r="R20" i="8"/>
  <c r="L60" i="9"/>
  <c r="D60" i="12"/>
  <c r="F60" i="12"/>
  <c r="H60" i="12" s="1"/>
  <c r="E40" i="8"/>
  <c r="J60" i="9"/>
  <c r="L60" i="3"/>
  <c r="E30" i="8"/>
  <c r="L60" i="4"/>
  <c r="E25" i="8"/>
  <c r="A5" i="4"/>
  <c r="B6" i="14"/>
  <c r="A5" i="5"/>
  <c r="J60" i="3"/>
  <c r="L60" i="16"/>
  <c r="J60" i="1"/>
  <c r="J60" i="14"/>
  <c r="J60" i="16"/>
  <c r="L60" i="1"/>
  <c r="L60" i="14"/>
  <c r="J60" i="4"/>
  <c r="J60" i="10"/>
  <c r="L60" i="10"/>
  <c r="L60" i="11"/>
  <c r="J60" i="11"/>
  <c r="L60" i="13"/>
  <c r="B7" i="15"/>
  <c r="S7" i="15" s="1"/>
  <c r="A6" i="15"/>
  <c r="B7" i="4"/>
  <c r="S7" i="4" s="1"/>
  <c r="A6" i="4"/>
  <c r="B7" i="16"/>
  <c r="S7" i="16" s="1"/>
  <c r="C8" i="30"/>
  <c r="A6" i="3"/>
  <c r="A5" i="1"/>
  <c r="A5" i="16"/>
  <c r="B6" i="1"/>
  <c r="A5" i="15"/>
  <c r="B6" i="9"/>
  <c r="S6" i="9" s="1"/>
  <c r="L60" i="5"/>
  <c r="J60" i="5"/>
  <c r="B6" i="13"/>
  <c r="B7" i="12"/>
  <c r="S7" i="12" s="1"/>
  <c r="A6" i="12"/>
  <c r="A5" i="12"/>
  <c r="B7" i="11"/>
  <c r="S7" i="11" s="1"/>
  <c r="A6" i="11"/>
  <c r="A5" i="11"/>
  <c r="B7" i="10"/>
  <c r="S7" i="10" s="1"/>
  <c r="A6" i="10"/>
  <c r="B7" i="5"/>
  <c r="S7" i="5" s="1"/>
  <c r="A6" i="5"/>
  <c r="F16" i="18"/>
  <c r="C5" i="42"/>
  <c r="A4" i="42"/>
  <c r="H4" i="42"/>
  <c r="E4" i="42"/>
  <c r="D4" i="42"/>
  <c r="C4" i="42"/>
  <c r="A5" i="42"/>
  <c r="B6" i="42"/>
  <c r="H5" i="42"/>
  <c r="E5" i="42"/>
  <c r="D5" i="42"/>
  <c r="C725" i="30"/>
  <c r="C714" i="30"/>
  <c r="C704" i="30"/>
  <c r="C693" i="30"/>
  <c r="C682" i="30"/>
  <c r="C671" i="30"/>
  <c r="C656" i="30"/>
  <c r="C641" i="30"/>
  <c r="C627" i="30"/>
  <c r="C612" i="30"/>
  <c r="C599" i="30"/>
  <c r="C585" i="30"/>
  <c r="Q586" i="2" s="1"/>
  <c r="I586" i="2" s="1"/>
  <c r="J586" i="2" s="1"/>
  <c r="C570" i="30"/>
  <c r="C555" i="30"/>
  <c r="C543" i="30"/>
  <c r="C528" i="30"/>
  <c r="C513" i="30"/>
  <c r="C499" i="30"/>
  <c r="C484" i="30"/>
  <c r="C471" i="30"/>
  <c r="C457" i="30"/>
  <c r="C442" i="30"/>
  <c r="C427" i="30"/>
  <c r="C415" i="30"/>
  <c r="C400" i="30"/>
  <c r="C385" i="30"/>
  <c r="C371" i="30"/>
  <c r="C356" i="30"/>
  <c r="C343" i="30"/>
  <c r="C329" i="30"/>
  <c r="C314" i="30"/>
  <c r="C299" i="30"/>
  <c r="C287" i="30"/>
  <c r="C272" i="30"/>
  <c r="C257" i="30"/>
  <c r="C243" i="30"/>
  <c r="C225" i="30"/>
  <c r="C210" i="30"/>
  <c r="C192" i="30"/>
  <c r="C172" i="30"/>
  <c r="C159" i="30"/>
  <c r="C139" i="30"/>
  <c r="C124" i="30"/>
  <c r="C106" i="30"/>
  <c r="C88" i="30"/>
  <c r="C73" i="30"/>
  <c r="C55" i="30"/>
  <c r="C40" i="30"/>
  <c r="C20" i="30"/>
  <c r="C723" i="30"/>
  <c r="C713" i="30"/>
  <c r="C703" i="30"/>
  <c r="C691" i="30"/>
  <c r="C681" i="30"/>
  <c r="C668" i="30"/>
  <c r="C652" i="30"/>
  <c r="C640" i="30"/>
  <c r="C626" i="30"/>
  <c r="C610" i="30"/>
  <c r="C596" i="30"/>
  <c r="C584" i="30"/>
  <c r="Q585" i="2" s="1"/>
  <c r="I585" i="2" s="1"/>
  <c r="J585" i="2" s="1"/>
  <c r="C568" i="30"/>
  <c r="C554" i="30"/>
  <c r="C540" i="30"/>
  <c r="C524" i="30"/>
  <c r="C512" i="30"/>
  <c r="C498" i="30"/>
  <c r="C482" i="30"/>
  <c r="C468" i="30"/>
  <c r="C456" i="30"/>
  <c r="C440" i="30"/>
  <c r="C426" i="30"/>
  <c r="C412" i="30"/>
  <c r="C396" i="30"/>
  <c r="C384" i="30"/>
  <c r="C370" i="30"/>
  <c r="C354" i="30"/>
  <c r="C340" i="30"/>
  <c r="C328" i="30"/>
  <c r="C312" i="30"/>
  <c r="C298" i="30"/>
  <c r="C284" i="30"/>
  <c r="C268" i="30"/>
  <c r="C256" i="30"/>
  <c r="C242" i="30"/>
  <c r="C224" i="30"/>
  <c r="C204" i="30"/>
  <c r="C191" i="30"/>
  <c r="C171" i="30"/>
  <c r="C156" i="30"/>
  <c r="C138" i="30"/>
  <c r="C120" i="30"/>
  <c r="C105" i="30"/>
  <c r="C87" i="30"/>
  <c r="C72" i="30"/>
  <c r="C52" i="30"/>
  <c r="C34" i="30"/>
  <c r="C19" i="30"/>
  <c r="C722" i="30"/>
  <c r="C712" i="30"/>
  <c r="C701" i="30"/>
  <c r="C690" i="30"/>
  <c r="C680" i="30"/>
  <c r="C666" i="30"/>
  <c r="C651" i="30"/>
  <c r="C639" i="30"/>
  <c r="C624" i="30"/>
  <c r="C609" i="30"/>
  <c r="C595" i="30"/>
  <c r="C580" i="30"/>
  <c r="Q581" i="2" s="1"/>
  <c r="I581" i="2" s="1"/>
  <c r="J581" i="2" s="1"/>
  <c r="C567" i="30"/>
  <c r="C553" i="30"/>
  <c r="C538" i="30"/>
  <c r="C523" i="30"/>
  <c r="C511" i="30"/>
  <c r="C496" i="30"/>
  <c r="C481" i="30"/>
  <c r="C467" i="30"/>
  <c r="C452" i="30"/>
  <c r="C439" i="30"/>
  <c r="C425" i="30"/>
  <c r="C410" i="30"/>
  <c r="C395" i="30"/>
  <c r="C383" i="30"/>
  <c r="C368" i="30"/>
  <c r="C353" i="30"/>
  <c r="C339" i="30"/>
  <c r="C324" i="30"/>
  <c r="C311" i="30"/>
  <c r="C297" i="30"/>
  <c r="C282" i="30"/>
  <c r="C267" i="30"/>
  <c r="C255" i="30"/>
  <c r="C236" i="30"/>
  <c r="C223" i="30"/>
  <c r="C203" i="30"/>
  <c r="C188" i="30"/>
  <c r="C170" i="30"/>
  <c r="C152" i="30"/>
  <c r="C137" i="30"/>
  <c r="C119" i="30"/>
  <c r="C104" i="30"/>
  <c r="C84" i="30"/>
  <c r="C66" i="30"/>
  <c r="C51" i="30"/>
  <c r="C33" i="30"/>
  <c r="C18" i="30"/>
  <c r="C731" i="30"/>
  <c r="C721" i="30"/>
  <c r="C711" i="30"/>
  <c r="C699" i="30"/>
  <c r="C689" i="30"/>
  <c r="C679" i="30"/>
  <c r="C664" i="30"/>
  <c r="C650" i="30"/>
  <c r="C636" i="30"/>
  <c r="C620" i="30"/>
  <c r="C608" i="30"/>
  <c r="C594" i="30"/>
  <c r="C578" i="30"/>
  <c r="Q579" i="2" s="1"/>
  <c r="I579" i="2" s="1"/>
  <c r="J579" i="2" s="1"/>
  <c r="C564" i="30"/>
  <c r="C552" i="30"/>
  <c r="C536" i="30"/>
  <c r="C522" i="30"/>
  <c r="C508" i="30"/>
  <c r="C492" i="30"/>
  <c r="C480" i="30"/>
  <c r="C466" i="30"/>
  <c r="C450" i="30"/>
  <c r="C436" i="30"/>
  <c r="C424" i="30"/>
  <c r="C408" i="30"/>
  <c r="C394" i="30"/>
  <c r="C380" i="30"/>
  <c r="C364" i="30"/>
  <c r="C352" i="30"/>
  <c r="C338" i="30"/>
  <c r="C322" i="30"/>
  <c r="C308" i="30"/>
  <c r="C296" i="30"/>
  <c r="C280" i="30"/>
  <c r="C266" i="30"/>
  <c r="C252" i="30"/>
  <c r="C235" i="30"/>
  <c r="C220" i="30"/>
  <c r="C202" i="30"/>
  <c r="C184" i="30"/>
  <c r="C169" i="30"/>
  <c r="C151" i="30"/>
  <c r="C136" i="30"/>
  <c r="C116" i="30"/>
  <c r="C98" i="30"/>
  <c r="C83" i="30"/>
  <c r="C65" i="30"/>
  <c r="C50" i="30"/>
  <c r="C32" i="30"/>
  <c r="C12" i="30"/>
  <c r="C730" i="30"/>
  <c r="C720" i="30"/>
  <c r="C709" i="30"/>
  <c r="C698" i="30"/>
  <c r="C688" i="30"/>
  <c r="C676" i="30"/>
  <c r="C663" i="30"/>
  <c r="C649" i="30"/>
  <c r="C634" i="30"/>
  <c r="C619" i="30"/>
  <c r="C607" i="30"/>
  <c r="C592" i="30"/>
  <c r="C577" i="30"/>
  <c r="Q578" i="2" s="1"/>
  <c r="I578" i="2" s="1"/>
  <c r="J578" i="2" s="1"/>
  <c r="C563" i="30"/>
  <c r="C548" i="30"/>
  <c r="C535" i="30"/>
  <c r="C521" i="30"/>
  <c r="C506" i="30"/>
  <c r="C491" i="30"/>
  <c r="C479" i="30"/>
  <c r="C464" i="30"/>
  <c r="C449" i="30"/>
  <c r="C435" i="30"/>
  <c r="C420" i="30"/>
  <c r="C407" i="30"/>
  <c r="C393" i="30"/>
  <c r="C378" i="30"/>
  <c r="C363" i="30"/>
  <c r="C351" i="30"/>
  <c r="C336" i="30"/>
  <c r="C321" i="30"/>
  <c r="C307" i="30"/>
  <c r="C292" i="30"/>
  <c r="C279" i="30"/>
  <c r="C265" i="30"/>
  <c r="C250" i="30"/>
  <c r="C234" i="30"/>
  <c r="C216" i="30"/>
  <c r="C201" i="30"/>
  <c r="C183" i="30"/>
  <c r="C168" i="30"/>
  <c r="C148" i="30"/>
  <c r="C130" i="30"/>
  <c r="C115" i="30"/>
  <c r="C97" i="30"/>
  <c r="C82" i="30"/>
  <c r="C64" i="30"/>
  <c r="C44" i="30"/>
  <c r="C31" i="30"/>
  <c r="C11" i="30"/>
  <c r="C729" i="30"/>
  <c r="C719" i="30"/>
  <c r="C707" i="30"/>
  <c r="C697" i="30"/>
  <c r="C687" i="30"/>
  <c r="C674" i="30"/>
  <c r="C660" i="30"/>
  <c r="C648" i="30"/>
  <c r="C632" i="30"/>
  <c r="C618" i="30"/>
  <c r="C604" i="30"/>
  <c r="C588" i="30"/>
  <c r="Q589" i="2" s="1"/>
  <c r="I589" i="2" s="1"/>
  <c r="C576" i="30"/>
  <c r="Q577" i="2" s="1"/>
  <c r="I577" i="2" s="1"/>
  <c r="J577" i="2" s="1"/>
  <c r="C562" i="30"/>
  <c r="C546" i="30"/>
  <c r="C532" i="30"/>
  <c r="C520" i="30"/>
  <c r="C504" i="30"/>
  <c r="C490" i="30"/>
  <c r="C476" i="30"/>
  <c r="C460" i="30"/>
  <c r="C448" i="30"/>
  <c r="C434" i="30"/>
  <c r="C418" i="30"/>
  <c r="C404" i="30"/>
  <c r="C392" i="30"/>
  <c r="C376" i="30"/>
  <c r="C362" i="30"/>
  <c r="C348" i="30"/>
  <c r="C332" i="30"/>
  <c r="C320" i="30"/>
  <c r="C306" i="30"/>
  <c r="C290" i="30"/>
  <c r="C276" i="30"/>
  <c r="C264" i="30"/>
  <c r="C248" i="30"/>
  <c r="C233" i="30"/>
  <c r="C215" i="30"/>
  <c r="C200" i="30"/>
  <c r="C180" i="30"/>
  <c r="C162" i="30"/>
  <c r="C147" i="30"/>
  <c r="C129" i="30"/>
  <c r="C114" i="30"/>
  <c r="C96" i="30"/>
  <c r="C76" i="30"/>
  <c r="C63" i="30"/>
  <c r="C43" i="30"/>
  <c r="C28" i="30"/>
  <c r="C10" i="30"/>
  <c r="C728" i="30"/>
  <c r="C717" i="30"/>
  <c r="C706" i="30"/>
  <c r="C696" i="30"/>
  <c r="C685" i="30"/>
  <c r="C673" i="30"/>
  <c r="C659" i="30"/>
  <c r="C644" i="30"/>
  <c r="C631" i="30"/>
  <c r="C617" i="30"/>
  <c r="C602" i="30"/>
  <c r="C587" i="30"/>
  <c r="Q588" i="2" s="1"/>
  <c r="I588" i="2" s="1"/>
  <c r="C575" i="30"/>
  <c r="Q576" i="2" s="1"/>
  <c r="I576" i="2" s="1"/>
  <c r="J576" i="2" s="1"/>
  <c r="C560" i="30"/>
  <c r="C545" i="30"/>
  <c r="C531" i="30"/>
  <c r="C516" i="30"/>
  <c r="C503" i="30"/>
  <c r="C489" i="30"/>
  <c r="C474" i="30"/>
  <c r="C459" i="30"/>
  <c r="C447" i="30"/>
  <c r="C432" i="30"/>
  <c r="C417" i="30"/>
  <c r="C403" i="30"/>
  <c r="C388" i="30"/>
  <c r="C375" i="30"/>
  <c r="C361" i="30"/>
  <c r="C346" i="30"/>
  <c r="C331" i="30"/>
  <c r="C319" i="30"/>
  <c r="C304" i="30"/>
  <c r="C289" i="30"/>
  <c r="C275" i="30"/>
  <c r="C260" i="30"/>
  <c r="C247" i="30"/>
  <c r="C232" i="30"/>
  <c r="C212" i="30"/>
  <c r="C194" i="30"/>
  <c r="C179" i="30"/>
  <c r="C161" i="30"/>
  <c r="C146" i="30"/>
  <c r="C128" i="30"/>
  <c r="C108" i="30"/>
  <c r="C95" i="30"/>
  <c r="C75" i="30"/>
  <c r="C60" i="30"/>
  <c r="C42" i="30"/>
  <c r="C24" i="30"/>
  <c r="C9" i="30"/>
  <c r="C727" i="30"/>
  <c r="C715" i="30"/>
  <c r="C705" i="30"/>
  <c r="C695" i="30"/>
  <c r="C683" i="30"/>
  <c r="C672" i="30"/>
  <c r="C658" i="30"/>
  <c r="C642" i="30"/>
  <c r="C628" i="30"/>
  <c r="C616" i="30"/>
  <c r="C600" i="30"/>
  <c r="C586" i="30"/>
  <c r="Q587" i="2" s="1"/>
  <c r="I587" i="2" s="1"/>
  <c r="C572" i="30"/>
  <c r="Q573" i="2" s="1"/>
  <c r="I573" i="2" s="1"/>
  <c r="J573" i="2" s="1"/>
  <c r="C556" i="30"/>
  <c r="C544" i="30"/>
  <c r="C530" i="30"/>
  <c r="C514" i="30"/>
  <c r="C500" i="30"/>
  <c r="C488" i="30"/>
  <c r="C472" i="30"/>
  <c r="C458" i="30"/>
  <c r="C444" i="30"/>
  <c r="C428" i="30"/>
  <c r="C416" i="30"/>
  <c r="C402" i="30"/>
  <c r="C386" i="30"/>
  <c r="C372" i="30"/>
  <c r="C360" i="30"/>
  <c r="C344" i="30"/>
  <c r="C330" i="30"/>
  <c r="C316" i="30"/>
  <c r="C300" i="30"/>
  <c r="C288" i="30"/>
  <c r="C274" i="30"/>
  <c r="C258" i="30"/>
  <c r="C244" i="30"/>
  <c r="C226" i="30"/>
  <c r="C211" i="30"/>
  <c r="C193" i="30"/>
  <c r="C178" i="30"/>
  <c r="C160" i="30"/>
  <c r="C140" i="30"/>
  <c r="C127" i="30"/>
  <c r="C107" i="30"/>
  <c r="C92" i="30"/>
  <c r="C74" i="30"/>
  <c r="C56" i="30"/>
  <c r="C41" i="30"/>
  <c r="C23" i="30"/>
  <c r="C2" i="30"/>
  <c r="C5" i="30"/>
  <c r="C13" i="30"/>
  <c r="C21" i="30"/>
  <c r="C29" i="30"/>
  <c r="C37" i="30"/>
  <c r="C45" i="30"/>
  <c r="C53" i="30"/>
  <c r="C61" i="30"/>
  <c r="C69" i="30"/>
  <c r="C77" i="30"/>
  <c r="C85" i="30"/>
  <c r="C93" i="30"/>
  <c r="C101" i="30"/>
  <c r="C109" i="30"/>
  <c r="C117" i="30"/>
  <c r="C125" i="30"/>
  <c r="C133" i="30"/>
  <c r="C141" i="30"/>
  <c r="C149" i="30"/>
  <c r="C157" i="30"/>
  <c r="C165" i="30"/>
  <c r="C173" i="30"/>
  <c r="C181" i="30"/>
  <c r="C189" i="30"/>
  <c r="C197" i="30"/>
  <c r="C205" i="30"/>
  <c r="C213" i="30"/>
  <c r="C221" i="30"/>
  <c r="C229" i="30"/>
  <c r="C237" i="30"/>
  <c r="C245" i="30"/>
  <c r="C253" i="30"/>
  <c r="C261" i="30"/>
  <c r="C269" i="30"/>
  <c r="C277" i="30"/>
  <c r="C285" i="30"/>
  <c r="C293" i="30"/>
  <c r="C301" i="30"/>
  <c r="C309" i="30"/>
  <c r="C317" i="30"/>
  <c r="C325" i="30"/>
  <c r="C333" i="30"/>
  <c r="C341" i="30"/>
  <c r="C349" i="30"/>
  <c r="C357" i="30"/>
  <c r="C365" i="30"/>
  <c r="C373" i="30"/>
  <c r="C381" i="30"/>
  <c r="C389" i="30"/>
  <c r="C397" i="30"/>
  <c r="C405" i="30"/>
  <c r="C413" i="30"/>
  <c r="C421" i="30"/>
  <c r="C429" i="30"/>
  <c r="C437" i="30"/>
  <c r="C445" i="30"/>
  <c r="C453" i="30"/>
  <c r="C461" i="30"/>
  <c r="C469" i="30"/>
  <c r="C477" i="30"/>
  <c r="C485" i="30"/>
  <c r="C493" i="30"/>
  <c r="C501" i="30"/>
  <c r="C509" i="30"/>
  <c r="C517" i="30"/>
  <c r="C525" i="30"/>
  <c r="C533" i="30"/>
  <c r="C541" i="30"/>
  <c r="C549" i="30"/>
  <c r="C557" i="30"/>
  <c r="C565" i="30"/>
  <c r="C573" i="30"/>
  <c r="Q574" i="2" s="1"/>
  <c r="I574" i="2" s="1"/>
  <c r="J574" i="2" s="1"/>
  <c r="C581" i="30"/>
  <c r="Q582" i="2" s="1"/>
  <c r="I582" i="2" s="1"/>
  <c r="J582" i="2" s="1"/>
  <c r="C589" i="30"/>
  <c r="C597" i="30"/>
  <c r="C605" i="30"/>
  <c r="C613" i="30"/>
  <c r="C621" i="30"/>
  <c r="C629" i="30"/>
  <c r="C637" i="30"/>
  <c r="C645" i="30"/>
  <c r="C653" i="30"/>
  <c r="C661" i="30"/>
  <c r="C669" i="30"/>
  <c r="C677" i="30"/>
  <c r="C6" i="30"/>
  <c r="C14" i="30"/>
  <c r="C22" i="30"/>
  <c r="C30" i="30"/>
  <c r="C38" i="30"/>
  <c r="C46" i="30"/>
  <c r="C54" i="30"/>
  <c r="C62" i="30"/>
  <c r="C70" i="30"/>
  <c r="C78" i="30"/>
  <c r="C86" i="30"/>
  <c r="C94" i="30"/>
  <c r="C102" i="30"/>
  <c r="C110" i="30"/>
  <c r="C118" i="30"/>
  <c r="C126" i="30"/>
  <c r="C134" i="30"/>
  <c r="C142" i="30"/>
  <c r="C150" i="30"/>
  <c r="C158" i="30"/>
  <c r="C166" i="30"/>
  <c r="C174" i="30"/>
  <c r="C182" i="30"/>
  <c r="C190" i="30"/>
  <c r="C198" i="30"/>
  <c r="C206" i="30"/>
  <c r="C214" i="30"/>
  <c r="C222" i="30"/>
  <c r="C230" i="30"/>
  <c r="C238" i="30"/>
  <c r="C246" i="30"/>
  <c r="C254" i="30"/>
  <c r="C262" i="30"/>
  <c r="C270" i="30"/>
  <c r="C278" i="30"/>
  <c r="C286" i="30"/>
  <c r="C294" i="30"/>
  <c r="C302" i="30"/>
  <c r="C310" i="30"/>
  <c r="C318" i="30"/>
  <c r="C326" i="30"/>
  <c r="C334" i="30"/>
  <c r="C342" i="30"/>
  <c r="C350" i="30"/>
  <c r="C358" i="30"/>
  <c r="C366" i="30"/>
  <c r="C374" i="30"/>
  <c r="C382" i="30"/>
  <c r="C390" i="30"/>
  <c r="C398" i="30"/>
  <c r="C406" i="30"/>
  <c r="C414" i="30"/>
  <c r="C422" i="30"/>
  <c r="C430" i="30"/>
  <c r="C438" i="30"/>
  <c r="C446" i="30"/>
  <c r="C454" i="30"/>
  <c r="C462" i="30"/>
  <c r="C470" i="30"/>
  <c r="C478" i="30"/>
  <c r="C486" i="30"/>
  <c r="C494" i="30"/>
  <c r="C502" i="30"/>
  <c r="C510" i="30"/>
  <c r="C518" i="30"/>
  <c r="C526" i="30"/>
  <c r="C534" i="30"/>
  <c r="C542" i="30"/>
  <c r="C550" i="30"/>
  <c r="C558" i="30"/>
  <c r="C566" i="30"/>
  <c r="C574" i="30"/>
  <c r="Q575" i="2" s="1"/>
  <c r="I575" i="2" s="1"/>
  <c r="J575" i="2" s="1"/>
  <c r="C582" i="30"/>
  <c r="Q583" i="2" s="1"/>
  <c r="I583" i="2" s="1"/>
  <c r="J583" i="2" s="1"/>
  <c r="C590" i="30"/>
  <c r="C598" i="30"/>
  <c r="C606" i="30"/>
  <c r="C614" i="30"/>
  <c r="C622" i="30"/>
  <c r="C630" i="30"/>
  <c r="C638" i="30"/>
  <c r="C646" i="30"/>
  <c r="C654" i="30"/>
  <c r="C662" i="30"/>
  <c r="C670" i="30"/>
  <c r="C726" i="30"/>
  <c r="C718" i="30"/>
  <c r="C710" i="30"/>
  <c r="C702" i="30"/>
  <c r="C694" i="30"/>
  <c r="C686" i="30"/>
  <c r="C678" i="30"/>
  <c r="C667" i="30"/>
  <c r="C657" i="30"/>
  <c r="C647" i="30"/>
  <c r="C635" i="30"/>
  <c r="C625" i="30"/>
  <c r="C615" i="30"/>
  <c r="C603" i="30"/>
  <c r="C593" i="30"/>
  <c r="C583" i="30"/>
  <c r="Q584" i="2" s="1"/>
  <c r="I584" i="2" s="1"/>
  <c r="J584" i="2" s="1"/>
  <c r="C571" i="30"/>
  <c r="Q572" i="2" s="1"/>
  <c r="I572" i="2" s="1"/>
  <c r="J572" i="2" s="1"/>
  <c r="C561" i="30"/>
  <c r="C551" i="30"/>
  <c r="C539" i="30"/>
  <c r="C529" i="30"/>
  <c r="C519" i="30"/>
  <c r="C507" i="30"/>
  <c r="C497" i="30"/>
  <c r="C487" i="30"/>
  <c r="C475" i="30"/>
  <c r="C465" i="30"/>
  <c r="C455" i="30"/>
  <c r="C443" i="30"/>
  <c r="C433" i="30"/>
  <c r="C423" i="30"/>
  <c r="C411" i="30"/>
  <c r="C401" i="30"/>
  <c r="C391" i="30"/>
  <c r="C379" i="30"/>
  <c r="C369" i="30"/>
  <c r="C359" i="30"/>
  <c r="C347" i="30"/>
  <c r="C337" i="30"/>
  <c r="C327" i="30"/>
  <c r="C315" i="30"/>
  <c r="C305" i="30"/>
  <c r="C295" i="30"/>
  <c r="C283" i="30"/>
  <c r="C273" i="30"/>
  <c r="C263" i="30"/>
  <c r="C251" i="30"/>
  <c r="C241" i="30"/>
  <c r="C231" i="30"/>
  <c r="C219" i="30"/>
  <c r="C209" i="30"/>
  <c r="C199" i="30"/>
  <c r="C187" i="30"/>
  <c r="C177" i="30"/>
  <c r="C167" i="30"/>
  <c r="C155" i="30"/>
  <c r="C145" i="30"/>
  <c r="C135" i="30"/>
  <c r="C123" i="30"/>
  <c r="C113" i="30"/>
  <c r="C103" i="30"/>
  <c r="C91" i="30"/>
  <c r="C81" i="30"/>
  <c r="C71" i="30"/>
  <c r="C59" i="30"/>
  <c r="C49" i="30"/>
  <c r="C39" i="30"/>
  <c r="C27" i="30"/>
  <c r="C17" i="30"/>
  <c r="C7" i="30"/>
  <c r="C240" i="30"/>
  <c r="C228" i="30"/>
  <c r="C218" i="30"/>
  <c r="C208" i="30"/>
  <c r="C196" i="30"/>
  <c r="C186" i="30"/>
  <c r="C176" i="30"/>
  <c r="C164" i="30"/>
  <c r="C154" i="30"/>
  <c r="C144" i="30"/>
  <c r="C132" i="30"/>
  <c r="C122" i="30"/>
  <c r="C112" i="30"/>
  <c r="C100" i="30"/>
  <c r="C90" i="30"/>
  <c r="C80" i="30"/>
  <c r="C68" i="30"/>
  <c r="C58" i="30"/>
  <c r="C48" i="30"/>
  <c r="C36" i="30"/>
  <c r="C26" i="30"/>
  <c r="C16" i="30"/>
  <c r="C4" i="30"/>
  <c r="C724" i="30"/>
  <c r="C716" i="30"/>
  <c r="C708" i="30"/>
  <c r="C700" i="30"/>
  <c r="C692" i="30"/>
  <c r="C684" i="30"/>
  <c r="C675" i="30"/>
  <c r="C665" i="30"/>
  <c r="C655" i="30"/>
  <c r="C643" i="30"/>
  <c r="C633" i="30"/>
  <c r="C623" i="30"/>
  <c r="C611" i="30"/>
  <c r="C601" i="30"/>
  <c r="C591" i="30"/>
  <c r="C579" i="30"/>
  <c r="Q580" i="2" s="1"/>
  <c r="I580" i="2" s="1"/>
  <c r="J580" i="2" s="1"/>
  <c r="C569" i="30"/>
  <c r="C559" i="30"/>
  <c r="C547" i="30"/>
  <c r="C537" i="30"/>
  <c r="C527" i="30"/>
  <c r="C515" i="30"/>
  <c r="C505" i="30"/>
  <c r="C495" i="30"/>
  <c r="C483" i="30"/>
  <c r="C473" i="30"/>
  <c r="C463" i="30"/>
  <c r="C451" i="30"/>
  <c r="C441" i="30"/>
  <c r="C431" i="30"/>
  <c r="C419" i="30"/>
  <c r="C409" i="30"/>
  <c r="C399" i="30"/>
  <c r="C387" i="30"/>
  <c r="C377" i="30"/>
  <c r="C367" i="30"/>
  <c r="C355" i="30"/>
  <c r="C345" i="30"/>
  <c r="C335" i="30"/>
  <c r="C323" i="30"/>
  <c r="C313" i="30"/>
  <c r="C303" i="30"/>
  <c r="C291" i="30"/>
  <c r="C281" i="30"/>
  <c r="C271" i="30"/>
  <c r="C259" i="30"/>
  <c r="C249" i="30"/>
  <c r="C239" i="30"/>
  <c r="C227" i="30"/>
  <c r="C217" i="30"/>
  <c r="C207" i="30"/>
  <c r="C195" i="30"/>
  <c r="C185" i="30"/>
  <c r="C175" i="30"/>
  <c r="C163" i="30"/>
  <c r="C153" i="30"/>
  <c r="C143" i="30"/>
  <c r="C131" i="30"/>
  <c r="C121" i="30"/>
  <c r="C111" i="30"/>
  <c r="C99" i="30"/>
  <c r="C89" i="30"/>
  <c r="C79" i="30"/>
  <c r="C67" i="30"/>
  <c r="C57" i="30"/>
  <c r="C47" i="30"/>
  <c r="C35" i="30"/>
  <c r="C25" i="30"/>
  <c r="C15" i="30"/>
  <c r="C3" i="30"/>
  <c r="B7" i="1"/>
  <c r="S7" i="1" s="1"/>
  <c r="A5" i="10"/>
  <c r="A5" i="3"/>
  <c r="O9" i="17"/>
  <c r="O10" i="17"/>
  <c r="O11" i="17"/>
  <c r="O12" i="17"/>
  <c r="O13" i="17"/>
  <c r="O5" i="17"/>
  <c r="O6" i="17"/>
  <c r="O7" i="17"/>
  <c r="O8" i="17"/>
  <c r="O3" i="17"/>
  <c r="O4" i="17"/>
  <c r="O2" i="17"/>
  <c r="L3" i="17"/>
  <c r="L4" i="17"/>
  <c r="L5" i="17"/>
  <c r="L6" i="17"/>
  <c r="M6" i="17" s="1"/>
  <c r="L7" i="17"/>
  <c r="L8" i="17"/>
  <c r="M8" i="17" s="1"/>
  <c r="L9" i="17"/>
  <c r="L10" i="17"/>
  <c r="M10" i="17" s="1"/>
  <c r="L11" i="17"/>
  <c r="L12" i="17"/>
  <c r="L13" i="17"/>
  <c r="K9" i="17"/>
  <c r="K10" i="17"/>
  <c r="K11" i="17"/>
  <c r="K12" i="17"/>
  <c r="K13" i="17"/>
  <c r="K3" i="17"/>
  <c r="K4" i="17"/>
  <c r="K5" i="17"/>
  <c r="K6" i="17"/>
  <c r="K7" i="17"/>
  <c r="K8" i="17"/>
  <c r="A6" i="16" l="1"/>
  <c r="A6" i="1"/>
  <c r="S6" i="1"/>
  <c r="A6" i="13"/>
  <c r="S6" i="13"/>
  <c r="B7" i="14"/>
  <c r="S6" i="14"/>
  <c r="B7" i="3"/>
  <c r="S6" i="3"/>
  <c r="J70" i="8"/>
  <c r="Q65" i="8"/>
  <c r="O65" i="8"/>
  <c r="N65" i="8"/>
  <c r="R65" i="8"/>
  <c r="G15" i="8"/>
  <c r="K5" i="8"/>
  <c r="K15" i="8"/>
  <c r="K25" i="8"/>
  <c r="K20" i="8"/>
  <c r="G20" i="8"/>
  <c r="K40" i="8"/>
  <c r="I15" i="8"/>
  <c r="G30" i="8"/>
  <c r="K30" i="8"/>
  <c r="G35" i="8"/>
  <c r="I25" i="8"/>
  <c r="G25" i="8"/>
  <c r="I30" i="8"/>
  <c r="G40" i="8"/>
  <c r="G5" i="8"/>
  <c r="I40" i="8"/>
  <c r="I35" i="8"/>
  <c r="I5" i="8"/>
  <c r="K35" i="8"/>
  <c r="I20" i="8"/>
  <c r="M70" i="8"/>
  <c r="R70" i="8"/>
  <c r="N70" i="8"/>
  <c r="Q70" i="8"/>
  <c r="O70" i="8"/>
  <c r="J60" i="12"/>
  <c r="L60" i="12"/>
  <c r="A6" i="14"/>
  <c r="L37" i="1"/>
  <c r="B8" i="4"/>
  <c r="S8" i="4" s="1"/>
  <c r="A7" i="4"/>
  <c r="B8" i="15"/>
  <c r="S8" i="15" s="1"/>
  <c r="A7" i="15"/>
  <c r="B8" i="16"/>
  <c r="S8" i="16" s="1"/>
  <c r="A7" i="16"/>
  <c r="B7" i="13"/>
  <c r="B7" i="9"/>
  <c r="S7" i="9" s="1"/>
  <c r="A6" i="9"/>
  <c r="A7" i="12"/>
  <c r="B8" i="12"/>
  <c r="S8" i="12" s="1"/>
  <c r="B8" i="11"/>
  <c r="S8" i="11" s="1"/>
  <c r="A7" i="11"/>
  <c r="B8" i="10"/>
  <c r="S8" i="10" s="1"/>
  <c r="A7" i="10"/>
  <c r="B8" i="5"/>
  <c r="A7" i="5"/>
  <c r="M13" i="17"/>
  <c r="M12" i="17"/>
  <c r="M3" i="17"/>
  <c r="M11" i="17"/>
  <c r="M4" i="17"/>
  <c r="M7" i="17"/>
  <c r="M9" i="17"/>
  <c r="M5" i="17"/>
  <c r="G5" i="42"/>
  <c r="G4" i="42"/>
  <c r="G3" i="42"/>
  <c r="A6" i="42"/>
  <c r="B7" i="42"/>
  <c r="H6" i="42"/>
  <c r="C6" i="42"/>
  <c r="D6" i="42"/>
  <c r="G6" i="42"/>
  <c r="E6" i="42"/>
  <c r="B8" i="1"/>
  <c r="S8" i="1" s="1"/>
  <c r="A7" i="1"/>
  <c r="K37" i="1"/>
  <c r="F37" i="1"/>
  <c r="E37" i="1"/>
  <c r="L2" i="17"/>
  <c r="L14" i="17" s="1"/>
  <c r="M14" i="17" s="1"/>
  <c r="K2" i="17"/>
  <c r="G37" i="1"/>
  <c r="D37" i="1"/>
  <c r="P1" i="16"/>
  <c r="P1" i="1"/>
  <c r="P1" i="4"/>
  <c r="P1" i="3"/>
  <c r="P1" i="5"/>
  <c r="P1" i="9"/>
  <c r="P1" i="10"/>
  <c r="P1" i="11"/>
  <c r="P1" i="12"/>
  <c r="P1" i="13"/>
  <c r="P1" i="15"/>
  <c r="O1" i="16"/>
  <c r="O1" i="1"/>
  <c r="O1" i="4"/>
  <c r="O1" i="3"/>
  <c r="O1" i="5"/>
  <c r="O1" i="9"/>
  <c r="O1" i="10"/>
  <c r="O1" i="11"/>
  <c r="O1" i="12"/>
  <c r="O1" i="13"/>
  <c r="O1" i="15"/>
  <c r="N1" i="16"/>
  <c r="N1" i="1"/>
  <c r="N1" i="4"/>
  <c r="N1" i="3"/>
  <c r="N1" i="5"/>
  <c r="N1" i="9"/>
  <c r="N1" i="10"/>
  <c r="N1" i="11"/>
  <c r="N1" i="12"/>
  <c r="N1" i="13"/>
  <c r="N1" i="15"/>
  <c r="P1" i="14"/>
  <c r="O1" i="14"/>
  <c r="N1" i="14"/>
  <c r="A1" i="2"/>
  <c r="V35" i="3"/>
  <c r="B1" i="6"/>
  <c r="H17" i="6" s="1"/>
  <c r="S7" i="3" l="1"/>
  <c r="B8" i="3"/>
  <c r="A7" i="3"/>
  <c r="A8" i="5"/>
  <c r="S8" i="5"/>
  <c r="B8" i="13"/>
  <c r="S8" i="13" s="1"/>
  <c r="S7" i="13"/>
  <c r="A7" i="14"/>
  <c r="S7" i="14"/>
  <c r="B8" i="14"/>
  <c r="B44" i="3"/>
  <c r="B51" i="3" s="1"/>
  <c r="B52" i="5" s="1"/>
  <c r="B45" i="3"/>
  <c r="B60" i="3" s="1"/>
  <c r="B44" i="15"/>
  <c r="B51" i="15" s="1"/>
  <c r="B52" i="16" s="1"/>
  <c r="B59" i="16" s="1"/>
  <c r="B45" i="15"/>
  <c r="B60" i="15" s="1"/>
  <c r="B45" i="16"/>
  <c r="B60" i="16" s="1"/>
  <c r="B44" i="16"/>
  <c r="B45" i="4"/>
  <c r="B60" i="4" s="1"/>
  <c r="B44" i="4"/>
  <c r="B45" i="1"/>
  <c r="B60" i="1" s="1"/>
  <c r="B44" i="1"/>
  <c r="B44" i="14"/>
  <c r="B45" i="14"/>
  <c r="B60" i="14" s="1"/>
  <c r="B2" i="16"/>
  <c r="A38" i="16" s="1"/>
  <c r="A37" i="1" s="1"/>
  <c r="A7" i="13"/>
  <c r="H37" i="1"/>
  <c r="I37" i="1"/>
  <c r="A8" i="16"/>
  <c r="B9" i="16"/>
  <c r="S9" i="16" s="1"/>
  <c r="B9" i="4"/>
  <c r="S9" i="4" s="1"/>
  <c r="A8" i="4"/>
  <c r="A8" i="15"/>
  <c r="B9" i="15"/>
  <c r="S9" i="15" s="1"/>
  <c r="A7" i="9"/>
  <c r="B8" i="9"/>
  <c r="S8" i="9" s="1"/>
  <c r="B9" i="12"/>
  <c r="S9" i="12" s="1"/>
  <c r="A8" i="12"/>
  <c r="B9" i="11"/>
  <c r="S9" i="11" s="1"/>
  <c r="A8" i="11"/>
  <c r="A8" i="10"/>
  <c r="B9" i="10"/>
  <c r="S9" i="10" s="1"/>
  <c r="B9" i="5"/>
  <c r="M2" i="17"/>
  <c r="A7" i="42"/>
  <c r="E7" i="42"/>
  <c r="D7" i="42"/>
  <c r="C7" i="42"/>
  <c r="B8" i="42"/>
  <c r="H7" i="42"/>
  <c r="G7" i="42"/>
  <c r="B9" i="1"/>
  <c r="S9" i="1" s="1"/>
  <c r="A8" i="1"/>
  <c r="B9" i="13"/>
  <c r="S9" i="13" s="1"/>
  <c r="A8" i="13"/>
  <c r="B2" i="10"/>
  <c r="A38" i="10" s="1"/>
  <c r="B45" i="5"/>
  <c r="B60" i="5" s="1"/>
  <c r="B2" i="4"/>
  <c r="A38" i="4" s="1"/>
  <c r="A37" i="3" s="1"/>
  <c r="B2" i="3"/>
  <c r="A38" i="3" s="1"/>
  <c r="A37" i="13" s="1"/>
  <c r="B45" i="11"/>
  <c r="B60" i="11" s="1"/>
  <c r="B45" i="9"/>
  <c r="B60" i="9" s="1"/>
  <c r="B2" i="13"/>
  <c r="A38" i="13" s="1"/>
  <c r="B2" i="14"/>
  <c r="A38" i="14" s="1"/>
  <c r="A37" i="15" s="1"/>
  <c r="B2" i="12"/>
  <c r="A38" i="12" s="1"/>
  <c r="B44" i="10"/>
  <c r="B51" i="10" s="1"/>
  <c r="B52" i="11" s="1"/>
  <c r="B59" i="11" s="1"/>
  <c r="B2" i="15"/>
  <c r="A38" i="15" s="1"/>
  <c r="A37" i="16" s="1"/>
  <c r="B45" i="13"/>
  <c r="B60" i="13" s="1"/>
  <c r="B44" i="5"/>
  <c r="B51" i="5" s="1"/>
  <c r="B2" i="5"/>
  <c r="A38" i="5" s="1"/>
  <c r="B2" i="1"/>
  <c r="A38" i="1" s="1"/>
  <c r="A37" i="4" s="1"/>
  <c r="B44" i="12"/>
  <c r="B51" i="12" s="1"/>
  <c r="B52" i="13" s="1"/>
  <c r="B59" i="13" s="1"/>
  <c r="B2" i="11"/>
  <c r="A38" i="11" s="1"/>
  <c r="B45" i="12"/>
  <c r="B60" i="12" s="1"/>
  <c r="B45" i="10"/>
  <c r="B60" i="10" s="1"/>
  <c r="B2" i="9"/>
  <c r="A38" i="9" s="1"/>
  <c r="B44" i="13"/>
  <c r="B51" i="13" s="1"/>
  <c r="B44" i="11"/>
  <c r="B51" i="11" s="1"/>
  <c r="B52" i="12" s="1"/>
  <c r="B59" i="12" s="1"/>
  <c r="B44" i="9"/>
  <c r="B51" i="9" s="1"/>
  <c r="B52" i="10" s="1"/>
  <c r="B59" i="10" s="1"/>
  <c r="G3" i="6"/>
  <c r="H3" i="6"/>
  <c r="H5" i="6"/>
  <c r="G7" i="6"/>
  <c r="G14" i="6"/>
  <c r="H14" i="6"/>
  <c r="H7" i="6"/>
  <c r="G16" i="6"/>
  <c r="G4" i="6"/>
  <c r="H16" i="6"/>
  <c r="H4" i="6"/>
  <c r="G13" i="6"/>
  <c r="H13" i="6"/>
  <c r="G17" i="6"/>
  <c r="F17" i="6" s="1"/>
  <c r="G5" i="6"/>
  <c r="B10" i="5" l="1"/>
  <c r="S9" i="5"/>
  <c r="S8" i="14"/>
  <c r="B9" i="14"/>
  <c r="A8" i="14"/>
  <c r="A8" i="3"/>
  <c r="S8" i="3"/>
  <c r="B9" i="3"/>
  <c r="B52" i="9"/>
  <c r="B59" i="9" s="1"/>
  <c r="B59" i="5"/>
  <c r="J37" i="1"/>
  <c r="A9" i="4"/>
  <c r="B10" i="4"/>
  <c r="S10" i="4" s="1"/>
  <c r="A9" i="5"/>
  <c r="B10" i="15"/>
  <c r="S10" i="15" s="1"/>
  <c r="A9" i="15"/>
  <c r="A9" i="16"/>
  <c r="B10" i="16"/>
  <c r="S10" i="16" s="1"/>
  <c r="B9" i="9"/>
  <c r="S9" i="9" s="1"/>
  <c r="A8" i="9"/>
  <c r="B10" i="12"/>
  <c r="S10" i="12" s="1"/>
  <c r="A9" i="12"/>
  <c r="B10" i="11"/>
  <c r="S10" i="11" s="1"/>
  <c r="A9" i="11"/>
  <c r="A9" i="10"/>
  <c r="B10" i="10"/>
  <c r="S10" i="10" s="1"/>
  <c r="F14" i="6"/>
  <c r="F13" i="6"/>
  <c r="A8" i="42"/>
  <c r="H8" i="42"/>
  <c r="G8" i="42"/>
  <c r="E8" i="42"/>
  <c r="D8" i="42"/>
  <c r="C8" i="42"/>
  <c r="B9" i="42"/>
  <c r="B10" i="13"/>
  <c r="S10" i="13" s="1"/>
  <c r="A9" i="13"/>
  <c r="B10" i="1"/>
  <c r="S10" i="1" s="1"/>
  <c r="A9" i="1"/>
  <c r="A10" i="5"/>
  <c r="B51" i="14"/>
  <c r="B52" i="15" s="1"/>
  <c r="B59" i="15" s="1"/>
  <c r="B51" i="16"/>
  <c r="B52" i="1" s="1"/>
  <c r="B59" i="1" s="1"/>
  <c r="B51" i="1"/>
  <c r="B52" i="4" s="1"/>
  <c r="B59" i="4" s="1"/>
  <c r="B51" i="4"/>
  <c r="B52" i="3" s="1"/>
  <c r="B59" i="3" s="1"/>
  <c r="A37" i="10"/>
  <c r="A37" i="5"/>
  <c r="A37" i="12"/>
  <c r="A37" i="11"/>
  <c r="A37" i="9"/>
  <c r="A37" i="14"/>
  <c r="F3" i="6"/>
  <c r="F5" i="6"/>
  <c r="F7" i="6"/>
  <c r="F4" i="6"/>
  <c r="F16" i="6"/>
  <c r="S9" i="14" l="1"/>
  <c r="B10" i="14"/>
  <c r="A9" i="14"/>
  <c r="A9" i="3"/>
  <c r="S9" i="3"/>
  <c r="B10" i="3"/>
  <c r="B11" i="5"/>
  <c r="S10" i="5"/>
  <c r="B11" i="15"/>
  <c r="S11" i="15" s="1"/>
  <c r="A10" i="15"/>
  <c r="B11" i="4"/>
  <c r="S11" i="4" s="1"/>
  <c r="A10" i="4"/>
  <c r="B11" i="16"/>
  <c r="S11" i="16" s="1"/>
  <c r="A10" i="16"/>
  <c r="B10" i="9"/>
  <c r="S10" i="9" s="1"/>
  <c r="A9" i="9"/>
  <c r="B11" i="12"/>
  <c r="S11" i="12" s="1"/>
  <c r="A10" i="12"/>
  <c r="B11" i="11"/>
  <c r="S11" i="11" s="1"/>
  <c r="A10" i="11"/>
  <c r="B11" i="10"/>
  <c r="S11" i="10" s="1"/>
  <c r="A10" i="10"/>
  <c r="A9" i="42"/>
  <c r="B10" i="42"/>
  <c r="H9" i="42"/>
  <c r="G9" i="42"/>
  <c r="E9" i="42"/>
  <c r="C9" i="42"/>
  <c r="D9" i="42"/>
  <c r="B11" i="1"/>
  <c r="S11" i="1" s="1"/>
  <c r="A10" i="1"/>
  <c r="A11" i="5"/>
  <c r="B11" i="13"/>
  <c r="S11" i="13" s="1"/>
  <c r="A10" i="13"/>
  <c r="S11" i="5" l="1"/>
  <c r="B12" i="5"/>
  <c r="A10" i="3"/>
  <c r="S10" i="3"/>
  <c r="B11" i="3"/>
  <c r="S10" i="14"/>
  <c r="B11" i="14"/>
  <c r="A10" i="14"/>
  <c r="A11" i="16"/>
  <c r="B12" i="16"/>
  <c r="S12" i="16" s="1"/>
  <c r="B12" i="4"/>
  <c r="S12" i="4" s="1"/>
  <c r="A11" i="4"/>
  <c r="A11" i="15"/>
  <c r="B12" i="15"/>
  <c r="S12" i="15" s="1"/>
  <c r="B11" i="9"/>
  <c r="S11" i="9" s="1"/>
  <c r="A10" i="9"/>
  <c r="B12" i="12"/>
  <c r="S12" i="12" s="1"/>
  <c r="A11" i="12"/>
  <c r="A11" i="11"/>
  <c r="B12" i="11"/>
  <c r="S12" i="11" s="1"/>
  <c r="B12" i="10"/>
  <c r="S12" i="10" s="1"/>
  <c r="A11" i="10"/>
  <c r="A10" i="42"/>
  <c r="B11" i="42"/>
  <c r="H10" i="42"/>
  <c r="D10" i="42"/>
  <c r="C10" i="42"/>
  <c r="G10" i="42"/>
  <c r="E10" i="42"/>
  <c r="A12" i="5"/>
  <c r="B12" i="1"/>
  <c r="S12" i="1" s="1"/>
  <c r="A11" i="1"/>
  <c r="B12" i="13"/>
  <c r="S12" i="13" s="1"/>
  <c r="A11" i="13"/>
  <c r="B12" i="3" l="1"/>
  <c r="S11" i="3"/>
  <c r="A11" i="3"/>
  <c r="S11" i="14"/>
  <c r="B12" i="14"/>
  <c r="A11" i="14"/>
  <c r="S12" i="5"/>
  <c r="B13" i="5"/>
  <c r="A13" i="5" s="1"/>
  <c r="B13" i="15"/>
  <c r="S13" i="15" s="1"/>
  <c r="A12" i="15"/>
  <c r="A12" i="4"/>
  <c r="B13" i="4"/>
  <c r="S13" i="4" s="1"/>
  <c r="A12" i="16"/>
  <c r="B13" i="16"/>
  <c r="S13" i="16" s="1"/>
  <c r="B12" i="9"/>
  <c r="S12" i="9" s="1"/>
  <c r="A11" i="9"/>
  <c r="B13" i="12"/>
  <c r="S13" i="12" s="1"/>
  <c r="A12" i="12"/>
  <c r="B13" i="11"/>
  <c r="S13" i="11" s="1"/>
  <c r="A12" i="11"/>
  <c r="B13" i="10"/>
  <c r="S13" i="10" s="1"/>
  <c r="A12" i="10"/>
  <c r="A11" i="42"/>
  <c r="E11" i="42"/>
  <c r="D11" i="42"/>
  <c r="C11" i="42"/>
  <c r="B12" i="42"/>
  <c r="H11" i="42"/>
  <c r="G11" i="42"/>
  <c r="B13" i="13"/>
  <c r="S13" i="13" s="1"/>
  <c r="A12" i="13"/>
  <c r="B13" i="1"/>
  <c r="S13" i="1" s="1"/>
  <c r="A12" i="1"/>
  <c r="C37" i="1"/>
  <c r="B14" i="5" l="1"/>
  <c r="S13" i="5"/>
  <c r="S12" i="14"/>
  <c r="A12" i="14"/>
  <c r="B13" i="14"/>
  <c r="S12" i="3"/>
  <c r="A12" i="3"/>
  <c r="B13" i="3"/>
  <c r="B14" i="16"/>
  <c r="S14" i="16" s="1"/>
  <c r="A13" i="16"/>
  <c r="B14" i="4"/>
  <c r="S14" i="4" s="1"/>
  <c r="A13" i="4"/>
  <c r="B14" i="15"/>
  <c r="S14" i="15" s="1"/>
  <c r="A13" i="15"/>
  <c r="A12" i="9"/>
  <c r="B13" i="9"/>
  <c r="S13" i="9" s="1"/>
  <c r="B14" i="12"/>
  <c r="S14" i="12" s="1"/>
  <c r="A13" i="12"/>
  <c r="B14" i="11"/>
  <c r="S14" i="11" s="1"/>
  <c r="A13" i="11"/>
  <c r="A13" i="10"/>
  <c r="B14" i="10"/>
  <c r="S14" i="10" s="1"/>
  <c r="A12" i="42"/>
  <c r="H12" i="42"/>
  <c r="G12" i="42"/>
  <c r="E12" i="42"/>
  <c r="D12" i="42"/>
  <c r="C12" i="42"/>
  <c r="B13" i="42"/>
  <c r="B14" i="1"/>
  <c r="S14" i="1" s="1"/>
  <c r="A13" i="1"/>
  <c r="B14" i="13"/>
  <c r="S14" i="13" s="1"/>
  <c r="A13" i="13"/>
  <c r="A14" i="5"/>
  <c r="S13" i="14" l="1"/>
  <c r="A13" i="14"/>
  <c r="B14" i="14"/>
  <c r="S13" i="3"/>
  <c r="B14" i="3"/>
  <c r="A13" i="3"/>
  <c r="B15" i="5"/>
  <c r="A15" i="5" s="1"/>
  <c r="S14" i="5"/>
  <c r="A14" i="15"/>
  <c r="B15" i="15"/>
  <c r="S15" i="15" s="1"/>
  <c r="A14" i="4"/>
  <c r="B15" i="4"/>
  <c r="S15" i="4" s="1"/>
  <c r="A14" i="16"/>
  <c r="B15" i="16"/>
  <c r="S15" i="16" s="1"/>
  <c r="A13" i="9"/>
  <c r="B14" i="9"/>
  <c r="S14" i="9" s="1"/>
  <c r="B15" i="12"/>
  <c r="S15" i="12" s="1"/>
  <c r="A14" i="12"/>
  <c r="A14" i="11"/>
  <c r="B15" i="11"/>
  <c r="S15" i="11" s="1"/>
  <c r="A14" i="10"/>
  <c r="B15" i="10"/>
  <c r="S15" i="10" s="1"/>
  <c r="A13" i="42"/>
  <c r="B14" i="42"/>
  <c r="H13" i="42"/>
  <c r="G13" i="42"/>
  <c r="E13" i="42"/>
  <c r="C13" i="42"/>
  <c r="D13" i="42"/>
  <c r="B15" i="1"/>
  <c r="S15" i="1" s="1"/>
  <c r="A14" i="1"/>
  <c r="B15" i="13"/>
  <c r="S15" i="13" s="1"/>
  <c r="A14" i="13"/>
  <c r="B16" i="5" l="1"/>
  <c r="S15" i="5"/>
  <c r="S14" i="3"/>
  <c r="A14" i="3"/>
  <c r="B15" i="3"/>
  <c r="S14" i="14"/>
  <c r="B15" i="14"/>
  <c r="A14" i="14"/>
  <c r="B16" i="16"/>
  <c r="S16" i="16" s="1"/>
  <c r="A15" i="16"/>
  <c r="B16" i="4"/>
  <c r="S16" i="4" s="1"/>
  <c r="A15" i="4"/>
  <c r="A15" i="15"/>
  <c r="B16" i="15"/>
  <c r="S16" i="15" s="1"/>
  <c r="B15" i="9"/>
  <c r="S15" i="9" s="1"/>
  <c r="A14" i="9"/>
  <c r="B16" i="12"/>
  <c r="S16" i="12" s="1"/>
  <c r="A15" i="12"/>
  <c r="B16" i="11"/>
  <c r="S16" i="11" s="1"/>
  <c r="A15" i="11"/>
  <c r="B16" i="10"/>
  <c r="S16" i="10" s="1"/>
  <c r="A15" i="10"/>
  <c r="A14" i="42"/>
  <c r="B15" i="42"/>
  <c r="H14" i="42"/>
  <c r="G14" i="42"/>
  <c r="C14" i="42"/>
  <c r="E14" i="42"/>
  <c r="D14" i="42"/>
  <c r="B16" i="1"/>
  <c r="S16" i="1" s="1"/>
  <c r="A15" i="1"/>
  <c r="A16" i="5"/>
  <c r="B16" i="13"/>
  <c r="S16" i="13" s="1"/>
  <c r="A15" i="13"/>
  <c r="S15" i="14" l="1"/>
  <c r="B16" i="14"/>
  <c r="A15" i="14"/>
  <c r="S15" i="3"/>
  <c r="B16" i="3"/>
  <c r="A15" i="3"/>
  <c r="B17" i="5"/>
  <c r="S16" i="5"/>
  <c r="B17" i="15"/>
  <c r="S17" i="15" s="1"/>
  <c r="A16" i="15"/>
  <c r="B17" i="4"/>
  <c r="S17" i="4" s="1"/>
  <c r="A16" i="4"/>
  <c r="B17" i="16"/>
  <c r="S17" i="16" s="1"/>
  <c r="A16" i="16"/>
  <c r="B16" i="9"/>
  <c r="S16" i="9" s="1"/>
  <c r="A15" i="9"/>
  <c r="B17" i="12"/>
  <c r="S17" i="12" s="1"/>
  <c r="A16" i="12"/>
  <c r="B17" i="11"/>
  <c r="S17" i="11" s="1"/>
  <c r="A16" i="11"/>
  <c r="B17" i="10"/>
  <c r="S17" i="10" s="1"/>
  <c r="A16" i="10"/>
  <c r="A15" i="42"/>
  <c r="E15" i="42"/>
  <c r="D15" i="42"/>
  <c r="C15" i="42"/>
  <c r="G15" i="42"/>
  <c r="B16" i="42"/>
  <c r="H15" i="42"/>
  <c r="B17" i="1"/>
  <c r="S17" i="1" s="1"/>
  <c r="A16" i="1"/>
  <c r="A17" i="5"/>
  <c r="B17" i="13"/>
  <c r="S17" i="13" s="1"/>
  <c r="A16" i="13"/>
  <c r="S16" i="3" l="1"/>
  <c r="B17" i="3"/>
  <c r="A16" i="3"/>
  <c r="B18" i="5"/>
  <c r="S17" i="5"/>
  <c r="S16" i="14"/>
  <c r="A16" i="14"/>
  <c r="B17" i="14"/>
  <c r="B18" i="16"/>
  <c r="S18" i="16" s="1"/>
  <c r="A17" i="16"/>
  <c r="A17" i="4"/>
  <c r="B18" i="4"/>
  <c r="S18" i="4" s="1"/>
  <c r="A17" i="15"/>
  <c r="B18" i="15"/>
  <c r="S18" i="15" s="1"/>
  <c r="B17" i="9"/>
  <c r="S17" i="9" s="1"/>
  <c r="A16" i="9"/>
  <c r="B18" i="12"/>
  <c r="S18" i="12" s="1"/>
  <c r="A17" i="12"/>
  <c r="A17" i="11"/>
  <c r="B18" i="11"/>
  <c r="S18" i="11" s="1"/>
  <c r="B18" i="10"/>
  <c r="S18" i="10" s="1"/>
  <c r="A17" i="10"/>
  <c r="A16" i="42"/>
  <c r="H16" i="42"/>
  <c r="G16" i="42"/>
  <c r="E16" i="42"/>
  <c r="D16" i="42"/>
  <c r="C16" i="42"/>
  <c r="B17" i="42"/>
  <c r="B18" i="13"/>
  <c r="S18" i="13" s="1"/>
  <c r="A17" i="13"/>
  <c r="B18" i="1"/>
  <c r="S18" i="1" s="1"/>
  <c r="A17" i="1"/>
  <c r="A18" i="5"/>
  <c r="B19" i="5" l="1"/>
  <c r="S18" i="5"/>
  <c r="S17" i="3"/>
  <c r="A17" i="3"/>
  <c r="B18" i="3"/>
  <c r="S17" i="14"/>
  <c r="B18" i="14"/>
  <c r="A17" i="14"/>
  <c r="A18" i="15"/>
  <c r="B19" i="15"/>
  <c r="S19" i="15" s="1"/>
  <c r="B19" i="4"/>
  <c r="S19" i="4" s="1"/>
  <c r="A18" i="4"/>
  <c r="B19" i="16"/>
  <c r="S19" i="16" s="1"/>
  <c r="A18" i="16"/>
  <c r="A17" i="9"/>
  <c r="B18" i="9"/>
  <c r="S18" i="9" s="1"/>
  <c r="B19" i="12"/>
  <c r="S19" i="12" s="1"/>
  <c r="A18" i="12"/>
  <c r="B19" i="11"/>
  <c r="S19" i="11" s="1"/>
  <c r="A18" i="11"/>
  <c r="B19" i="10"/>
  <c r="S19" i="10" s="1"/>
  <c r="A18" i="10"/>
  <c r="A17" i="42"/>
  <c r="B18" i="42"/>
  <c r="H17" i="42"/>
  <c r="G17" i="42"/>
  <c r="E17" i="42"/>
  <c r="C17" i="42"/>
  <c r="D17" i="42"/>
  <c r="A19" i="5"/>
  <c r="B19" i="13"/>
  <c r="S19" i="13" s="1"/>
  <c r="A18" i="13"/>
  <c r="B19" i="1"/>
  <c r="S19" i="1" s="1"/>
  <c r="A18" i="1"/>
  <c r="S18" i="3" l="1"/>
  <c r="B19" i="3"/>
  <c r="A18" i="3"/>
  <c r="S18" i="14"/>
  <c r="B19" i="14"/>
  <c r="A18" i="14"/>
  <c r="B20" i="5"/>
  <c r="A20" i="5" s="1"/>
  <c r="S19" i="5"/>
  <c r="B20" i="16"/>
  <c r="S20" i="16" s="1"/>
  <c r="A19" i="16"/>
  <c r="B20" i="4"/>
  <c r="S20" i="4" s="1"/>
  <c r="A19" i="4"/>
  <c r="B20" i="15"/>
  <c r="S20" i="15" s="1"/>
  <c r="A19" i="15"/>
  <c r="A18" i="9"/>
  <c r="B19" i="9"/>
  <c r="S19" i="9" s="1"/>
  <c r="B20" i="12"/>
  <c r="S20" i="12" s="1"/>
  <c r="A19" i="12"/>
  <c r="B20" i="11"/>
  <c r="S20" i="11" s="1"/>
  <c r="A19" i="11"/>
  <c r="B20" i="10"/>
  <c r="S20" i="10" s="1"/>
  <c r="A19" i="10"/>
  <c r="A18" i="42"/>
  <c r="B19" i="42"/>
  <c r="H18" i="42"/>
  <c r="C18" i="42"/>
  <c r="D18" i="42"/>
  <c r="G18" i="42"/>
  <c r="E18" i="42"/>
  <c r="B20" i="1"/>
  <c r="S20" i="1" s="1"/>
  <c r="A19" i="1"/>
  <c r="B20" i="13"/>
  <c r="S20" i="13" s="1"/>
  <c r="A19" i="13"/>
  <c r="B21" i="5" l="1"/>
  <c r="S20" i="5"/>
  <c r="S19" i="14"/>
  <c r="B20" i="14"/>
  <c r="A19" i="14"/>
  <c r="S19" i="3"/>
  <c r="B20" i="3"/>
  <c r="A19" i="3"/>
  <c r="A20" i="15"/>
  <c r="B21" i="15"/>
  <c r="S21" i="15" s="1"/>
  <c r="A20" i="4"/>
  <c r="B21" i="4"/>
  <c r="S21" i="4" s="1"/>
  <c r="B21" i="16"/>
  <c r="S21" i="16" s="1"/>
  <c r="A20" i="16"/>
  <c r="B20" i="9"/>
  <c r="S20" i="9" s="1"/>
  <c r="A19" i="9"/>
  <c r="B21" i="12"/>
  <c r="S21" i="12" s="1"/>
  <c r="A20" i="12"/>
  <c r="A20" i="11"/>
  <c r="B21" i="11"/>
  <c r="S21" i="11" s="1"/>
  <c r="B21" i="10"/>
  <c r="S21" i="10" s="1"/>
  <c r="A20" i="10"/>
  <c r="A19" i="42"/>
  <c r="E19" i="42"/>
  <c r="D19" i="42"/>
  <c r="C19" i="42"/>
  <c r="G19" i="42"/>
  <c r="B20" i="42"/>
  <c r="H19" i="42"/>
  <c r="B21" i="1"/>
  <c r="S21" i="1" s="1"/>
  <c r="A20" i="1"/>
  <c r="B21" i="13"/>
  <c r="S21" i="13" s="1"/>
  <c r="A20" i="13"/>
  <c r="A21" i="5"/>
  <c r="S20" i="3" l="1"/>
  <c r="A20" i="3"/>
  <c r="B21" i="3"/>
  <c r="S20" i="14"/>
  <c r="B21" i="14"/>
  <c r="A20" i="14"/>
  <c r="B22" i="5"/>
  <c r="S21" i="5"/>
  <c r="B22" i="16"/>
  <c r="S22" i="16" s="1"/>
  <c r="A21" i="16"/>
  <c r="A21" i="4"/>
  <c r="B22" i="4"/>
  <c r="S22" i="4" s="1"/>
  <c r="A21" i="15"/>
  <c r="B22" i="15"/>
  <c r="S22" i="15" s="1"/>
  <c r="B21" i="9"/>
  <c r="S21" i="9" s="1"/>
  <c r="A20" i="9"/>
  <c r="B22" i="12"/>
  <c r="S22" i="12" s="1"/>
  <c r="A21" i="12"/>
  <c r="B22" i="11"/>
  <c r="S22" i="11" s="1"/>
  <c r="A21" i="11"/>
  <c r="A21" i="10"/>
  <c r="B22" i="10"/>
  <c r="S22" i="10" s="1"/>
  <c r="A20" i="42"/>
  <c r="H20" i="42"/>
  <c r="G20" i="42"/>
  <c r="E20" i="42"/>
  <c r="D20" i="42"/>
  <c r="C20" i="42"/>
  <c r="B21" i="42"/>
  <c r="B22" i="13"/>
  <c r="S22" i="13" s="1"/>
  <c r="A21" i="13"/>
  <c r="B22" i="1"/>
  <c r="S22" i="1" s="1"/>
  <c r="A21" i="1"/>
  <c r="B23" i="5" l="1"/>
  <c r="S22" i="5"/>
  <c r="S21" i="14"/>
  <c r="A21" i="14"/>
  <c r="B22" i="14"/>
  <c r="A22" i="5"/>
  <c r="S21" i="3"/>
  <c r="B22" i="3"/>
  <c r="A21" i="3"/>
  <c r="B23" i="15"/>
  <c r="S23" i="15" s="1"/>
  <c r="A22" i="15"/>
  <c r="B23" i="4"/>
  <c r="S23" i="4" s="1"/>
  <c r="A22" i="4"/>
  <c r="B23" i="16"/>
  <c r="S23" i="16" s="1"/>
  <c r="A22" i="16"/>
  <c r="B22" i="9"/>
  <c r="S22" i="9" s="1"/>
  <c r="A21" i="9"/>
  <c r="B23" i="12"/>
  <c r="S23" i="12" s="1"/>
  <c r="A22" i="12"/>
  <c r="B23" i="11"/>
  <c r="S23" i="11" s="1"/>
  <c r="A22" i="11"/>
  <c r="A22" i="10"/>
  <c r="B23" i="10"/>
  <c r="S23" i="10" s="1"/>
  <c r="A21" i="42"/>
  <c r="B22" i="42"/>
  <c r="H21" i="42"/>
  <c r="G21" i="42"/>
  <c r="E21" i="42"/>
  <c r="C21" i="42"/>
  <c r="D21" i="42"/>
  <c r="A23" i="5"/>
  <c r="B23" i="13"/>
  <c r="S23" i="13" s="1"/>
  <c r="A22" i="13"/>
  <c r="B23" i="1"/>
  <c r="S23" i="1" s="1"/>
  <c r="A22" i="1"/>
  <c r="S22" i="3" l="1"/>
  <c r="A22" i="3"/>
  <c r="B23" i="3"/>
  <c r="S22" i="14"/>
  <c r="B23" i="14"/>
  <c r="A22" i="14"/>
  <c r="B24" i="5"/>
  <c r="S23" i="5"/>
  <c r="A23" i="16"/>
  <c r="B24" i="16"/>
  <c r="S24" i="16" s="1"/>
  <c r="A23" i="4"/>
  <c r="B24" i="4"/>
  <c r="S24" i="4" s="1"/>
  <c r="B24" i="15"/>
  <c r="S24" i="15" s="1"/>
  <c r="A23" i="15"/>
  <c r="B23" i="9"/>
  <c r="S23" i="9" s="1"/>
  <c r="A22" i="9"/>
  <c r="B24" i="12"/>
  <c r="S24" i="12" s="1"/>
  <c r="A23" i="12"/>
  <c r="B24" i="11"/>
  <c r="S24" i="11" s="1"/>
  <c r="A23" i="11"/>
  <c r="B24" i="10"/>
  <c r="S24" i="10" s="1"/>
  <c r="A23" i="10"/>
  <c r="A22" i="42"/>
  <c r="B23" i="42"/>
  <c r="H22" i="42"/>
  <c r="E22" i="42"/>
  <c r="D22" i="42"/>
  <c r="G22" i="42"/>
  <c r="C22" i="42"/>
  <c r="B24" i="13"/>
  <c r="S24" i="13" s="1"/>
  <c r="A23" i="13"/>
  <c r="B24" i="1"/>
  <c r="S24" i="1" s="1"/>
  <c r="A23" i="1"/>
  <c r="B25" i="5" l="1"/>
  <c r="S24" i="5"/>
  <c r="S23" i="14"/>
  <c r="A23" i="14"/>
  <c r="B24" i="14"/>
  <c r="A24" i="5"/>
  <c r="S23" i="3"/>
  <c r="A23" i="3"/>
  <c r="B24" i="3"/>
  <c r="A24" i="15"/>
  <c r="B25" i="15"/>
  <c r="S25" i="15" s="1"/>
  <c r="A24" i="4"/>
  <c r="B25" i="4"/>
  <c r="S25" i="4" s="1"/>
  <c r="B25" i="16"/>
  <c r="S25" i="16" s="1"/>
  <c r="A24" i="16"/>
  <c r="A23" i="9"/>
  <c r="B24" i="9"/>
  <c r="S24" i="9" s="1"/>
  <c r="B25" i="12"/>
  <c r="S25" i="12" s="1"/>
  <c r="A24" i="12"/>
  <c r="B25" i="11"/>
  <c r="S25" i="11" s="1"/>
  <c r="A24" i="11"/>
  <c r="B25" i="10"/>
  <c r="S25" i="10" s="1"/>
  <c r="A24" i="10"/>
  <c r="A23" i="42"/>
  <c r="E23" i="42"/>
  <c r="D23" i="42"/>
  <c r="C23" i="42"/>
  <c r="B24" i="42"/>
  <c r="H23" i="42"/>
  <c r="G23" i="42"/>
  <c r="A25" i="5"/>
  <c r="B25" i="13"/>
  <c r="S25" i="13" s="1"/>
  <c r="A24" i="13"/>
  <c r="B25" i="1"/>
  <c r="S25" i="1" s="1"/>
  <c r="A24" i="1"/>
  <c r="S24" i="14" l="1"/>
  <c r="B25" i="14"/>
  <c r="A24" i="14"/>
  <c r="S24" i="3"/>
  <c r="B25" i="3"/>
  <c r="A24" i="3"/>
  <c r="B26" i="5"/>
  <c r="S25" i="5"/>
  <c r="B26" i="16"/>
  <c r="S26" i="16" s="1"/>
  <c r="A25" i="16"/>
  <c r="B26" i="4"/>
  <c r="S26" i="4" s="1"/>
  <c r="A25" i="4"/>
  <c r="B26" i="15"/>
  <c r="S26" i="15" s="1"/>
  <c r="A25" i="15"/>
  <c r="B25" i="9"/>
  <c r="S25" i="9" s="1"/>
  <c r="A24" i="9"/>
  <c r="B26" i="12"/>
  <c r="S26" i="12" s="1"/>
  <c r="A25" i="12"/>
  <c r="B26" i="11"/>
  <c r="S26" i="11" s="1"/>
  <c r="A25" i="11"/>
  <c r="A25" i="10"/>
  <c r="B26" i="10"/>
  <c r="S26" i="10" s="1"/>
  <c r="A24" i="42"/>
  <c r="H24" i="42"/>
  <c r="G24" i="42"/>
  <c r="E24" i="42"/>
  <c r="D24" i="42"/>
  <c r="C24" i="42"/>
  <c r="B25" i="42"/>
  <c r="B26" i="1"/>
  <c r="S26" i="1" s="1"/>
  <c r="A25" i="1"/>
  <c r="A26" i="5"/>
  <c r="B26" i="13"/>
  <c r="S26" i="13" s="1"/>
  <c r="A25" i="13"/>
  <c r="B27" i="5" l="1"/>
  <c r="S26" i="5"/>
  <c r="S25" i="3"/>
  <c r="B26" i="3"/>
  <c r="A25" i="3"/>
  <c r="S25" i="14"/>
  <c r="A25" i="14"/>
  <c r="B26" i="14"/>
  <c r="B27" i="16"/>
  <c r="S27" i="16" s="1"/>
  <c r="A26" i="16"/>
  <c r="B27" i="4"/>
  <c r="S27" i="4" s="1"/>
  <c r="A26" i="4"/>
  <c r="B27" i="15"/>
  <c r="S27" i="15" s="1"/>
  <c r="A26" i="15"/>
  <c r="A25" i="9"/>
  <c r="B26" i="9"/>
  <c r="S26" i="9" s="1"/>
  <c r="B27" i="12"/>
  <c r="S27" i="12" s="1"/>
  <c r="A26" i="12"/>
  <c r="B27" i="11"/>
  <c r="S27" i="11" s="1"/>
  <c r="A26" i="11"/>
  <c r="B27" i="10"/>
  <c r="S27" i="10" s="1"/>
  <c r="A26" i="10"/>
  <c r="A25" i="42"/>
  <c r="B26" i="42"/>
  <c r="H25" i="42"/>
  <c r="G25" i="42"/>
  <c r="E25" i="42"/>
  <c r="D25" i="42"/>
  <c r="C25" i="42"/>
  <c r="A27" i="5"/>
  <c r="B27" i="13"/>
  <c r="S27" i="13" s="1"/>
  <c r="A26" i="13"/>
  <c r="B27" i="1"/>
  <c r="S27" i="1" s="1"/>
  <c r="A26" i="1"/>
  <c r="S26" i="14" l="1"/>
  <c r="B27" i="14"/>
  <c r="A26" i="14"/>
  <c r="S26" i="3"/>
  <c r="B27" i="3"/>
  <c r="A26" i="3"/>
  <c r="B28" i="5"/>
  <c r="S27" i="5"/>
  <c r="B28" i="16"/>
  <c r="S28" i="16" s="1"/>
  <c r="A27" i="16"/>
  <c r="A27" i="15"/>
  <c r="B28" i="15"/>
  <c r="S28" i="15" s="1"/>
  <c r="A27" i="4"/>
  <c r="B28" i="4"/>
  <c r="S28" i="4" s="1"/>
  <c r="B27" i="9"/>
  <c r="S27" i="9" s="1"/>
  <c r="A26" i="9"/>
  <c r="B28" i="12"/>
  <c r="S28" i="12" s="1"/>
  <c r="A27" i="12"/>
  <c r="B28" i="11"/>
  <c r="S28" i="11" s="1"/>
  <c r="A27" i="11"/>
  <c r="A27" i="10"/>
  <c r="B28" i="10"/>
  <c r="S28" i="10" s="1"/>
  <c r="A26" i="42"/>
  <c r="B27" i="42"/>
  <c r="H26" i="42"/>
  <c r="G26" i="42"/>
  <c r="E26" i="42"/>
  <c r="D26" i="42"/>
  <c r="C26" i="42"/>
  <c r="B28" i="1"/>
  <c r="S28" i="1" s="1"/>
  <c r="A27" i="1"/>
  <c r="A28" i="5"/>
  <c r="B28" i="13"/>
  <c r="S28" i="13" s="1"/>
  <c r="A27" i="13"/>
  <c r="B29" i="5" l="1"/>
  <c r="S28" i="5"/>
  <c r="S27" i="3"/>
  <c r="B28" i="3"/>
  <c r="A27" i="3"/>
  <c r="S27" i="14"/>
  <c r="B28" i="14"/>
  <c r="A27" i="14"/>
  <c r="B29" i="16"/>
  <c r="S29" i="16" s="1"/>
  <c r="A28" i="16"/>
  <c r="B29" i="4"/>
  <c r="S29" i="4" s="1"/>
  <c r="A28" i="4"/>
  <c r="A28" i="15"/>
  <c r="B29" i="15"/>
  <c r="S29" i="15" s="1"/>
  <c r="B28" i="9"/>
  <c r="S28" i="9" s="1"/>
  <c r="A27" i="9"/>
  <c r="B29" i="12"/>
  <c r="S29" i="12" s="1"/>
  <c r="A28" i="12"/>
  <c r="B29" i="11"/>
  <c r="S29" i="11" s="1"/>
  <c r="A28" i="11"/>
  <c r="A28" i="10"/>
  <c r="B29" i="10"/>
  <c r="S29" i="10" s="1"/>
  <c r="A27" i="42"/>
  <c r="E27" i="42"/>
  <c r="D27" i="42"/>
  <c r="C27" i="42"/>
  <c r="B28" i="42"/>
  <c r="H27" i="42"/>
  <c r="G27" i="42"/>
  <c r="B29" i="13"/>
  <c r="S29" i="13" s="1"/>
  <c r="A28" i="13"/>
  <c r="B29" i="1"/>
  <c r="S29" i="1" s="1"/>
  <c r="A28" i="1"/>
  <c r="A29" i="5"/>
  <c r="S28" i="14" l="1"/>
  <c r="A28" i="14"/>
  <c r="B29" i="14"/>
  <c r="S28" i="3"/>
  <c r="B29" i="3"/>
  <c r="A28" i="3"/>
  <c r="B30" i="5"/>
  <c r="S29" i="5"/>
  <c r="B30" i="16"/>
  <c r="S30" i="16" s="1"/>
  <c r="A29" i="16"/>
  <c r="B30" i="15"/>
  <c r="S30" i="15" s="1"/>
  <c r="A29" i="15"/>
  <c r="A29" i="4"/>
  <c r="B30" i="4"/>
  <c r="S30" i="4" s="1"/>
  <c r="A28" i="9"/>
  <c r="B29" i="9"/>
  <c r="S29" i="9" s="1"/>
  <c r="B30" i="12"/>
  <c r="S30" i="12" s="1"/>
  <c r="A29" i="12"/>
  <c r="A29" i="11"/>
  <c r="B30" i="11"/>
  <c r="S30" i="11" s="1"/>
  <c r="B30" i="10"/>
  <c r="S30" i="10" s="1"/>
  <c r="A29" i="10"/>
  <c r="A28" i="42"/>
  <c r="H28" i="42"/>
  <c r="G28" i="42"/>
  <c r="E28" i="42"/>
  <c r="D28" i="42"/>
  <c r="C28" i="42"/>
  <c r="B29" i="42"/>
  <c r="B30" i="1"/>
  <c r="S30" i="1" s="1"/>
  <c r="A29" i="1"/>
  <c r="B30" i="13"/>
  <c r="S30" i="13" s="1"/>
  <c r="A29" i="13"/>
  <c r="B31" i="5" l="1"/>
  <c r="S30" i="5"/>
  <c r="S29" i="3"/>
  <c r="B30" i="3"/>
  <c r="A29" i="3"/>
  <c r="A30" i="5"/>
  <c r="S29" i="14"/>
  <c r="A29" i="14"/>
  <c r="B30" i="14"/>
  <c r="B31" i="15"/>
  <c r="S31" i="15" s="1"/>
  <c r="A30" i="15"/>
  <c r="B31" i="16"/>
  <c r="S31" i="16" s="1"/>
  <c r="A30" i="16"/>
  <c r="B31" i="4"/>
  <c r="S31" i="4" s="1"/>
  <c r="A30" i="4"/>
  <c r="B30" i="9"/>
  <c r="S30" i="9" s="1"/>
  <c r="A29" i="9"/>
  <c r="B31" i="12"/>
  <c r="S31" i="12" s="1"/>
  <c r="A30" i="12"/>
  <c r="B31" i="11"/>
  <c r="S31" i="11" s="1"/>
  <c r="A30" i="11"/>
  <c r="B31" i="10"/>
  <c r="S31" i="10" s="1"/>
  <c r="A30" i="10"/>
  <c r="A29" i="42"/>
  <c r="B30" i="42"/>
  <c r="H29" i="42"/>
  <c r="G29" i="42"/>
  <c r="E29" i="42"/>
  <c r="C29" i="42"/>
  <c r="D29" i="42"/>
  <c r="B31" i="13"/>
  <c r="S31" i="13" s="1"/>
  <c r="A30" i="13"/>
  <c r="B31" i="1"/>
  <c r="S31" i="1" s="1"/>
  <c r="A30" i="1"/>
  <c r="A31" i="5"/>
  <c r="S30" i="3" l="1"/>
  <c r="A30" i="3"/>
  <c r="B31" i="3"/>
  <c r="S30" i="14"/>
  <c r="A30" i="14"/>
  <c r="B31" i="14"/>
  <c r="B32" i="5"/>
  <c r="A32" i="5" s="1"/>
  <c r="S31" i="5"/>
  <c r="A31" i="4"/>
  <c r="B32" i="4"/>
  <c r="S32" i="4" s="1"/>
  <c r="A31" i="16"/>
  <c r="B32" i="16"/>
  <c r="S32" i="16" s="1"/>
  <c r="B35" i="15"/>
  <c r="A31" i="15"/>
  <c r="B31" i="9"/>
  <c r="S31" i="9" s="1"/>
  <c r="A30" i="9"/>
  <c r="B32" i="12"/>
  <c r="S32" i="12" s="1"/>
  <c r="A31" i="12"/>
  <c r="B32" i="11"/>
  <c r="S32" i="11" s="1"/>
  <c r="A31" i="11"/>
  <c r="A31" i="10"/>
  <c r="B32" i="10"/>
  <c r="S32" i="10" s="1"/>
  <c r="A30" i="42"/>
  <c r="B31" i="42"/>
  <c r="H30" i="42"/>
  <c r="D30" i="42"/>
  <c r="E30" i="42"/>
  <c r="C30" i="42"/>
  <c r="G30" i="42"/>
  <c r="B32" i="13"/>
  <c r="S32" i="13" s="1"/>
  <c r="A31" i="13"/>
  <c r="B32" i="1"/>
  <c r="S32" i="1" s="1"/>
  <c r="A31" i="1"/>
  <c r="B33" i="5" l="1"/>
  <c r="S32" i="5"/>
  <c r="S31" i="14"/>
  <c r="B32" i="14"/>
  <c r="A31" i="14"/>
  <c r="S31" i="3"/>
  <c r="B32" i="3"/>
  <c r="A31" i="3"/>
  <c r="B33" i="16"/>
  <c r="S33" i="16" s="1"/>
  <c r="A32" i="16"/>
  <c r="A32" i="4"/>
  <c r="B33" i="4"/>
  <c r="S33" i="4" s="1"/>
  <c r="B32" i="9"/>
  <c r="S32" i="9" s="1"/>
  <c r="A31" i="9"/>
  <c r="B33" i="12"/>
  <c r="S33" i="12" s="1"/>
  <c r="A32" i="12"/>
  <c r="A32" i="11"/>
  <c r="B33" i="11"/>
  <c r="S33" i="11" s="1"/>
  <c r="A32" i="10"/>
  <c r="B33" i="10"/>
  <c r="S33" i="10" s="1"/>
  <c r="A31" i="42"/>
  <c r="E31" i="42"/>
  <c r="D31" i="42"/>
  <c r="C31" i="42"/>
  <c r="H31" i="42"/>
  <c r="G31" i="42"/>
  <c r="B32" i="42"/>
  <c r="B33" i="1"/>
  <c r="A32" i="1"/>
  <c r="B33" i="13"/>
  <c r="A32" i="13"/>
  <c r="A33" i="5"/>
  <c r="S32" i="3" l="1"/>
  <c r="B33" i="3"/>
  <c r="A32" i="3"/>
  <c r="B35" i="3"/>
  <c r="B35" i="13"/>
  <c r="S33" i="13"/>
  <c r="S32" i="14"/>
  <c r="A32" i="14"/>
  <c r="B33" i="14"/>
  <c r="B35" i="1"/>
  <c r="S33" i="1"/>
  <c r="B34" i="5"/>
  <c r="S34" i="5" s="1"/>
  <c r="S33" i="5"/>
  <c r="B35" i="5"/>
  <c r="B35" i="4"/>
  <c r="A33" i="4"/>
  <c r="B34" i="4"/>
  <c r="B35" i="16"/>
  <c r="B34" i="16"/>
  <c r="A33" i="16"/>
  <c r="A32" i="9"/>
  <c r="B33" i="9"/>
  <c r="S33" i="9" s="1"/>
  <c r="A33" i="12"/>
  <c r="B35" i="12"/>
  <c r="B35" i="11"/>
  <c r="B34" i="11"/>
  <c r="A33" i="11"/>
  <c r="B35" i="10"/>
  <c r="A33" i="10"/>
  <c r="A32" i="42"/>
  <c r="H32" i="42"/>
  <c r="G32" i="42"/>
  <c r="E32" i="42"/>
  <c r="D32" i="42"/>
  <c r="C32" i="42"/>
  <c r="B33" i="42"/>
  <c r="A34" i="5"/>
  <c r="A33" i="1"/>
  <c r="B34" i="13"/>
  <c r="A33" i="13"/>
  <c r="S35" i="5" l="1"/>
  <c r="A34" i="11"/>
  <c r="S34" i="11"/>
  <c r="S33" i="3"/>
  <c r="A33" i="3"/>
  <c r="A34" i="16"/>
  <c r="S34" i="16"/>
  <c r="A34" i="4"/>
  <c r="S34" i="4"/>
  <c r="B35" i="14"/>
  <c r="S33" i="14"/>
  <c r="A33" i="14"/>
  <c r="B34" i="14"/>
  <c r="B35" i="9"/>
  <c r="B34" i="9"/>
  <c r="A33" i="9"/>
  <c r="A33" i="42"/>
  <c r="B34" i="42"/>
  <c r="H33" i="42"/>
  <c r="G33" i="42"/>
  <c r="E33" i="42"/>
  <c r="C33" i="42"/>
  <c r="D33" i="42"/>
  <c r="A34" i="13"/>
  <c r="A34" i="9" l="1"/>
  <c r="S34" i="9"/>
  <c r="S34" i="14"/>
  <c r="A34" i="14"/>
  <c r="A34" i="42"/>
  <c r="B35" i="42"/>
  <c r="H34" i="42"/>
  <c r="G34" i="42"/>
  <c r="E34" i="42"/>
  <c r="C34" i="42"/>
  <c r="D34" i="42"/>
  <c r="A35" i="42" l="1"/>
  <c r="E35" i="42"/>
  <c r="D35" i="42"/>
  <c r="C35" i="42"/>
  <c r="B36" i="42"/>
  <c r="H35" i="42"/>
  <c r="G35" i="42"/>
  <c r="A36" i="42" l="1"/>
  <c r="H36" i="42"/>
  <c r="G36" i="42"/>
  <c r="E36" i="42"/>
  <c r="D36" i="42"/>
  <c r="C36" i="42"/>
  <c r="B37" i="42"/>
  <c r="A37" i="42" l="1"/>
  <c r="B38" i="42"/>
  <c r="H37" i="42"/>
  <c r="G37" i="42"/>
  <c r="E37" i="42"/>
  <c r="D37" i="42"/>
  <c r="C37" i="42"/>
  <c r="A38" i="42" l="1"/>
  <c r="B39" i="42"/>
  <c r="G38" i="42"/>
  <c r="H38" i="42"/>
  <c r="E38" i="42"/>
  <c r="C38" i="42"/>
  <c r="D38" i="42"/>
  <c r="A39" i="42" l="1"/>
  <c r="E39" i="42"/>
  <c r="D39" i="42"/>
  <c r="C39" i="42"/>
  <c r="B40" i="42"/>
  <c r="H39" i="42"/>
  <c r="G39" i="42"/>
  <c r="A40" i="42" l="1"/>
  <c r="H40" i="42"/>
  <c r="G40" i="42"/>
  <c r="E40" i="42"/>
  <c r="D40" i="42"/>
  <c r="C40" i="42"/>
  <c r="B41" i="42"/>
  <c r="A41" i="42" l="1"/>
  <c r="B42" i="42"/>
  <c r="H41" i="42"/>
  <c r="G41" i="42"/>
  <c r="C41" i="42"/>
  <c r="E41" i="42"/>
  <c r="D41" i="42"/>
  <c r="A42" i="42" l="1"/>
  <c r="B43" i="42"/>
  <c r="G42" i="42"/>
  <c r="H42" i="42"/>
  <c r="E42" i="42"/>
  <c r="D42" i="42"/>
  <c r="C42" i="42"/>
  <c r="A43" i="42" l="1"/>
  <c r="E43" i="42"/>
  <c r="D43" i="42"/>
  <c r="C43" i="42"/>
  <c r="B44" i="42"/>
  <c r="H43" i="42"/>
  <c r="G43" i="42"/>
  <c r="A44" i="42" l="1"/>
  <c r="H44" i="42"/>
  <c r="G44" i="42"/>
  <c r="E44" i="42"/>
  <c r="D44" i="42"/>
  <c r="C44" i="42"/>
  <c r="B45" i="42"/>
  <c r="A45" i="42" l="1"/>
  <c r="B46" i="42"/>
  <c r="H45" i="42"/>
  <c r="G45" i="42"/>
  <c r="D45" i="42"/>
  <c r="E45" i="42"/>
  <c r="C45" i="42"/>
  <c r="A46" i="42" l="1"/>
  <c r="B47" i="42"/>
  <c r="H46" i="42"/>
  <c r="G46" i="42"/>
  <c r="E46" i="42"/>
  <c r="D46" i="42"/>
  <c r="C46" i="42"/>
  <c r="A47" i="42" l="1"/>
  <c r="E47" i="42"/>
  <c r="D47" i="42"/>
  <c r="C47" i="42"/>
  <c r="B48" i="42"/>
  <c r="H47" i="42"/>
  <c r="G47" i="42"/>
  <c r="A48" i="42" l="1"/>
  <c r="H48" i="42"/>
  <c r="G48" i="42"/>
  <c r="E48" i="42"/>
  <c r="D48" i="42"/>
  <c r="C48" i="42"/>
  <c r="B49" i="42"/>
  <c r="A49" i="42" l="1"/>
  <c r="B50" i="42"/>
  <c r="H49" i="42"/>
  <c r="G49" i="42"/>
  <c r="C49" i="42"/>
  <c r="E49" i="42"/>
  <c r="D49" i="42"/>
  <c r="A50" i="42" l="1"/>
  <c r="B51" i="42"/>
  <c r="H50" i="42"/>
  <c r="G50" i="42"/>
  <c r="E50" i="42"/>
  <c r="D50" i="42"/>
  <c r="C50" i="42"/>
  <c r="A51" i="42" l="1"/>
  <c r="E51" i="42"/>
  <c r="D51" i="42"/>
  <c r="C51" i="42"/>
  <c r="B52" i="42"/>
  <c r="H51" i="42"/>
  <c r="G51" i="42"/>
  <c r="A52" i="42" l="1"/>
  <c r="H52" i="42"/>
  <c r="G52" i="42"/>
  <c r="E52" i="42"/>
  <c r="D52" i="42"/>
  <c r="C52" i="42"/>
  <c r="B53" i="42"/>
  <c r="A53" i="42" l="1"/>
  <c r="B54" i="42"/>
  <c r="H53" i="42"/>
  <c r="G53" i="42"/>
  <c r="D53" i="42"/>
  <c r="E53" i="42"/>
  <c r="C53" i="42"/>
  <c r="A54" i="42" l="1"/>
  <c r="B55" i="42"/>
  <c r="H54" i="42"/>
  <c r="G54" i="42"/>
  <c r="E54" i="42"/>
  <c r="D54" i="42"/>
  <c r="C54" i="42"/>
  <c r="A55" i="42" l="1"/>
  <c r="E55" i="42"/>
  <c r="D55" i="42"/>
  <c r="C55" i="42"/>
  <c r="B56" i="42"/>
  <c r="H55" i="42"/>
  <c r="G55" i="42"/>
  <c r="A56" i="42" l="1"/>
  <c r="H56" i="42"/>
  <c r="G56" i="42"/>
  <c r="E56" i="42"/>
  <c r="D56" i="42"/>
  <c r="C56" i="42"/>
  <c r="B57" i="42"/>
  <c r="A57" i="42" l="1"/>
  <c r="B58" i="42"/>
  <c r="H57" i="42"/>
  <c r="G57" i="42"/>
  <c r="D57" i="42"/>
  <c r="E57" i="42"/>
  <c r="C57" i="42"/>
  <c r="A58" i="42" l="1"/>
  <c r="B59" i="42"/>
  <c r="H58" i="42"/>
  <c r="G58" i="42"/>
  <c r="E58" i="42"/>
  <c r="C58" i="42"/>
  <c r="D58" i="42"/>
  <c r="A59" i="42" l="1"/>
  <c r="E59" i="42"/>
  <c r="D59" i="42"/>
  <c r="C59" i="42"/>
  <c r="B60" i="42"/>
  <c r="H59" i="42"/>
  <c r="G59" i="42"/>
  <c r="A60" i="42" l="1"/>
  <c r="H60" i="42"/>
  <c r="G60" i="42"/>
  <c r="E60" i="42"/>
  <c r="D60" i="42"/>
  <c r="C60" i="42"/>
  <c r="B61" i="42"/>
  <c r="A61" i="42" l="1"/>
  <c r="B62" i="42"/>
  <c r="H61" i="42"/>
  <c r="G61" i="42"/>
  <c r="E61" i="42"/>
  <c r="D61" i="42"/>
  <c r="C61" i="42"/>
  <c r="A62" i="42" l="1"/>
  <c r="B63" i="42"/>
  <c r="H62" i="42"/>
  <c r="G62" i="42"/>
  <c r="E62" i="42"/>
  <c r="C62" i="42"/>
  <c r="D62" i="42"/>
  <c r="A63" i="42" l="1"/>
  <c r="E63" i="42"/>
  <c r="D63" i="42"/>
  <c r="C63" i="42"/>
  <c r="B64" i="42"/>
  <c r="H63" i="42"/>
  <c r="G63" i="42"/>
  <c r="A64" i="42" l="1"/>
  <c r="H64" i="42"/>
  <c r="G64" i="42"/>
  <c r="E64" i="42"/>
  <c r="D64" i="42"/>
  <c r="C64" i="42"/>
  <c r="B65" i="42"/>
  <c r="A65" i="42" l="1"/>
  <c r="B66" i="42"/>
  <c r="H65" i="42"/>
  <c r="G65" i="42"/>
  <c r="E65" i="42"/>
  <c r="D65" i="42"/>
  <c r="C65" i="42"/>
  <c r="A66" i="42" l="1"/>
  <c r="B67" i="42"/>
  <c r="H66" i="42"/>
  <c r="G66" i="42"/>
  <c r="E66" i="42"/>
  <c r="D66" i="42"/>
  <c r="C66" i="42"/>
  <c r="A67" i="42" l="1"/>
  <c r="E67" i="42"/>
  <c r="D67" i="42"/>
  <c r="C67" i="42"/>
  <c r="B68" i="42"/>
  <c r="H67" i="42"/>
  <c r="G67" i="42"/>
  <c r="A68" i="42" l="1"/>
  <c r="H68" i="42"/>
  <c r="G68" i="42"/>
  <c r="E68" i="42"/>
  <c r="D68" i="42"/>
  <c r="C68" i="42"/>
  <c r="B69" i="42"/>
  <c r="A69" i="42" l="1"/>
  <c r="B70" i="42"/>
  <c r="H69" i="42"/>
  <c r="G69" i="42"/>
  <c r="E69" i="42"/>
  <c r="D69" i="42"/>
  <c r="C69" i="42"/>
  <c r="A70" i="42" l="1"/>
  <c r="B71" i="42"/>
  <c r="H70" i="42"/>
  <c r="G70" i="42"/>
  <c r="E70" i="42"/>
  <c r="C70" i="42"/>
  <c r="D70" i="42"/>
  <c r="A71" i="42" l="1"/>
  <c r="E71" i="42"/>
  <c r="D71" i="42"/>
  <c r="C71" i="42"/>
  <c r="B72" i="42"/>
  <c r="H71" i="42"/>
  <c r="G71" i="42"/>
  <c r="A72" i="42" l="1"/>
  <c r="H72" i="42"/>
  <c r="G72" i="42"/>
  <c r="E72" i="42"/>
  <c r="D72" i="42"/>
  <c r="C72" i="42"/>
  <c r="B73" i="42"/>
  <c r="A73" i="42" l="1"/>
  <c r="B74" i="42"/>
  <c r="H73" i="42"/>
  <c r="G73" i="42"/>
  <c r="E73" i="42"/>
  <c r="D73" i="42"/>
  <c r="C73" i="42"/>
  <c r="A74" i="42" l="1"/>
  <c r="B75" i="42"/>
  <c r="G74" i="42"/>
  <c r="H74" i="42"/>
  <c r="E74" i="42"/>
  <c r="D74" i="42"/>
  <c r="C74" i="42"/>
  <c r="A75" i="42" l="1"/>
  <c r="E75" i="42"/>
  <c r="D75" i="42"/>
  <c r="C75" i="42"/>
  <c r="B76" i="42"/>
  <c r="H75" i="42"/>
  <c r="G75" i="42"/>
  <c r="A76" i="42" l="1"/>
  <c r="H76" i="42"/>
  <c r="G76" i="42"/>
  <c r="E76" i="42"/>
  <c r="D76" i="42"/>
  <c r="C76" i="42"/>
  <c r="B77" i="42"/>
  <c r="A77" i="42" l="1"/>
  <c r="B78" i="42"/>
  <c r="H77" i="42"/>
  <c r="G77" i="42"/>
  <c r="E77" i="42"/>
  <c r="D77" i="42"/>
  <c r="C77" i="42"/>
  <c r="A78" i="42" l="1"/>
  <c r="B79" i="42"/>
  <c r="H78" i="42"/>
  <c r="G78" i="42"/>
  <c r="E78" i="42"/>
  <c r="D78" i="42"/>
  <c r="C78" i="42"/>
  <c r="A79" i="42" l="1"/>
  <c r="E79" i="42"/>
  <c r="D79" i="42"/>
  <c r="C79" i="42"/>
  <c r="B80" i="42"/>
  <c r="H79" i="42"/>
  <c r="G79" i="42"/>
  <c r="A80" i="42" l="1"/>
  <c r="H80" i="42"/>
  <c r="G80" i="42"/>
  <c r="E80" i="42"/>
  <c r="D80" i="42"/>
  <c r="C80" i="42"/>
  <c r="B81" i="42"/>
  <c r="A81" i="42" l="1"/>
  <c r="B82" i="42"/>
  <c r="H81" i="42"/>
  <c r="G81" i="42"/>
  <c r="E81" i="42"/>
  <c r="D81" i="42"/>
  <c r="C81" i="42"/>
  <c r="A82" i="42" l="1"/>
  <c r="B83" i="42"/>
  <c r="H82" i="42"/>
  <c r="G82" i="42"/>
  <c r="E82" i="42"/>
  <c r="D82" i="42"/>
  <c r="C82" i="42"/>
  <c r="A83" i="42" l="1"/>
  <c r="E83" i="42"/>
  <c r="D83" i="42"/>
  <c r="C83" i="42"/>
  <c r="B84" i="42"/>
  <c r="H83" i="42"/>
  <c r="G83" i="42"/>
  <c r="A84" i="42" l="1"/>
  <c r="H84" i="42"/>
  <c r="G84" i="42"/>
  <c r="E84" i="42"/>
  <c r="D84" i="42"/>
  <c r="C84" i="42"/>
  <c r="B85" i="42"/>
  <c r="A85" i="42" l="1"/>
  <c r="B86" i="42"/>
  <c r="H85" i="42"/>
  <c r="G85" i="42"/>
  <c r="E85" i="42"/>
  <c r="D85" i="42"/>
  <c r="C85" i="42"/>
  <c r="A86" i="42" l="1"/>
  <c r="B87" i="42"/>
  <c r="H86" i="42"/>
  <c r="G86" i="42"/>
  <c r="E86" i="42"/>
  <c r="D86" i="42"/>
  <c r="C86" i="42"/>
  <c r="A87" i="42" l="1"/>
  <c r="E87" i="42"/>
  <c r="D87" i="42"/>
  <c r="C87" i="42"/>
  <c r="B88" i="42"/>
  <c r="H87" i="42"/>
  <c r="G87" i="42"/>
  <c r="A88" i="42" l="1"/>
  <c r="H88" i="42"/>
  <c r="G88" i="42"/>
  <c r="E88" i="42"/>
  <c r="D88" i="42"/>
  <c r="C88" i="42"/>
  <c r="B89" i="42"/>
  <c r="A89" i="42" l="1"/>
  <c r="E89" i="42"/>
  <c r="B90" i="42"/>
  <c r="H89" i="42"/>
  <c r="G89" i="42"/>
  <c r="D89" i="42"/>
  <c r="C89" i="42"/>
  <c r="A90" i="42" l="1"/>
  <c r="E90" i="42"/>
  <c r="D90" i="42"/>
  <c r="B91" i="42"/>
  <c r="C90" i="42"/>
  <c r="H90" i="42"/>
  <c r="G90" i="42"/>
  <c r="A91" i="42" l="1"/>
  <c r="E91" i="42"/>
  <c r="D91" i="42"/>
  <c r="G91" i="42"/>
  <c r="B92" i="42"/>
  <c r="C91" i="42"/>
  <c r="H91" i="42"/>
  <c r="A92" i="42" l="1"/>
  <c r="E92" i="42"/>
  <c r="D92" i="42"/>
  <c r="B93" i="42"/>
  <c r="C92" i="42"/>
  <c r="H92" i="42"/>
  <c r="G92" i="42"/>
  <c r="A93" i="42" l="1"/>
  <c r="E93" i="42"/>
  <c r="D93" i="42"/>
  <c r="B94" i="42"/>
  <c r="C93" i="42"/>
  <c r="H93" i="42"/>
  <c r="G93" i="42"/>
  <c r="A94" i="42" l="1"/>
  <c r="E94" i="42"/>
  <c r="D94" i="42"/>
  <c r="B95" i="42"/>
  <c r="C94" i="42"/>
  <c r="H94" i="42"/>
  <c r="G94" i="42"/>
  <c r="A95" i="42" l="1"/>
  <c r="E95" i="42"/>
  <c r="D95" i="42"/>
  <c r="G95" i="42"/>
  <c r="B96" i="42"/>
  <c r="C95" i="42"/>
  <c r="H95" i="42"/>
  <c r="A96" i="42" l="1"/>
  <c r="E96" i="42"/>
  <c r="D96" i="42"/>
  <c r="B97" i="42"/>
  <c r="C96" i="42"/>
  <c r="H96" i="42"/>
  <c r="G96" i="42"/>
  <c r="A97" i="42" l="1"/>
  <c r="E97" i="42"/>
  <c r="D97" i="42"/>
  <c r="B98" i="42"/>
  <c r="C97" i="42"/>
  <c r="H97" i="42"/>
  <c r="G97" i="42"/>
  <c r="A98" i="42" l="1"/>
  <c r="E98" i="42"/>
  <c r="D98" i="42"/>
  <c r="B99" i="42"/>
  <c r="C98" i="42"/>
  <c r="H98" i="42"/>
  <c r="G98" i="42"/>
  <c r="A99" i="42" l="1"/>
  <c r="E99" i="42"/>
  <c r="D99" i="42"/>
  <c r="G99" i="42"/>
  <c r="B100" i="42"/>
  <c r="C99" i="42"/>
  <c r="H99" i="42"/>
  <c r="A100" i="42" l="1"/>
  <c r="E100" i="42"/>
  <c r="D100" i="42"/>
  <c r="B101" i="42"/>
  <c r="C100" i="42"/>
  <c r="H100" i="42"/>
  <c r="G100" i="42"/>
  <c r="A101" i="42" l="1"/>
  <c r="E101" i="42"/>
  <c r="D101" i="42"/>
  <c r="B102" i="42"/>
  <c r="C101" i="42"/>
  <c r="H101" i="42"/>
  <c r="G101" i="42"/>
  <c r="A102" i="42" l="1"/>
  <c r="E102" i="42"/>
  <c r="D102" i="42"/>
  <c r="B103" i="42"/>
  <c r="C102" i="42"/>
  <c r="H102" i="42"/>
  <c r="G102" i="42"/>
  <c r="A103" i="42" l="1"/>
  <c r="E103" i="42"/>
  <c r="D103" i="42"/>
  <c r="G103" i="42"/>
  <c r="B104" i="42"/>
  <c r="C103" i="42"/>
  <c r="H103" i="42"/>
  <c r="A104" i="42" l="1"/>
  <c r="E104" i="42"/>
  <c r="D104" i="42"/>
  <c r="B105" i="42"/>
  <c r="C104" i="42"/>
  <c r="H104" i="42"/>
  <c r="G104" i="42"/>
  <c r="A105" i="42" l="1"/>
  <c r="E105" i="42"/>
  <c r="D105" i="42"/>
  <c r="B106" i="42"/>
  <c r="C105" i="42"/>
  <c r="H105" i="42"/>
  <c r="G105" i="42"/>
  <c r="A106" i="42" l="1"/>
  <c r="E106" i="42"/>
  <c r="D106" i="42"/>
  <c r="B107" i="42"/>
  <c r="C106" i="42"/>
  <c r="H106" i="42"/>
  <c r="G106" i="42"/>
  <c r="A107" i="42" l="1"/>
  <c r="E107" i="42"/>
  <c r="D107" i="42"/>
  <c r="G107" i="42"/>
  <c r="B108" i="42"/>
  <c r="C107" i="42"/>
  <c r="H107" i="42"/>
  <c r="A108" i="42" l="1"/>
  <c r="E108" i="42"/>
  <c r="D108" i="42"/>
  <c r="B109" i="42"/>
  <c r="C108" i="42"/>
  <c r="H108" i="42"/>
  <c r="G108" i="42"/>
  <c r="A109" i="42" l="1"/>
  <c r="E109" i="42"/>
  <c r="D109" i="42"/>
  <c r="B110" i="42"/>
  <c r="C109" i="42"/>
  <c r="H109" i="42"/>
  <c r="G109" i="42"/>
  <c r="A110" i="42" l="1"/>
  <c r="E110" i="42"/>
  <c r="D110" i="42"/>
  <c r="B111" i="42"/>
  <c r="C110" i="42"/>
  <c r="H110" i="42"/>
  <c r="G110" i="42"/>
  <c r="A111" i="42" l="1"/>
  <c r="E111" i="42"/>
  <c r="D111" i="42"/>
  <c r="G111" i="42"/>
  <c r="B112" i="42"/>
  <c r="C111" i="42"/>
  <c r="H111" i="42"/>
  <c r="A112" i="42" l="1"/>
  <c r="E112" i="42"/>
  <c r="D112" i="42"/>
  <c r="B113" i="42"/>
  <c r="C112" i="42"/>
  <c r="H112" i="42"/>
  <c r="G112" i="42"/>
  <c r="A113" i="42" l="1"/>
  <c r="G113" i="42"/>
  <c r="E113" i="42"/>
  <c r="D113" i="42"/>
  <c r="C113" i="42"/>
  <c r="B114" i="42"/>
  <c r="H113" i="42"/>
  <c r="A114" i="42" l="1"/>
  <c r="G114" i="42"/>
  <c r="E114" i="42"/>
  <c r="D114" i="42"/>
  <c r="C114" i="42"/>
  <c r="B115" i="42"/>
  <c r="H114" i="42"/>
  <c r="A115" i="42" l="1"/>
  <c r="G115" i="42"/>
  <c r="E115" i="42"/>
  <c r="D115" i="42"/>
  <c r="C115" i="42"/>
  <c r="B116" i="42"/>
  <c r="H115" i="42"/>
  <c r="A116" i="42" l="1"/>
  <c r="G116" i="42"/>
  <c r="E116" i="42"/>
  <c r="D116" i="42"/>
  <c r="C116" i="42"/>
  <c r="B117" i="42"/>
  <c r="H116" i="42"/>
  <c r="A117" i="42" l="1"/>
  <c r="G117" i="42"/>
  <c r="E117" i="42"/>
  <c r="D117" i="42"/>
  <c r="C117" i="42"/>
  <c r="B118" i="42"/>
  <c r="H117" i="42"/>
  <c r="A118" i="42" l="1"/>
  <c r="G118" i="42"/>
  <c r="E118" i="42"/>
  <c r="D118" i="42"/>
  <c r="C118" i="42"/>
  <c r="B119" i="42"/>
  <c r="H118" i="42"/>
  <c r="A119" i="42" l="1"/>
  <c r="G119" i="42"/>
  <c r="E119" i="42"/>
  <c r="D119" i="42"/>
  <c r="C119" i="42"/>
  <c r="B120" i="42"/>
  <c r="H119" i="42"/>
  <c r="A120" i="42" l="1"/>
  <c r="G120" i="42"/>
  <c r="E120" i="42"/>
  <c r="D120" i="42"/>
  <c r="C120" i="42"/>
  <c r="B121" i="42"/>
  <c r="H120" i="42"/>
  <c r="A121" i="42" l="1"/>
  <c r="G121" i="42"/>
  <c r="E121" i="42"/>
  <c r="D121" i="42"/>
  <c r="C121" i="42"/>
  <c r="B122" i="42"/>
  <c r="H121" i="42"/>
  <c r="A122" i="42" l="1"/>
  <c r="G122" i="42"/>
  <c r="E122" i="42"/>
  <c r="D122" i="42"/>
  <c r="C122" i="42"/>
  <c r="B123" i="42"/>
  <c r="H122" i="42"/>
  <c r="A123" i="42" l="1"/>
  <c r="G123" i="42"/>
  <c r="E123" i="42"/>
  <c r="D123" i="42"/>
  <c r="C123" i="42"/>
  <c r="B124" i="42"/>
  <c r="H123" i="42"/>
  <c r="A124" i="42" l="1"/>
  <c r="G124" i="42"/>
  <c r="E124" i="42"/>
  <c r="D124" i="42"/>
  <c r="C124" i="42"/>
  <c r="B125" i="42"/>
  <c r="H124" i="42"/>
  <c r="A125" i="42" l="1"/>
  <c r="G125" i="42"/>
  <c r="E125" i="42"/>
  <c r="D125" i="42"/>
  <c r="C125" i="42"/>
  <c r="B126" i="42"/>
  <c r="H125" i="42"/>
  <c r="A126" i="42" l="1"/>
  <c r="G126" i="42"/>
  <c r="E126" i="42"/>
  <c r="D126" i="42"/>
  <c r="C126" i="42"/>
  <c r="B127" i="42"/>
  <c r="H126" i="42"/>
  <c r="A127" i="42" l="1"/>
  <c r="G127" i="42"/>
  <c r="E127" i="42"/>
  <c r="D127" i="42"/>
  <c r="C127" i="42"/>
  <c r="B128" i="42"/>
  <c r="H127" i="42"/>
  <c r="A128" i="42" l="1"/>
  <c r="H128" i="42"/>
  <c r="G128" i="42"/>
  <c r="E128" i="42"/>
  <c r="D128" i="42"/>
  <c r="C128" i="42"/>
  <c r="B129" i="42"/>
  <c r="A129" i="42" l="1"/>
  <c r="H129" i="42"/>
  <c r="G129" i="42"/>
  <c r="E129" i="42"/>
  <c r="D129" i="42"/>
  <c r="B130" i="42"/>
  <c r="C129" i="42"/>
  <c r="A130" i="42" l="1"/>
  <c r="H130" i="42"/>
  <c r="G130" i="42"/>
  <c r="E130" i="42"/>
  <c r="D130" i="42"/>
  <c r="B131" i="42"/>
  <c r="C130" i="42"/>
  <c r="A131" i="42" l="1"/>
  <c r="H131" i="42"/>
  <c r="G131" i="42"/>
  <c r="E131" i="42"/>
  <c r="D131" i="42"/>
  <c r="C131" i="42"/>
  <c r="B132" i="42"/>
  <c r="A132" i="42" l="1"/>
  <c r="H132" i="42"/>
  <c r="G132" i="42"/>
  <c r="E132" i="42"/>
  <c r="D132" i="42"/>
  <c r="C132" i="42"/>
  <c r="B133" i="42"/>
  <c r="A133" i="42" l="1"/>
  <c r="H133" i="42"/>
  <c r="G133" i="42"/>
  <c r="E133" i="42"/>
  <c r="D133" i="42"/>
  <c r="B134" i="42"/>
  <c r="C133" i="42"/>
  <c r="A134" i="42" l="1"/>
  <c r="H134" i="42"/>
  <c r="G134" i="42"/>
  <c r="E134" i="42"/>
  <c r="D134" i="42"/>
  <c r="B135" i="42"/>
  <c r="C134" i="42"/>
  <c r="A135" i="42" l="1"/>
  <c r="H135" i="42"/>
  <c r="G135" i="42"/>
  <c r="E135" i="42"/>
  <c r="D135" i="42"/>
  <c r="C135" i="42"/>
  <c r="B136" i="42"/>
  <c r="A136" i="42" l="1"/>
  <c r="H136" i="42"/>
  <c r="G136" i="42"/>
  <c r="E136" i="42"/>
  <c r="D136" i="42"/>
  <c r="C136" i="42"/>
  <c r="B137" i="42"/>
  <c r="A137" i="42" l="1"/>
  <c r="H137" i="42"/>
  <c r="G137" i="42"/>
  <c r="E137" i="42"/>
  <c r="D137" i="42"/>
  <c r="B138" i="42"/>
  <c r="C137" i="42"/>
  <c r="A138" i="42" l="1"/>
  <c r="H138" i="42"/>
  <c r="G138" i="42"/>
  <c r="E138" i="42"/>
  <c r="D138" i="42"/>
  <c r="B139" i="42"/>
  <c r="C138" i="42"/>
  <c r="A139" i="42" l="1"/>
  <c r="H139" i="42"/>
  <c r="G139" i="42"/>
  <c r="E139" i="42"/>
  <c r="D139" i="42"/>
  <c r="C139" i="42"/>
  <c r="B140" i="42"/>
  <c r="A140" i="42" l="1"/>
  <c r="H140" i="42"/>
  <c r="G140" i="42"/>
  <c r="E140" i="42"/>
  <c r="D140" i="42"/>
  <c r="C140" i="42"/>
  <c r="B141" i="42"/>
  <c r="A141" i="42" l="1"/>
  <c r="H141" i="42"/>
  <c r="G141" i="42"/>
  <c r="E141" i="42"/>
  <c r="D141" i="42"/>
  <c r="B142" i="42"/>
  <c r="C141" i="42"/>
  <c r="A142" i="42" l="1"/>
  <c r="H142" i="42"/>
  <c r="G142" i="42"/>
  <c r="E142" i="42"/>
  <c r="D142" i="42"/>
  <c r="B143" i="42"/>
  <c r="C142" i="42"/>
  <c r="A143" i="42" l="1"/>
  <c r="H143" i="42"/>
  <c r="G143" i="42"/>
  <c r="E143" i="42"/>
  <c r="D143" i="42"/>
  <c r="C143" i="42"/>
  <c r="B144" i="42"/>
  <c r="A144" i="42" l="1"/>
  <c r="H144" i="42"/>
  <c r="G144" i="42"/>
  <c r="E144" i="42"/>
  <c r="D144" i="42"/>
  <c r="C144" i="42"/>
  <c r="B145" i="42"/>
  <c r="A145" i="42" l="1"/>
  <c r="H145" i="42"/>
  <c r="G145" i="42"/>
  <c r="E145" i="42"/>
  <c r="D145" i="42"/>
  <c r="B146" i="42"/>
  <c r="C145" i="42"/>
  <c r="A146" i="42" l="1"/>
  <c r="H146" i="42"/>
  <c r="G146" i="42"/>
  <c r="E146" i="42"/>
  <c r="D146" i="42"/>
  <c r="C146" i="42"/>
  <c r="B147" i="42"/>
  <c r="A147" i="42" l="1"/>
  <c r="H147" i="42"/>
  <c r="G147" i="42"/>
  <c r="E147" i="42"/>
  <c r="D147" i="42"/>
  <c r="C147" i="42"/>
  <c r="B148" i="42"/>
  <c r="A148" i="42" l="1"/>
  <c r="H148" i="42"/>
  <c r="G148" i="42"/>
  <c r="E148" i="42"/>
  <c r="D148" i="42"/>
  <c r="C148" i="42"/>
  <c r="B149" i="42"/>
  <c r="A149" i="42" l="1"/>
  <c r="H149" i="42"/>
  <c r="G149" i="42"/>
  <c r="E149" i="42"/>
  <c r="D149" i="42"/>
  <c r="C149" i="42"/>
  <c r="B150" i="42"/>
  <c r="A150" i="42" l="1"/>
  <c r="H150" i="42"/>
  <c r="G150" i="42"/>
  <c r="E150" i="42"/>
  <c r="D150" i="42"/>
  <c r="C150" i="42"/>
  <c r="B151" i="42"/>
  <c r="A151" i="42" l="1"/>
  <c r="H151" i="42"/>
  <c r="G151" i="42"/>
  <c r="E151" i="42"/>
  <c r="D151" i="42"/>
  <c r="C151" i="42"/>
  <c r="B152" i="42"/>
  <c r="A152" i="42" l="1"/>
  <c r="H152" i="42"/>
  <c r="G152" i="42"/>
  <c r="E152" i="42"/>
  <c r="D152" i="42"/>
  <c r="C152" i="42"/>
  <c r="B153" i="42"/>
  <c r="A153" i="42" l="1"/>
  <c r="H153" i="42"/>
  <c r="G153" i="42"/>
  <c r="E153" i="42"/>
  <c r="D153" i="42"/>
  <c r="C153" i="42"/>
  <c r="B154" i="42"/>
  <c r="B155" i="42" l="1"/>
  <c r="A154" i="42"/>
  <c r="H154" i="42"/>
  <c r="G154" i="42"/>
  <c r="E154" i="42"/>
  <c r="D154" i="42"/>
  <c r="C154" i="42"/>
  <c r="B156" i="42" l="1"/>
  <c r="A155" i="42"/>
  <c r="H155" i="42"/>
  <c r="G155" i="42"/>
  <c r="E155" i="42"/>
  <c r="D155" i="42"/>
  <c r="C155" i="42"/>
  <c r="B157" i="42" l="1"/>
  <c r="D156" i="42"/>
  <c r="C156" i="42"/>
  <c r="A156" i="42"/>
  <c r="H156" i="42"/>
  <c r="G156" i="42"/>
  <c r="E156" i="42"/>
  <c r="B158" i="42" l="1"/>
  <c r="G157" i="42"/>
  <c r="E157" i="42"/>
  <c r="D157" i="42"/>
  <c r="C157" i="42"/>
  <c r="A157" i="42"/>
  <c r="H157" i="42"/>
  <c r="B159" i="42" l="1"/>
  <c r="H158" i="42"/>
  <c r="G158" i="42"/>
  <c r="E158" i="42"/>
  <c r="D158" i="42"/>
  <c r="C158" i="42"/>
  <c r="A158" i="42"/>
  <c r="B160" i="42" l="1"/>
  <c r="A159" i="42"/>
  <c r="H159" i="42"/>
  <c r="G159" i="42"/>
  <c r="E159" i="42"/>
  <c r="D159" i="42"/>
  <c r="C159" i="42"/>
  <c r="B161" i="42" l="1"/>
  <c r="D160" i="42"/>
  <c r="C160" i="42"/>
  <c r="A160" i="42"/>
  <c r="H160" i="42"/>
  <c r="G160" i="42"/>
  <c r="E160" i="42"/>
  <c r="B162" i="42" l="1"/>
  <c r="G161" i="42"/>
  <c r="E161" i="42"/>
  <c r="D161" i="42"/>
  <c r="C161" i="42"/>
  <c r="A161" i="42"/>
  <c r="H161" i="42"/>
  <c r="B163" i="42" l="1"/>
  <c r="H162" i="42"/>
  <c r="G162" i="42"/>
  <c r="E162" i="42"/>
  <c r="D162" i="42"/>
  <c r="C162" i="42"/>
  <c r="A162" i="42"/>
  <c r="B164" i="42" l="1"/>
  <c r="A163" i="42"/>
  <c r="H163" i="42"/>
  <c r="G163" i="42"/>
  <c r="E163" i="42"/>
  <c r="D163" i="42"/>
  <c r="C163" i="42"/>
  <c r="B165" i="42" l="1"/>
  <c r="D164" i="42"/>
  <c r="C164" i="42"/>
  <c r="A164" i="42"/>
  <c r="H164" i="42"/>
  <c r="G164" i="42"/>
  <c r="E164" i="42"/>
  <c r="B166" i="42" l="1"/>
  <c r="G165" i="42"/>
  <c r="E165" i="42"/>
  <c r="D165" i="42"/>
  <c r="C165" i="42"/>
  <c r="A165" i="42"/>
  <c r="H165" i="42"/>
  <c r="B167" i="42" l="1"/>
  <c r="H166" i="42"/>
  <c r="G166" i="42"/>
  <c r="E166" i="42"/>
  <c r="D166" i="42"/>
  <c r="C166" i="42"/>
  <c r="A166" i="42"/>
  <c r="B168" i="42" l="1"/>
  <c r="A167" i="42"/>
  <c r="H167" i="42"/>
  <c r="G167" i="42"/>
  <c r="E167" i="42"/>
  <c r="D167" i="42"/>
  <c r="C167" i="42"/>
  <c r="B169" i="42" l="1"/>
  <c r="D168" i="42"/>
  <c r="C168" i="42"/>
  <c r="A168" i="42"/>
  <c r="H168" i="42"/>
  <c r="G168" i="42"/>
  <c r="E168" i="42"/>
  <c r="B170" i="42" l="1"/>
  <c r="G169" i="42"/>
  <c r="E169" i="42"/>
  <c r="D169" i="42"/>
  <c r="C169" i="42"/>
  <c r="A169" i="42"/>
  <c r="H169" i="42"/>
  <c r="B171" i="42" l="1"/>
  <c r="H170" i="42"/>
  <c r="G170" i="42"/>
  <c r="E170" i="42"/>
  <c r="D170" i="42"/>
  <c r="C170" i="42"/>
  <c r="A170" i="42"/>
  <c r="B172" i="42" l="1"/>
  <c r="A171" i="42"/>
  <c r="H171" i="42"/>
  <c r="G171" i="42"/>
  <c r="E171" i="42"/>
  <c r="D171" i="42"/>
  <c r="C171" i="42"/>
  <c r="B173" i="42" l="1"/>
  <c r="D172" i="42"/>
  <c r="C172" i="42"/>
  <c r="A172" i="42"/>
  <c r="H172" i="42"/>
  <c r="G172" i="42"/>
  <c r="E172" i="42"/>
  <c r="B174" i="42" l="1"/>
  <c r="G173" i="42"/>
  <c r="E173" i="42"/>
  <c r="D173" i="42"/>
  <c r="C173" i="42"/>
  <c r="A173" i="42"/>
  <c r="H173" i="42"/>
  <c r="B175" i="42" l="1"/>
  <c r="H174" i="42"/>
  <c r="G174" i="42"/>
  <c r="E174" i="42"/>
  <c r="D174" i="42"/>
  <c r="C174" i="42"/>
  <c r="A174" i="42"/>
  <c r="B176" i="42" l="1"/>
  <c r="A175" i="42"/>
  <c r="H175" i="42"/>
  <c r="G175" i="42"/>
  <c r="E175" i="42"/>
  <c r="D175" i="42"/>
  <c r="C175" i="42"/>
  <c r="B177" i="42" l="1"/>
  <c r="D176" i="42"/>
  <c r="C176" i="42"/>
  <c r="A176" i="42"/>
  <c r="H176" i="42"/>
  <c r="G176" i="42"/>
  <c r="E176" i="42"/>
  <c r="B178" i="42" l="1"/>
  <c r="G177" i="42"/>
  <c r="E177" i="42"/>
  <c r="D177" i="42"/>
  <c r="C177" i="42"/>
  <c r="A177" i="42"/>
  <c r="H177" i="42"/>
  <c r="B179" i="42" l="1"/>
  <c r="H178" i="42"/>
  <c r="G178" i="42"/>
  <c r="E178" i="42"/>
  <c r="D178" i="42"/>
  <c r="C178" i="42"/>
  <c r="A178" i="42"/>
  <c r="B180" i="42" l="1"/>
  <c r="A179" i="42"/>
  <c r="H179" i="42"/>
  <c r="G179" i="42"/>
  <c r="E179" i="42"/>
  <c r="D179" i="42"/>
  <c r="C179" i="42"/>
  <c r="B181" i="42" l="1"/>
  <c r="D180" i="42"/>
  <c r="C180" i="42"/>
  <c r="A180" i="42"/>
  <c r="H180" i="42"/>
  <c r="G180" i="42"/>
  <c r="E180" i="42"/>
  <c r="B182" i="42" l="1"/>
  <c r="G181" i="42"/>
  <c r="E181" i="42"/>
  <c r="D181" i="42"/>
  <c r="C181" i="42"/>
  <c r="A181" i="42"/>
  <c r="H181" i="42"/>
  <c r="B183" i="42" l="1"/>
  <c r="H182" i="42"/>
  <c r="G182" i="42"/>
  <c r="E182" i="42"/>
  <c r="D182" i="42"/>
  <c r="C182" i="42"/>
  <c r="A182" i="42"/>
  <c r="B184" i="42" l="1"/>
  <c r="A183" i="42"/>
  <c r="H183" i="42"/>
  <c r="G183" i="42"/>
  <c r="E183" i="42"/>
  <c r="D183" i="42"/>
  <c r="C183" i="42"/>
  <c r="B185" i="42" l="1"/>
  <c r="D184" i="42"/>
  <c r="C184" i="42"/>
  <c r="A184" i="42"/>
  <c r="H184" i="42"/>
  <c r="G184" i="42"/>
  <c r="E184" i="42"/>
  <c r="B186" i="42" l="1"/>
  <c r="G185" i="42"/>
  <c r="E185" i="42"/>
  <c r="D185" i="42"/>
  <c r="C185" i="42"/>
  <c r="A185" i="42"/>
  <c r="H185" i="42"/>
  <c r="B187" i="42" l="1"/>
  <c r="H186" i="42"/>
  <c r="G186" i="42"/>
  <c r="E186" i="42"/>
  <c r="D186" i="42"/>
  <c r="C186" i="42"/>
  <c r="A186" i="42"/>
  <c r="B188" i="42" l="1"/>
  <c r="A187" i="42"/>
  <c r="H187" i="42"/>
  <c r="G187" i="42"/>
  <c r="E187" i="42"/>
  <c r="D187" i="42"/>
  <c r="C187" i="42"/>
  <c r="B189" i="42" l="1"/>
  <c r="D188" i="42"/>
  <c r="C188" i="42"/>
  <c r="A188" i="42"/>
  <c r="H188" i="42"/>
  <c r="G188" i="42"/>
  <c r="E188" i="42"/>
  <c r="E189" i="42" l="1"/>
  <c r="B190" i="42"/>
  <c r="H189" i="42"/>
  <c r="G189" i="42"/>
  <c r="C189" i="42"/>
  <c r="D189" i="42"/>
  <c r="A189" i="42"/>
  <c r="E190" i="42" l="1"/>
  <c r="B191" i="42"/>
  <c r="A190" i="42"/>
  <c r="H190" i="42"/>
  <c r="G190" i="42"/>
  <c r="C190" i="42"/>
  <c r="D190" i="42"/>
  <c r="E191" i="42" l="1"/>
  <c r="B192" i="42"/>
  <c r="H191" i="42"/>
  <c r="G191" i="42"/>
  <c r="C191" i="42"/>
  <c r="D191" i="42"/>
  <c r="A191" i="42"/>
  <c r="E192" i="42" l="1"/>
  <c r="B193" i="42"/>
  <c r="A192" i="42"/>
  <c r="H192" i="42"/>
  <c r="G192" i="42"/>
  <c r="C192" i="42"/>
  <c r="D192" i="42"/>
  <c r="E193" i="42" l="1"/>
  <c r="B194" i="42"/>
  <c r="H193" i="42"/>
  <c r="G193" i="42"/>
  <c r="C193" i="42"/>
  <c r="D193" i="42"/>
  <c r="A193" i="42"/>
  <c r="E194" i="42" l="1"/>
  <c r="B195" i="42"/>
  <c r="A194" i="42"/>
  <c r="H194" i="42"/>
  <c r="G194" i="42"/>
  <c r="C194" i="42"/>
  <c r="D194" i="42"/>
  <c r="E195" i="42" l="1"/>
  <c r="B196" i="42"/>
  <c r="H195" i="42"/>
  <c r="G195" i="42"/>
  <c r="C195" i="42"/>
  <c r="D195" i="42"/>
  <c r="A195" i="42"/>
  <c r="E196" i="42" l="1"/>
  <c r="B197" i="42"/>
  <c r="A196" i="42"/>
  <c r="H196" i="42"/>
  <c r="G196" i="42"/>
  <c r="C196" i="42"/>
  <c r="D196" i="42"/>
  <c r="E197" i="42" l="1"/>
  <c r="D197" i="42"/>
  <c r="B198" i="42"/>
  <c r="C197" i="42"/>
  <c r="H197" i="42"/>
  <c r="G197" i="42"/>
  <c r="A197" i="42"/>
  <c r="E198" i="42" l="1"/>
  <c r="D198" i="42"/>
  <c r="B199" i="42"/>
  <c r="C198" i="42"/>
  <c r="H198" i="42"/>
  <c r="G198" i="42"/>
  <c r="A198" i="42"/>
  <c r="E199" i="42" l="1"/>
  <c r="D199" i="42"/>
  <c r="B200" i="42"/>
  <c r="G199" i="42"/>
  <c r="A199" i="42"/>
  <c r="C199" i="42"/>
  <c r="H199" i="42"/>
  <c r="E200" i="42" l="1"/>
  <c r="D200" i="42"/>
  <c r="B201" i="42"/>
  <c r="C200" i="42"/>
  <c r="H200" i="42"/>
  <c r="G200" i="42"/>
  <c r="A200" i="42"/>
  <c r="E201" i="42" l="1"/>
  <c r="D201" i="42"/>
  <c r="B202" i="42"/>
  <c r="C201" i="42"/>
  <c r="H201" i="42"/>
  <c r="G201" i="42"/>
  <c r="A201" i="42"/>
  <c r="E202" i="42" l="1"/>
  <c r="D202" i="42"/>
  <c r="B203" i="42"/>
  <c r="C202" i="42"/>
  <c r="H202" i="42"/>
  <c r="G202" i="42"/>
  <c r="A202" i="42"/>
  <c r="E203" i="42" l="1"/>
  <c r="D203" i="42"/>
  <c r="B204" i="42"/>
  <c r="G203" i="42"/>
  <c r="A203" i="42"/>
  <c r="C203" i="42"/>
  <c r="H203" i="42"/>
  <c r="E204" i="42" l="1"/>
  <c r="D204" i="42"/>
  <c r="B205" i="42"/>
  <c r="C204" i="42"/>
  <c r="H204" i="42"/>
  <c r="G204" i="42"/>
  <c r="A204" i="42"/>
  <c r="E205" i="42" l="1"/>
  <c r="D205" i="42"/>
  <c r="B206" i="42"/>
  <c r="C205" i="42"/>
  <c r="H205" i="42"/>
  <c r="G205" i="42"/>
  <c r="A205" i="42"/>
  <c r="E206" i="42" l="1"/>
  <c r="D206" i="42"/>
  <c r="B207" i="42"/>
  <c r="C206" i="42"/>
  <c r="H206" i="42"/>
  <c r="G206" i="42"/>
  <c r="A206" i="42"/>
  <c r="E207" i="42" l="1"/>
  <c r="D207" i="42"/>
  <c r="B208" i="42"/>
  <c r="G207" i="42"/>
  <c r="A207" i="42"/>
  <c r="C207" i="42"/>
  <c r="H207" i="42"/>
  <c r="E208" i="42" l="1"/>
  <c r="D208" i="42"/>
  <c r="B209" i="42"/>
  <c r="C208" i="42"/>
  <c r="H208" i="42"/>
  <c r="G208" i="42"/>
  <c r="A208" i="42"/>
  <c r="E209" i="42" l="1"/>
  <c r="D209" i="42"/>
  <c r="B210" i="42"/>
  <c r="C209" i="42"/>
  <c r="H209" i="42"/>
  <c r="G209" i="42"/>
  <c r="A209" i="42"/>
  <c r="E210" i="42" l="1"/>
  <c r="D210" i="42"/>
  <c r="B211" i="42"/>
  <c r="C210" i="42"/>
  <c r="H210" i="42"/>
  <c r="G210" i="42"/>
  <c r="A210" i="42"/>
  <c r="E211" i="42" l="1"/>
  <c r="G211" i="42"/>
  <c r="D211" i="42"/>
  <c r="A211" i="42"/>
  <c r="H211" i="42"/>
  <c r="C211" i="42"/>
  <c r="B212" i="42"/>
  <c r="E212" i="42" l="1"/>
  <c r="H212" i="42"/>
  <c r="D212" i="42"/>
  <c r="C212" i="42"/>
  <c r="A212" i="42"/>
  <c r="B213" i="42"/>
  <c r="G212" i="42"/>
  <c r="E213" i="42" l="1"/>
  <c r="A213" i="42"/>
  <c r="B214" i="42"/>
  <c r="H213" i="42"/>
  <c r="G213" i="42"/>
  <c r="D213" i="42"/>
  <c r="C213" i="42"/>
  <c r="E214" i="42" l="1"/>
  <c r="B215" i="42"/>
  <c r="C214" i="42"/>
  <c r="A214" i="42"/>
  <c r="H214" i="42"/>
  <c r="G214" i="42"/>
  <c r="D214" i="42"/>
  <c r="E215" i="42" l="1"/>
  <c r="G215" i="42"/>
  <c r="D215" i="42"/>
  <c r="C215" i="42"/>
  <c r="A215" i="42"/>
  <c r="B216" i="42"/>
  <c r="H215" i="42"/>
  <c r="E216" i="42" l="1"/>
  <c r="H216" i="42"/>
  <c r="D216" i="42"/>
  <c r="C216" i="42"/>
  <c r="A216" i="42"/>
  <c r="B217" i="42"/>
  <c r="G216" i="42"/>
  <c r="E217" i="42" l="1"/>
  <c r="A217" i="42"/>
  <c r="B218" i="42"/>
  <c r="H217" i="42"/>
  <c r="G217" i="42"/>
  <c r="C217" i="42"/>
  <c r="D217" i="42"/>
  <c r="E218" i="42" l="1"/>
  <c r="B219" i="42"/>
  <c r="G218" i="42"/>
  <c r="D218" i="42"/>
  <c r="C218" i="42"/>
  <c r="A218" i="42"/>
  <c r="H218" i="42"/>
  <c r="E219" i="42" l="1"/>
  <c r="G219" i="42"/>
  <c r="D219" i="42"/>
  <c r="C219" i="42"/>
  <c r="A219" i="42"/>
  <c r="B220" i="42"/>
  <c r="H219" i="42"/>
  <c r="E220" i="42" l="1"/>
  <c r="H220" i="42"/>
  <c r="G220" i="42"/>
  <c r="D220" i="42"/>
  <c r="C220" i="42"/>
  <c r="A220" i="42"/>
  <c r="B221" i="42"/>
  <c r="E221" i="42" l="1"/>
  <c r="A221" i="42"/>
  <c r="B222" i="42"/>
  <c r="H221" i="42"/>
  <c r="G221" i="42"/>
  <c r="D221" i="42"/>
  <c r="C221" i="42"/>
  <c r="E222" i="42" l="1"/>
  <c r="A222" i="42"/>
  <c r="B223" i="42"/>
  <c r="H222" i="42"/>
  <c r="G222" i="42"/>
  <c r="D222" i="42"/>
  <c r="C222" i="42"/>
  <c r="E223" i="42" l="1"/>
  <c r="G223" i="42"/>
  <c r="D223" i="42"/>
  <c r="C223" i="42"/>
  <c r="A223" i="42"/>
  <c r="B224" i="42"/>
  <c r="H223" i="42"/>
  <c r="E224" i="42" l="1"/>
  <c r="H224" i="42"/>
  <c r="G224" i="42"/>
  <c r="D224" i="42"/>
  <c r="C224" i="42"/>
  <c r="B225" i="42"/>
  <c r="A224" i="42"/>
  <c r="E225" i="42" l="1"/>
  <c r="A225" i="42"/>
  <c r="B226" i="42"/>
  <c r="H225" i="42"/>
  <c r="G225" i="42"/>
  <c r="D225" i="42"/>
  <c r="C225" i="42"/>
  <c r="E226" i="42" l="1"/>
  <c r="A226" i="42"/>
  <c r="B227" i="42"/>
  <c r="C226" i="42"/>
  <c r="H226" i="42"/>
  <c r="G226" i="42"/>
  <c r="D226" i="42"/>
  <c r="E227" i="42" l="1"/>
  <c r="G227" i="42"/>
  <c r="D227" i="42"/>
  <c r="C227" i="42"/>
  <c r="A227" i="42"/>
  <c r="H227" i="42"/>
  <c r="B228" i="42"/>
  <c r="E228" i="42" l="1"/>
  <c r="H228" i="42"/>
  <c r="G228" i="42"/>
  <c r="D228" i="42"/>
  <c r="C228" i="42"/>
  <c r="A228" i="42"/>
  <c r="B229" i="42"/>
  <c r="E229" i="42" l="1"/>
  <c r="A229" i="42"/>
  <c r="B230" i="42"/>
  <c r="H229" i="42"/>
  <c r="G229" i="42"/>
  <c r="C229" i="42"/>
  <c r="D229" i="42"/>
  <c r="E230" i="42" l="1"/>
  <c r="A230" i="42"/>
  <c r="B231" i="42"/>
  <c r="H230" i="42"/>
  <c r="G230" i="42"/>
  <c r="D230" i="42"/>
  <c r="C230" i="42"/>
  <c r="E231" i="42" l="1"/>
  <c r="G231" i="42"/>
  <c r="D231" i="42"/>
  <c r="C231" i="42"/>
  <c r="A231" i="42"/>
  <c r="B232" i="42"/>
  <c r="H231" i="42"/>
  <c r="E232" i="42" l="1"/>
  <c r="H232" i="42"/>
  <c r="G232" i="42"/>
  <c r="D232" i="42"/>
  <c r="C232" i="42"/>
  <c r="A232" i="42"/>
  <c r="B233" i="42"/>
  <c r="E233" i="42" l="1"/>
  <c r="A233" i="42"/>
  <c r="B234" i="42"/>
  <c r="H233" i="42"/>
  <c r="G233" i="42"/>
  <c r="D233" i="42"/>
  <c r="C233" i="42"/>
  <c r="E234" i="42" l="1"/>
  <c r="A234" i="42"/>
  <c r="B235" i="42"/>
  <c r="C234" i="42"/>
  <c r="H234" i="42"/>
  <c r="G234" i="42"/>
  <c r="D234" i="42"/>
  <c r="E235" i="42" l="1"/>
  <c r="G235" i="42"/>
  <c r="D235" i="42"/>
  <c r="C235" i="42"/>
  <c r="A235" i="42"/>
  <c r="B236" i="42"/>
  <c r="H235" i="42"/>
  <c r="E236" i="42" l="1"/>
  <c r="H236" i="42"/>
  <c r="G236" i="42"/>
  <c r="D236" i="42"/>
  <c r="C236" i="42"/>
  <c r="B237" i="42"/>
  <c r="A236" i="42"/>
  <c r="E237" i="42" l="1"/>
  <c r="A237" i="42"/>
  <c r="B238" i="42"/>
  <c r="H237" i="42"/>
  <c r="G237" i="42"/>
  <c r="D237" i="42"/>
  <c r="C237" i="42"/>
  <c r="E238" i="42" l="1"/>
  <c r="A238" i="42"/>
  <c r="B239" i="42"/>
  <c r="D238" i="42"/>
  <c r="C238" i="42"/>
  <c r="H238" i="42"/>
  <c r="G238" i="42"/>
  <c r="E239" i="42" l="1"/>
  <c r="G239" i="42"/>
  <c r="D239" i="42"/>
  <c r="C239" i="42"/>
  <c r="A239" i="42"/>
  <c r="B240" i="42"/>
  <c r="H239" i="42"/>
  <c r="E240" i="42" l="1"/>
  <c r="H240" i="42"/>
  <c r="G240" i="42"/>
  <c r="D240" i="42"/>
  <c r="C240" i="42"/>
  <c r="A240" i="42"/>
  <c r="B241" i="42"/>
  <c r="E241" i="42" l="1"/>
  <c r="A241" i="42"/>
  <c r="B242" i="42"/>
  <c r="H241" i="42"/>
  <c r="G241" i="42"/>
  <c r="C241" i="42"/>
  <c r="D241" i="42"/>
  <c r="E242" i="42" l="1"/>
  <c r="A242" i="42"/>
  <c r="B243" i="42"/>
  <c r="H242" i="42"/>
  <c r="G242" i="42"/>
  <c r="D242" i="42"/>
  <c r="C242" i="42"/>
  <c r="E243" i="42" l="1"/>
  <c r="G243" i="42"/>
  <c r="D243" i="42"/>
  <c r="C243" i="42"/>
  <c r="A243" i="42"/>
  <c r="B244" i="42"/>
  <c r="H243" i="42"/>
  <c r="E244" i="42" l="1"/>
  <c r="H244" i="42"/>
  <c r="G244" i="42"/>
  <c r="D244" i="42"/>
  <c r="C244" i="42"/>
  <c r="A244" i="42"/>
  <c r="B245" i="42"/>
  <c r="E245" i="42" l="1"/>
  <c r="A245" i="42"/>
  <c r="B246" i="42"/>
  <c r="H245" i="42"/>
  <c r="G245" i="42"/>
  <c r="D245" i="42"/>
  <c r="C245" i="42"/>
  <c r="E246" i="42" l="1"/>
  <c r="A246" i="42"/>
  <c r="B247" i="42"/>
  <c r="C246" i="42"/>
  <c r="H246" i="42"/>
  <c r="G246" i="42"/>
  <c r="D246" i="42"/>
  <c r="E247" i="42" l="1"/>
  <c r="G247" i="42"/>
  <c r="D247" i="42"/>
  <c r="C247" i="42"/>
  <c r="A247" i="42"/>
  <c r="H247" i="42"/>
  <c r="B248" i="42"/>
  <c r="E248" i="42" l="1"/>
  <c r="H248" i="42"/>
  <c r="G248" i="42"/>
  <c r="D248" i="42"/>
  <c r="C248" i="42"/>
  <c r="B249" i="42"/>
  <c r="A248" i="42"/>
  <c r="E249" i="42" l="1"/>
  <c r="A249" i="42"/>
  <c r="B250" i="42"/>
  <c r="H249" i="42"/>
  <c r="G249" i="42"/>
  <c r="C249" i="42"/>
  <c r="D249" i="42"/>
  <c r="E250" i="42" l="1"/>
  <c r="A250" i="42"/>
  <c r="B251" i="42"/>
  <c r="G250" i="42"/>
  <c r="D250" i="42"/>
  <c r="C250" i="42"/>
  <c r="H250" i="42"/>
  <c r="E251" i="42" l="1"/>
  <c r="G251" i="42"/>
  <c r="D251" i="42"/>
  <c r="C251" i="42"/>
  <c r="A251" i="42"/>
  <c r="B252" i="42"/>
  <c r="H251" i="42"/>
  <c r="E252" i="42" l="1"/>
  <c r="H252" i="42"/>
  <c r="G252" i="42"/>
  <c r="D252" i="42"/>
  <c r="C252" i="42"/>
  <c r="A252" i="42"/>
  <c r="B253" i="42"/>
  <c r="E253" i="42" l="1"/>
  <c r="A253" i="42"/>
  <c r="B254" i="42"/>
  <c r="H253" i="42"/>
  <c r="G253" i="42"/>
  <c r="D253" i="42"/>
  <c r="C253" i="42"/>
  <c r="E254" i="42" l="1"/>
  <c r="A254" i="42"/>
  <c r="B255" i="42"/>
  <c r="H254" i="42"/>
  <c r="G254" i="42"/>
  <c r="D254" i="42"/>
  <c r="C254" i="42"/>
  <c r="E255" i="42" l="1"/>
  <c r="G255" i="42"/>
  <c r="D255" i="42"/>
  <c r="C255" i="42"/>
  <c r="A255" i="42"/>
  <c r="B256" i="42"/>
  <c r="H255" i="42"/>
  <c r="E256" i="42" l="1"/>
  <c r="H256" i="42"/>
  <c r="G256" i="42"/>
  <c r="D256" i="42"/>
  <c r="C256" i="42"/>
  <c r="B257" i="42"/>
  <c r="A256" i="42"/>
  <c r="E257" i="42" l="1"/>
  <c r="A257" i="42"/>
  <c r="B258" i="42"/>
  <c r="H257" i="42"/>
  <c r="G257" i="42"/>
  <c r="D257" i="42"/>
  <c r="C257" i="42"/>
  <c r="E258" i="42" l="1"/>
  <c r="A258" i="42"/>
  <c r="B259" i="42"/>
  <c r="C258" i="42"/>
  <c r="H258" i="42"/>
  <c r="G258" i="42"/>
  <c r="D258" i="42"/>
  <c r="E259" i="42" l="1"/>
  <c r="G259" i="42"/>
  <c r="D259" i="42"/>
  <c r="C259" i="42"/>
  <c r="A259" i="42"/>
  <c r="H259" i="42"/>
  <c r="B260" i="42"/>
  <c r="E260" i="42" l="1"/>
  <c r="H260" i="42"/>
  <c r="G260" i="42"/>
  <c r="D260" i="42"/>
  <c r="C260" i="42"/>
  <c r="A260" i="42"/>
  <c r="B261" i="42"/>
  <c r="E261" i="42" l="1"/>
  <c r="A261" i="42"/>
  <c r="B262" i="42"/>
  <c r="H261" i="42"/>
  <c r="G261" i="42"/>
  <c r="C261" i="42"/>
  <c r="D261" i="42"/>
  <c r="E262" i="42" l="1"/>
  <c r="A262" i="42"/>
  <c r="B263" i="42"/>
  <c r="H262" i="42"/>
  <c r="G262" i="42"/>
  <c r="D262" i="42"/>
  <c r="C262" i="42"/>
  <c r="E263" i="42" l="1"/>
  <c r="G263" i="42"/>
  <c r="D263" i="42"/>
  <c r="C263" i="42"/>
  <c r="A263" i="42"/>
  <c r="B264" i="42"/>
  <c r="H263" i="42"/>
  <c r="E264" i="42" l="1"/>
  <c r="H264" i="42"/>
  <c r="G264" i="42"/>
  <c r="D264" i="42"/>
  <c r="C264" i="42"/>
  <c r="A264" i="42"/>
  <c r="B265" i="42"/>
  <c r="E265" i="42" l="1"/>
  <c r="A265" i="42"/>
  <c r="B266" i="42"/>
  <c r="H265" i="42"/>
  <c r="G265" i="42"/>
  <c r="D265" i="42"/>
  <c r="C265" i="42"/>
  <c r="E266" i="42" l="1"/>
  <c r="A266" i="42"/>
  <c r="B267" i="42"/>
  <c r="C266" i="42"/>
  <c r="H266" i="42"/>
  <c r="G266" i="42"/>
  <c r="D266" i="42"/>
  <c r="E267" i="42" l="1"/>
  <c r="G267" i="42"/>
  <c r="D267" i="42"/>
  <c r="C267" i="42"/>
  <c r="A267" i="42"/>
  <c r="B268" i="42"/>
  <c r="H267" i="42"/>
  <c r="E268" i="42" l="1"/>
  <c r="H268" i="42"/>
  <c r="G268" i="42"/>
  <c r="D268" i="42"/>
  <c r="C268" i="42"/>
  <c r="B269" i="42"/>
  <c r="A268" i="42"/>
  <c r="E269" i="42" l="1"/>
  <c r="A269" i="42"/>
  <c r="B270" i="42"/>
  <c r="H269" i="42"/>
  <c r="G269" i="42"/>
  <c r="D269" i="42"/>
  <c r="C269" i="42"/>
  <c r="E270" i="42" l="1"/>
  <c r="A270" i="42"/>
  <c r="B271" i="42"/>
  <c r="D270" i="42"/>
  <c r="C270" i="42"/>
  <c r="H270" i="42"/>
  <c r="G270" i="42"/>
  <c r="E271" i="42" l="1"/>
  <c r="G271" i="42"/>
  <c r="D271" i="42"/>
  <c r="C271" i="42"/>
  <c r="A271" i="42"/>
  <c r="B272" i="42"/>
  <c r="H271" i="42"/>
  <c r="E272" i="42" l="1"/>
  <c r="H272" i="42"/>
  <c r="G272" i="42"/>
  <c r="D272" i="42"/>
  <c r="C272" i="42"/>
  <c r="A272" i="42"/>
  <c r="B273" i="42"/>
  <c r="E273" i="42" l="1"/>
  <c r="A273" i="42"/>
  <c r="B274" i="42"/>
  <c r="H273" i="42"/>
  <c r="G273" i="42"/>
  <c r="C273" i="42"/>
  <c r="D273" i="42"/>
  <c r="E274" i="42" l="1"/>
  <c r="A274" i="42"/>
  <c r="B275" i="42"/>
  <c r="H274" i="42"/>
  <c r="G274" i="42"/>
  <c r="D274" i="42"/>
  <c r="C274" i="42"/>
  <c r="E275" i="42" l="1"/>
  <c r="G275" i="42"/>
  <c r="D275" i="42"/>
  <c r="C275" i="42"/>
  <c r="A275" i="42"/>
  <c r="B276" i="42"/>
  <c r="H275" i="42"/>
  <c r="E276" i="42" l="1"/>
  <c r="H276" i="42"/>
  <c r="G276" i="42"/>
  <c r="D276" i="42"/>
  <c r="C276" i="42"/>
  <c r="A276" i="42"/>
  <c r="B277" i="42"/>
  <c r="E277" i="42" l="1"/>
  <c r="A277" i="42"/>
  <c r="B278" i="42"/>
  <c r="H277" i="42"/>
  <c r="G277" i="42"/>
  <c r="D277" i="42"/>
  <c r="C277" i="42"/>
  <c r="E278" i="42" l="1"/>
  <c r="A278" i="42"/>
  <c r="B279" i="42"/>
  <c r="C278" i="42"/>
  <c r="H278" i="42"/>
  <c r="G278" i="42"/>
  <c r="D278" i="42"/>
  <c r="E279" i="42" l="1"/>
  <c r="G279" i="42"/>
  <c r="D279" i="42"/>
  <c r="C279" i="42"/>
  <c r="A279" i="42"/>
  <c r="H279" i="42"/>
  <c r="B280" i="42"/>
  <c r="E280" i="42" l="1"/>
  <c r="H280" i="42"/>
  <c r="G280" i="42"/>
  <c r="D280" i="42"/>
  <c r="C280" i="42"/>
  <c r="B281" i="42"/>
  <c r="A280" i="42"/>
  <c r="E281" i="42" l="1"/>
  <c r="A281" i="42"/>
  <c r="B282" i="42"/>
  <c r="H281" i="42"/>
  <c r="G281" i="42"/>
  <c r="D281" i="42"/>
  <c r="C281" i="42"/>
  <c r="E282" i="42" l="1"/>
  <c r="A282" i="42"/>
  <c r="B283" i="42"/>
  <c r="H282" i="42"/>
  <c r="G282" i="42"/>
  <c r="D282" i="42"/>
  <c r="C282" i="42"/>
  <c r="E283" i="42" l="1"/>
  <c r="G283" i="42"/>
  <c r="D283" i="42"/>
  <c r="C283" i="42"/>
  <c r="A283" i="42"/>
  <c r="B284" i="42"/>
  <c r="H283" i="42"/>
  <c r="E284" i="42" l="1"/>
  <c r="H284" i="42"/>
  <c r="G284" i="42"/>
  <c r="D284" i="42"/>
  <c r="C284" i="42"/>
  <c r="B285" i="42"/>
  <c r="A284" i="42"/>
  <c r="E285" i="42" l="1"/>
  <c r="A285" i="42"/>
  <c r="B286" i="42"/>
  <c r="H285" i="42"/>
  <c r="G285" i="42"/>
  <c r="D285" i="42"/>
  <c r="C285" i="42"/>
  <c r="E286" i="42" l="1"/>
  <c r="A286" i="42"/>
  <c r="B287" i="42"/>
  <c r="H286" i="42"/>
  <c r="C286" i="42"/>
  <c r="G286" i="42"/>
  <c r="D286" i="42"/>
  <c r="E287" i="42" l="1"/>
  <c r="G287" i="42"/>
  <c r="D287" i="42"/>
  <c r="C287" i="42"/>
  <c r="A287" i="42"/>
  <c r="B288" i="42"/>
  <c r="H287" i="42"/>
  <c r="E288" i="42" l="1"/>
  <c r="H288" i="42"/>
  <c r="G288" i="42"/>
  <c r="D288" i="42"/>
  <c r="C288" i="42"/>
  <c r="A288" i="42"/>
  <c r="B289" i="42"/>
  <c r="E289" i="42" l="1"/>
  <c r="A289" i="42"/>
  <c r="B290" i="42"/>
  <c r="H289" i="42"/>
  <c r="G289" i="42"/>
  <c r="D289" i="42"/>
  <c r="C289" i="42"/>
  <c r="E290" i="42" l="1"/>
  <c r="A290" i="42"/>
  <c r="B291" i="42"/>
  <c r="H290" i="42"/>
  <c r="G290" i="42"/>
  <c r="D290" i="42"/>
  <c r="C290" i="42"/>
  <c r="E291" i="42" l="1"/>
  <c r="G291" i="42"/>
  <c r="D291" i="42"/>
  <c r="C291" i="42"/>
  <c r="A291" i="42"/>
  <c r="B292" i="42"/>
  <c r="H291" i="42"/>
  <c r="H292" i="42" l="1"/>
  <c r="E292" i="42"/>
  <c r="B293" i="42"/>
  <c r="G292" i="42"/>
  <c r="D292" i="42"/>
  <c r="C292" i="42"/>
  <c r="A292" i="42"/>
  <c r="H293" i="42" l="1"/>
  <c r="D293" i="42"/>
  <c r="C293" i="42"/>
  <c r="E293" i="42"/>
  <c r="A293" i="42"/>
  <c r="B294" i="42"/>
  <c r="G293" i="42"/>
  <c r="H294" i="42" l="1"/>
  <c r="A294" i="42"/>
  <c r="G294" i="42"/>
  <c r="B295" i="42"/>
  <c r="C294" i="42"/>
  <c r="E294" i="42"/>
  <c r="D294" i="42"/>
  <c r="H295" i="42" l="1"/>
  <c r="B296" i="42"/>
  <c r="G295" i="42"/>
  <c r="C295" i="42"/>
  <c r="E295" i="42"/>
  <c r="D295" i="42"/>
  <c r="A295" i="42"/>
  <c r="H296" i="42" l="1"/>
  <c r="E296" i="42"/>
  <c r="G296" i="42"/>
  <c r="D296" i="42"/>
  <c r="A296" i="42"/>
  <c r="B297" i="42"/>
  <c r="C296" i="42"/>
  <c r="H297" i="42" l="1"/>
  <c r="G297" i="42"/>
  <c r="D297" i="42"/>
  <c r="C297" i="42"/>
  <c r="B298" i="42"/>
  <c r="E297" i="42"/>
  <c r="A297" i="42"/>
  <c r="H298" i="42" l="1"/>
  <c r="A298" i="42"/>
  <c r="B299" i="42"/>
  <c r="G298" i="42"/>
  <c r="C298" i="42"/>
  <c r="E298" i="42"/>
  <c r="D298" i="42"/>
  <c r="H299" i="42" l="1"/>
  <c r="B300" i="42"/>
  <c r="C299" i="42"/>
  <c r="G299" i="42"/>
  <c r="A299" i="42"/>
  <c r="E299" i="42"/>
  <c r="D299" i="42"/>
  <c r="H300" i="42" l="1"/>
  <c r="E300" i="42"/>
  <c r="D300" i="42"/>
  <c r="C300" i="42"/>
  <c r="B301" i="42"/>
  <c r="A300" i="42"/>
  <c r="G300" i="42"/>
  <c r="H301" i="42" l="1"/>
  <c r="G301" i="42"/>
  <c r="D301" i="42"/>
  <c r="C301" i="42"/>
  <c r="B302" i="42"/>
  <c r="E301" i="42"/>
  <c r="A301" i="42"/>
  <c r="H302" i="42" l="1"/>
  <c r="A302" i="42"/>
  <c r="B303" i="42"/>
  <c r="G302" i="42"/>
  <c r="C302" i="42"/>
  <c r="E302" i="42"/>
  <c r="D302" i="42"/>
  <c r="H303" i="42" l="1"/>
  <c r="B304" i="42"/>
  <c r="C303" i="42"/>
  <c r="G303" i="42"/>
  <c r="A303" i="42"/>
  <c r="E303" i="42"/>
  <c r="D303" i="42"/>
  <c r="H304" i="42" l="1"/>
  <c r="E304" i="42"/>
  <c r="D304" i="42"/>
  <c r="C304" i="42"/>
  <c r="B305" i="42"/>
  <c r="A304" i="42"/>
  <c r="G304" i="42"/>
  <c r="H305" i="42" l="1"/>
  <c r="G305" i="42"/>
  <c r="E305" i="42"/>
  <c r="D305" i="42"/>
  <c r="C305" i="42"/>
  <c r="A305" i="42"/>
  <c r="B306" i="42"/>
  <c r="H306" i="42" l="1"/>
  <c r="A306" i="42"/>
  <c r="B307" i="42"/>
  <c r="G306" i="42"/>
  <c r="C306" i="42"/>
  <c r="E306" i="42"/>
  <c r="D306" i="42"/>
  <c r="H307" i="42" l="1"/>
  <c r="A307" i="42"/>
  <c r="B308" i="42"/>
  <c r="C307" i="42"/>
  <c r="G307" i="42"/>
  <c r="E307" i="42"/>
  <c r="D307" i="42"/>
  <c r="H308" i="42" l="1"/>
  <c r="E308" i="42"/>
  <c r="D308" i="42"/>
  <c r="C308" i="42"/>
  <c r="A308" i="42"/>
  <c r="B309" i="42"/>
  <c r="G308" i="42"/>
  <c r="H309" i="42" l="1"/>
  <c r="G309" i="42"/>
  <c r="E309" i="42"/>
  <c r="D309" i="42"/>
  <c r="C309" i="42"/>
  <c r="A309" i="42"/>
  <c r="B310" i="42"/>
  <c r="H310" i="42" l="1"/>
  <c r="A310" i="42"/>
  <c r="B311" i="42"/>
  <c r="G310" i="42"/>
  <c r="E310" i="42"/>
  <c r="D310" i="42"/>
  <c r="C310" i="42"/>
  <c r="H311" i="42" l="1"/>
  <c r="A311" i="42"/>
  <c r="B312" i="42"/>
  <c r="G311" i="42"/>
  <c r="E311" i="42"/>
  <c r="D311" i="42"/>
  <c r="C311" i="42"/>
  <c r="H312" i="42" l="1"/>
  <c r="E312" i="42"/>
  <c r="D312" i="42"/>
  <c r="C312" i="42"/>
  <c r="A312" i="42"/>
  <c r="B313" i="42"/>
  <c r="G312" i="42"/>
  <c r="H313" i="42" l="1"/>
  <c r="G313" i="42"/>
  <c r="E313" i="42"/>
  <c r="D313" i="42"/>
  <c r="C313" i="42"/>
  <c r="A313" i="42"/>
  <c r="B314" i="42"/>
  <c r="H314" i="42" l="1"/>
  <c r="A314" i="42"/>
  <c r="B315" i="42"/>
  <c r="G314" i="42"/>
  <c r="C314" i="42"/>
  <c r="E314" i="42"/>
  <c r="D314" i="42"/>
  <c r="H315" i="42" l="1"/>
  <c r="A315" i="42"/>
  <c r="B316" i="42"/>
  <c r="C315" i="42"/>
  <c r="G315" i="42"/>
  <c r="E315" i="42"/>
  <c r="D315" i="42"/>
  <c r="H316" i="42" l="1"/>
  <c r="E316" i="42"/>
  <c r="D316" i="42"/>
  <c r="C316" i="42"/>
  <c r="A316" i="42"/>
  <c r="B317" i="42"/>
  <c r="G316" i="42"/>
  <c r="H317" i="42" l="1"/>
  <c r="G317" i="42"/>
  <c r="E317" i="42"/>
  <c r="D317" i="42"/>
  <c r="C317" i="42"/>
  <c r="A317" i="42"/>
  <c r="B318" i="42"/>
  <c r="H318" i="42" l="1"/>
  <c r="A318" i="42"/>
  <c r="B319" i="42"/>
  <c r="G318" i="42"/>
  <c r="E318" i="42"/>
  <c r="D318" i="42"/>
  <c r="C318" i="42"/>
  <c r="H319" i="42" l="1"/>
  <c r="A319" i="42"/>
  <c r="B320" i="42"/>
  <c r="G319" i="42"/>
  <c r="E319" i="42"/>
  <c r="D319" i="42"/>
  <c r="C319" i="42"/>
  <c r="H320" i="42" l="1"/>
  <c r="E320" i="42"/>
  <c r="D320" i="42"/>
  <c r="C320" i="42"/>
  <c r="A320" i="42"/>
  <c r="B321" i="42"/>
  <c r="G320" i="42"/>
  <c r="H321" i="42" l="1"/>
  <c r="G321" i="42"/>
  <c r="E321" i="42"/>
  <c r="D321" i="42"/>
  <c r="C321" i="42"/>
  <c r="A321" i="42"/>
  <c r="B322" i="42"/>
  <c r="H322" i="42" l="1"/>
  <c r="A322" i="42"/>
  <c r="B323" i="42"/>
  <c r="G322" i="42"/>
  <c r="C322" i="42"/>
  <c r="E322" i="42"/>
  <c r="D322" i="42"/>
  <c r="H323" i="42" l="1"/>
  <c r="A323" i="42"/>
  <c r="B324" i="42"/>
  <c r="C323" i="42"/>
  <c r="G323" i="42"/>
  <c r="E323" i="42"/>
  <c r="D323" i="42"/>
  <c r="H324" i="42" l="1"/>
  <c r="E324" i="42"/>
  <c r="D324" i="42"/>
  <c r="C324" i="42"/>
  <c r="A324" i="42"/>
  <c r="B325" i="42"/>
  <c r="G324" i="42"/>
  <c r="H325" i="42" l="1"/>
  <c r="G325" i="42"/>
  <c r="E325" i="42"/>
  <c r="D325" i="42"/>
  <c r="C325" i="42"/>
  <c r="A325" i="42"/>
  <c r="B326" i="42"/>
  <c r="H326" i="42" l="1"/>
  <c r="A326" i="42"/>
  <c r="B327" i="42"/>
  <c r="G326" i="42"/>
  <c r="E326" i="42"/>
  <c r="D326" i="42"/>
  <c r="C326" i="42"/>
  <c r="H327" i="42" l="1"/>
  <c r="A327" i="42"/>
  <c r="B328" i="42"/>
  <c r="G327" i="42"/>
  <c r="E327" i="42"/>
  <c r="D327" i="42"/>
  <c r="C327" i="42"/>
  <c r="H328" i="42" l="1"/>
  <c r="E328" i="42"/>
  <c r="D328" i="42"/>
  <c r="C328" i="42"/>
  <c r="A328" i="42"/>
  <c r="B329" i="42"/>
  <c r="G328" i="42"/>
  <c r="H329" i="42" l="1"/>
  <c r="G329" i="42"/>
  <c r="E329" i="42"/>
  <c r="D329" i="42"/>
  <c r="C329" i="42"/>
  <c r="A329" i="42"/>
  <c r="B330" i="42"/>
  <c r="H330" i="42" l="1"/>
  <c r="A330" i="42"/>
  <c r="B331" i="42"/>
  <c r="G330" i="42"/>
  <c r="C330" i="42"/>
  <c r="E330" i="42"/>
  <c r="D330" i="42"/>
  <c r="H331" i="42" l="1"/>
  <c r="A331" i="42"/>
  <c r="B332" i="42"/>
  <c r="C331" i="42"/>
  <c r="G331" i="42"/>
  <c r="E331" i="42"/>
  <c r="D331" i="42"/>
  <c r="H332" i="42" l="1"/>
  <c r="E332" i="42"/>
  <c r="D332" i="42"/>
  <c r="C332" i="42"/>
  <c r="A332" i="42"/>
  <c r="B333" i="42"/>
  <c r="G332" i="42"/>
  <c r="H333" i="42" l="1"/>
  <c r="G333" i="42"/>
  <c r="E333" i="42"/>
  <c r="D333" i="42"/>
  <c r="C333" i="42"/>
  <c r="A333" i="42"/>
  <c r="B334" i="42"/>
  <c r="H334" i="42" l="1"/>
  <c r="D334" i="42"/>
  <c r="C334" i="42"/>
  <c r="A334" i="42"/>
  <c r="B335" i="42"/>
  <c r="G334" i="42"/>
  <c r="E334" i="42"/>
  <c r="H335" i="42" l="1"/>
  <c r="G335" i="42"/>
  <c r="E335" i="42"/>
  <c r="C335" i="42"/>
  <c r="D335" i="42"/>
  <c r="A335" i="42"/>
  <c r="B336" i="42"/>
  <c r="H336" i="42" l="1"/>
  <c r="B337" i="42"/>
  <c r="A336" i="42"/>
  <c r="C336" i="42"/>
  <c r="G336" i="42"/>
  <c r="E336" i="42"/>
  <c r="D336" i="42"/>
  <c r="H337" i="42" l="1"/>
  <c r="G337" i="42"/>
  <c r="E337" i="42"/>
  <c r="C337" i="42"/>
  <c r="D337" i="42"/>
  <c r="A337" i="42"/>
  <c r="B338" i="42"/>
  <c r="H338" i="42" l="1"/>
  <c r="D338" i="42"/>
  <c r="C338" i="42"/>
  <c r="B339" i="42"/>
  <c r="G338" i="42"/>
  <c r="E338" i="42"/>
  <c r="A338" i="42"/>
  <c r="H339" i="42" l="1"/>
  <c r="G339" i="42"/>
  <c r="E339" i="42"/>
  <c r="C339" i="42"/>
  <c r="D339" i="42"/>
  <c r="A339" i="42"/>
  <c r="B340" i="42"/>
  <c r="H340" i="42" l="1"/>
  <c r="B341" i="42"/>
  <c r="G340" i="42"/>
  <c r="C340" i="42"/>
  <c r="A340" i="42"/>
  <c r="E340" i="42"/>
  <c r="D340" i="42"/>
  <c r="H341" i="42" l="1"/>
  <c r="E341" i="42"/>
  <c r="C341" i="42"/>
  <c r="D341" i="42"/>
  <c r="A341" i="42"/>
  <c r="B342" i="42"/>
  <c r="G341" i="42"/>
  <c r="H342" i="42" l="1"/>
  <c r="D342" i="42"/>
  <c r="C342" i="42"/>
  <c r="B343" i="42"/>
  <c r="G342" i="42"/>
  <c r="E342" i="42"/>
  <c r="A342" i="42"/>
  <c r="H343" i="42" l="1"/>
  <c r="G343" i="42"/>
  <c r="D343" i="42"/>
  <c r="A343" i="42"/>
  <c r="C343" i="42"/>
  <c r="B344" i="42"/>
  <c r="E343" i="42"/>
  <c r="H344" i="42" l="1"/>
  <c r="B345" i="42"/>
  <c r="G344" i="42"/>
  <c r="E344" i="42"/>
  <c r="C344" i="42"/>
  <c r="D344" i="42"/>
  <c r="A344" i="42"/>
  <c r="H345" i="42" l="1"/>
  <c r="D345" i="42"/>
  <c r="A345" i="42"/>
  <c r="B346" i="42"/>
  <c r="G345" i="42"/>
  <c r="E345" i="42"/>
  <c r="C345" i="42"/>
  <c r="H346" i="42" l="1"/>
  <c r="D346" i="42"/>
  <c r="C346" i="42"/>
  <c r="B347" i="42"/>
  <c r="G346" i="42"/>
  <c r="E346" i="42"/>
  <c r="A346" i="42"/>
  <c r="H347" i="42" l="1"/>
  <c r="G347" i="42"/>
  <c r="A347" i="42"/>
  <c r="B348" i="42"/>
  <c r="E347" i="42"/>
  <c r="D347" i="42"/>
  <c r="C347" i="42"/>
  <c r="H348" i="42" l="1"/>
  <c r="B349" i="42"/>
  <c r="G348" i="42"/>
  <c r="E348" i="42"/>
  <c r="C348" i="42"/>
  <c r="D348" i="42"/>
  <c r="A348" i="42"/>
  <c r="H349" i="42" l="1"/>
  <c r="A349" i="42"/>
  <c r="B350" i="42"/>
  <c r="G349" i="42"/>
  <c r="E349" i="42"/>
  <c r="D349" i="42"/>
  <c r="C349" i="42"/>
  <c r="H350" i="42" l="1"/>
  <c r="D350" i="42"/>
  <c r="C350" i="42"/>
  <c r="G350" i="42"/>
  <c r="E350" i="42"/>
  <c r="A350" i="42"/>
  <c r="B351" i="42"/>
  <c r="H351" i="42" l="1"/>
  <c r="G351" i="42"/>
  <c r="A351" i="42"/>
  <c r="B352" i="42"/>
  <c r="D351" i="42"/>
  <c r="C351" i="42"/>
  <c r="E351" i="42"/>
  <c r="H352" i="42" l="1"/>
  <c r="B353" i="42"/>
  <c r="G352" i="42"/>
  <c r="E352" i="42"/>
  <c r="C352" i="42"/>
  <c r="D352" i="42"/>
  <c r="A352" i="42"/>
  <c r="H353" i="42" l="1"/>
  <c r="B354" i="42"/>
  <c r="G353" i="42"/>
  <c r="C353" i="42"/>
  <c r="A353" i="42"/>
  <c r="E353" i="42"/>
  <c r="D353" i="42"/>
  <c r="H354" i="42" l="1"/>
  <c r="D354" i="42"/>
  <c r="C354" i="42"/>
  <c r="G354" i="42"/>
  <c r="E354" i="42"/>
  <c r="A354" i="42"/>
  <c r="B355" i="42"/>
  <c r="H355" i="42" l="1"/>
  <c r="G355" i="42"/>
  <c r="B356" i="42"/>
  <c r="E355" i="42"/>
  <c r="C355" i="42"/>
  <c r="A355" i="42"/>
  <c r="D355" i="42"/>
  <c r="H356" i="42" l="1"/>
  <c r="B357" i="42"/>
  <c r="E356" i="42"/>
  <c r="C356" i="42"/>
  <c r="D356" i="42"/>
  <c r="A356" i="42"/>
  <c r="G356" i="42"/>
  <c r="H357" i="42" l="1"/>
  <c r="B358" i="42"/>
  <c r="G357" i="42"/>
  <c r="E357" i="42"/>
  <c r="C357" i="42"/>
  <c r="A357" i="42"/>
  <c r="D357" i="42"/>
  <c r="H358" i="42" l="1"/>
  <c r="E358" i="42"/>
  <c r="D358" i="42"/>
  <c r="C358" i="42"/>
  <c r="G358" i="42"/>
  <c r="A358" i="42"/>
  <c r="B359" i="42"/>
  <c r="H359" i="42" l="1"/>
  <c r="G359" i="42"/>
  <c r="B360" i="42"/>
  <c r="C359" i="42"/>
  <c r="A359" i="42"/>
  <c r="E359" i="42"/>
  <c r="D359" i="42"/>
  <c r="H360" i="42" l="1"/>
  <c r="A360" i="42"/>
  <c r="B361" i="42"/>
  <c r="G360" i="42"/>
  <c r="C360" i="42"/>
  <c r="E360" i="42"/>
  <c r="D360" i="42"/>
  <c r="H361" i="42" l="1"/>
  <c r="G361" i="42"/>
  <c r="C361" i="42"/>
  <c r="E361" i="42"/>
  <c r="A361" i="42"/>
  <c r="D361" i="42"/>
  <c r="B362" i="42"/>
  <c r="H362" i="42" l="1"/>
  <c r="E362" i="42"/>
  <c r="D362" i="42"/>
  <c r="C362" i="42"/>
  <c r="B363" i="42"/>
  <c r="G362" i="42"/>
  <c r="A362" i="42"/>
  <c r="H363" i="42" l="1"/>
  <c r="G363" i="42"/>
  <c r="B364" i="42"/>
  <c r="C363" i="42"/>
  <c r="E363" i="42"/>
  <c r="D363" i="42"/>
  <c r="A363" i="42"/>
  <c r="H364" i="42" l="1"/>
  <c r="A364" i="42"/>
  <c r="B365" i="42"/>
  <c r="G364" i="42"/>
  <c r="C364" i="42"/>
  <c r="E364" i="42"/>
  <c r="D364" i="42"/>
  <c r="H365" i="42" l="1"/>
  <c r="D365" i="42"/>
  <c r="B366" i="42"/>
  <c r="A365" i="42"/>
  <c r="G365" i="42"/>
  <c r="E365" i="42"/>
  <c r="C365" i="42"/>
  <c r="H366" i="42" l="1"/>
  <c r="E366" i="42"/>
  <c r="D366" i="42"/>
  <c r="C366" i="42"/>
  <c r="B367" i="42"/>
  <c r="G366" i="42"/>
  <c r="A366" i="42"/>
  <c r="H367" i="42" l="1"/>
  <c r="G367" i="42"/>
  <c r="B368" i="42"/>
  <c r="C367" i="42"/>
  <c r="E367" i="42"/>
  <c r="D367" i="42"/>
  <c r="A367" i="42"/>
  <c r="H368" i="42" l="1"/>
  <c r="A368" i="42"/>
  <c r="B369" i="42"/>
  <c r="D368" i="42"/>
  <c r="G368" i="42"/>
  <c r="E368" i="42"/>
  <c r="C368" i="42"/>
  <c r="H369" i="42" l="1"/>
  <c r="B370" i="42"/>
  <c r="G369" i="42"/>
  <c r="C369" i="42"/>
  <c r="E369" i="42"/>
  <c r="D369" i="42"/>
  <c r="A369" i="42"/>
  <c r="H370" i="42" l="1"/>
  <c r="E370" i="42"/>
  <c r="D370" i="42"/>
  <c r="C370" i="42"/>
  <c r="A370" i="42"/>
  <c r="B371" i="42"/>
  <c r="G370" i="42"/>
  <c r="H371" i="42" l="1"/>
  <c r="G371" i="42"/>
  <c r="C371" i="42"/>
  <c r="B372" i="42"/>
  <c r="E371" i="42"/>
  <c r="A371" i="42"/>
  <c r="D371" i="42"/>
  <c r="H372" i="42" l="1"/>
  <c r="A372" i="42"/>
  <c r="B373" i="42"/>
  <c r="E372" i="42"/>
  <c r="C372" i="42"/>
  <c r="G372" i="42"/>
  <c r="D372" i="42"/>
  <c r="H373" i="42" l="1"/>
  <c r="B374" i="42"/>
  <c r="C373" i="42"/>
  <c r="G373" i="42"/>
  <c r="A373" i="42"/>
  <c r="E373" i="42"/>
  <c r="D373" i="42"/>
  <c r="H374" i="42" l="1"/>
  <c r="E374" i="42"/>
  <c r="D374" i="42"/>
  <c r="C374" i="42"/>
  <c r="A374" i="42"/>
  <c r="G374" i="42"/>
  <c r="B375" i="42"/>
  <c r="H375" i="42" l="1"/>
  <c r="G375" i="42"/>
  <c r="E375" i="42"/>
  <c r="A375" i="42"/>
  <c r="D375" i="42"/>
  <c r="B376" i="42"/>
  <c r="C375" i="42"/>
  <c r="H376" i="42" l="1"/>
  <c r="A376" i="42"/>
  <c r="B377" i="42"/>
  <c r="E376" i="42"/>
  <c r="D376" i="42"/>
  <c r="G376" i="42"/>
  <c r="C376" i="42"/>
  <c r="H377" i="42" l="1"/>
  <c r="D377" i="42"/>
  <c r="B378" i="42"/>
  <c r="G377" i="42"/>
  <c r="E377" i="42"/>
  <c r="C377" i="42"/>
  <c r="A377" i="42"/>
  <c r="H378" i="42" l="1"/>
  <c r="E378" i="42"/>
  <c r="D378" i="42"/>
  <c r="C378" i="42"/>
  <c r="A378" i="42"/>
  <c r="G378" i="42"/>
  <c r="B379" i="42"/>
  <c r="H379" i="42" l="1"/>
  <c r="G379" i="42"/>
  <c r="D379" i="42"/>
  <c r="C379" i="42"/>
  <c r="E379" i="42"/>
  <c r="B380" i="42"/>
  <c r="A379" i="42"/>
  <c r="H380" i="42" l="1"/>
  <c r="A380" i="42"/>
  <c r="B381" i="42"/>
  <c r="G380" i="42"/>
  <c r="E380" i="42"/>
  <c r="D380" i="42"/>
  <c r="C380" i="42"/>
  <c r="H381" i="42" l="1"/>
  <c r="B382" i="42"/>
  <c r="A381" i="42"/>
  <c r="G381" i="42"/>
  <c r="E381" i="42"/>
  <c r="D381" i="42"/>
  <c r="C381" i="42"/>
  <c r="H382" i="42" l="1"/>
  <c r="E382" i="42"/>
  <c r="D382" i="42"/>
  <c r="C382" i="42"/>
  <c r="A382" i="42"/>
  <c r="B383" i="42"/>
  <c r="G382" i="42"/>
  <c r="H383" i="42" l="1"/>
  <c r="G383" i="42"/>
  <c r="D383" i="42"/>
  <c r="C383" i="42"/>
  <c r="A383" i="42"/>
  <c r="B384" i="42"/>
  <c r="E383" i="42"/>
  <c r="H384" i="42" l="1"/>
  <c r="A384" i="42"/>
  <c r="B385" i="42"/>
  <c r="G384" i="42"/>
  <c r="E384" i="42"/>
  <c r="C384" i="42"/>
  <c r="D384" i="42"/>
  <c r="H385" i="42" l="1"/>
  <c r="B386" i="42"/>
  <c r="C385" i="42"/>
  <c r="A385" i="42"/>
  <c r="G385" i="42"/>
  <c r="E385" i="42"/>
  <c r="D385" i="42"/>
  <c r="H386" i="42" l="1"/>
  <c r="E386" i="42"/>
  <c r="D386" i="42"/>
  <c r="C386" i="42"/>
  <c r="A386" i="42"/>
  <c r="B387" i="42"/>
  <c r="G386" i="42"/>
  <c r="H387" i="42" l="1"/>
  <c r="G387" i="42"/>
  <c r="D387" i="42"/>
  <c r="C387" i="42"/>
  <c r="E387" i="42"/>
  <c r="B388" i="42"/>
  <c r="A387" i="42"/>
  <c r="H388" i="42" l="1"/>
  <c r="A388" i="42"/>
  <c r="B389" i="42"/>
  <c r="G388" i="42"/>
  <c r="E388" i="42"/>
  <c r="D388" i="42"/>
  <c r="C388" i="42"/>
  <c r="H389" i="42" l="1"/>
  <c r="B390" i="42"/>
  <c r="A389" i="42"/>
  <c r="G389" i="42"/>
  <c r="E389" i="42"/>
  <c r="D389" i="42"/>
  <c r="C389" i="42"/>
  <c r="H390" i="42" l="1"/>
  <c r="E390" i="42"/>
  <c r="D390" i="42"/>
  <c r="C390" i="42"/>
  <c r="A390" i="42"/>
  <c r="B391" i="42"/>
  <c r="G390" i="42"/>
  <c r="H391" i="42" l="1"/>
  <c r="G391" i="42"/>
  <c r="D391" i="42"/>
  <c r="C391" i="42"/>
  <c r="A391" i="42"/>
  <c r="B392" i="42"/>
  <c r="E391" i="42"/>
  <c r="H392" i="42" l="1"/>
  <c r="A392" i="42"/>
  <c r="B393" i="42"/>
  <c r="G392" i="42"/>
  <c r="E392" i="42"/>
  <c r="C392" i="42"/>
  <c r="D392" i="42"/>
  <c r="H393" i="42" l="1"/>
  <c r="B394" i="42"/>
  <c r="C393" i="42"/>
  <c r="A393" i="42"/>
  <c r="G393" i="42"/>
  <c r="E393" i="42"/>
  <c r="D393" i="42"/>
  <c r="H394" i="42" l="1"/>
  <c r="E394" i="42"/>
  <c r="D394" i="42"/>
  <c r="C394" i="42"/>
  <c r="A394" i="42"/>
  <c r="B395" i="42"/>
  <c r="G394" i="42"/>
  <c r="H395" i="42" l="1"/>
  <c r="G395" i="42"/>
  <c r="D395" i="42"/>
  <c r="C395" i="42"/>
  <c r="E395" i="42"/>
  <c r="B396" i="42"/>
  <c r="A395" i="42"/>
  <c r="H396" i="42" l="1"/>
  <c r="A396" i="42"/>
  <c r="B397" i="42"/>
  <c r="G396" i="42"/>
  <c r="E396" i="42"/>
  <c r="D396" i="42"/>
  <c r="C396" i="42"/>
  <c r="H397" i="42" l="1"/>
  <c r="A397" i="42"/>
  <c r="B398" i="42"/>
  <c r="C397" i="42"/>
  <c r="G397" i="42"/>
  <c r="E397" i="42"/>
  <c r="D397" i="42"/>
  <c r="H398" i="42" l="1"/>
  <c r="E398" i="42"/>
  <c r="D398" i="42"/>
  <c r="C398" i="42"/>
  <c r="A398" i="42"/>
  <c r="G398" i="42"/>
  <c r="B399" i="42"/>
  <c r="H399" i="42" l="1"/>
  <c r="G399" i="42"/>
  <c r="E399" i="42"/>
  <c r="D399" i="42"/>
  <c r="C399" i="42"/>
  <c r="B400" i="42"/>
  <c r="A399" i="42"/>
  <c r="H400" i="42" l="1"/>
  <c r="A400" i="42"/>
  <c r="B401" i="42"/>
  <c r="G400" i="42"/>
  <c r="E400" i="42"/>
  <c r="C400" i="42"/>
  <c r="D400" i="42"/>
  <c r="H401" i="42" l="1"/>
  <c r="A401" i="42"/>
  <c r="B402" i="42"/>
  <c r="E401" i="42"/>
  <c r="D401" i="42"/>
  <c r="C401" i="42"/>
  <c r="G401" i="42"/>
  <c r="H402" i="42" l="1"/>
  <c r="E402" i="42"/>
  <c r="D402" i="42"/>
  <c r="C402" i="42"/>
  <c r="A402" i="42"/>
  <c r="B403" i="42"/>
  <c r="G402" i="42"/>
  <c r="H403" i="42" l="1"/>
  <c r="G403" i="42"/>
  <c r="E403" i="42"/>
  <c r="D403" i="42"/>
  <c r="C403" i="42"/>
  <c r="A403" i="42"/>
  <c r="B404" i="42"/>
  <c r="H404" i="42" l="1"/>
  <c r="A404" i="42"/>
  <c r="B405" i="42"/>
  <c r="G404" i="42"/>
  <c r="E404" i="42"/>
  <c r="D404" i="42"/>
  <c r="C404" i="42"/>
  <c r="H405" i="42" l="1"/>
  <c r="A405" i="42"/>
  <c r="B406" i="42"/>
  <c r="G405" i="42"/>
  <c r="E405" i="42"/>
  <c r="D405" i="42"/>
  <c r="C405" i="42"/>
  <c r="H406" i="42" l="1"/>
  <c r="E406" i="42"/>
  <c r="D406" i="42"/>
  <c r="C406" i="42"/>
  <c r="A406" i="42"/>
  <c r="B407" i="42"/>
  <c r="G406" i="42"/>
  <c r="H407" i="42" l="1"/>
  <c r="G407" i="42"/>
  <c r="E407" i="42"/>
  <c r="D407" i="42"/>
  <c r="C407" i="42"/>
  <c r="B408" i="42"/>
  <c r="A407" i="42"/>
  <c r="H408" i="42" l="1"/>
  <c r="A408" i="42"/>
  <c r="B409" i="42"/>
  <c r="G408" i="42"/>
  <c r="E408" i="42"/>
  <c r="D408" i="42"/>
  <c r="C408" i="42"/>
  <c r="H409" i="42" l="1"/>
  <c r="A409" i="42"/>
  <c r="B410" i="42"/>
  <c r="C409" i="42"/>
  <c r="G409" i="42"/>
  <c r="E409" i="42"/>
  <c r="D409" i="42"/>
  <c r="H410" i="42" l="1"/>
  <c r="E410" i="42"/>
  <c r="D410" i="42"/>
  <c r="C410" i="42"/>
  <c r="A410" i="42"/>
  <c r="G410" i="42"/>
  <c r="B411" i="42"/>
  <c r="H411" i="42" l="1"/>
  <c r="G411" i="42"/>
  <c r="B412" i="42"/>
  <c r="E411" i="42"/>
  <c r="D411" i="42"/>
  <c r="C411" i="42"/>
  <c r="A411" i="42"/>
  <c r="G412" i="42" l="1"/>
  <c r="B413" i="42"/>
  <c r="D412" i="42"/>
  <c r="A412" i="42"/>
  <c r="E412" i="42"/>
  <c r="C412" i="42"/>
  <c r="H412" i="42"/>
  <c r="G413" i="42" l="1"/>
  <c r="A413" i="42"/>
  <c r="B414" i="42"/>
  <c r="H413" i="42"/>
  <c r="C413" i="42"/>
  <c r="E413" i="42"/>
  <c r="D413" i="42"/>
  <c r="G414" i="42" l="1"/>
  <c r="D414" i="42"/>
  <c r="C414" i="42"/>
  <c r="B415" i="42"/>
  <c r="H414" i="42"/>
  <c r="E414" i="42"/>
  <c r="A414" i="42"/>
  <c r="G415" i="42" l="1"/>
  <c r="H415" i="42"/>
  <c r="E415" i="42"/>
  <c r="D415" i="42"/>
  <c r="A415" i="42"/>
  <c r="B416" i="42"/>
  <c r="C415" i="42"/>
  <c r="G416" i="42" l="1"/>
  <c r="B417" i="42"/>
  <c r="H416" i="42"/>
  <c r="C416" i="42"/>
  <c r="D416" i="42"/>
  <c r="A416" i="42"/>
  <c r="E416" i="42"/>
  <c r="G417" i="42" l="1"/>
  <c r="A417" i="42"/>
  <c r="B418" i="42"/>
  <c r="H417" i="42"/>
  <c r="C417" i="42"/>
  <c r="E417" i="42"/>
  <c r="D417" i="42"/>
  <c r="G418" i="42" l="1"/>
  <c r="D418" i="42"/>
  <c r="C418" i="42"/>
  <c r="H418" i="42"/>
  <c r="E418" i="42"/>
  <c r="A418" i="42"/>
  <c r="B419" i="42"/>
  <c r="G419" i="42" l="1"/>
  <c r="H419" i="42"/>
  <c r="E419" i="42"/>
  <c r="B420" i="42"/>
  <c r="C419" i="42"/>
  <c r="A419" i="42"/>
  <c r="D419" i="42"/>
  <c r="G420" i="42" l="1"/>
  <c r="B421" i="42"/>
  <c r="H420" i="42"/>
  <c r="C420" i="42"/>
  <c r="E420" i="42"/>
  <c r="D420" i="42"/>
  <c r="A420" i="42"/>
  <c r="G421" i="42" l="1"/>
  <c r="A421" i="42"/>
  <c r="H421" i="42"/>
  <c r="C421" i="42"/>
  <c r="E421" i="42"/>
  <c r="D421" i="42"/>
  <c r="B422" i="42"/>
  <c r="G422" i="42" l="1"/>
  <c r="D422" i="42"/>
  <c r="C422" i="42"/>
  <c r="B423" i="42"/>
  <c r="H422" i="42"/>
  <c r="E422" i="42"/>
  <c r="A422" i="42"/>
  <c r="G423" i="42" l="1"/>
  <c r="H423" i="42"/>
  <c r="E423" i="42"/>
  <c r="B424" i="42"/>
  <c r="C423" i="42"/>
  <c r="D423" i="42"/>
  <c r="A423" i="42"/>
  <c r="G424" i="42" l="1"/>
  <c r="B425" i="42"/>
  <c r="H424" i="42"/>
  <c r="C424" i="42"/>
  <c r="E424" i="42"/>
  <c r="D424" i="42"/>
  <c r="A424" i="42"/>
  <c r="G425" i="42" l="1"/>
  <c r="A425" i="42"/>
  <c r="B426" i="42"/>
  <c r="D425" i="42"/>
  <c r="H425" i="42"/>
  <c r="E425" i="42"/>
  <c r="C425" i="42"/>
  <c r="G426" i="42" l="1"/>
  <c r="D426" i="42"/>
  <c r="C426" i="42"/>
  <c r="B427" i="42"/>
  <c r="H426" i="42"/>
  <c r="E426" i="42"/>
  <c r="A426" i="42"/>
  <c r="G427" i="42" l="1"/>
  <c r="H427" i="42"/>
  <c r="E427" i="42"/>
  <c r="D427" i="42"/>
  <c r="C427" i="42"/>
  <c r="B428" i="42"/>
  <c r="A427" i="42"/>
  <c r="G428" i="42" l="1"/>
  <c r="B429" i="42"/>
  <c r="H428" i="42"/>
  <c r="C428" i="42"/>
  <c r="E428" i="42"/>
  <c r="D428" i="42"/>
  <c r="A428" i="42"/>
  <c r="G429" i="42" l="1"/>
  <c r="A429" i="42"/>
  <c r="B430" i="42"/>
  <c r="C429" i="42"/>
  <c r="H429" i="42"/>
  <c r="E429" i="42"/>
  <c r="D429" i="42"/>
  <c r="G430" i="42" l="1"/>
  <c r="D430" i="42"/>
  <c r="C430" i="42"/>
  <c r="B431" i="42"/>
  <c r="A430" i="42"/>
  <c r="H430" i="42"/>
  <c r="E430" i="42"/>
  <c r="G431" i="42" l="1"/>
  <c r="H431" i="42"/>
  <c r="E431" i="42"/>
  <c r="D431" i="42"/>
  <c r="C431" i="42"/>
  <c r="B432" i="42"/>
  <c r="A431" i="42"/>
  <c r="G432" i="42" l="1"/>
  <c r="B433" i="42"/>
  <c r="H432" i="42"/>
  <c r="E432" i="42"/>
  <c r="D432" i="42"/>
  <c r="A432" i="42"/>
  <c r="C432" i="42"/>
  <c r="G433" i="42" l="1"/>
  <c r="A433" i="42"/>
  <c r="B434" i="42"/>
  <c r="H433" i="42"/>
  <c r="E433" i="42"/>
  <c r="D433" i="42"/>
  <c r="C433" i="42"/>
  <c r="G434" i="42" l="1"/>
  <c r="D434" i="42"/>
  <c r="C434" i="42"/>
  <c r="H434" i="42"/>
  <c r="E434" i="42"/>
  <c r="A434" i="42"/>
  <c r="B435" i="42"/>
  <c r="G435" i="42" l="1"/>
  <c r="H435" i="42"/>
  <c r="E435" i="42"/>
  <c r="D435" i="42"/>
  <c r="C435" i="42"/>
  <c r="B436" i="42"/>
  <c r="A435" i="42"/>
  <c r="G436" i="42" l="1"/>
  <c r="B437" i="42"/>
  <c r="H436" i="42"/>
  <c r="C436" i="42"/>
  <c r="E436" i="42"/>
  <c r="D436" i="42"/>
  <c r="A436" i="42"/>
  <c r="G437" i="42" l="1"/>
  <c r="A437" i="42"/>
  <c r="B438" i="42"/>
  <c r="C437" i="42"/>
  <c r="H437" i="42"/>
  <c r="E437" i="42"/>
  <c r="D437" i="42"/>
  <c r="G438" i="42" l="1"/>
  <c r="D438" i="42"/>
  <c r="C438" i="42"/>
  <c r="B439" i="42"/>
  <c r="A438" i="42"/>
  <c r="H438" i="42"/>
  <c r="E438" i="42"/>
  <c r="C439" i="42" l="1"/>
  <c r="B440" i="42"/>
  <c r="H439" i="42"/>
  <c r="G439" i="42"/>
  <c r="A439" i="42"/>
  <c r="E439" i="42"/>
  <c r="D439" i="42"/>
  <c r="C440" i="42" l="1"/>
  <c r="A440" i="42"/>
  <c r="D440" i="42"/>
  <c r="B441" i="42"/>
  <c r="H440" i="42"/>
  <c r="G440" i="42"/>
  <c r="E440" i="42"/>
  <c r="C441" i="42" l="1"/>
  <c r="D441" i="42"/>
  <c r="H441" i="42"/>
  <c r="G441" i="42"/>
  <c r="A441" i="42"/>
  <c r="B442" i="42"/>
  <c r="E441" i="42"/>
  <c r="H442" i="42" l="1"/>
  <c r="C442" i="42"/>
  <c r="G442" i="42"/>
  <c r="A442" i="42"/>
  <c r="D442" i="42"/>
  <c r="B443" i="42"/>
  <c r="E442" i="42"/>
  <c r="H443" i="42" l="1"/>
  <c r="E443" i="42"/>
  <c r="B444" i="42"/>
  <c r="C443" i="42"/>
  <c r="D443" i="42"/>
  <c r="G443" i="42"/>
  <c r="A443" i="42"/>
  <c r="H444" i="42" l="1"/>
  <c r="E444" i="42"/>
  <c r="C444" i="42"/>
  <c r="G444" i="42"/>
  <c r="D444" i="42"/>
  <c r="A444" i="42"/>
  <c r="B445" i="42"/>
  <c r="H445" i="42" l="1"/>
  <c r="A445" i="42"/>
  <c r="B446" i="42"/>
  <c r="G445" i="42"/>
  <c r="E445" i="42"/>
  <c r="D445" i="42"/>
  <c r="C445" i="42"/>
  <c r="H446" i="42" l="1"/>
  <c r="E446" i="42"/>
  <c r="C446" i="42"/>
  <c r="B447" i="42"/>
  <c r="A446" i="42"/>
  <c r="G446" i="42"/>
  <c r="D446" i="42"/>
  <c r="H447" i="42" l="1"/>
  <c r="E447" i="42"/>
  <c r="G447" i="42"/>
  <c r="D447" i="42"/>
  <c r="A447" i="42"/>
  <c r="C447" i="42"/>
  <c r="B448" i="42"/>
  <c r="H448" i="42" l="1"/>
  <c r="D448" i="42"/>
  <c r="C448" i="42"/>
  <c r="E448" i="42"/>
  <c r="A448" i="42"/>
  <c r="B449" i="42"/>
  <c r="G448" i="42"/>
  <c r="H449" i="42" l="1"/>
  <c r="A449" i="42"/>
  <c r="B450" i="42"/>
  <c r="G449" i="42"/>
  <c r="C449" i="42"/>
  <c r="D449" i="42"/>
  <c r="E449" i="42"/>
  <c r="H450" i="42" l="1"/>
  <c r="D450" i="42"/>
  <c r="G450" i="42"/>
  <c r="C450" i="42"/>
  <c r="E450" i="42"/>
  <c r="A450" i="42"/>
  <c r="B451" i="42"/>
  <c r="H451" i="42" l="1"/>
  <c r="E451" i="42"/>
  <c r="B452" i="42"/>
  <c r="A451" i="42"/>
  <c r="G451" i="42"/>
  <c r="D451" i="42"/>
  <c r="C451" i="42"/>
  <c r="H452" i="42" l="1"/>
  <c r="B453" i="42"/>
  <c r="G452" i="42"/>
  <c r="C452" i="42"/>
  <c r="A452" i="42"/>
  <c r="E452" i="42"/>
  <c r="D452" i="42"/>
  <c r="H453" i="42" l="1"/>
  <c r="A453" i="42"/>
  <c r="E453" i="42"/>
  <c r="D453" i="42"/>
  <c r="C453" i="42"/>
  <c r="B454" i="42"/>
  <c r="G453" i="42"/>
  <c r="H454" i="42" l="1"/>
  <c r="A454" i="42"/>
  <c r="D454" i="42"/>
  <c r="C454" i="42"/>
  <c r="B455" i="42"/>
  <c r="G454" i="42"/>
  <c r="E454" i="42"/>
  <c r="H455" i="42" l="1"/>
  <c r="E455" i="42"/>
  <c r="B456" i="42"/>
  <c r="C455" i="42"/>
  <c r="G455" i="42"/>
  <c r="D455" i="42"/>
  <c r="A455" i="42"/>
  <c r="H456" i="42" l="1"/>
  <c r="A456" i="42"/>
  <c r="E456" i="42"/>
  <c r="D456" i="42"/>
  <c r="B457" i="42"/>
  <c r="G456" i="42"/>
  <c r="C456" i="42"/>
  <c r="H457" i="42" l="1"/>
  <c r="A457" i="42"/>
  <c r="G457" i="42"/>
  <c r="B458" i="42"/>
  <c r="C457" i="42"/>
  <c r="E457" i="42"/>
  <c r="D457" i="42"/>
  <c r="H458" i="42" l="1"/>
  <c r="B459" i="42"/>
  <c r="G458" i="42"/>
  <c r="C458" i="42"/>
  <c r="E458" i="42"/>
  <c r="D458" i="42"/>
  <c r="A458" i="42"/>
  <c r="H459" i="42" l="1"/>
  <c r="E459" i="42"/>
  <c r="G459" i="42"/>
  <c r="C459" i="42"/>
  <c r="D459" i="42"/>
  <c r="A459" i="42"/>
  <c r="B460" i="42"/>
  <c r="H460" i="42" l="1"/>
  <c r="G460" i="42"/>
  <c r="C460" i="42"/>
  <c r="A460" i="42"/>
  <c r="B461" i="42"/>
  <c r="E460" i="42"/>
  <c r="D460" i="42"/>
  <c r="H461" i="42" l="1"/>
  <c r="A461" i="42"/>
  <c r="E461" i="42"/>
  <c r="C461" i="42"/>
  <c r="B462" i="42"/>
  <c r="G461" i="42"/>
  <c r="D461" i="42"/>
  <c r="H462" i="42" l="1"/>
  <c r="G462" i="42"/>
  <c r="B463" i="42"/>
  <c r="C462" i="42"/>
  <c r="A462" i="42"/>
  <c r="E462" i="42"/>
  <c r="D462" i="42"/>
  <c r="H463" i="42" l="1"/>
  <c r="E463" i="42"/>
  <c r="D463" i="42"/>
  <c r="B464" i="42"/>
  <c r="C463" i="42"/>
  <c r="G463" i="42"/>
  <c r="A463" i="42"/>
  <c r="H464" i="42" l="1"/>
  <c r="E464" i="42"/>
  <c r="C464" i="42"/>
  <c r="B465" i="42"/>
  <c r="G464" i="42"/>
  <c r="D464" i="42"/>
  <c r="A464" i="42"/>
  <c r="H465" i="42" l="1"/>
  <c r="A465" i="42"/>
  <c r="D465" i="42"/>
  <c r="G465" i="42"/>
  <c r="E465" i="42"/>
  <c r="C465" i="42"/>
  <c r="B466" i="42"/>
  <c r="H466" i="42" l="1"/>
  <c r="B467" i="42"/>
  <c r="E466" i="42"/>
  <c r="C466" i="42"/>
  <c r="D466" i="42"/>
  <c r="G466" i="42"/>
  <c r="A466" i="42"/>
  <c r="H467" i="42" l="1"/>
  <c r="E467" i="42"/>
  <c r="C467" i="42"/>
  <c r="A467" i="42"/>
  <c r="B468" i="42"/>
  <c r="G467" i="42"/>
  <c r="D467" i="42"/>
  <c r="H468" i="42" l="1"/>
  <c r="B469" i="42"/>
  <c r="D468" i="42"/>
  <c r="C468" i="42"/>
  <c r="G468" i="42"/>
  <c r="E468" i="42"/>
  <c r="A468" i="42"/>
  <c r="H469" i="42" l="1"/>
  <c r="A469" i="42"/>
  <c r="B470" i="42"/>
  <c r="C469" i="42"/>
  <c r="G469" i="42"/>
  <c r="E469" i="42"/>
  <c r="D469" i="42"/>
  <c r="H470" i="42" l="1"/>
  <c r="D470" i="42"/>
  <c r="B471" i="42"/>
  <c r="C470" i="42"/>
  <c r="G470" i="42"/>
  <c r="A470" i="42"/>
  <c r="E470" i="42"/>
  <c r="H471" i="42" l="1"/>
  <c r="E471" i="42"/>
  <c r="A471" i="42"/>
  <c r="B472" i="42"/>
  <c r="G471" i="42"/>
  <c r="D471" i="42"/>
  <c r="C471" i="42"/>
  <c r="H472" i="42" l="1"/>
  <c r="G472" i="42"/>
  <c r="E472" i="42"/>
  <c r="A472" i="42"/>
  <c r="D472" i="42"/>
  <c r="C472" i="42"/>
  <c r="B473" i="42"/>
  <c r="H473" i="42" l="1"/>
  <c r="A473" i="42"/>
  <c r="D473" i="42"/>
  <c r="B474" i="42"/>
  <c r="G473" i="42"/>
  <c r="E473" i="42"/>
  <c r="C473" i="42"/>
  <c r="H474" i="42" l="1"/>
  <c r="G474" i="42"/>
  <c r="A474" i="42"/>
  <c r="C474" i="42"/>
  <c r="B475" i="42"/>
  <c r="E474" i="42"/>
  <c r="D474" i="42"/>
  <c r="H475" i="42" l="1"/>
  <c r="E475" i="42"/>
  <c r="C475" i="42"/>
  <c r="B476" i="42"/>
  <c r="G475" i="42"/>
  <c r="D475" i="42"/>
  <c r="A475" i="42"/>
  <c r="H476" i="42" l="1"/>
  <c r="E476" i="42"/>
  <c r="C476" i="42"/>
  <c r="A476" i="42"/>
  <c r="B477" i="42"/>
  <c r="G476" i="42"/>
  <c r="D476" i="42"/>
  <c r="H477" i="42" l="1"/>
  <c r="A477" i="42"/>
  <c r="G477" i="42"/>
  <c r="B478" i="42"/>
  <c r="C477" i="42"/>
  <c r="E477" i="42"/>
  <c r="D477" i="42"/>
  <c r="H478" i="42" l="1"/>
  <c r="E478" i="42"/>
  <c r="C478" i="42"/>
  <c r="G478" i="42"/>
  <c r="A478" i="42"/>
  <c r="D478" i="42"/>
  <c r="B479" i="42"/>
  <c r="H479" i="42" l="1"/>
  <c r="E479" i="42"/>
  <c r="G479" i="42"/>
  <c r="C479" i="42"/>
  <c r="D479" i="42"/>
  <c r="A479" i="42"/>
  <c r="B480" i="42"/>
  <c r="H480" i="42" l="1"/>
  <c r="D480" i="42"/>
  <c r="G480" i="42"/>
  <c r="A480" i="42"/>
  <c r="E480" i="42"/>
  <c r="B481" i="42"/>
  <c r="C480" i="42"/>
  <c r="H481" i="42" l="1"/>
  <c r="A481" i="42"/>
  <c r="B482" i="42"/>
  <c r="E481" i="42"/>
  <c r="C481" i="42"/>
  <c r="D481" i="42"/>
  <c r="G481" i="42"/>
  <c r="H482" i="42" l="1"/>
  <c r="D482" i="42"/>
  <c r="B483" i="42"/>
  <c r="A482" i="42"/>
  <c r="G482" i="42"/>
  <c r="E482" i="42"/>
  <c r="C482" i="42"/>
  <c r="H483" i="42" l="1"/>
  <c r="E483" i="42"/>
  <c r="B484" i="42"/>
  <c r="D483" i="42"/>
  <c r="A483" i="42"/>
  <c r="G483" i="42"/>
  <c r="C483" i="42"/>
  <c r="H484" i="42" l="1"/>
  <c r="B485" i="42"/>
  <c r="G484" i="42"/>
  <c r="A484" i="42"/>
  <c r="E484" i="42"/>
  <c r="D484" i="42"/>
  <c r="C484" i="42"/>
  <c r="H485" i="42" l="1"/>
  <c r="A485" i="42"/>
  <c r="D485" i="42"/>
  <c r="C485" i="42"/>
  <c r="B486" i="42"/>
  <c r="G485" i="42"/>
  <c r="E485" i="42"/>
  <c r="H486" i="42" l="1"/>
  <c r="A486" i="42"/>
  <c r="B487" i="42"/>
  <c r="C486" i="42"/>
  <c r="G486" i="42"/>
  <c r="E486" i="42"/>
  <c r="D486" i="42"/>
  <c r="H487" i="42" l="1"/>
  <c r="E487" i="42"/>
  <c r="A487" i="42"/>
  <c r="C487" i="42"/>
  <c r="B488" i="42"/>
  <c r="G487" i="42"/>
  <c r="D487" i="42"/>
  <c r="H488" i="42" l="1"/>
  <c r="A488" i="42"/>
  <c r="B489" i="42"/>
  <c r="G488" i="42"/>
  <c r="C488" i="42"/>
  <c r="E488" i="42"/>
  <c r="D488" i="42"/>
  <c r="H489" i="42" l="1"/>
  <c r="A489" i="42"/>
  <c r="G489" i="42"/>
  <c r="C489" i="42"/>
  <c r="B490" i="42"/>
  <c r="E489" i="42"/>
  <c r="D489" i="42"/>
  <c r="H490" i="42" l="1"/>
  <c r="G490" i="42"/>
  <c r="C490" i="42"/>
  <c r="B491" i="42"/>
  <c r="A490" i="42"/>
  <c r="E490" i="42"/>
  <c r="D490" i="42"/>
  <c r="H491" i="42" l="1"/>
  <c r="E491" i="42"/>
  <c r="G491" i="42"/>
  <c r="C491" i="42"/>
  <c r="A491" i="42"/>
  <c r="B492" i="42"/>
  <c r="D491" i="42"/>
  <c r="H492" i="42" l="1"/>
  <c r="G492" i="42"/>
  <c r="E492" i="42"/>
  <c r="C492" i="42"/>
  <c r="A492" i="42"/>
  <c r="B493" i="42"/>
  <c r="D492" i="42"/>
  <c r="H493" i="42" l="1"/>
  <c r="A493" i="42"/>
  <c r="E493" i="42"/>
  <c r="C493" i="42"/>
  <c r="B494" i="42"/>
  <c r="G493" i="42"/>
  <c r="D493" i="42"/>
  <c r="H494" i="42" l="1"/>
  <c r="G494" i="42"/>
  <c r="E494" i="42"/>
  <c r="C494" i="42"/>
  <c r="A494" i="42"/>
  <c r="B495" i="42"/>
  <c r="D494" i="42"/>
  <c r="H495" i="42" l="1"/>
  <c r="E495" i="42"/>
  <c r="D495" i="42"/>
  <c r="C495" i="42"/>
  <c r="B496" i="42"/>
  <c r="G495" i="42"/>
  <c r="A495" i="42"/>
  <c r="H496" i="42" l="1"/>
  <c r="E496" i="42"/>
  <c r="C496" i="42"/>
  <c r="D496" i="42"/>
  <c r="A496" i="42"/>
  <c r="B497" i="42"/>
  <c r="G496" i="42"/>
  <c r="H497" i="42" l="1"/>
  <c r="A497" i="42"/>
  <c r="D497" i="42"/>
  <c r="B498" i="42"/>
  <c r="G497" i="42"/>
  <c r="E497" i="42"/>
  <c r="C497" i="42"/>
  <c r="H498" i="42" l="1"/>
  <c r="B499" i="42"/>
  <c r="E498" i="42"/>
  <c r="C498" i="42"/>
  <c r="D498" i="42"/>
  <c r="A498" i="42"/>
  <c r="G498" i="42"/>
  <c r="H499" i="42" l="1"/>
  <c r="E499" i="42"/>
  <c r="B500" i="42"/>
  <c r="D499" i="42"/>
  <c r="G499" i="42"/>
  <c r="C499" i="42"/>
  <c r="A499" i="42"/>
  <c r="H500" i="42" l="1"/>
  <c r="B501" i="42"/>
  <c r="E500" i="42"/>
  <c r="C500" i="42"/>
  <c r="D500" i="42"/>
  <c r="G500" i="42"/>
  <c r="A500" i="42"/>
  <c r="H501" i="42" l="1"/>
  <c r="A501" i="42"/>
  <c r="B502" i="42"/>
  <c r="G501" i="42"/>
  <c r="E501" i="42"/>
  <c r="D501" i="42"/>
  <c r="C501" i="42"/>
  <c r="H502" i="42" l="1"/>
  <c r="E502" i="42"/>
  <c r="C502" i="42"/>
  <c r="D502" i="42"/>
  <c r="A502" i="42"/>
  <c r="B503" i="42"/>
  <c r="G502" i="42"/>
  <c r="H503" i="42" l="1"/>
  <c r="E503" i="42"/>
  <c r="A503" i="42"/>
  <c r="B504" i="42"/>
  <c r="C503" i="42"/>
  <c r="G503" i="42"/>
  <c r="D503" i="42"/>
  <c r="H504" i="42" l="1"/>
  <c r="G504" i="42"/>
  <c r="D504" i="42"/>
  <c r="A504" i="42"/>
  <c r="B505" i="42"/>
  <c r="E504" i="42"/>
  <c r="C504" i="42"/>
  <c r="H505" i="42" l="1"/>
  <c r="A505" i="42"/>
  <c r="B506" i="42"/>
  <c r="G505" i="42"/>
  <c r="E505" i="42"/>
  <c r="D505" i="42"/>
  <c r="C505" i="42"/>
  <c r="H506" i="42" l="1"/>
  <c r="G506" i="42"/>
  <c r="D506" i="42"/>
  <c r="A506" i="42"/>
  <c r="C506" i="42"/>
  <c r="B507" i="42"/>
  <c r="E506" i="42"/>
  <c r="H507" i="42" l="1"/>
  <c r="E507" i="42"/>
  <c r="B508" i="42"/>
  <c r="G507" i="42"/>
  <c r="C507" i="42"/>
  <c r="D507" i="42"/>
  <c r="A507" i="42"/>
  <c r="H508" i="42" l="1"/>
  <c r="E508" i="42"/>
  <c r="C508" i="42"/>
  <c r="A508" i="42"/>
  <c r="G508" i="42"/>
  <c r="D508" i="42"/>
  <c r="B509" i="42"/>
  <c r="H509" i="42" l="1"/>
  <c r="A509" i="42"/>
  <c r="G509" i="42"/>
  <c r="E509" i="42"/>
  <c r="C509" i="42"/>
  <c r="B510" i="42"/>
  <c r="D509" i="42"/>
  <c r="H510" i="42" l="1"/>
  <c r="E510" i="42"/>
  <c r="C510" i="42"/>
  <c r="A510" i="42"/>
  <c r="B511" i="42"/>
  <c r="G510" i="42"/>
  <c r="D510" i="42"/>
  <c r="H511" i="42" l="1"/>
  <c r="E511" i="42"/>
  <c r="G511" i="42"/>
  <c r="C511" i="42"/>
  <c r="D511" i="42"/>
  <c r="A511" i="42"/>
  <c r="B512" i="42"/>
  <c r="H512" i="42" l="1"/>
  <c r="D512" i="42"/>
  <c r="A512" i="42"/>
  <c r="E512" i="42"/>
  <c r="B513" i="42"/>
  <c r="G512" i="42"/>
  <c r="C512" i="42"/>
  <c r="P9" i="14"/>
  <c r="O6" i="14"/>
  <c r="N7" i="14"/>
  <c r="N10" i="14"/>
  <c r="N12" i="14"/>
  <c r="O13" i="14"/>
  <c r="O15" i="14"/>
  <c r="P16" i="14"/>
  <c r="P18" i="14"/>
  <c r="Q20" i="14"/>
  <c r="Q21" i="14"/>
  <c r="R23" i="14"/>
  <c r="N24" i="14"/>
  <c r="P26" i="14"/>
  <c r="R28" i="14"/>
  <c r="R29" i="14"/>
  <c r="P31" i="14"/>
  <c r="R32" i="14"/>
  <c r="O34" i="14"/>
  <c r="N33" i="14"/>
  <c r="R15" i="14"/>
  <c r="R20" i="14"/>
  <c r="Q25" i="14"/>
  <c r="P30" i="14"/>
  <c r="N9" i="14"/>
  <c r="Q9" i="14"/>
  <c r="N14" i="14"/>
  <c r="P19" i="14"/>
  <c r="Q24" i="14"/>
  <c r="P27" i="14"/>
  <c r="N30" i="14"/>
  <c r="Q6" i="14"/>
  <c r="P8" i="14"/>
  <c r="R5" i="14"/>
  <c r="Q10" i="14"/>
  <c r="P12" i="14"/>
  <c r="N13" i="14"/>
  <c r="P15" i="14"/>
  <c r="P17" i="14"/>
  <c r="O18" i="14"/>
  <c r="N20" i="14"/>
  <c r="P21" i="14"/>
  <c r="P23" i="14"/>
  <c r="R25" i="14"/>
  <c r="N26" i="14"/>
  <c r="P28" i="14"/>
  <c r="Q29" i="14"/>
  <c r="Q31" i="14"/>
  <c r="N34" i="14"/>
  <c r="N5" i="14"/>
  <c r="R7" i="14"/>
  <c r="O7" i="14"/>
  <c r="O10" i="14"/>
  <c r="R12" i="14"/>
  <c r="P14" i="14"/>
  <c r="N15" i="14"/>
  <c r="R18" i="14"/>
  <c r="O20" i="14"/>
  <c r="R22" i="14"/>
  <c r="Q23" i="14"/>
  <c r="P25" i="14"/>
  <c r="N28" i="14"/>
  <c r="O31" i="14"/>
  <c r="P34" i="14"/>
  <c r="R8" i="14"/>
  <c r="O8" i="14"/>
  <c r="P5" i="14"/>
  <c r="P11" i="14"/>
  <c r="O14" i="14"/>
  <c r="Q19" i="14"/>
  <c r="P22" i="14"/>
  <c r="N27" i="14"/>
  <c r="R33" i="14"/>
  <c r="O9" i="14"/>
  <c r="O12" i="14"/>
  <c r="R17" i="14"/>
  <c r="N22" i="14"/>
  <c r="Q28" i="14"/>
  <c r="P33" i="14"/>
  <c r="R6" i="14"/>
  <c r="Q7" i="14"/>
  <c r="O11" i="14"/>
  <c r="R14" i="14"/>
  <c r="Q17" i="14"/>
  <c r="O21" i="14"/>
  <c r="R27" i="14"/>
  <c r="O30" i="14"/>
  <c r="Q32" i="14"/>
  <c r="O5" i="14"/>
  <c r="P10" i="14"/>
  <c r="N16" i="14"/>
  <c r="O22" i="14"/>
  <c r="N29" i="14"/>
  <c r="Q13" i="14"/>
  <c r="R21" i="14"/>
  <c r="O27" i="14"/>
  <c r="Q34" i="14"/>
  <c r="O17" i="14"/>
  <c r="R26" i="14"/>
  <c r="Q30" i="14"/>
  <c r="O33" i="14"/>
  <c r="Q12" i="14"/>
  <c r="N17" i="14"/>
  <c r="O23" i="14"/>
  <c r="O28" i="14"/>
  <c r="N31" i="14"/>
  <c r="R9" i="14"/>
  <c r="R11" i="14"/>
  <c r="Q16" i="14"/>
  <c r="P20" i="14"/>
  <c r="O25" i="14"/>
  <c r="P32" i="14"/>
  <c r="Q8" i="14"/>
  <c r="N6" i="14"/>
  <c r="P13" i="14"/>
  <c r="O16" i="14"/>
  <c r="O19" i="14"/>
  <c r="O24" i="14"/>
  <c r="N25" i="14"/>
  <c r="O29" i="14"/>
  <c r="R13" i="14"/>
  <c r="N21" i="14"/>
  <c r="Q27" i="14"/>
  <c r="P6" i="14"/>
  <c r="R10" i="14"/>
  <c r="R16" i="14"/>
  <c r="N23" i="14"/>
  <c r="R31" i="14"/>
  <c r="Q33" i="14"/>
  <c r="P7" i="14"/>
  <c r="Q18" i="14"/>
  <c r="O26" i="14"/>
  <c r="R34" i="14"/>
  <c r="Q11" i="14"/>
  <c r="N18" i="14"/>
  <c r="Q26" i="14"/>
  <c r="N32" i="14"/>
  <c r="R19" i="14"/>
  <c r="R30" i="14"/>
  <c r="Q5" i="14"/>
  <c r="Q15" i="14"/>
  <c r="N19" i="14"/>
  <c r="P24" i="14"/>
  <c r="P29" i="14"/>
  <c r="Q22" i="14"/>
  <c r="N8" i="14"/>
  <c r="N11" i="14"/>
  <c r="Q14" i="14"/>
  <c r="R24" i="14"/>
  <c r="O32" i="14"/>
  <c r="H513" i="42" l="1"/>
  <c r="A513" i="42"/>
  <c r="B514" i="42"/>
  <c r="G513" i="42"/>
  <c r="E513" i="42"/>
  <c r="C513" i="42"/>
  <c r="D513" i="42"/>
  <c r="H514" i="42" l="1"/>
  <c r="D514" i="42"/>
  <c r="B515" i="42"/>
  <c r="C514" i="42"/>
  <c r="A514" i="42"/>
  <c r="G514" i="42"/>
  <c r="E514" i="42"/>
  <c r="H515" i="42" l="1"/>
  <c r="E515" i="42"/>
  <c r="B516" i="42"/>
  <c r="G515" i="42"/>
  <c r="C515" i="42"/>
  <c r="D515" i="42"/>
  <c r="A515" i="42"/>
  <c r="H516" i="42" l="1"/>
  <c r="B517" i="42"/>
  <c r="D516" i="42"/>
  <c r="C516" i="42"/>
  <c r="A516" i="42"/>
  <c r="G516" i="42"/>
  <c r="E516" i="42"/>
  <c r="H517" i="42" l="1"/>
  <c r="A517" i="42"/>
  <c r="E517" i="42"/>
  <c r="C517" i="42"/>
  <c r="D517" i="42"/>
  <c r="B518" i="42"/>
  <c r="G517" i="42"/>
  <c r="H518" i="42" l="1"/>
  <c r="A518" i="42"/>
  <c r="B519" i="42"/>
  <c r="G518" i="42"/>
  <c r="E518" i="42"/>
  <c r="D518" i="42"/>
  <c r="C518" i="42"/>
  <c r="H519" i="42" l="1"/>
  <c r="E519" i="42"/>
  <c r="D519" i="42"/>
  <c r="A519" i="42"/>
  <c r="C519" i="42"/>
  <c r="B520" i="42"/>
  <c r="G519" i="42"/>
  <c r="H520" i="42" l="1"/>
  <c r="A520" i="42"/>
  <c r="B521" i="42"/>
  <c r="G520" i="42"/>
  <c r="C520" i="42"/>
  <c r="E520" i="42"/>
  <c r="D520" i="42"/>
  <c r="H521" i="42" l="1"/>
  <c r="A521" i="42"/>
  <c r="G521" i="42"/>
  <c r="D521" i="42"/>
  <c r="E521" i="42"/>
  <c r="C521" i="42"/>
  <c r="B522" i="42"/>
  <c r="H522" i="42" l="1"/>
  <c r="B523" i="42"/>
  <c r="G522" i="42"/>
  <c r="A522" i="42"/>
  <c r="E522" i="42"/>
  <c r="D522" i="42"/>
  <c r="C522" i="42"/>
  <c r="H523" i="42" l="1"/>
  <c r="E523" i="42"/>
  <c r="G523" i="42"/>
  <c r="C523" i="42"/>
  <c r="A523" i="42"/>
  <c r="B524" i="42"/>
  <c r="D523" i="42"/>
  <c r="H524" i="42" l="1"/>
  <c r="B525" i="42"/>
  <c r="G524" i="42"/>
  <c r="E524" i="42"/>
  <c r="C524" i="42"/>
  <c r="A524" i="42"/>
  <c r="D524" i="42"/>
  <c r="H525" i="42" l="1"/>
  <c r="A525" i="42"/>
  <c r="E525" i="42"/>
  <c r="C525" i="42"/>
  <c r="G525" i="42"/>
  <c r="D525" i="42"/>
  <c r="B526" i="42"/>
  <c r="H526" i="42" l="1"/>
  <c r="G526" i="42"/>
  <c r="E526" i="42"/>
  <c r="C526" i="42"/>
  <c r="B527" i="42"/>
  <c r="D526" i="42"/>
  <c r="A526" i="42"/>
  <c r="H527" i="42" l="1"/>
  <c r="E527" i="42"/>
  <c r="D527" i="42"/>
  <c r="A527" i="42"/>
  <c r="C527" i="42"/>
  <c r="B528" i="42"/>
  <c r="G527" i="42"/>
  <c r="H528" i="42" l="1"/>
  <c r="G528" i="42"/>
  <c r="E528" i="42"/>
  <c r="C528" i="42"/>
  <c r="D528" i="42"/>
  <c r="A528" i="42"/>
  <c r="B529" i="42"/>
  <c r="H529" i="42" l="1"/>
  <c r="A529" i="42"/>
  <c r="D529" i="42"/>
  <c r="B530" i="42"/>
  <c r="E529" i="42"/>
  <c r="C529" i="42"/>
  <c r="G529" i="42"/>
  <c r="H530" i="42" l="1"/>
  <c r="B531" i="42"/>
  <c r="G530" i="42"/>
  <c r="E530" i="42"/>
  <c r="C530" i="42"/>
  <c r="D530" i="42"/>
  <c r="A530" i="42"/>
  <c r="H531" i="42" l="1"/>
  <c r="E531" i="42"/>
  <c r="B532" i="42"/>
  <c r="A531" i="42"/>
  <c r="G531" i="42"/>
  <c r="D531" i="42"/>
  <c r="C531" i="42"/>
  <c r="H532" i="42" l="1"/>
  <c r="B533" i="42"/>
  <c r="E532" i="42"/>
  <c r="C532" i="42"/>
  <c r="D532" i="42"/>
  <c r="A532" i="42"/>
  <c r="G532" i="42"/>
  <c r="H533" i="42" l="1"/>
  <c r="A533" i="42"/>
  <c r="B534" i="42"/>
  <c r="G533" i="42"/>
  <c r="E533" i="42"/>
  <c r="D533" i="42"/>
  <c r="C533" i="42"/>
  <c r="H534" i="42" l="1"/>
  <c r="E534" i="42"/>
  <c r="C534" i="42"/>
  <c r="D534" i="42"/>
  <c r="A534" i="42"/>
  <c r="B535" i="42"/>
  <c r="G534" i="42"/>
  <c r="H535" i="42" l="1"/>
  <c r="E535" i="42"/>
  <c r="D535" i="42"/>
  <c r="A535" i="42"/>
  <c r="B536" i="42"/>
  <c r="C535" i="42"/>
  <c r="G535" i="42"/>
  <c r="E536" i="42" l="1"/>
  <c r="B537" i="42"/>
  <c r="H536" i="42"/>
  <c r="C536" i="42"/>
  <c r="G536" i="42"/>
  <c r="D536" i="42"/>
  <c r="A536" i="42"/>
  <c r="E537" i="42" l="1"/>
  <c r="A537" i="42"/>
  <c r="B538" i="42"/>
  <c r="H537" i="42"/>
  <c r="G537" i="42"/>
  <c r="D537" i="42"/>
  <c r="C537" i="42"/>
  <c r="E538" i="42" l="1"/>
  <c r="H538" i="42"/>
  <c r="B539" i="42"/>
  <c r="D538" i="42"/>
  <c r="C538" i="42"/>
  <c r="A538" i="42"/>
  <c r="G538" i="42"/>
  <c r="E539" i="42" l="1"/>
  <c r="G539" i="42"/>
  <c r="A539" i="42"/>
  <c r="H539" i="42"/>
  <c r="B540" i="42"/>
  <c r="D539" i="42"/>
  <c r="C539" i="42"/>
  <c r="E540" i="42" l="1"/>
  <c r="H540" i="42"/>
  <c r="G540" i="42"/>
  <c r="C540" i="42"/>
  <c r="A540" i="42"/>
  <c r="B541" i="42"/>
  <c r="D540" i="42"/>
  <c r="E541" i="42" l="1"/>
  <c r="A541" i="42"/>
  <c r="B542" i="42"/>
  <c r="C541" i="42"/>
  <c r="H541" i="42"/>
  <c r="G541" i="42"/>
  <c r="D541" i="42"/>
  <c r="E542" i="42" l="1"/>
  <c r="H542" i="42"/>
  <c r="G542" i="42"/>
  <c r="C542" i="42"/>
  <c r="B543" i="42"/>
  <c r="A542" i="42"/>
  <c r="D542" i="42"/>
  <c r="E543" i="42" l="1"/>
  <c r="G543" i="42"/>
  <c r="H543" i="42"/>
  <c r="D543" i="42"/>
  <c r="A543" i="42"/>
  <c r="B544" i="42"/>
  <c r="C543" i="42"/>
  <c r="E544" i="42" l="1"/>
  <c r="G544" i="42"/>
  <c r="C544" i="42"/>
  <c r="D544" i="42"/>
  <c r="H544" i="42"/>
  <c r="A544" i="42"/>
  <c r="B545" i="42"/>
  <c r="E545" i="42" l="1"/>
  <c r="A545" i="42"/>
  <c r="B546" i="42"/>
  <c r="H545" i="42"/>
  <c r="D545" i="42"/>
  <c r="C545" i="42"/>
  <c r="G545" i="42"/>
  <c r="E546" i="42" l="1"/>
  <c r="G546" i="42"/>
  <c r="C546" i="42"/>
  <c r="D546" i="42"/>
  <c r="H546" i="42"/>
  <c r="B547" i="42"/>
  <c r="A546" i="42"/>
  <c r="E547" i="42" l="1"/>
  <c r="G547" i="42"/>
  <c r="B548" i="42"/>
  <c r="C547" i="42"/>
  <c r="A547" i="42"/>
  <c r="H547" i="42"/>
  <c r="D547" i="42"/>
  <c r="E548" i="42" l="1"/>
  <c r="D548" i="42"/>
  <c r="B549" i="42"/>
  <c r="C548" i="42"/>
  <c r="H548" i="42"/>
  <c r="A548" i="42"/>
  <c r="G548" i="42"/>
  <c r="R4" i="5" l="1"/>
  <c r="E549" i="42"/>
  <c r="A549" i="42"/>
  <c r="B550" i="42"/>
  <c r="C549" i="42"/>
  <c r="H549" i="42"/>
  <c r="G549" i="42"/>
  <c r="D549" i="42"/>
  <c r="E550" i="42" l="1"/>
  <c r="D550" i="42"/>
  <c r="A550" i="42"/>
  <c r="C550" i="42"/>
  <c r="H550" i="42"/>
  <c r="G550" i="42"/>
  <c r="B551" i="42"/>
  <c r="E551" i="42" l="1"/>
  <c r="G551" i="42"/>
  <c r="B552" i="42"/>
  <c r="D551" i="42"/>
  <c r="A551" i="42"/>
  <c r="H551" i="42"/>
  <c r="C551" i="42"/>
  <c r="E552" i="42" l="1"/>
  <c r="A552" i="42"/>
  <c r="H552" i="42"/>
  <c r="D552" i="42"/>
  <c r="C552" i="42"/>
  <c r="B553" i="42"/>
  <c r="G552" i="42"/>
  <c r="E553" i="42" l="1"/>
  <c r="A553" i="42"/>
  <c r="H553" i="42"/>
  <c r="D553" i="42"/>
  <c r="C553" i="42"/>
  <c r="B554" i="42"/>
  <c r="G553" i="42"/>
  <c r="E554" i="42" l="1"/>
  <c r="A554" i="42"/>
  <c r="D554" i="42"/>
  <c r="B555" i="42"/>
  <c r="C554" i="42"/>
  <c r="H554" i="42"/>
  <c r="G554" i="42"/>
  <c r="E555" i="42" l="1"/>
  <c r="G555" i="42"/>
  <c r="H555" i="42"/>
  <c r="C555" i="42"/>
  <c r="B556" i="42"/>
  <c r="D555" i="42"/>
  <c r="A555" i="42"/>
  <c r="E556" i="42" l="1"/>
  <c r="A556" i="42"/>
  <c r="B557" i="42"/>
  <c r="C556" i="42"/>
  <c r="H556" i="42"/>
  <c r="G556" i="42"/>
  <c r="D556" i="42"/>
  <c r="E557" i="42" l="1"/>
  <c r="A557" i="42"/>
  <c r="H557" i="42"/>
  <c r="G557" i="42"/>
  <c r="C557" i="42"/>
  <c r="D557" i="42"/>
  <c r="B558" i="42"/>
  <c r="E558" i="42" l="1"/>
  <c r="C558" i="42"/>
  <c r="G558" i="42"/>
  <c r="A558" i="42"/>
  <c r="D558" i="42"/>
  <c r="B559" i="42"/>
  <c r="H558" i="42"/>
  <c r="E559" i="42" l="1"/>
  <c r="G559" i="42"/>
  <c r="H559" i="42"/>
  <c r="C559" i="42"/>
  <c r="D559" i="42"/>
  <c r="A559" i="42"/>
  <c r="B560" i="42"/>
  <c r="E560" i="42" l="1"/>
  <c r="D560" i="42"/>
  <c r="A560" i="42"/>
  <c r="B561" i="42"/>
  <c r="C560" i="42"/>
  <c r="H560" i="42"/>
  <c r="G560" i="42"/>
  <c r="E561" i="42" l="1"/>
  <c r="A561" i="42"/>
  <c r="G561" i="42"/>
  <c r="C561" i="42"/>
  <c r="D561" i="42"/>
  <c r="B562" i="42"/>
  <c r="H561" i="42"/>
  <c r="E562" i="42" l="1"/>
  <c r="B563" i="42"/>
  <c r="C562" i="42"/>
  <c r="H562" i="42"/>
  <c r="G562" i="42"/>
  <c r="A562" i="42"/>
  <c r="D562" i="42"/>
  <c r="E563" i="42" l="1"/>
  <c r="G563" i="42"/>
  <c r="D563" i="42"/>
  <c r="A563" i="42"/>
  <c r="C563" i="42"/>
  <c r="B564" i="42"/>
  <c r="H563" i="42"/>
  <c r="E564" i="42" l="1"/>
  <c r="B565" i="42"/>
  <c r="H564" i="42"/>
  <c r="C564" i="42"/>
  <c r="G564" i="42"/>
  <c r="A564" i="42"/>
  <c r="D564" i="42"/>
  <c r="E565" i="42" l="1"/>
  <c r="A565" i="42"/>
  <c r="H565" i="42"/>
  <c r="C565" i="42"/>
  <c r="G565" i="42"/>
  <c r="D565" i="42"/>
  <c r="B566" i="42"/>
  <c r="E566" i="42" l="1"/>
  <c r="H566" i="42"/>
  <c r="D566" i="42"/>
  <c r="C566" i="42"/>
  <c r="B567" i="42"/>
  <c r="G566" i="42"/>
  <c r="A566" i="42"/>
  <c r="E567" i="42" l="1"/>
  <c r="A567" i="42"/>
  <c r="B568" i="42"/>
  <c r="G567" i="42"/>
  <c r="D567" i="42"/>
  <c r="H567" i="42"/>
  <c r="C567" i="42"/>
  <c r="E568" i="42" l="1"/>
  <c r="H568" i="42"/>
  <c r="C568" i="42"/>
  <c r="G568" i="42"/>
  <c r="D568" i="42"/>
  <c r="A568" i="42"/>
  <c r="B569" i="42"/>
  <c r="F23" i="5"/>
  <c r="D23" i="5"/>
  <c r="G23" i="5"/>
  <c r="R24" i="5" l="1"/>
  <c r="O24" i="5"/>
  <c r="E569" i="42"/>
  <c r="A569" i="42"/>
  <c r="D569" i="42"/>
  <c r="C569" i="42"/>
  <c r="B570" i="42"/>
  <c r="H569" i="42"/>
  <c r="G569" i="42"/>
  <c r="Q24" i="5"/>
  <c r="E570" i="42" l="1"/>
  <c r="B571" i="42"/>
  <c r="C570" i="42"/>
  <c r="A570" i="42"/>
  <c r="H570" i="42"/>
  <c r="G570" i="42"/>
  <c r="D570" i="42"/>
  <c r="E571" i="42" l="1"/>
  <c r="A571" i="42"/>
  <c r="H571" i="42"/>
  <c r="C571" i="42"/>
  <c r="G571" i="42"/>
  <c r="D571" i="42"/>
  <c r="B572" i="42"/>
  <c r="E572" i="42" l="1"/>
  <c r="D572" i="42"/>
  <c r="A572" i="42"/>
  <c r="B573" i="42"/>
  <c r="G572" i="42"/>
  <c r="C572" i="42"/>
  <c r="H572" i="42"/>
  <c r="E573" i="42" l="1"/>
  <c r="A573" i="42"/>
  <c r="B574" i="42"/>
  <c r="H573" i="42"/>
  <c r="G573" i="42"/>
  <c r="D573" i="42"/>
  <c r="C573" i="42"/>
  <c r="E574" i="42" l="1"/>
  <c r="B575" i="42"/>
  <c r="H574" i="42"/>
  <c r="C574" i="42"/>
  <c r="G574" i="42"/>
  <c r="D574" i="42"/>
  <c r="A574" i="42"/>
  <c r="E575" i="42" l="1"/>
  <c r="A575" i="42"/>
  <c r="G575" i="42"/>
  <c r="D575" i="42"/>
  <c r="C575" i="42"/>
  <c r="B576" i="42"/>
  <c r="H575" i="42"/>
  <c r="E576" i="42" l="1"/>
  <c r="D576" i="42"/>
  <c r="C576" i="42"/>
  <c r="B577" i="42"/>
  <c r="A576" i="42"/>
  <c r="H576" i="42"/>
  <c r="G576" i="42"/>
  <c r="E577" i="42" l="1"/>
  <c r="A577" i="42"/>
  <c r="B578" i="42"/>
  <c r="H577" i="42"/>
  <c r="C577" i="42"/>
  <c r="G577" i="42"/>
  <c r="D577" i="42"/>
  <c r="E578" i="42" l="1"/>
  <c r="G578" i="42"/>
  <c r="D578" i="42"/>
  <c r="A578" i="42"/>
  <c r="H578" i="42"/>
  <c r="B579" i="42"/>
  <c r="C578" i="42"/>
  <c r="E579" i="42" l="1"/>
  <c r="A579" i="42"/>
  <c r="C579" i="42"/>
  <c r="H579" i="42"/>
  <c r="G579" i="42"/>
  <c r="D579" i="42"/>
  <c r="B580" i="42"/>
  <c r="O4" i="9" l="1"/>
  <c r="E580" i="42"/>
  <c r="B581" i="42"/>
  <c r="H580" i="42"/>
  <c r="C580" i="42"/>
  <c r="A580" i="42"/>
  <c r="G580" i="42"/>
  <c r="D580" i="42"/>
  <c r="O5" i="9" l="1"/>
  <c r="E581" i="42"/>
  <c r="A581" i="42"/>
  <c r="H581" i="42"/>
  <c r="C581" i="42"/>
  <c r="G581" i="42"/>
  <c r="D581" i="42"/>
  <c r="B582" i="42"/>
  <c r="A581" i="2"/>
  <c r="E582" i="42" l="1"/>
  <c r="G582" i="42"/>
  <c r="C582" i="42"/>
  <c r="B583" i="42"/>
  <c r="A582" i="42"/>
  <c r="H582" i="42"/>
  <c r="D582" i="42"/>
  <c r="A582" i="2"/>
  <c r="E583" i="42" l="1"/>
  <c r="A583" i="42"/>
  <c r="B584" i="42"/>
  <c r="H583" i="42"/>
  <c r="D583" i="42"/>
  <c r="C583" i="42"/>
  <c r="G583" i="42"/>
  <c r="A583" i="2"/>
  <c r="E584" i="42" l="1"/>
  <c r="H584" i="42"/>
  <c r="C584" i="42"/>
  <c r="G584" i="42"/>
  <c r="D584" i="42"/>
  <c r="A584" i="42"/>
  <c r="B585" i="42"/>
  <c r="A584" i="2"/>
  <c r="E585" i="42" l="1"/>
  <c r="A585" i="42"/>
  <c r="D585" i="42"/>
  <c r="B586" i="42"/>
  <c r="H585" i="42"/>
  <c r="G585" i="42"/>
  <c r="C585" i="42"/>
  <c r="A585" i="2"/>
  <c r="E586" i="42" l="1"/>
  <c r="B587" i="42"/>
  <c r="A586" i="42"/>
  <c r="H586" i="42"/>
  <c r="G586" i="42"/>
  <c r="D586" i="42"/>
  <c r="C586" i="42"/>
  <c r="A586" i="2"/>
  <c r="E587" i="42" l="1"/>
  <c r="A587" i="42"/>
  <c r="H587" i="42"/>
  <c r="C587" i="42"/>
  <c r="G587" i="42"/>
  <c r="B588" i="42"/>
  <c r="D587" i="42"/>
  <c r="D587" i="2"/>
  <c r="F587" i="2"/>
  <c r="L587" i="2" s="1"/>
  <c r="E587" i="2"/>
  <c r="A587" i="2"/>
  <c r="E588" i="42" l="1"/>
  <c r="D588" i="42"/>
  <c r="A588" i="42"/>
  <c r="H588" i="42"/>
  <c r="C588" i="42"/>
  <c r="B589" i="42"/>
  <c r="G588" i="42"/>
  <c r="F588" i="2"/>
  <c r="L588" i="2" s="1"/>
  <c r="E588" i="2"/>
  <c r="D588" i="2"/>
  <c r="A588" i="2"/>
  <c r="C587" i="2"/>
  <c r="H587" i="2" l="1"/>
  <c r="J587" i="2"/>
  <c r="C588" i="2"/>
  <c r="E589" i="42"/>
  <c r="A589" i="42"/>
  <c r="B590" i="42"/>
  <c r="G589" i="42"/>
  <c r="D589" i="42"/>
  <c r="C589" i="42"/>
  <c r="H589" i="42"/>
  <c r="F589" i="2"/>
  <c r="L589" i="2" s="1"/>
  <c r="D589" i="2"/>
  <c r="A589" i="2"/>
  <c r="E589" i="2"/>
  <c r="H588" i="2" l="1"/>
  <c r="J588" i="2"/>
  <c r="K590" i="2"/>
  <c r="E590" i="42"/>
  <c r="B591" i="42"/>
  <c r="H590" i="42"/>
  <c r="C590" i="42"/>
  <c r="G590" i="42"/>
  <c r="A590" i="42"/>
  <c r="D590" i="42"/>
  <c r="C589" i="2"/>
  <c r="D590" i="2"/>
  <c r="A590" i="2"/>
  <c r="Q590" i="2"/>
  <c r="E590" i="2"/>
  <c r="G590" i="2"/>
  <c r="F590" i="2"/>
  <c r="H589" i="2" l="1"/>
  <c r="J589" i="2"/>
  <c r="I590" i="2"/>
  <c r="K591" i="2"/>
  <c r="E591" i="42"/>
  <c r="A591" i="42"/>
  <c r="G591" i="42"/>
  <c r="D591" i="42"/>
  <c r="C591" i="42"/>
  <c r="B592" i="42"/>
  <c r="H591" i="42"/>
  <c r="F591" i="2"/>
  <c r="Q591" i="2"/>
  <c r="G591" i="2"/>
  <c r="E591" i="2"/>
  <c r="D591" i="2"/>
  <c r="A591" i="2"/>
  <c r="L590" i="2"/>
  <c r="C590" i="2"/>
  <c r="H590" i="2" s="1"/>
  <c r="J590" i="2" l="1"/>
  <c r="I591" i="2"/>
  <c r="K592" i="2"/>
  <c r="E592" i="42"/>
  <c r="C592" i="42"/>
  <c r="B593" i="42"/>
  <c r="A592" i="42"/>
  <c r="H592" i="42"/>
  <c r="G592" i="42"/>
  <c r="D592" i="42"/>
  <c r="C591" i="2"/>
  <c r="H591" i="2" s="1"/>
  <c r="G592" i="2"/>
  <c r="A592" i="2"/>
  <c r="E592" i="2"/>
  <c r="Q592" i="2"/>
  <c r="D592" i="2"/>
  <c r="F592" i="2"/>
  <c r="L591" i="2"/>
  <c r="J591" i="2" l="1"/>
  <c r="I592" i="2"/>
  <c r="K593" i="2"/>
  <c r="E593" i="42"/>
  <c r="A593" i="42"/>
  <c r="B594" i="42"/>
  <c r="H593" i="42"/>
  <c r="C593" i="42"/>
  <c r="D593" i="42"/>
  <c r="G593" i="42"/>
  <c r="C592" i="2"/>
  <c r="H592" i="2" s="1"/>
  <c r="L592" i="2"/>
  <c r="G593" i="2"/>
  <c r="A593" i="2"/>
  <c r="F593" i="2"/>
  <c r="Q593" i="2"/>
  <c r="E593" i="2"/>
  <c r="D593" i="2"/>
  <c r="J592" i="2" l="1"/>
  <c r="I593" i="2"/>
  <c r="K594" i="2"/>
  <c r="E594" i="42"/>
  <c r="G594" i="42"/>
  <c r="D594" i="42"/>
  <c r="A594" i="42"/>
  <c r="B595" i="42"/>
  <c r="C594" i="42"/>
  <c r="H594" i="42"/>
  <c r="G594" i="2"/>
  <c r="D594" i="2"/>
  <c r="A594" i="2"/>
  <c r="F594" i="2"/>
  <c r="E594" i="2"/>
  <c r="Q594" i="2"/>
  <c r="C593" i="2"/>
  <c r="H593" i="2" s="1"/>
  <c r="L593" i="2"/>
  <c r="J593" i="2" l="1"/>
  <c r="I594" i="2"/>
  <c r="K595" i="2"/>
  <c r="L594" i="2"/>
  <c r="E595" i="42"/>
  <c r="A595" i="42"/>
  <c r="B596" i="42"/>
  <c r="H595" i="42"/>
  <c r="G595" i="42"/>
  <c r="D595" i="42"/>
  <c r="C595" i="42"/>
  <c r="C594" i="2"/>
  <c r="H594" i="2" s="1"/>
  <c r="D595" i="2"/>
  <c r="G595" i="2"/>
  <c r="A595" i="2"/>
  <c r="E595" i="2"/>
  <c r="Q595" i="2"/>
  <c r="F595" i="2"/>
  <c r="J594" i="2" l="1"/>
  <c r="I595" i="2"/>
  <c r="K596" i="2"/>
  <c r="E596" i="42"/>
  <c r="B597" i="42"/>
  <c r="H596" i="42"/>
  <c r="C596" i="42"/>
  <c r="G596" i="42"/>
  <c r="D596" i="42"/>
  <c r="A596" i="42"/>
  <c r="G596" i="2"/>
  <c r="A596" i="2"/>
  <c r="Q596" i="2"/>
  <c r="F596" i="2"/>
  <c r="E596" i="2"/>
  <c r="D596" i="2"/>
  <c r="L595" i="2"/>
  <c r="C595" i="2"/>
  <c r="H595" i="2" s="1"/>
  <c r="J595" i="2" l="1"/>
  <c r="I596" i="2"/>
  <c r="J596" i="2" s="1"/>
  <c r="K597" i="2"/>
  <c r="L596" i="2"/>
  <c r="E597" i="42"/>
  <c r="A597" i="42"/>
  <c r="H597" i="42"/>
  <c r="C597" i="42"/>
  <c r="G597" i="42"/>
  <c r="D597" i="42"/>
  <c r="B598" i="42"/>
  <c r="C596" i="2"/>
  <c r="H596" i="2" s="1"/>
  <c r="D597" i="2"/>
  <c r="A597" i="2"/>
  <c r="E597" i="2"/>
  <c r="Q597" i="2"/>
  <c r="F597" i="2"/>
  <c r="G597" i="2"/>
  <c r="I597" i="2" l="1"/>
  <c r="K598" i="2"/>
  <c r="E598" i="42"/>
  <c r="D598" i="42"/>
  <c r="C598" i="42"/>
  <c r="B599" i="42"/>
  <c r="A598" i="42"/>
  <c r="H598" i="42"/>
  <c r="G598" i="42"/>
  <c r="L597" i="2"/>
  <c r="A598" i="2"/>
  <c r="Q598" i="2"/>
  <c r="F598" i="2"/>
  <c r="G598" i="2"/>
  <c r="E598" i="2"/>
  <c r="D598" i="2"/>
  <c r="C597" i="2"/>
  <c r="H597" i="2" s="1"/>
  <c r="J597" i="2" l="1"/>
  <c r="I598" i="2"/>
  <c r="K599" i="2"/>
  <c r="C598" i="2"/>
  <c r="H598" i="2" s="1"/>
  <c r="E599" i="42"/>
  <c r="A599" i="42"/>
  <c r="B600" i="42"/>
  <c r="G599" i="42"/>
  <c r="C599" i="42"/>
  <c r="H599" i="42"/>
  <c r="D599" i="42"/>
  <c r="L598" i="2"/>
  <c r="F599" i="2"/>
  <c r="D599" i="2"/>
  <c r="E599" i="2"/>
  <c r="G599" i="2"/>
  <c r="Q599" i="2"/>
  <c r="A599" i="2"/>
  <c r="J598" i="2" l="1"/>
  <c r="I599" i="2"/>
  <c r="K600" i="2"/>
  <c r="E600" i="42"/>
  <c r="H600" i="42"/>
  <c r="C600" i="42"/>
  <c r="G600" i="42"/>
  <c r="D600" i="42"/>
  <c r="A600" i="42"/>
  <c r="B601" i="42"/>
  <c r="C599" i="2"/>
  <c r="H599" i="2" s="1"/>
  <c r="L599" i="2"/>
  <c r="G600" i="2"/>
  <c r="Q600" i="2"/>
  <c r="F600" i="2"/>
  <c r="E600" i="2"/>
  <c r="D600" i="2"/>
  <c r="A600" i="2"/>
  <c r="J599" i="2" l="1"/>
  <c r="I600" i="2"/>
  <c r="K601" i="2"/>
  <c r="E601" i="42"/>
  <c r="A601" i="42"/>
  <c r="D601" i="42"/>
  <c r="C601" i="42"/>
  <c r="H601" i="42"/>
  <c r="G601" i="42"/>
  <c r="B602" i="42"/>
  <c r="L600" i="2"/>
  <c r="C600" i="2"/>
  <c r="H600" i="2" s="1"/>
  <c r="E601" i="2"/>
  <c r="A601" i="2"/>
  <c r="D601" i="2"/>
  <c r="Q601" i="2"/>
  <c r="F601" i="2"/>
  <c r="G601" i="2"/>
  <c r="J600" i="2" l="1"/>
  <c r="I601" i="2"/>
  <c r="J601" i="2" s="1"/>
  <c r="K602" i="2"/>
  <c r="C601" i="2"/>
  <c r="H601" i="2" s="1"/>
  <c r="E602" i="42"/>
  <c r="H602" i="42"/>
  <c r="B603" i="42"/>
  <c r="C602" i="42"/>
  <c r="A602" i="42"/>
  <c r="G602" i="42"/>
  <c r="D602" i="42"/>
  <c r="L601" i="2"/>
  <c r="F602" i="2"/>
  <c r="A602" i="2"/>
  <c r="E602" i="2"/>
  <c r="Q602" i="2"/>
  <c r="D602" i="2"/>
  <c r="G602" i="2"/>
  <c r="I602" i="2" l="1"/>
  <c r="K603" i="2"/>
  <c r="E603" i="42"/>
  <c r="A603" i="42"/>
  <c r="B604" i="42"/>
  <c r="C603" i="42"/>
  <c r="H603" i="42"/>
  <c r="G603" i="42"/>
  <c r="D603" i="42"/>
  <c r="G603" i="2"/>
  <c r="Q603" i="2"/>
  <c r="E603" i="2"/>
  <c r="F603" i="2"/>
  <c r="A603" i="2"/>
  <c r="D603" i="2"/>
  <c r="L602" i="2"/>
  <c r="C602" i="2"/>
  <c r="H602" i="2" s="1"/>
  <c r="J602" i="2" l="1"/>
  <c r="I603" i="2"/>
  <c r="K604" i="2"/>
  <c r="E604" i="42"/>
  <c r="H604" i="42"/>
  <c r="C604" i="42"/>
  <c r="B605" i="42"/>
  <c r="G604" i="42"/>
  <c r="A604" i="42"/>
  <c r="D604" i="42"/>
  <c r="L603" i="2"/>
  <c r="C603" i="2"/>
  <c r="H603" i="2" s="1"/>
  <c r="A604" i="2"/>
  <c r="D604" i="2"/>
  <c r="Q604" i="2"/>
  <c r="E604" i="2"/>
  <c r="G604" i="2"/>
  <c r="F604" i="2"/>
  <c r="J603" i="2" l="1"/>
  <c r="I604" i="2"/>
  <c r="K605" i="2"/>
  <c r="E605" i="42"/>
  <c r="A605" i="42"/>
  <c r="C605" i="42"/>
  <c r="H605" i="42"/>
  <c r="G605" i="42"/>
  <c r="D605" i="42"/>
  <c r="B606" i="42"/>
  <c r="C604" i="2"/>
  <c r="H604" i="2" s="1"/>
  <c r="L604" i="2"/>
  <c r="E605" i="2"/>
  <c r="Q605" i="2"/>
  <c r="D605" i="2"/>
  <c r="G605" i="2"/>
  <c r="A605" i="2"/>
  <c r="F605" i="2"/>
  <c r="J604" i="2" l="1"/>
  <c r="I605" i="2"/>
  <c r="K606" i="2"/>
  <c r="C605" i="2"/>
  <c r="H605" i="2" s="1"/>
  <c r="E606" i="42"/>
  <c r="H606" i="42"/>
  <c r="G606" i="42"/>
  <c r="A606" i="42"/>
  <c r="D606" i="42"/>
  <c r="B607" i="42"/>
  <c r="C606" i="42"/>
  <c r="L605" i="2"/>
  <c r="Q606" i="2"/>
  <c r="F606" i="2"/>
  <c r="D606" i="2"/>
  <c r="G606" i="2"/>
  <c r="A606" i="2"/>
  <c r="E606" i="2"/>
  <c r="J605" i="2" l="1"/>
  <c r="I606" i="2"/>
  <c r="K607" i="2"/>
  <c r="L606" i="2"/>
  <c r="E607" i="42"/>
  <c r="A607" i="42"/>
  <c r="G607" i="42"/>
  <c r="D607" i="42"/>
  <c r="C607" i="42"/>
  <c r="B608" i="42"/>
  <c r="H607" i="42"/>
  <c r="C606" i="2"/>
  <c r="H606" i="2" s="1"/>
  <c r="A607" i="2"/>
  <c r="Q607" i="2"/>
  <c r="F607" i="2"/>
  <c r="D607" i="2"/>
  <c r="G607" i="2"/>
  <c r="E607" i="2"/>
  <c r="J606" i="2" l="1"/>
  <c r="I607" i="2"/>
  <c r="K608" i="2"/>
  <c r="L607" i="2"/>
  <c r="E608" i="42"/>
  <c r="D608" i="42"/>
  <c r="B609" i="42"/>
  <c r="G608" i="42"/>
  <c r="H608" i="42"/>
  <c r="C608" i="42"/>
  <c r="A608" i="42"/>
  <c r="F608" i="2"/>
  <c r="E608" i="2"/>
  <c r="A608" i="2"/>
  <c r="D608" i="2"/>
  <c r="Q608" i="2"/>
  <c r="G608" i="2"/>
  <c r="C607" i="2"/>
  <c r="H607" i="2" s="1"/>
  <c r="J607" i="2" l="1"/>
  <c r="I608" i="2"/>
  <c r="K609" i="2"/>
  <c r="E609" i="42"/>
  <c r="D609" i="42"/>
  <c r="C609" i="42"/>
  <c r="H609" i="42"/>
  <c r="G609" i="42"/>
  <c r="A609" i="42"/>
  <c r="B610" i="42"/>
  <c r="G609" i="2"/>
  <c r="A609" i="2"/>
  <c r="F609" i="2"/>
  <c r="Q609" i="2"/>
  <c r="E609" i="2"/>
  <c r="D609" i="2"/>
  <c r="L608" i="2"/>
  <c r="C608" i="2"/>
  <c r="H608" i="2" s="1"/>
  <c r="J608" i="2" l="1"/>
  <c r="I609" i="2"/>
  <c r="K610" i="2"/>
  <c r="E610" i="42"/>
  <c r="D610" i="42"/>
  <c r="G610" i="42"/>
  <c r="A610" i="42"/>
  <c r="H610" i="42"/>
  <c r="B611" i="42"/>
  <c r="C610" i="42"/>
  <c r="C609" i="2"/>
  <c r="H609" i="2" s="1"/>
  <c r="E610" i="2"/>
  <c r="D610" i="2"/>
  <c r="Q610" i="2"/>
  <c r="A610" i="2"/>
  <c r="F610" i="2"/>
  <c r="G610" i="2"/>
  <c r="L609" i="2"/>
  <c r="J609" i="2" l="1"/>
  <c r="I610" i="2"/>
  <c r="J610" i="2" s="1"/>
  <c r="K611" i="2"/>
  <c r="C610" i="2"/>
  <c r="H610" i="2" s="1"/>
  <c r="E611" i="42"/>
  <c r="D611" i="42"/>
  <c r="A611" i="42"/>
  <c r="H611" i="42"/>
  <c r="G611" i="42"/>
  <c r="C611" i="42"/>
  <c r="B612" i="42"/>
  <c r="G611" i="2"/>
  <c r="F611" i="2"/>
  <c r="E611" i="2"/>
  <c r="A611" i="2"/>
  <c r="D611" i="2"/>
  <c r="Q611" i="2"/>
  <c r="L610" i="2"/>
  <c r="I611" i="2" l="1"/>
  <c r="K612" i="2"/>
  <c r="L611" i="2"/>
  <c r="E612" i="42"/>
  <c r="D612" i="42"/>
  <c r="B613" i="42"/>
  <c r="A612" i="42"/>
  <c r="H612" i="42"/>
  <c r="G612" i="42"/>
  <c r="C612" i="42"/>
  <c r="A612" i="2"/>
  <c r="G612" i="2"/>
  <c r="Q612" i="2"/>
  <c r="F612" i="2"/>
  <c r="E612" i="2"/>
  <c r="D612" i="2"/>
  <c r="C611" i="2"/>
  <c r="H611" i="2" s="1"/>
  <c r="J611" i="2" l="1"/>
  <c r="I612" i="2"/>
  <c r="K613" i="2"/>
  <c r="L612" i="2"/>
  <c r="E613" i="42"/>
  <c r="D613" i="42"/>
  <c r="C613" i="42"/>
  <c r="H613" i="42"/>
  <c r="A613" i="42"/>
  <c r="B614" i="42"/>
  <c r="G613" i="42"/>
  <c r="C612" i="2"/>
  <c r="H612" i="2" s="1"/>
  <c r="A613" i="2"/>
  <c r="D613" i="2"/>
  <c r="E613" i="2"/>
  <c r="Q613" i="2"/>
  <c r="F613" i="2"/>
  <c r="G613" i="2"/>
  <c r="J612" i="2" l="1"/>
  <c r="I613" i="2"/>
  <c r="K614" i="2"/>
  <c r="E614" i="42"/>
  <c r="D614" i="42"/>
  <c r="G614" i="42"/>
  <c r="A614" i="42"/>
  <c r="C614" i="42"/>
  <c r="B615" i="42"/>
  <c r="H614" i="42"/>
  <c r="C613" i="2"/>
  <c r="H613" i="2" s="1"/>
  <c r="L613" i="2"/>
  <c r="D614" i="2"/>
  <c r="Q614" i="2"/>
  <c r="G614" i="2"/>
  <c r="F614" i="2"/>
  <c r="E614" i="2"/>
  <c r="A614" i="2"/>
  <c r="J613" i="2" l="1"/>
  <c r="I614" i="2"/>
  <c r="K615" i="2"/>
  <c r="L614" i="2"/>
  <c r="E615" i="42"/>
  <c r="D615" i="42"/>
  <c r="C615" i="42"/>
  <c r="B616" i="42"/>
  <c r="A615" i="42"/>
  <c r="H615" i="42"/>
  <c r="G615" i="42"/>
  <c r="C614" i="2"/>
  <c r="H614" i="2" s="1"/>
  <c r="G615" i="2"/>
  <c r="A615" i="2"/>
  <c r="F615" i="2"/>
  <c r="Q615" i="2"/>
  <c r="D615" i="2"/>
  <c r="E615" i="2"/>
  <c r="J614" i="2" l="1"/>
  <c r="I615" i="2"/>
  <c r="K616" i="2"/>
  <c r="C615" i="2"/>
  <c r="H615" i="2" s="1"/>
  <c r="H616" i="42"/>
  <c r="E616" i="42"/>
  <c r="D616" i="42"/>
  <c r="C616" i="42"/>
  <c r="B617" i="42"/>
  <c r="A616" i="42"/>
  <c r="G616" i="42"/>
  <c r="L615" i="2"/>
  <c r="A616" i="2"/>
  <c r="G616" i="2"/>
  <c r="Q616" i="2"/>
  <c r="F616" i="2"/>
  <c r="E616" i="2"/>
  <c r="D616" i="2"/>
  <c r="J615" i="2" l="1"/>
  <c r="I616" i="2"/>
  <c r="K617" i="2"/>
  <c r="H617" i="42"/>
  <c r="G617" i="42"/>
  <c r="E617" i="42"/>
  <c r="D617" i="42"/>
  <c r="C617" i="42"/>
  <c r="A617" i="42"/>
  <c r="B618" i="42"/>
  <c r="C616" i="2"/>
  <c r="H616" i="2" s="1"/>
  <c r="L616" i="2"/>
  <c r="D617" i="2"/>
  <c r="Q617" i="2"/>
  <c r="E617" i="2"/>
  <c r="A617" i="2"/>
  <c r="G617" i="2"/>
  <c r="F617" i="2"/>
  <c r="J616" i="2" l="1"/>
  <c r="I617" i="2"/>
  <c r="J617" i="2" s="1"/>
  <c r="K618" i="2"/>
  <c r="H618" i="42"/>
  <c r="A618" i="42"/>
  <c r="B619" i="42"/>
  <c r="G618" i="42"/>
  <c r="C618" i="42"/>
  <c r="E618" i="42"/>
  <c r="D618" i="42"/>
  <c r="L617" i="2"/>
  <c r="C617" i="2"/>
  <c r="H617" i="2" s="1"/>
  <c r="G618" i="2"/>
  <c r="Q618" i="2"/>
  <c r="F618" i="2"/>
  <c r="E618" i="2"/>
  <c r="D618" i="2"/>
  <c r="A618" i="2"/>
  <c r="I618" i="2" l="1"/>
  <c r="K619" i="2"/>
  <c r="H619" i="42"/>
  <c r="A619" i="42"/>
  <c r="B620" i="42"/>
  <c r="G619" i="42"/>
  <c r="E619" i="42"/>
  <c r="D619" i="42"/>
  <c r="C619" i="42"/>
  <c r="C618" i="2"/>
  <c r="H618" i="2" s="1"/>
  <c r="L618" i="2"/>
  <c r="G619" i="2"/>
  <c r="Q619" i="2"/>
  <c r="F619" i="2"/>
  <c r="E619" i="2"/>
  <c r="D619" i="2"/>
  <c r="A619" i="2"/>
  <c r="J618" i="2" l="1"/>
  <c r="I619" i="2"/>
  <c r="K620" i="2"/>
  <c r="H620" i="42"/>
  <c r="E620" i="42"/>
  <c r="D620" i="42"/>
  <c r="C620" i="42"/>
  <c r="A620" i="42"/>
  <c r="G620" i="42"/>
  <c r="B621" i="42"/>
  <c r="L619" i="2"/>
  <c r="C619" i="2"/>
  <c r="H619" i="2" s="1"/>
  <c r="G620" i="2"/>
  <c r="E620" i="2"/>
  <c r="F620" i="2"/>
  <c r="D620" i="2"/>
  <c r="A620" i="2"/>
  <c r="Q620" i="2"/>
  <c r="J619" i="2" l="1"/>
  <c r="I620" i="2"/>
  <c r="K621" i="2"/>
  <c r="C620" i="2"/>
  <c r="H620" i="2" s="1"/>
  <c r="H621" i="42"/>
  <c r="G621" i="42"/>
  <c r="E621" i="42"/>
  <c r="D621" i="42"/>
  <c r="C621" i="42"/>
  <c r="B622" i="42"/>
  <c r="A621" i="42"/>
  <c r="L620" i="2"/>
  <c r="E621" i="2"/>
  <c r="A621" i="2"/>
  <c r="Q621" i="2"/>
  <c r="G621" i="2"/>
  <c r="D621" i="2"/>
  <c r="F621" i="2"/>
  <c r="J620" i="2" l="1"/>
  <c r="I621" i="2"/>
  <c r="K622" i="2"/>
  <c r="L621" i="2"/>
  <c r="H622" i="42"/>
  <c r="A622" i="42"/>
  <c r="B623" i="42"/>
  <c r="G622" i="42"/>
  <c r="E622" i="42"/>
  <c r="D622" i="42"/>
  <c r="C622" i="42"/>
  <c r="C621" i="2"/>
  <c r="H621" i="2" s="1"/>
  <c r="F622" i="2"/>
  <c r="A622" i="2"/>
  <c r="E622" i="2"/>
  <c r="Q622" i="2"/>
  <c r="D622" i="2"/>
  <c r="G622" i="2"/>
  <c r="J621" i="2" l="1"/>
  <c r="I622" i="2"/>
  <c r="K623" i="2"/>
  <c r="C622" i="2"/>
  <c r="H622" i="2" s="1"/>
  <c r="H623" i="42"/>
  <c r="A623" i="42"/>
  <c r="B624" i="42"/>
  <c r="G623" i="42"/>
  <c r="C623" i="42"/>
  <c r="E623" i="42"/>
  <c r="D623" i="42"/>
  <c r="D623" i="2"/>
  <c r="A623" i="2"/>
  <c r="G623" i="2"/>
  <c r="F623" i="2"/>
  <c r="Q623" i="2"/>
  <c r="E623" i="2"/>
  <c r="L622" i="2"/>
  <c r="J622" i="2" l="1"/>
  <c r="I623" i="2"/>
  <c r="K624" i="2"/>
  <c r="H624" i="42"/>
  <c r="B625" i="42"/>
  <c r="G624" i="42"/>
  <c r="E624" i="42"/>
  <c r="C624" i="42"/>
  <c r="D624" i="42"/>
  <c r="A624" i="42"/>
  <c r="L623" i="2"/>
  <c r="G624" i="2"/>
  <c r="Q624" i="2"/>
  <c r="F624" i="2"/>
  <c r="D624" i="2"/>
  <c r="E624" i="2"/>
  <c r="A624" i="2"/>
  <c r="C623" i="2"/>
  <c r="H623" i="2" s="1"/>
  <c r="J623" i="2" l="1"/>
  <c r="I624" i="2"/>
  <c r="J624" i="2" s="1"/>
  <c r="K625" i="2"/>
  <c r="H625" i="42"/>
  <c r="B626" i="42"/>
  <c r="C625" i="42"/>
  <c r="A625" i="42"/>
  <c r="G625" i="42"/>
  <c r="E625" i="42"/>
  <c r="D625" i="42"/>
  <c r="C624" i="2"/>
  <c r="H624" i="2" s="1"/>
  <c r="L624" i="2"/>
  <c r="Q625" i="2"/>
  <c r="G625" i="2"/>
  <c r="F625" i="2"/>
  <c r="E625" i="2"/>
  <c r="D625" i="2"/>
  <c r="A625" i="2"/>
  <c r="I625" i="2" l="1"/>
  <c r="K626" i="2"/>
  <c r="L625" i="2"/>
  <c r="H626" i="42"/>
  <c r="G626" i="42"/>
  <c r="D626" i="42"/>
  <c r="C626" i="42"/>
  <c r="B627" i="42"/>
  <c r="E626" i="42"/>
  <c r="A626" i="42"/>
  <c r="E626" i="2"/>
  <c r="Q626" i="2"/>
  <c r="G626" i="2"/>
  <c r="A626" i="2"/>
  <c r="F626" i="2"/>
  <c r="D626" i="2"/>
  <c r="C625" i="2"/>
  <c r="H625" i="2" s="1"/>
  <c r="J625" i="2" l="1"/>
  <c r="I626" i="2"/>
  <c r="K627" i="2"/>
  <c r="H627" i="42"/>
  <c r="B628" i="42"/>
  <c r="G627" i="42"/>
  <c r="D627" i="42"/>
  <c r="A627" i="42"/>
  <c r="C627" i="42"/>
  <c r="E627" i="42"/>
  <c r="C626" i="2"/>
  <c r="H626" i="2" s="1"/>
  <c r="F627" i="2"/>
  <c r="Q627" i="2"/>
  <c r="E627" i="2"/>
  <c r="D627" i="2"/>
  <c r="A627" i="2"/>
  <c r="G627" i="2"/>
  <c r="L626" i="2"/>
  <c r="J626" i="2" l="1"/>
  <c r="I627" i="2"/>
  <c r="J627" i="2" s="1"/>
  <c r="K628" i="2"/>
  <c r="H628" i="42"/>
  <c r="B629" i="42"/>
  <c r="C628" i="42"/>
  <c r="G628" i="42"/>
  <c r="E628" i="42"/>
  <c r="D628" i="42"/>
  <c r="A628" i="42"/>
  <c r="C627" i="2"/>
  <c r="H627" i="2" s="1"/>
  <c r="G628" i="2"/>
  <c r="Q628" i="2"/>
  <c r="F628" i="2"/>
  <c r="E628" i="2"/>
  <c r="D628" i="2"/>
  <c r="A628" i="2"/>
  <c r="L627" i="2"/>
  <c r="I628" i="2" l="1"/>
  <c r="K629" i="2"/>
  <c r="H629" i="42"/>
  <c r="D629" i="42"/>
  <c r="C629" i="42"/>
  <c r="B630" i="42"/>
  <c r="G629" i="42"/>
  <c r="E629" i="42"/>
  <c r="A629" i="42"/>
  <c r="L628" i="2"/>
  <c r="C628" i="2"/>
  <c r="H628" i="2" s="1"/>
  <c r="G629" i="2"/>
  <c r="E629" i="2"/>
  <c r="D629" i="2"/>
  <c r="A629" i="2"/>
  <c r="F629" i="2"/>
  <c r="Q629" i="2"/>
  <c r="J628" i="2" l="1"/>
  <c r="I629" i="2"/>
  <c r="K630" i="2"/>
  <c r="L629" i="2"/>
  <c r="H630" i="42"/>
  <c r="G630" i="42"/>
  <c r="D630" i="42"/>
  <c r="C630" i="42"/>
  <c r="E630" i="42"/>
  <c r="A630" i="42"/>
  <c r="B631" i="42"/>
  <c r="C629" i="2"/>
  <c r="H629" i="2" s="1"/>
  <c r="F630" i="2"/>
  <c r="A630" i="2"/>
  <c r="E630" i="2"/>
  <c r="Q630" i="2"/>
  <c r="D630" i="2"/>
  <c r="G630" i="2"/>
  <c r="J629" i="2" l="1"/>
  <c r="I630" i="2"/>
  <c r="K631" i="2"/>
  <c r="C630" i="2"/>
  <c r="H630" i="2" s="1"/>
  <c r="L630" i="2"/>
  <c r="H631" i="42"/>
  <c r="B632" i="42"/>
  <c r="G631" i="42"/>
  <c r="C631" i="42"/>
  <c r="A631" i="42"/>
  <c r="E631" i="42"/>
  <c r="D631" i="42"/>
  <c r="F631" i="2"/>
  <c r="E631" i="2"/>
  <c r="G631" i="2"/>
  <c r="D631" i="2"/>
  <c r="A631" i="2"/>
  <c r="Q631" i="2"/>
  <c r="J630" i="2" l="1"/>
  <c r="I631" i="2"/>
  <c r="K632" i="2"/>
  <c r="C631" i="2"/>
  <c r="H631" i="2" s="1"/>
  <c r="H632" i="42"/>
  <c r="B633" i="42"/>
  <c r="G632" i="42"/>
  <c r="C632" i="42"/>
  <c r="E632" i="42"/>
  <c r="D632" i="42"/>
  <c r="A632" i="42"/>
  <c r="A632" i="2"/>
  <c r="D632" i="2"/>
  <c r="F632" i="2"/>
  <c r="E632" i="2"/>
  <c r="Q632" i="2"/>
  <c r="G632" i="2"/>
  <c r="L631" i="2"/>
  <c r="J631" i="2" l="1"/>
  <c r="I632" i="2"/>
  <c r="K633" i="2"/>
  <c r="H633" i="42"/>
  <c r="D633" i="42"/>
  <c r="C633" i="42"/>
  <c r="G633" i="42"/>
  <c r="E633" i="42"/>
  <c r="A633" i="42"/>
  <c r="B634" i="42"/>
  <c r="L632" i="2"/>
  <c r="C632" i="2"/>
  <c r="H632" i="2" s="1"/>
  <c r="F633" i="2"/>
  <c r="E633" i="2"/>
  <c r="A633" i="2"/>
  <c r="D633" i="2"/>
  <c r="Q633" i="2"/>
  <c r="G633" i="2"/>
  <c r="J632" i="2" l="1"/>
  <c r="I633" i="2"/>
  <c r="J633" i="2" s="1"/>
  <c r="K634" i="2"/>
  <c r="C633" i="2"/>
  <c r="H633" i="2" s="1"/>
  <c r="H634" i="42"/>
  <c r="G634" i="42"/>
  <c r="D634" i="42"/>
  <c r="C634" i="42"/>
  <c r="B635" i="42"/>
  <c r="E634" i="42"/>
  <c r="A634" i="42"/>
  <c r="L633" i="2"/>
  <c r="E634" i="2"/>
  <c r="D634" i="2"/>
  <c r="G634" i="2"/>
  <c r="A634" i="2"/>
  <c r="F634" i="2"/>
  <c r="Q634" i="2"/>
  <c r="I634" i="2" l="1"/>
  <c r="K635" i="2"/>
  <c r="H635" i="42"/>
  <c r="B636" i="42"/>
  <c r="G635" i="42"/>
  <c r="C635" i="42"/>
  <c r="E635" i="42"/>
  <c r="D635" i="42"/>
  <c r="A635" i="42"/>
  <c r="C634" i="2"/>
  <c r="H634" i="2" s="1"/>
  <c r="G635" i="2"/>
  <c r="Q635" i="2"/>
  <c r="F635" i="2"/>
  <c r="E635" i="2"/>
  <c r="D635" i="2"/>
  <c r="A635" i="2"/>
  <c r="L634" i="2"/>
  <c r="J634" i="2" l="1"/>
  <c r="I635" i="2"/>
  <c r="K636" i="2"/>
  <c r="H636" i="42"/>
  <c r="B637" i="42"/>
  <c r="C636" i="42"/>
  <c r="G636" i="42"/>
  <c r="A636" i="42"/>
  <c r="E636" i="42"/>
  <c r="D636" i="42"/>
  <c r="C635" i="2"/>
  <c r="H635" i="2" s="1"/>
  <c r="Q636" i="2"/>
  <c r="G636" i="2"/>
  <c r="F636" i="2"/>
  <c r="E636" i="2"/>
  <c r="A636" i="2"/>
  <c r="D636" i="2"/>
  <c r="L635" i="2"/>
  <c r="J635" i="2" l="1"/>
  <c r="I636" i="2"/>
  <c r="K637" i="2"/>
  <c r="H637" i="42"/>
  <c r="E637" i="42"/>
  <c r="D637" i="42"/>
  <c r="C637" i="42"/>
  <c r="B638" i="42"/>
  <c r="A637" i="42"/>
  <c r="G637" i="42"/>
  <c r="C636" i="2"/>
  <c r="H636" i="2" s="1"/>
  <c r="L636" i="2"/>
  <c r="F637" i="2"/>
  <c r="D637" i="2"/>
  <c r="E637" i="2"/>
  <c r="A637" i="2"/>
  <c r="G637" i="2"/>
  <c r="Q637" i="2"/>
  <c r="J636" i="2" l="1"/>
  <c r="I637" i="2"/>
  <c r="K638" i="2"/>
  <c r="H638" i="42"/>
  <c r="G638" i="42"/>
  <c r="D638" i="42"/>
  <c r="C638" i="42"/>
  <c r="B639" i="42"/>
  <c r="E638" i="42"/>
  <c r="A638" i="42"/>
  <c r="F638" i="2"/>
  <c r="E638" i="2"/>
  <c r="A638" i="2"/>
  <c r="D638" i="2"/>
  <c r="Q638" i="2"/>
  <c r="G638" i="2"/>
  <c r="C637" i="2"/>
  <c r="H637" i="2" s="1"/>
  <c r="L637" i="2"/>
  <c r="J637" i="2" l="1"/>
  <c r="I638" i="2"/>
  <c r="K639" i="2"/>
  <c r="H639" i="42"/>
  <c r="A639" i="42"/>
  <c r="B640" i="42"/>
  <c r="G639" i="42"/>
  <c r="E639" i="42"/>
  <c r="D639" i="42"/>
  <c r="C639" i="42"/>
  <c r="G639" i="2"/>
  <c r="Q639" i="2"/>
  <c r="F639" i="2"/>
  <c r="D639" i="2"/>
  <c r="E639" i="2"/>
  <c r="A639" i="2"/>
  <c r="C638" i="2"/>
  <c r="H638" i="2" s="1"/>
  <c r="L638" i="2"/>
  <c r="J638" i="2" l="1"/>
  <c r="I639" i="2"/>
  <c r="K640" i="2"/>
  <c r="H640" i="42"/>
  <c r="B641" i="42"/>
  <c r="E640" i="42"/>
  <c r="D640" i="42"/>
  <c r="G640" i="42"/>
  <c r="C640" i="42"/>
  <c r="A640" i="42"/>
  <c r="C639" i="2"/>
  <c r="H639" i="2" s="1"/>
  <c r="L639" i="2"/>
  <c r="G640" i="2"/>
  <c r="Q640" i="2"/>
  <c r="F640" i="2"/>
  <c r="E640" i="2"/>
  <c r="D640" i="2"/>
  <c r="A640" i="2"/>
  <c r="J639" i="2" l="1"/>
  <c r="I640" i="2"/>
  <c r="K641" i="2"/>
  <c r="H641" i="42"/>
  <c r="E641" i="42"/>
  <c r="D641" i="42"/>
  <c r="C641" i="42"/>
  <c r="A641" i="42"/>
  <c r="G641" i="42"/>
  <c r="B642" i="42"/>
  <c r="C640" i="2"/>
  <c r="H640" i="2" s="1"/>
  <c r="L640" i="2"/>
  <c r="F641" i="2"/>
  <c r="Q641" i="2"/>
  <c r="G641" i="2"/>
  <c r="E641" i="2"/>
  <c r="A641" i="2"/>
  <c r="D641" i="2"/>
  <c r="J640" i="2" l="1"/>
  <c r="I641" i="2"/>
  <c r="J641" i="2" s="1"/>
  <c r="K642" i="2"/>
  <c r="C641" i="2"/>
  <c r="H641" i="2" s="1"/>
  <c r="H642" i="42"/>
  <c r="G642" i="42"/>
  <c r="D642" i="42"/>
  <c r="C642" i="42"/>
  <c r="B643" i="42"/>
  <c r="E642" i="42"/>
  <c r="A642" i="42"/>
  <c r="F642" i="2"/>
  <c r="E642" i="2"/>
  <c r="D642" i="2"/>
  <c r="A642" i="2"/>
  <c r="G642" i="2"/>
  <c r="Q642" i="2"/>
  <c r="L641" i="2"/>
  <c r="I642" i="2" l="1"/>
  <c r="K643" i="2"/>
  <c r="C642" i="2"/>
  <c r="H642" i="2" s="1"/>
  <c r="H643" i="42"/>
  <c r="A643" i="42"/>
  <c r="B644" i="42"/>
  <c r="G643" i="42"/>
  <c r="C643" i="42"/>
  <c r="E643" i="42"/>
  <c r="D643" i="42"/>
  <c r="Q643" i="2"/>
  <c r="G643" i="2"/>
  <c r="F643" i="2"/>
  <c r="E643" i="2"/>
  <c r="D643" i="2"/>
  <c r="A643" i="2"/>
  <c r="L642" i="2"/>
  <c r="J642" i="2" l="1"/>
  <c r="I643" i="2"/>
  <c r="K644" i="2"/>
  <c r="H644" i="42"/>
  <c r="B645" i="42"/>
  <c r="C644" i="42"/>
  <c r="E644" i="42"/>
  <c r="G644" i="42"/>
  <c r="D644" i="42"/>
  <c r="A644" i="42"/>
  <c r="L643" i="2"/>
  <c r="A644" i="2"/>
  <c r="F644" i="2"/>
  <c r="D644" i="2"/>
  <c r="Q644" i="2"/>
  <c r="E644" i="2"/>
  <c r="G644" i="2"/>
  <c r="C643" i="2"/>
  <c r="H643" i="2" s="1"/>
  <c r="J643" i="2" l="1"/>
  <c r="I644" i="2"/>
  <c r="K645" i="2"/>
  <c r="H645" i="42"/>
  <c r="E645" i="42"/>
  <c r="D645" i="42"/>
  <c r="C645" i="42"/>
  <c r="B646" i="42"/>
  <c r="A645" i="42"/>
  <c r="G645" i="42"/>
  <c r="C644" i="2"/>
  <c r="H644" i="2" s="1"/>
  <c r="L644" i="2"/>
  <c r="E645" i="2"/>
  <c r="D645" i="2"/>
  <c r="G645" i="2"/>
  <c r="A645" i="2"/>
  <c r="F645" i="2"/>
  <c r="Q645" i="2"/>
  <c r="J644" i="2" l="1"/>
  <c r="I645" i="2"/>
  <c r="K646" i="2"/>
  <c r="H646" i="42"/>
  <c r="G646" i="42"/>
  <c r="D646" i="42"/>
  <c r="C646" i="42"/>
  <c r="B647" i="42"/>
  <c r="E646" i="42"/>
  <c r="A646" i="42"/>
  <c r="C645" i="2"/>
  <c r="H645" i="2" s="1"/>
  <c r="F646" i="2"/>
  <c r="Q646" i="2"/>
  <c r="E646" i="2"/>
  <c r="D646" i="2"/>
  <c r="G646" i="2"/>
  <c r="A646" i="2"/>
  <c r="L645" i="2"/>
  <c r="J645" i="2" l="1"/>
  <c r="I646" i="2"/>
  <c r="K647" i="2"/>
  <c r="H647" i="42"/>
  <c r="B648" i="42"/>
  <c r="A647" i="42"/>
  <c r="C647" i="42"/>
  <c r="G647" i="42"/>
  <c r="E647" i="42"/>
  <c r="D647" i="42"/>
  <c r="C646" i="2"/>
  <c r="H646" i="2" s="1"/>
  <c r="A647" i="2"/>
  <c r="G647" i="2"/>
  <c r="Q647" i="2"/>
  <c r="D647" i="2"/>
  <c r="E647" i="2"/>
  <c r="F647" i="2"/>
  <c r="L646" i="2"/>
  <c r="J646" i="2" l="1"/>
  <c r="I647" i="2"/>
  <c r="J647" i="2" s="1"/>
  <c r="K648" i="2"/>
  <c r="H648" i="42"/>
  <c r="G648" i="42"/>
  <c r="E648" i="42"/>
  <c r="C648" i="42"/>
  <c r="A648" i="42"/>
  <c r="B649" i="42"/>
  <c r="D648" i="42"/>
  <c r="L647" i="2"/>
  <c r="C647" i="2"/>
  <c r="H647" i="2" s="1"/>
  <c r="D648" i="2"/>
  <c r="F648" i="2"/>
  <c r="G648" i="2"/>
  <c r="A648" i="2"/>
  <c r="Q648" i="2"/>
  <c r="E648" i="2"/>
  <c r="I648" i="2" l="1"/>
  <c r="K649" i="2"/>
  <c r="H649" i="42"/>
  <c r="D649" i="42"/>
  <c r="C649" i="42"/>
  <c r="B650" i="42"/>
  <c r="G649" i="42"/>
  <c r="A649" i="42"/>
  <c r="E649" i="42"/>
  <c r="L648" i="2"/>
  <c r="G649" i="2"/>
  <c r="Q649" i="2"/>
  <c r="E649" i="2"/>
  <c r="D649" i="2"/>
  <c r="F649" i="2"/>
  <c r="A649" i="2"/>
  <c r="C648" i="2"/>
  <c r="H648" i="2" s="1"/>
  <c r="J648" i="2" l="1"/>
  <c r="I649" i="2"/>
  <c r="K650" i="2"/>
  <c r="H650" i="42"/>
  <c r="G650" i="42"/>
  <c r="E650" i="42"/>
  <c r="C650" i="42"/>
  <c r="D650" i="42"/>
  <c r="A650" i="42"/>
  <c r="B651" i="42"/>
  <c r="C649" i="2"/>
  <c r="H649" i="2" s="1"/>
  <c r="L649" i="2"/>
  <c r="D650" i="2"/>
  <c r="Q650" i="2"/>
  <c r="F650" i="2"/>
  <c r="G650" i="2"/>
  <c r="E650" i="2"/>
  <c r="A650" i="2"/>
  <c r="J649" i="2" l="1"/>
  <c r="I650" i="2"/>
  <c r="K651" i="2"/>
  <c r="L650" i="2"/>
  <c r="H651" i="42"/>
  <c r="B652" i="42"/>
  <c r="G651" i="42"/>
  <c r="C651" i="42"/>
  <c r="D651" i="42"/>
  <c r="E651" i="42"/>
  <c r="A651" i="42"/>
  <c r="D651" i="2"/>
  <c r="A651" i="2"/>
  <c r="G651" i="2"/>
  <c r="Q651" i="2"/>
  <c r="F651" i="2"/>
  <c r="E651" i="2"/>
  <c r="C650" i="2"/>
  <c r="H650" i="2" s="1"/>
  <c r="J650" i="2" l="1"/>
  <c r="I651" i="2"/>
  <c r="K652" i="2"/>
  <c r="H652" i="42"/>
  <c r="G652" i="42"/>
  <c r="E652" i="42"/>
  <c r="C652" i="42"/>
  <c r="D652" i="42"/>
  <c r="A652" i="42"/>
  <c r="B653" i="42"/>
  <c r="L651" i="2"/>
  <c r="E652" i="2"/>
  <c r="D652" i="2"/>
  <c r="F652" i="2"/>
  <c r="A652" i="2"/>
  <c r="G652" i="2"/>
  <c r="Q652" i="2"/>
  <c r="C651" i="2"/>
  <c r="H651" i="2" s="1"/>
  <c r="J651" i="2" l="1"/>
  <c r="I652" i="2"/>
  <c r="K653" i="2"/>
  <c r="H653" i="42"/>
  <c r="B654" i="42"/>
  <c r="D653" i="42"/>
  <c r="C653" i="42"/>
  <c r="A653" i="42"/>
  <c r="E653" i="42"/>
  <c r="G653" i="42"/>
  <c r="C652" i="2"/>
  <c r="H652" i="2" s="1"/>
  <c r="A653" i="2"/>
  <c r="Q653" i="2"/>
  <c r="G653" i="2"/>
  <c r="E653" i="2"/>
  <c r="F653" i="2"/>
  <c r="D653" i="2"/>
  <c r="L652" i="2"/>
  <c r="J652" i="2" l="1"/>
  <c r="I653" i="2"/>
  <c r="K654" i="2"/>
  <c r="H654" i="42"/>
  <c r="G654" i="42"/>
  <c r="B655" i="42"/>
  <c r="E654" i="42"/>
  <c r="D654" i="42"/>
  <c r="A654" i="42"/>
  <c r="C654" i="42"/>
  <c r="L653" i="2"/>
  <c r="C653" i="2"/>
  <c r="H653" i="2" s="1"/>
  <c r="G654" i="2"/>
  <c r="A654" i="2"/>
  <c r="F654" i="2"/>
  <c r="Q654" i="2"/>
  <c r="D654" i="2"/>
  <c r="E654" i="2"/>
  <c r="J653" i="2" l="1"/>
  <c r="I654" i="2"/>
  <c r="K655" i="2"/>
  <c r="C654" i="2"/>
  <c r="H654" i="2" s="1"/>
  <c r="H655" i="42"/>
  <c r="D655" i="42"/>
  <c r="C655" i="42"/>
  <c r="B656" i="42"/>
  <c r="G655" i="42"/>
  <c r="E655" i="42"/>
  <c r="A655" i="42"/>
  <c r="L654" i="2"/>
  <c r="G655" i="2"/>
  <c r="Q655" i="2"/>
  <c r="F655" i="2"/>
  <c r="D655" i="2"/>
  <c r="E655" i="2"/>
  <c r="A655" i="2"/>
  <c r="J654" i="2" l="1"/>
  <c r="I655" i="2"/>
  <c r="K656" i="2"/>
  <c r="H656" i="42"/>
  <c r="G656" i="42"/>
  <c r="E656" i="42"/>
  <c r="A656" i="42"/>
  <c r="B657" i="42"/>
  <c r="D656" i="42"/>
  <c r="C656" i="42"/>
  <c r="L655" i="2"/>
  <c r="C655" i="2"/>
  <c r="H655" i="2" s="1"/>
  <c r="E656" i="2"/>
  <c r="D656" i="2"/>
  <c r="G656" i="2"/>
  <c r="F656" i="2"/>
  <c r="A656" i="2"/>
  <c r="Q656" i="2"/>
  <c r="J655" i="2" l="1"/>
  <c r="I656" i="2"/>
  <c r="K657" i="2"/>
  <c r="C656" i="2"/>
  <c r="H656" i="2" s="1"/>
  <c r="H657" i="42"/>
  <c r="B658" i="42"/>
  <c r="D657" i="42"/>
  <c r="C657" i="42"/>
  <c r="A657" i="42"/>
  <c r="G657" i="42"/>
  <c r="E657" i="42"/>
  <c r="L656" i="2"/>
  <c r="D657" i="2"/>
  <c r="E657" i="2"/>
  <c r="F657" i="2"/>
  <c r="G657" i="2"/>
  <c r="Q657" i="2"/>
  <c r="A657" i="2"/>
  <c r="J656" i="2" l="1"/>
  <c r="I657" i="2"/>
  <c r="K658" i="2"/>
  <c r="H658" i="42"/>
  <c r="A658" i="42"/>
  <c r="G658" i="42"/>
  <c r="B659" i="42"/>
  <c r="C658" i="42"/>
  <c r="E658" i="42"/>
  <c r="D658" i="42"/>
  <c r="D658" i="2"/>
  <c r="A658" i="2"/>
  <c r="F658" i="2"/>
  <c r="Q658" i="2"/>
  <c r="E658" i="2"/>
  <c r="G658" i="2"/>
  <c r="L657" i="2"/>
  <c r="C657" i="2"/>
  <c r="H657" i="2" s="1"/>
  <c r="J657" i="2" l="1"/>
  <c r="I658" i="2"/>
  <c r="K659" i="2"/>
  <c r="H659" i="42"/>
  <c r="D659" i="42"/>
  <c r="C659" i="42"/>
  <c r="B660" i="42"/>
  <c r="G659" i="42"/>
  <c r="E659" i="42"/>
  <c r="A659" i="42"/>
  <c r="L658" i="2"/>
  <c r="E659" i="2"/>
  <c r="D659" i="2"/>
  <c r="Q659" i="2"/>
  <c r="G659" i="2"/>
  <c r="F659" i="2"/>
  <c r="A659" i="2"/>
  <c r="C658" i="2"/>
  <c r="H658" i="2" s="1"/>
  <c r="J658" i="2" l="1"/>
  <c r="I659" i="2"/>
  <c r="K660" i="2"/>
  <c r="C659" i="2"/>
  <c r="H659" i="2" s="1"/>
  <c r="H660" i="42"/>
  <c r="G660" i="42"/>
  <c r="E660" i="42"/>
  <c r="C660" i="42"/>
  <c r="A660" i="42"/>
  <c r="B661" i="42"/>
  <c r="D660" i="42"/>
  <c r="L659" i="2"/>
  <c r="E660" i="2"/>
  <c r="F660" i="2"/>
  <c r="A660" i="2"/>
  <c r="D660" i="2"/>
  <c r="Q660" i="2"/>
  <c r="G660" i="2"/>
  <c r="J659" i="2" l="1"/>
  <c r="I660" i="2"/>
  <c r="K661" i="2"/>
  <c r="L660" i="2"/>
  <c r="H661" i="42"/>
  <c r="B662" i="42"/>
  <c r="D661" i="42"/>
  <c r="C661" i="42"/>
  <c r="G661" i="42"/>
  <c r="E661" i="42"/>
  <c r="A661" i="42"/>
  <c r="C660" i="2"/>
  <c r="H660" i="2" s="1"/>
  <c r="A661" i="2"/>
  <c r="F661" i="2"/>
  <c r="G661" i="2"/>
  <c r="Q661" i="2"/>
  <c r="E661" i="2"/>
  <c r="D661" i="2"/>
  <c r="J660" i="2" l="1"/>
  <c r="I661" i="2"/>
  <c r="J661" i="2" s="1"/>
  <c r="K662" i="2"/>
  <c r="L661" i="2"/>
  <c r="H662" i="42"/>
  <c r="A662" i="42"/>
  <c r="G662" i="42"/>
  <c r="B663" i="42"/>
  <c r="C662" i="42"/>
  <c r="E662" i="42"/>
  <c r="D662" i="42"/>
  <c r="C661" i="2"/>
  <c r="H661" i="2" s="1"/>
  <c r="G662" i="2"/>
  <c r="F662" i="2"/>
  <c r="D662" i="2"/>
  <c r="Q662" i="2"/>
  <c r="E662" i="2"/>
  <c r="A662" i="2"/>
  <c r="I662" i="2" l="1"/>
  <c r="K663" i="2"/>
  <c r="L662" i="2"/>
  <c r="C662" i="2"/>
  <c r="H662" i="2" s="1"/>
  <c r="H663" i="42"/>
  <c r="D663" i="42"/>
  <c r="C663" i="42"/>
  <c r="B664" i="42"/>
  <c r="G663" i="42"/>
  <c r="A663" i="42"/>
  <c r="E663" i="42"/>
  <c r="G663" i="2"/>
  <c r="A663" i="2"/>
  <c r="Q663" i="2"/>
  <c r="D663" i="2"/>
  <c r="F663" i="2"/>
  <c r="E663" i="2"/>
  <c r="J662" i="2" l="1"/>
  <c r="I663" i="2"/>
  <c r="K664" i="2"/>
  <c r="H664" i="42"/>
  <c r="G664" i="42"/>
  <c r="E664" i="42"/>
  <c r="A664" i="42"/>
  <c r="D664" i="42"/>
  <c r="B665" i="42"/>
  <c r="C664" i="42"/>
  <c r="L663" i="2"/>
  <c r="C663" i="2"/>
  <c r="H663" i="2" s="1"/>
  <c r="G664" i="2"/>
  <c r="F664" i="2"/>
  <c r="D664" i="2"/>
  <c r="A664" i="2"/>
  <c r="E664" i="2"/>
  <c r="Q664" i="2"/>
  <c r="J663" i="2" l="1"/>
  <c r="I664" i="2"/>
  <c r="K665" i="2"/>
  <c r="L664" i="2"/>
  <c r="H665" i="42"/>
  <c r="B666" i="42"/>
  <c r="D665" i="42"/>
  <c r="C665" i="42"/>
  <c r="E665" i="42"/>
  <c r="A665" i="42"/>
  <c r="G665" i="42"/>
  <c r="C664" i="2"/>
  <c r="H664" i="2" s="1"/>
  <c r="D665" i="2"/>
  <c r="A665" i="2"/>
  <c r="Q665" i="2"/>
  <c r="G665" i="2"/>
  <c r="F665" i="2"/>
  <c r="E665" i="2"/>
  <c r="J664" i="2" l="1"/>
  <c r="I665" i="2"/>
  <c r="K666" i="2"/>
  <c r="H666" i="42"/>
  <c r="A666" i="42"/>
  <c r="G666" i="42"/>
  <c r="D666" i="42"/>
  <c r="B667" i="42"/>
  <c r="E666" i="42"/>
  <c r="C666" i="42"/>
  <c r="Q666" i="2"/>
  <c r="G666" i="2"/>
  <c r="D666" i="2"/>
  <c r="F666" i="2"/>
  <c r="E666" i="2"/>
  <c r="A666" i="2"/>
  <c r="C665" i="2"/>
  <c r="H665" i="2" s="1"/>
  <c r="L665" i="2"/>
  <c r="J665" i="2" l="1"/>
  <c r="I666" i="2"/>
  <c r="J666" i="2" s="1"/>
  <c r="K667" i="2"/>
  <c r="L666" i="2"/>
  <c r="H667" i="42"/>
  <c r="D667" i="42"/>
  <c r="C667" i="42"/>
  <c r="B668" i="42"/>
  <c r="A667" i="42"/>
  <c r="G667" i="42"/>
  <c r="E667" i="42"/>
  <c r="C666" i="2"/>
  <c r="H666" i="2" s="1"/>
  <c r="G667" i="2"/>
  <c r="F667" i="2"/>
  <c r="A667" i="2"/>
  <c r="E667" i="2"/>
  <c r="Q667" i="2"/>
  <c r="D667" i="2"/>
  <c r="I667" i="2" l="1"/>
  <c r="K668" i="2"/>
  <c r="L667" i="2"/>
  <c r="H668" i="42"/>
  <c r="G668" i="42"/>
  <c r="E668" i="42"/>
  <c r="C668" i="42"/>
  <c r="B669" i="42"/>
  <c r="D668" i="42"/>
  <c r="A668" i="42"/>
  <c r="C667" i="2"/>
  <c r="H667" i="2" s="1"/>
  <c r="G668" i="2"/>
  <c r="Q668" i="2"/>
  <c r="F668" i="2"/>
  <c r="D668" i="2"/>
  <c r="E668" i="2"/>
  <c r="A668" i="2"/>
  <c r="J667" i="2" l="1"/>
  <c r="I668" i="2"/>
  <c r="K669" i="2"/>
  <c r="H669" i="42"/>
  <c r="B670" i="42"/>
  <c r="D669" i="42"/>
  <c r="C669" i="42"/>
  <c r="A669" i="42"/>
  <c r="G669" i="42"/>
  <c r="E669" i="42"/>
  <c r="L668" i="2"/>
  <c r="G669" i="2"/>
  <c r="A669" i="2"/>
  <c r="E669" i="2"/>
  <c r="F669" i="2"/>
  <c r="D669" i="2"/>
  <c r="Q669" i="2"/>
  <c r="C668" i="2"/>
  <c r="H668" i="2" s="1"/>
  <c r="J668" i="2" l="1"/>
  <c r="I669" i="2"/>
  <c r="K670" i="2"/>
  <c r="H670" i="42"/>
  <c r="A670" i="42"/>
  <c r="G670" i="42"/>
  <c r="B671" i="42"/>
  <c r="C670" i="42"/>
  <c r="E670" i="42"/>
  <c r="D670" i="42"/>
  <c r="L669" i="2"/>
  <c r="Q670" i="2"/>
  <c r="G670" i="2"/>
  <c r="F670" i="2"/>
  <c r="E670" i="2"/>
  <c r="A670" i="2"/>
  <c r="D670" i="2"/>
  <c r="C669" i="2"/>
  <c r="H669" i="2" s="1"/>
  <c r="J669" i="2" l="1"/>
  <c r="I670" i="2"/>
  <c r="K671" i="2"/>
  <c r="K94" i="11" s="1"/>
  <c r="L670" i="2"/>
  <c r="H671" i="42"/>
  <c r="D671" i="42"/>
  <c r="C671" i="42"/>
  <c r="B672" i="42"/>
  <c r="G671" i="42"/>
  <c r="A671" i="42"/>
  <c r="E671" i="42"/>
  <c r="D671" i="2"/>
  <c r="D94" i="11" s="1"/>
  <c r="E671" i="2"/>
  <c r="E94" i="11" s="1"/>
  <c r="E45" i="11" s="1"/>
  <c r="D50" i="8" s="1"/>
  <c r="N94" i="11"/>
  <c r="N45" i="11" s="1"/>
  <c r="M50" i="8" s="1"/>
  <c r="M65" i="8" s="1"/>
  <c r="G671" i="2"/>
  <c r="G94" i="11" s="1"/>
  <c r="G45" i="11" s="1"/>
  <c r="F50" i="8" s="1"/>
  <c r="Q671" i="2"/>
  <c r="Q94" i="11" s="1"/>
  <c r="F671" i="2"/>
  <c r="F94" i="11" s="1"/>
  <c r="F45" i="11" s="1"/>
  <c r="E50" i="8" s="1"/>
  <c r="A671" i="2"/>
  <c r="C670" i="2"/>
  <c r="H670" i="2" s="1"/>
  <c r="J670" i="2" l="1"/>
  <c r="C94" i="11"/>
  <c r="D45" i="11"/>
  <c r="C50" i="8" s="1"/>
  <c r="K45" i="11"/>
  <c r="L94" i="11"/>
  <c r="I94" i="11"/>
  <c r="Q45" i="11"/>
  <c r="P50" i="8" s="1"/>
  <c r="P65" i="8" s="1"/>
  <c r="I671" i="2"/>
  <c r="K672" i="2"/>
  <c r="H672" i="42"/>
  <c r="G672" i="42"/>
  <c r="E672" i="42"/>
  <c r="C672" i="42"/>
  <c r="B673" i="42"/>
  <c r="A672" i="42"/>
  <c r="D672" i="42"/>
  <c r="G672" i="2"/>
  <c r="A672" i="2"/>
  <c r="F672" i="2"/>
  <c r="Q672" i="2"/>
  <c r="E672" i="2"/>
  <c r="D672" i="2"/>
  <c r="L671" i="2"/>
  <c r="C671" i="2"/>
  <c r="H671" i="2" s="1"/>
  <c r="J671" i="2" l="1"/>
  <c r="H94" i="11"/>
  <c r="C45" i="11"/>
  <c r="J50" i="8"/>
  <c r="J65" i="8" s="1"/>
  <c r="L45" i="11"/>
  <c r="K50" i="8" s="1"/>
  <c r="J94" i="11"/>
  <c r="I45" i="11"/>
  <c r="I672" i="2"/>
  <c r="K673" i="2"/>
  <c r="H673" i="42"/>
  <c r="B674" i="42"/>
  <c r="G673" i="42"/>
  <c r="D673" i="42"/>
  <c r="C673" i="42"/>
  <c r="E673" i="42"/>
  <c r="A673" i="42"/>
  <c r="C672" i="2"/>
  <c r="H672" i="2" s="1"/>
  <c r="G673" i="2"/>
  <c r="F673" i="2"/>
  <c r="E673" i="2"/>
  <c r="A673" i="2"/>
  <c r="D673" i="2"/>
  <c r="Q673" i="2"/>
  <c r="L672" i="2"/>
  <c r="J672" i="2" l="1"/>
  <c r="B50" i="8"/>
  <c r="H45" i="11"/>
  <c r="H50" i="8"/>
  <c r="J45" i="11"/>
  <c r="I50" i="8" s="1"/>
  <c r="I673" i="2"/>
  <c r="K674" i="2"/>
  <c r="L673" i="2"/>
  <c r="H674" i="42"/>
  <c r="A674" i="42"/>
  <c r="B675" i="42"/>
  <c r="G674" i="42"/>
  <c r="C674" i="42"/>
  <c r="E674" i="42"/>
  <c r="D674" i="42"/>
  <c r="E674" i="2"/>
  <c r="D674" i="2"/>
  <c r="A674" i="2"/>
  <c r="G674" i="2"/>
  <c r="F674" i="2"/>
  <c r="Q674" i="2"/>
  <c r="C673" i="2"/>
  <c r="H673" i="2" s="1"/>
  <c r="J673" i="2" l="1"/>
  <c r="I674" i="2"/>
  <c r="K675" i="2"/>
  <c r="L674" i="2"/>
  <c r="C674" i="2"/>
  <c r="H674" i="2" s="1"/>
  <c r="H675" i="42"/>
  <c r="D675" i="42"/>
  <c r="C675" i="42"/>
  <c r="B676" i="42"/>
  <c r="A675" i="42"/>
  <c r="G675" i="42"/>
  <c r="E675" i="42"/>
  <c r="Q675" i="2"/>
  <c r="D675" i="2"/>
  <c r="G675" i="2"/>
  <c r="A675" i="2"/>
  <c r="F675" i="2"/>
  <c r="E675" i="2"/>
  <c r="J674" i="2" l="1"/>
  <c r="I675" i="2"/>
  <c r="K676" i="2"/>
  <c r="H676" i="42"/>
  <c r="G676" i="42"/>
  <c r="E676" i="42"/>
  <c r="D676" i="42"/>
  <c r="C676" i="42"/>
  <c r="A676" i="42"/>
  <c r="B677" i="42"/>
  <c r="C675" i="2"/>
  <c r="H675" i="2" s="1"/>
  <c r="L675" i="2"/>
  <c r="E676" i="2"/>
  <c r="Q676" i="2"/>
  <c r="D676" i="2"/>
  <c r="F676" i="2"/>
  <c r="G676" i="2"/>
  <c r="A676" i="2"/>
  <c r="J675" i="2" l="1"/>
  <c r="I676" i="2"/>
  <c r="J676" i="2" s="1"/>
  <c r="K677" i="2"/>
  <c r="L676" i="2"/>
  <c r="E677" i="42"/>
  <c r="B678" i="42"/>
  <c r="H677" i="42"/>
  <c r="D677" i="42"/>
  <c r="C677" i="42"/>
  <c r="A677" i="42"/>
  <c r="G677" i="42"/>
  <c r="C676" i="2"/>
  <c r="H676" i="2" s="1"/>
  <c r="G677" i="2"/>
  <c r="Q677" i="2"/>
  <c r="E677" i="2"/>
  <c r="A677" i="2"/>
  <c r="F677" i="2"/>
  <c r="D677" i="2"/>
  <c r="I677" i="2" l="1"/>
  <c r="K678" i="2"/>
  <c r="E678" i="42"/>
  <c r="A678" i="42"/>
  <c r="D678" i="42"/>
  <c r="B679" i="42"/>
  <c r="H678" i="42"/>
  <c r="G678" i="42"/>
  <c r="C678" i="42"/>
  <c r="C677" i="2"/>
  <c r="H677" i="2" s="1"/>
  <c r="L677" i="2"/>
  <c r="D678" i="2"/>
  <c r="G678" i="2"/>
  <c r="F678" i="2"/>
  <c r="A678" i="2"/>
  <c r="E678" i="2"/>
  <c r="Q678" i="2"/>
  <c r="J677" i="2" l="1"/>
  <c r="I678" i="2"/>
  <c r="K679" i="2"/>
  <c r="E679" i="42"/>
  <c r="B680" i="42"/>
  <c r="H679" i="42"/>
  <c r="G679" i="42"/>
  <c r="C679" i="42"/>
  <c r="D679" i="42"/>
  <c r="A679" i="42"/>
  <c r="L678" i="2"/>
  <c r="C678" i="2"/>
  <c r="H678" i="2" s="1"/>
  <c r="A679" i="2"/>
  <c r="G679" i="2"/>
  <c r="Q679" i="2"/>
  <c r="F679" i="2"/>
  <c r="E679" i="2"/>
  <c r="D679" i="2"/>
  <c r="J678" i="2" l="1"/>
  <c r="I679" i="2"/>
  <c r="K680" i="2"/>
  <c r="C679" i="2"/>
  <c r="H679" i="2" s="1"/>
  <c r="E680" i="42"/>
  <c r="H680" i="42"/>
  <c r="G680" i="42"/>
  <c r="D680" i="42"/>
  <c r="A680" i="42"/>
  <c r="B681" i="42"/>
  <c r="C680" i="42"/>
  <c r="Q680" i="2"/>
  <c r="E680" i="2"/>
  <c r="G680" i="2"/>
  <c r="D680" i="2"/>
  <c r="F680" i="2"/>
  <c r="A680" i="2"/>
  <c r="L679" i="2"/>
  <c r="J679" i="2" l="1"/>
  <c r="I680" i="2"/>
  <c r="K681" i="2"/>
  <c r="E681" i="42"/>
  <c r="A681" i="42"/>
  <c r="G681" i="42"/>
  <c r="D681" i="42"/>
  <c r="B682" i="42"/>
  <c r="H681" i="42"/>
  <c r="C681" i="42"/>
  <c r="C680" i="2"/>
  <c r="H680" i="2" s="1"/>
  <c r="L680" i="2"/>
  <c r="G681" i="2"/>
  <c r="D681" i="2"/>
  <c r="A681" i="2"/>
  <c r="F681" i="2"/>
  <c r="E681" i="2"/>
  <c r="Q681" i="2"/>
  <c r="J680" i="2" l="1"/>
  <c r="I681" i="2"/>
  <c r="K682" i="2"/>
  <c r="E682" i="42"/>
  <c r="H682" i="42"/>
  <c r="C682" i="42"/>
  <c r="B683" i="42"/>
  <c r="G682" i="42"/>
  <c r="D682" i="42"/>
  <c r="A682" i="42"/>
  <c r="L681" i="2"/>
  <c r="C681" i="2"/>
  <c r="H681" i="2" s="1"/>
  <c r="G682" i="2"/>
  <c r="A682" i="2"/>
  <c r="E682" i="2"/>
  <c r="F682" i="2"/>
  <c r="D682" i="2"/>
  <c r="Q682" i="2"/>
  <c r="J681" i="2" l="1"/>
  <c r="I682" i="2"/>
  <c r="K683" i="2"/>
  <c r="C682" i="2"/>
  <c r="H682" i="2" s="1"/>
  <c r="E683" i="42"/>
  <c r="A683" i="42"/>
  <c r="B684" i="42"/>
  <c r="C683" i="42"/>
  <c r="H683" i="42"/>
  <c r="G683" i="42"/>
  <c r="D683" i="42"/>
  <c r="L682" i="2"/>
  <c r="G683" i="2"/>
  <c r="A683" i="2"/>
  <c r="F683" i="2"/>
  <c r="Q683" i="2"/>
  <c r="E683" i="2"/>
  <c r="D683" i="2"/>
  <c r="J682" i="2" l="1"/>
  <c r="I683" i="2"/>
  <c r="K684" i="2"/>
  <c r="E684" i="42"/>
  <c r="H684" i="42"/>
  <c r="C684" i="42"/>
  <c r="B685" i="42"/>
  <c r="G684" i="42"/>
  <c r="A684" i="42"/>
  <c r="D684" i="42"/>
  <c r="L683" i="2"/>
  <c r="C683" i="2"/>
  <c r="H683" i="2" s="1"/>
  <c r="F684" i="2"/>
  <c r="Q684" i="2"/>
  <c r="E684" i="2"/>
  <c r="A684" i="2"/>
  <c r="D684" i="2"/>
  <c r="G684" i="2"/>
  <c r="J683" i="2" l="1"/>
  <c r="I684" i="2"/>
  <c r="K685" i="2"/>
  <c r="E685" i="42"/>
  <c r="B686" i="42"/>
  <c r="D685" i="42"/>
  <c r="A685" i="42"/>
  <c r="C685" i="42"/>
  <c r="G685" i="42"/>
  <c r="H685" i="42"/>
  <c r="G685" i="2"/>
  <c r="Q685" i="2"/>
  <c r="F685" i="2"/>
  <c r="E685" i="2"/>
  <c r="D685" i="2"/>
  <c r="A685" i="2"/>
  <c r="L684" i="2"/>
  <c r="C684" i="2"/>
  <c r="H684" i="2" s="1"/>
  <c r="J684" i="2" l="1"/>
  <c r="I685" i="2"/>
  <c r="K686" i="2"/>
  <c r="E686" i="42"/>
  <c r="B687" i="42"/>
  <c r="H686" i="42"/>
  <c r="C686" i="42"/>
  <c r="D686" i="42"/>
  <c r="A686" i="42"/>
  <c r="G686" i="42"/>
  <c r="C685" i="2"/>
  <c r="H685" i="2" s="1"/>
  <c r="A686" i="2"/>
  <c r="F686" i="2"/>
  <c r="Q686" i="2"/>
  <c r="D686" i="2"/>
  <c r="G686" i="2"/>
  <c r="E686" i="2"/>
  <c r="L685" i="2"/>
  <c r="J685" i="2" l="1"/>
  <c r="I686" i="2"/>
  <c r="K687" i="2"/>
  <c r="L686" i="2"/>
  <c r="C686" i="2"/>
  <c r="H686" i="2" s="1"/>
  <c r="E687" i="42"/>
  <c r="B688" i="42"/>
  <c r="D687" i="42"/>
  <c r="H687" i="42"/>
  <c r="G687" i="42"/>
  <c r="C687" i="42"/>
  <c r="A687" i="42"/>
  <c r="F687" i="2"/>
  <c r="E687" i="2"/>
  <c r="G687" i="2"/>
  <c r="Q687" i="2"/>
  <c r="D687" i="2"/>
  <c r="A687" i="2"/>
  <c r="J686" i="2" l="1"/>
  <c r="I687" i="2"/>
  <c r="K688" i="2"/>
  <c r="E688" i="42"/>
  <c r="B689" i="42"/>
  <c r="H688" i="42"/>
  <c r="C688" i="42"/>
  <c r="G688" i="42"/>
  <c r="A688" i="42"/>
  <c r="D688" i="42"/>
  <c r="G688" i="2"/>
  <c r="F688" i="2"/>
  <c r="A688" i="2"/>
  <c r="D688" i="2"/>
  <c r="E688" i="2"/>
  <c r="Q688" i="2"/>
  <c r="L687" i="2"/>
  <c r="C687" i="2"/>
  <c r="H687" i="2" s="1"/>
  <c r="J687" i="2" l="1"/>
  <c r="I688" i="2"/>
  <c r="J688" i="2" s="1"/>
  <c r="K689" i="2"/>
  <c r="E689" i="42"/>
  <c r="B690" i="42"/>
  <c r="D689" i="42"/>
  <c r="C689" i="42"/>
  <c r="A689" i="42"/>
  <c r="H689" i="42"/>
  <c r="G689" i="42"/>
  <c r="C688" i="2"/>
  <c r="H688" i="2" s="1"/>
  <c r="Q689" i="2"/>
  <c r="D689" i="2"/>
  <c r="G689" i="2"/>
  <c r="E689" i="2"/>
  <c r="F689" i="2"/>
  <c r="A689" i="2"/>
  <c r="L688" i="2"/>
  <c r="I689" i="2" l="1"/>
  <c r="K690" i="2"/>
  <c r="H690" i="42"/>
  <c r="E690" i="42"/>
  <c r="C690" i="42"/>
  <c r="A690" i="42"/>
  <c r="B691" i="42"/>
  <c r="G690" i="42"/>
  <c r="D690" i="42"/>
  <c r="C689" i="2"/>
  <c r="H689" i="2" s="1"/>
  <c r="L689" i="2"/>
  <c r="F690" i="2"/>
  <c r="Q690" i="2"/>
  <c r="D690" i="2"/>
  <c r="E690" i="2"/>
  <c r="A690" i="2"/>
  <c r="G690" i="2"/>
  <c r="J689" i="2" l="1"/>
  <c r="I690" i="2"/>
  <c r="J690" i="2" s="1"/>
  <c r="K691" i="2"/>
  <c r="H691" i="42"/>
  <c r="D691" i="42"/>
  <c r="C691" i="42"/>
  <c r="G691" i="42"/>
  <c r="A691" i="42"/>
  <c r="B692" i="42"/>
  <c r="E691" i="42"/>
  <c r="L690" i="2"/>
  <c r="C690" i="2"/>
  <c r="H690" i="2" s="1"/>
  <c r="D691" i="2"/>
  <c r="G691" i="2"/>
  <c r="A691" i="2"/>
  <c r="F691" i="2"/>
  <c r="Q691" i="2"/>
  <c r="E691" i="2"/>
  <c r="I691" i="2" l="1"/>
  <c r="K692" i="2"/>
  <c r="H692" i="42"/>
  <c r="A692" i="42"/>
  <c r="G692" i="42"/>
  <c r="E692" i="42"/>
  <c r="C692" i="42"/>
  <c r="D692" i="42"/>
  <c r="B693" i="42"/>
  <c r="E692" i="2"/>
  <c r="D692" i="2"/>
  <c r="Q692" i="2"/>
  <c r="G692" i="2"/>
  <c r="F692" i="2"/>
  <c r="A692" i="2"/>
  <c r="L691" i="2"/>
  <c r="C691" i="2"/>
  <c r="H691" i="2" s="1"/>
  <c r="J691" i="2" l="1"/>
  <c r="I692" i="2"/>
  <c r="K693" i="2"/>
  <c r="H693" i="42"/>
  <c r="B694" i="42"/>
  <c r="C693" i="42"/>
  <c r="D693" i="42"/>
  <c r="A693" i="42"/>
  <c r="E693" i="42"/>
  <c r="G693" i="42"/>
  <c r="C692" i="2"/>
  <c r="H692" i="2" s="1"/>
  <c r="L692" i="2"/>
  <c r="A693" i="2"/>
  <c r="D693" i="2"/>
  <c r="Q693" i="2"/>
  <c r="E693" i="2"/>
  <c r="G693" i="2"/>
  <c r="F693" i="2"/>
  <c r="J692" i="2" l="1"/>
  <c r="I693" i="2"/>
  <c r="K694" i="2"/>
  <c r="H694" i="42"/>
  <c r="E694" i="42"/>
  <c r="A694" i="42"/>
  <c r="B695" i="42"/>
  <c r="C694" i="42"/>
  <c r="G694" i="42"/>
  <c r="D694" i="42"/>
  <c r="L693" i="2"/>
  <c r="C693" i="2"/>
  <c r="H693" i="2" s="1"/>
  <c r="F694" i="2"/>
  <c r="Q694" i="2"/>
  <c r="E694" i="2"/>
  <c r="D694" i="2"/>
  <c r="G694" i="2"/>
  <c r="A694" i="2"/>
  <c r="J693" i="2" l="1"/>
  <c r="I694" i="2"/>
  <c r="K695" i="2"/>
  <c r="L694" i="2"/>
  <c r="H695" i="42"/>
  <c r="D695" i="42"/>
  <c r="C695" i="42"/>
  <c r="B696" i="42"/>
  <c r="G695" i="42"/>
  <c r="A695" i="42"/>
  <c r="E695" i="42"/>
  <c r="C694" i="2"/>
  <c r="H694" i="2" s="1"/>
  <c r="A695" i="2"/>
  <c r="Q695" i="2"/>
  <c r="F695" i="2"/>
  <c r="E695" i="2"/>
  <c r="G695" i="2"/>
  <c r="D695" i="2"/>
  <c r="J694" i="2" l="1"/>
  <c r="I695" i="2"/>
  <c r="K696" i="2"/>
  <c r="L695" i="2"/>
  <c r="H696" i="42"/>
  <c r="A696" i="42"/>
  <c r="G696" i="42"/>
  <c r="E696" i="42"/>
  <c r="D696" i="42"/>
  <c r="C696" i="42"/>
  <c r="B697" i="42"/>
  <c r="C695" i="2"/>
  <c r="H695" i="2" s="1"/>
  <c r="E696" i="2"/>
  <c r="D696" i="2"/>
  <c r="Q696" i="2"/>
  <c r="G696" i="2"/>
  <c r="F696" i="2"/>
  <c r="A696" i="2"/>
  <c r="J695" i="2" l="1"/>
  <c r="I696" i="2"/>
  <c r="K697" i="2"/>
  <c r="C696" i="2"/>
  <c r="H696" i="2" s="1"/>
  <c r="H697" i="42"/>
  <c r="B698" i="42"/>
  <c r="E697" i="42"/>
  <c r="A697" i="42"/>
  <c r="D697" i="42"/>
  <c r="G697" i="42"/>
  <c r="C697" i="42"/>
  <c r="L696" i="2"/>
  <c r="A697" i="2"/>
  <c r="G697" i="2"/>
  <c r="Q697" i="2"/>
  <c r="F697" i="2"/>
  <c r="E697" i="2"/>
  <c r="D697" i="2"/>
  <c r="J696" i="2" l="1"/>
  <c r="I697" i="2"/>
  <c r="K698" i="2"/>
  <c r="L697" i="2"/>
  <c r="H698" i="42"/>
  <c r="E698" i="42"/>
  <c r="A698" i="42"/>
  <c r="D698" i="42"/>
  <c r="B699" i="42"/>
  <c r="G698" i="42"/>
  <c r="C698" i="42"/>
  <c r="C697" i="2"/>
  <c r="H697" i="2" s="1"/>
  <c r="A698" i="2"/>
  <c r="G698" i="2"/>
  <c r="Q698" i="2"/>
  <c r="D698" i="2"/>
  <c r="F698" i="2"/>
  <c r="E698" i="2"/>
  <c r="J697" i="2" l="1"/>
  <c r="I698" i="2"/>
  <c r="K699" i="2"/>
  <c r="L698" i="2"/>
  <c r="H699" i="42"/>
  <c r="D699" i="42"/>
  <c r="C699" i="42"/>
  <c r="A699" i="42"/>
  <c r="B700" i="42"/>
  <c r="G699" i="42"/>
  <c r="E699" i="42"/>
  <c r="C698" i="2"/>
  <c r="H698" i="2" s="1"/>
  <c r="D699" i="2"/>
  <c r="A699" i="2"/>
  <c r="Q699" i="2"/>
  <c r="G699" i="2"/>
  <c r="E699" i="2"/>
  <c r="F699" i="2"/>
  <c r="J698" i="2" l="1"/>
  <c r="I699" i="2"/>
  <c r="K700" i="2"/>
  <c r="H700" i="42"/>
  <c r="A700" i="42"/>
  <c r="G700" i="42"/>
  <c r="E700" i="42"/>
  <c r="B701" i="42"/>
  <c r="D700" i="42"/>
  <c r="C700" i="42"/>
  <c r="C699" i="2"/>
  <c r="H699" i="2" s="1"/>
  <c r="Q700" i="2"/>
  <c r="G700" i="2"/>
  <c r="F700" i="2"/>
  <c r="A700" i="2"/>
  <c r="D700" i="2"/>
  <c r="E700" i="2"/>
  <c r="L699" i="2"/>
  <c r="J699" i="2" l="1"/>
  <c r="I700" i="2"/>
  <c r="K701" i="2"/>
  <c r="L700" i="2"/>
  <c r="C700" i="2"/>
  <c r="H700" i="2" s="1"/>
  <c r="H701" i="42"/>
  <c r="B702" i="42"/>
  <c r="G701" i="42"/>
  <c r="E701" i="42"/>
  <c r="D701" i="42"/>
  <c r="A701" i="42"/>
  <c r="C701" i="42"/>
  <c r="A701" i="2"/>
  <c r="F701" i="2"/>
  <c r="E701" i="2"/>
  <c r="Q701" i="2"/>
  <c r="D701" i="2"/>
  <c r="G701" i="2"/>
  <c r="J700" i="2" l="1"/>
  <c r="I701" i="2"/>
  <c r="K702" i="2"/>
  <c r="L701" i="2"/>
  <c r="H702" i="42"/>
  <c r="E702" i="42"/>
  <c r="D702" i="42"/>
  <c r="C702" i="42"/>
  <c r="A702" i="42"/>
  <c r="B703" i="42"/>
  <c r="G702" i="42"/>
  <c r="Q702" i="2"/>
  <c r="E702" i="2"/>
  <c r="D702" i="2"/>
  <c r="G702" i="2"/>
  <c r="F702" i="2"/>
  <c r="A702" i="2"/>
  <c r="C701" i="2"/>
  <c r="H701" i="2" s="1"/>
  <c r="J701" i="2" l="1"/>
  <c r="I702" i="2"/>
  <c r="J702" i="2" s="1"/>
  <c r="K703" i="2"/>
  <c r="L702" i="2"/>
  <c r="C702" i="2"/>
  <c r="H702" i="2" s="1"/>
  <c r="H703" i="42"/>
  <c r="G703" i="42"/>
  <c r="E703" i="42"/>
  <c r="D703" i="42"/>
  <c r="C703" i="42"/>
  <c r="B704" i="42"/>
  <c r="A703" i="42"/>
  <c r="F703" i="2"/>
  <c r="Q703" i="2"/>
  <c r="D703" i="2"/>
  <c r="G703" i="2"/>
  <c r="A703" i="2"/>
  <c r="E703" i="2"/>
  <c r="I703" i="2" l="1"/>
  <c r="J703" i="2" s="1"/>
  <c r="K704" i="2"/>
  <c r="H704" i="42"/>
  <c r="A704" i="42"/>
  <c r="B705" i="42"/>
  <c r="G704" i="42"/>
  <c r="E704" i="42"/>
  <c r="C704" i="42"/>
  <c r="D704" i="42"/>
  <c r="L703" i="2"/>
  <c r="C703" i="2"/>
  <c r="H703" i="2" s="1"/>
  <c r="G704" i="2"/>
  <c r="Q704" i="2"/>
  <c r="F704" i="2"/>
  <c r="D704" i="2"/>
  <c r="A704" i="2"/>
  <c r="E704" i="2"/>
  <c r="I704" i="2" l="1"/>
  <c r="J704" i="2" s="1"/>
  <c r="K705" i="2"/>
  <c r="C704" i="2"/>
  <c r="H704" i="2" s="1"/>
  <c r="H705" i="42"/>
  <c r="A705" i="42"/>
  <c r="B706" i="42"/>
  <c r="C705" i="42"/>
  <c r="G705" i="42"/>
  <c r="E705" i="42"/>
  <c r="D705" i="42"/>
  <c r="F705" i="2"/>
  <c r="Q705" i="2"/>
  <c r="E705" i="2"/>
  <c r="D705" i="2"/>
  <c r="G705" i="2"/>
  <c r="A705" i="2"/>
  <c r="L704" i="2"/>
  <c r="I705" i="2" l="1"/>
  <c r="J705" i="2" s="1"/>
  <c r="K706" i="2"/>
  <c r="C705" i="2"/>
  <c r="H705" i="2" s="1"/>
  <c r="H706" i="42"/>
  <c r="E706" i="42"/>
  <c r="D706" i="42"/>
  <c r="C706" i="42"/>
  <c r="A706" i="42"/>
  <c r="G706" i="42"/>
  <c r="B707" i="42"/>
  <c r="L705" i="2"/>
  <c r="A706" i="2"/>
  <c r="G706" i="2"/>
  <c r="Q706" i="2"/>
  <c r="F706" i="2"/>
  <c r="E706" i="2"/>
  <c r="D706" i="2"/>
  <c r="I706" i="2" l="1"/>
  <c r="K707" i="2"/>
  <c r="C706" i="2"/>
  <c r="H706" i="2" s="1"/>
  <c r="H707" i="42"/>
  <c r="G707" i="42"/>
  <c r="E707" i="42"/>
  <c r="D707" i="42"/>
  <c r="C707" i="42"/>
  <c r="A707" i="42"/>
  <c r="B708" i="42"/>
  <c r="D707" i="2"/>
  <c r="A707" i="2"/>
  <c r="Q707" i="2"/>
  <c r="G707" i="2"/>
  <c r="F707" i="2"/>
  <c r="E707" i="2"/>
  <c r="L706" i="2"/>
  <c r="J706" i="2" l="1"/>
  <c r="I707" i="2"/>
  <c r="K708" i="2"/>
  <c r="H708" i="42"/>
  <c r="A708" i="42"/>
  <c r="B709" i="42"/>
  <c r="G708" i="42"/>
  <c r="E708" i="42"/>
  <c r="C708" i="42"/>
  <c r="D708" i="42"/>
  <c r="L707" i="2"/>
  <c r="D708" i="2"/>
  <c r="E708" i="2"/>
  <c r="G708" i="2"/>
  <c r="A708" i="2"/>
  <c r="F708" i="2"/>
  <c r="Q708" i="2"/>
  <c r="C707" i="2"/>
  <c r="H707" i="2" s="1"/>
  <c r="J707" i="2" l="1"/>
  <c r="I708" i="2"/>
  <c r="K709" i="2"/>
  <c r="H709" i="42"/>
  <c r="A709" i="42"/>
  <c r="B710" i="42"/>
  <c r="E709" i="42"/>
  <c r="D709" i="42"/>
  <c r="C709" i="42"/>
  <c r="G709" i="42"/>
  <c r="C708" i="2"/>
  <c r="H708" i="2" s="1"/>
  <c r="L708" i="2"/>
  <c r="F709" i="2"/>
  <c r="E709" i="2"/>
  <c r="D709" i="2"/>
  <c r="A709" i="2"/>
  <c r="Q709" i="2"/>
  <c r="G709" i="2"/>
  <c r="J708" i="2" l="1"/>
  <c r="I709" i="2"/>
  <c r="K710" i="2"/>
  <c r="C709" i="2"/>
  <c r="H709" i="2" s="1"/>
  <c r="H710" i="42"/>
  <c r="E710" i="42"/>
  <c r="D710" i="42"/>
  <c r="C710" i="42"/>
  <c r="A710" i="42"/>
  <c r="B711" i="42"/>
  <c r="G710" i="42"/>
  <c r="L709" i="2"/>
  <c r="G710" i="2"/>
  <c r="E710" i="2"/>
  <c r="F710" i="2"/>
  <c r="Q710" i="2"/>
  <c r="D710" i="2"/>
  <c r="A710" i="2"/>
  <c r="J709" i="2" l="1"/>
  <c r="I710" i="2"/>
  <c r="K711" i="2"/>
  <c r="H711" i="42"/>
  <c r="G711" i="42"/>
  <c r="E711" i="42"/>
  <c r="D711" i="42"/>
  <c r="C711" i="42"/>
  <c r="A711" i="42"/>
  <c r="B712" i="42"/>
  <c r="L710" i="2"/>
  <c r="C710" i="2"/>
  <c r="H710" i="2" s="1"/>
  <c r="D711" i="2"/>
  <c r="E711" i="2"/>
  <c r="A711" i="2"/>
  <c r="F711" i="2"/>
  <c r="G711" i="2"/>
  <c r="Q711" i="2"/>
  <c r="J710" i="2" l="1"/>
  <c r="I711" i="2"/>
  <c r="K712" i="2"/>
  <c r="L711" i="2"/>
  <c r="H712" i="42"/>
  <c r="A712" i="42"/>
  <c r="B713" i="42"/>
  <c r="G712" i="42"/>
  <c r="E712" i="42"/>
  <c r="D712" i="42"/>
  <c r="C712" i="42"/>
  <c r="C711" i="2"/>
  <c r="H711" i="2" s="1"/>
  <c r="D712" i="2"/>
  <c r="G712" i="2"/>
  <c r="A712" i="2"/>
  <c r="F712" i="2"/>
  <c r="E712" i="2"/>
  <c r="Q712" i="2"/>
  <c r="J711" i="2" l="1"/>
  <c r="I712" i="2"/>
  <c r="J712" i="2" s="1"/>
  <c r="K713" i="2"/>
  <c r="H713" i="42"/>
  <c r="A713" i="42"/>
  <c r="B714" i="42"/>
  <c r="D713" i="42"/>
  <c r="G713" i="42"/>
  <c r="E713" i="42"/>
  <c r="C713" i="42"/>
  <c r="D713" i="2"/>
  <c r="Q713" i="2"/>
  <c r="G713" i="2"/>
  <c r="F713" i="2"/>
  <c r="A713" i="2"/>
  <c r="E713" i="2"/>
  <c r="C712" i="2"/>
  <c r="H712" i="2" s="1"/>
  <c r="L712" i="2"/>
  <c r="I713" i="2" l="1"/>
  <c r="K714" i="2"/>
  <c r="H714" i="42"/>
  <c r="E714" i="42"/>
  <c r="D714" i="42"/>
  <c r="C714" i="42"/>
  <c r="A714" i="42"/>
  <c r="B715" i="42"/>
  <c r="G714" i="42"/>
  <c r="L713" i="2"/>
  <c r="F714" i="2"/>
  <c r="D714" i="2"/>
  <c r="E714" i="2"/>
  <c r="A714" i="2"/>
  <c r="Q714" i="2"/>
  <c r="G714" i="2"/>
  <c r="C713" i="2"/>
  <c r="H713" i="2" s="1"/>
  <c r="J713" i="2" l="1"/>
  <c r="I714" i="2"/>
  <c r="J714" i="2" s="1"/>
  <c r="K715" i="2"/>
  <c r="H715" i="42"/>
  <c r="G715" i="42"/>
  <c r="E715" i="42"/>
  <c r="D715" i="42"/>
  <c r="C715" i="42"/>
  <c r="B716" i="42"/>
  <c r="A715" i="42"/>
  <c r="Q715" i="2"/>
  <c r="G715" i="2"/>
  <c r="F715" i="2"/>
  <c r="E715" i="2"/>
  <c r="D715" i="2"/>
  <c r="A715" i="2"/>
  <c r="C714" i="2"/>
  <c r="H714" i="2" s="1"/>
  <c r="L714" i="2"/>
  <c r="I715" i="2" l="1"/>
  <c r="K716" i="2"/>
  <c r="H716" i="42"/>
  <c r="A716" i="42"/>
  <c r="B717" i="42"/>
  <c r="G716" i="42"/>
  <c r="E716" i="42"/>
  <c r="C716" i="42"/>
  <c r="D716" i="42"/>
  <c r="L715" i="2"/>
  <c r="C715" i="2"/>
  <c r="H715" i="2" s="1"/>
  <c r="G716" i="2"/>
  <c r="Q716" i="2"/>
  <c r="F716" i="2"/>
  <c r="E716" i="2"/>
  <c r="D716" i="2"/>
  <c r="A716" i="2"/>
  <c r="J715" i="2" l="1"/>
  <c r="I716" i="2"/>
  <c r="K717" i="2"/>
  <c r="L716" i="2"/>
  <c r="H717" i="42"/>
  <c r="D717" i="42"/>
  <c r="E717" i="42"/>
  <c r="A717" i="42"/>
  <c r="B718" i="42"/>
  <c r="G717" i="42"/>
  <c r="C717" i="42"/>
  <c r="F717" i="2"/>
  <c r="D717" i="2"/>
  <c r="Q717" i="2"/>
  <c r="E717" i="2"/>
  <c r="A717" i="2"/>
  <c r="G717" i="2"/>
  <c r="C716" i="2"/>
  <c r="H716" i="2" s="1"/>
  <c r="J716" i="2" l="1"/>
  <c r="I717" i="2"/>
  <c r="K718" i="2"/>
  <c r="H718" i="42"/>
  <c r="D718" i="42"/>
  <c r="B719" i="42"/>
  <c r="G718" i="42"/>
  <c r="C718" i="42"/>
  <c r="E718" i="42"/>
  <c r="A718" i="42"/>
  <c r="C717" i="2"/>
  <c r="H717" i="2" s="1"/>
  <c r="G718" i="2"/>
  <c r="A718" i="2"/>
  <c r="F718" i="2"/>
  <c r="Q718" i="2"/>
  <c r="D718" i="2"/>
  <c r="E718" i="2"/>
  <c r="L717" i="2"/>
  <c r="J717" i="2" l="1"/>
  <c r="I718" i="2"/>
  <c r="J718" i="2" s="1"/>
  <c r="K719" i="2"/>
  <c r="C718" i="2"/>
  <c r="H718" i="2" s="1"/>
  <c r="L718" i="2"/>
  <c r="H719" i="42"/>
  <c r="G719" i="42"/>
  <c r="D719" i="42"/>
  <c r="E719" i="42"/>
  <c r="A719" i="42"/>
  <c r="C719" i="42"/>
  <c r="B720" i="42"/>
  <c r="D719" i="2"/>
  <c r="E719" i="2"/>
  <c r="A719" i="2"/>
  <c r="G719" i="2"/>
  <c r="F719" i="2"/>
  <c r="Q719" i="2"/>
  <c r="I719" i="2" l="1"/>
  <c r="K720" i="2"/>
  <c r="H720" i="42"/>
  <c r="G720" i="42"/>
  <c r="D720" i="42"/>
  <c r="A720" i="42"/>
  <c r="B721" i="42"/>
  <c r="C720" i="42"/>
  <c r="E720" i="42"/>
  <c r="D720" i="2"/>
  <c r="A720" i="2"/>
  <c r="E720" i="2"/>
  <c r="Q720" i="2"/>
  <c r="F720" i="2"/>
  <c r="G720" i="2"/>
  <c r="L719" i="2"/>
  <c r="C719" i="2"/>
  <c r="H719" i="2" s="1"/>
  <c r="J719" i="2" l="1"/>
  <c r="I720" i="2"/>
  <c r="K721" i="2"/>
  <c r="L720" i="2"/>
  <c r="H721" i="42"/>
  <c r="G721" i="42"/>
  <c r="D721" i="42"/>
  <c r="B722" i="42"/>
  <c r="C721" i="42"/>
  <c r="E721" i="42"/>
  <c r="A721" i="42"/>
  <c r="D721" i="2"/>
  <c r="A721" i="2"/>
  <c r="E721" i="2"/>
  <c r="Q721" i="2"/>
  <c r="G721" i="2"/>
  <c r="F721" i="2"/>
  <c r="C720" i="2"/>
  <c r="H720" i="2" s="1"/>
  <c r="J720" i="2" l="1"/>
  <c r="I721" i="2"/>
  <c r="K722" i="2"/>
  <c r="H722" i="42"/>
  <c r="G722" i="42"/>
  <c r="D722" i="42"/>
  <c r="B723" i="42"/>
  <c r="C722" i="42"/>
  <c r="E722" i="42"/>
  <c r="A722" i="42"/>
  <c r="D722" i="2"/>
  <c r="A722" i="2"/>
  <c r="F722" i="2"/>
  <c r="E722" i="2"/>
  <c r="Q722" i="2"/>
  <c r="G722" i="2"/>
  <c r="L721" i="2"/>
  <c r="C721" i="2"/>
  <c r="H721" i="2" s="1"/>
  <c r="J721" i="2" l="1"/>
  <c r="I722" i="2"/>
  <c r="J722" i="2" s="1"/>
  <c r="K723" i="2"/>
  <c r="H723" i="42"/>
  <c r="G723" i="42"/>
  <c r="D723" i="42"/>
  <c r="E723" i="42"/>
  <c r="A723" i="42"/>
  <c r="B724" i="42"/>
  <c r="C723" i="42"/>
  <c r="C722" i="2"/>
  <c r="H722" i="2" s="1"/>
  <c r="L722" i="2"/>
  <c r="Q723" i="2"/>
  <c r="F723" i="2"/>
  <c r="E723" i="2"/>
  <c r="D723" i="2"/>
  <c r="G723" i="2"/>
  <c r="A723" i="2"/>
  <c r="I723" i="2" l="1"/>
  <c r="K724" i="2"/>
  <c r="L723" i="2"/>
  <c r="H724" i="42"/>
  <c r="G724" i="42"/>
  <c r="D724" i="42"/>
  <c r="A724" i="42"/>
  <c r="E724" i="42"/>
  <c r="B725" i="42"/>
  <c r="C724" i="42"/>
  <c r="C723" i="2"/>
  <c r="H723" i="2" s="1"/>
  <c r="D724" i="2"/>
  <c r="Q724" i="2"/>
  <c r="G724" i="2"/>
  <c r="E724" i="2"/>
  <c r="A724" i="2"/>
  <c r="F724" i="2"/>
  <c r="J723" i="2" l="1"/>
  <c r="I724" i="2"/>
  <c r="K725" i="2"/>
  <c r="K27" i="13" s="1"/>
  <c r="H725" i="42"/>
  <c r="G725" i="42"/>
  <c r="D725" i="42"/>
  <c r="C725" i="42"/>
  <c r="E725" i="42"/>
  <c r="B726" i="42"/>
  <c r="A725" i="42"/>
  <c r="L724" i="2"/>
  <c r="C724" i="2"/>
  <c r="H724" i="2" s="1"/>
  <c r="Q725" i="2"/>
  <c r="Q27" i="13" s="1"/>
  <c r="G725" i="2"/>
  <c r="G27" i="13" s="1"/>
  <c r="F725" i="2"/>
  <c r="E725" i="2"/>
  <c r="E27" i="13" s="1"/>
  <c r="D725" i="2"/>
  <c r="A725" i="2"/>
  <c r="U5" i="5"/>
  <c r="K6" i="14"/>
  <c r="W5" i="10"/>
  <c r="D5" i="4"/>
  <c r="G7" i="11"/>
  <c r="E6" i="14"/>
  <c r="U23" i="12"/>
  <c r="X21" i="12"/>
  <c r="Y6" i="15"/>
  <c r="D30" i="12"/>
  <c r="D4" i="13"/>
  <c r="W11" i="11"/>
  <c r="U6" i="1"/>
  <c r="U7" i="12"/>
  <c r="D4" i="14"/>
  <c r="E5" i="4"/>
  <c r="X9" i="4"/>
  <c r="D6" i="12"/>
  <c r="X6" i="12"/>
  <c r="T7" i="15"/>
  <c r="X30" i="12"/>
  <c r="D6" i="9"/>
  <c r="T13" i="12"/>
  <c r="Y32" i="12"/>
  <c r="W5" i="4"/>
  <c r="Y8" i="16"/>
  <c r="P28" i="12"/>
  <c r="W4" i="9"/>
  <c r="X4" i="12"/>
  <c r="Y12" i="12"/>
  <c r="T6" i="5"/>
  <c r="Y5" i="12"/>
  <c r="Y11" i="12"/>
  <c r="O5" i="10"/>
  <c r="U9" i="12"/>
  <c r="X23" i="12"/>
  <c r="K32" i="12"/>
  <c r="Y21" i="12"/>
  <c r="W8" i="4"/>
  <c r="U4" i="11"/>
  <c r="T7" i="5"/>
  <c r="T30" i="12"/>
  <c r="E4" i="10"/>
  <c r="E7" i="12"/>
  <c r="T5" i="11"/>
  <c r="X6" i="3"/>
  <c r="O5" i="3"/>
  <c r="Y15" i="12"/>
  <c r="D4" i="11"/>
  <c r="D5" i="16"/>
  <c r="Y7" i="10"/>
  <c r="T18" i="12"/>
  <c r="X4" i="14"/>
  <c r="Y10" i="12"/>
  <c r="W7" i="4"/>
  <c r="W19" i="12"/>
  <c r="T11" i="11"/>
  <c r="E9" i="15"/>
  <c r="T7" i="16"/>
  <c r="P20" i="12"/>
  <c r="R5" i="1"/>
  <c r="U6" i="11"/>
  <c r="F22" i="12"/>
  <c r="X7" i="12"/>
  <c r="U16" i="12"/>
  <c r="T4" i="11"/>
  <c r="Y9" i="11"/>
  <c r="R26" i="12"/>
  <c r="G16" i="12"/>
  <c r="N30" i="12"/>
  <c r="W23" i="12"/>
  <c r="X6" i="10"/>
  <c r="N29" i="12"/>
  <c r="U13" i="12"/>
  <c r="T7" i="9"/>
  <c r="P5" i="4"/>
  <c r="R8" i="3"/>
  <c r="W29" i="12"/>
  <c r="U4" i="14"/>
  <c r="X6" i="1"/>
  <c r="Y13" i="12"/>
  <c r="X26" i="12"/>
  <c r="D8" i="12"/>
  <c r="T19" i="12"/>
  <c r="F6" i="10"/>
  <c r="T4" i="10"/>
  <c r="E6" i="12"/>
  <c r="G6" i="14"/>
  <c r="D6" i="11"/>
  <c r="Y6" i="10"/>
  <c r="U18" i="12"/>
  <c r="T8" i="3"/>
  <c r="D4" i="12"/>
  <c r="X11" i="12"/>
  <c r="U19" i="12"/>
  <c r="W9" i="11"/>
  <c r="G5" i="14"/>
  <c r="Y4" i="3"/>
  <c r="Y28" i="12"/>
  <c r="X7" i="5"/>
  <c r="D21" i="12"/>
  <c r="T22" i="12"/>
  <c r="T5" i="13"/>
  <c r="Y7" i="3"/>
  <c r="Y4" i="5"/>
  <c r="W6" i="9"/>
  <c r="W5" i="12"/>
  <c r="Y5" i="14"/>
  <c r="G10" i="11"/>
  <c r="Y20" i="12"/>
  <c r="O7" i="1"/>
  <c r="U7" i="3"/>
  <c r="U20" i="12"/>
  <c r="U8" i="15"/>
  <c r="F4" i="9"/>
  <c r="X9" i="12"/>
  <c r="E4" i="14"/>
  <c r="T8" i="16"/>
  <c r="X18" i="12"/>
  <c r="U5" i="3"/>
  <c r="U31" i="12"/>
  <c r="E4" i="4"/>
  <c r="W27" i="12"/>
  <c r="T4" i="15"/>
  <c r="T28" i="12"/>
  <c r="U5" i="4"/>
  <c r="W22" i="12"/>
  <c r="T5" i="15"/>
  <c r="U22" i="12"/>
  <c r="W24" i="12"/>
  <c r="G5" i="1"/>
  <c r="X33" i="12"/>
  <c r="Y8" i="3"/>
  <c r="U6" i="9"/>
  <c r="X5" i="4"/>
  <c r="T16" i="12"/>
  <c r="T6" i="15"/>
  <c r="U8" i="11"/>
  <c r="U8" i="12"/>
  <c r="F6" i="14"/>
  <c r="U7" i="10"/>
  <c r="W33" i="12"/>
  <c r="D5" i="13"/>
  <c r="T6" i="9"/>
  <c r="Y25" i="12"/>
  <c r="Y7" i="14"/>
  <c r="O28" i="12"/>
  <c r="X6" i="16"/>
  <c r="U9" i="4"/>
  <c r="F19" i="12"/>
  <c r="Y4" i="10"/>
  <c r="U29" i="12"/>
  <c r="X5" i="15"/>
  <c r="P18" i="12"/>
  <c r="T8" i="10"/>
  <c r="W8" i="11"/>
  <c r="U4" i="3"/>
  <c r="E5" i="12"/>
  <c r="X28" i="12"/>
  <c r="U6" i="16"/>
  <c r="W11" i="12"/>
  <c r="U10" i="11"/>
  <c r="T33" i="12"/>
  <c r="Y5" i="15"/>
  <c r="P6" i="9"/>
  <c r="E8" i="11"/>
  <c r="X10" i="12"/>
  <c r="R33" i="12"/>
  <c r="X8" i="12"/>
  <c r="E7" i="4"/>
  <c r="U7" i="4"/>
  <c r="N5" i="16"/>
  <c r="AA10" i="11"/>
  <c r="R9" i="10"/>
  <c r="U5" i="13"/>
  <c r="X7" i="4"/>
  <c r="G7" i="15"/>
  <c r="X7" i="10"/>
  <c r="W5" i="15"/>
  <c r="X10" i="11"/>
  <c r="T8" i="4"/>
  <c r="T5" i="12"/>
  <c r="Y7" i="11"/>
  <c r="F9" i="15"/>
  <c r="AA23" i="12"/>
  <c r="W31" i="12"/>
  <c r="T5" i="16"/>
  <c r="Y7" i="5"/>
  <c r="D6" i="14"/>
  <c r="W7" i="9"/>
  <c r="Y18" i="12"/>
  <c r="D8" i="9"/>
  <c r="W6" i="15"/>
  <c r="W10" i="12"/>
  <c r="R6" i="13"/>
  <c r="T21" i="12"/>
  <c r="Y4" i="16"/>
  <c r="Y6" i="11"/>
  <c r="W30" i="12"/>
  <c r="X22" i="12"/>
  <c r="W5" i="1"/>
  <c r="E13" i="12"/>
  <c r="U6" i="15"/>
  <c r="T9" i="12"/>
  <c r="X4" i="3"/>
  <c r="E7" i="16"/>
  <c r="X4" i="5"/>
  <c r="T27" i="12"/>
  <c r="W6" i="11"/>
  <c r="Y4" i="13"/>
  <c r="X16" i="12"/>
  <c r="X25" i="12"/>
  <c r="E5" i="13"/>
  <c r="T23" i="12"/>
  <c r="E24" i="12"/>
  <c r="U5" i="12"/>
  <c r="Y7" i="12"/>
  <c r="T4" i="14"/>
  <c r="W10" i="11"/>
  <c r="Y4" i="1"/>
  <c r="U5" i="16"/>
  <c r="T9" i="11"/>
  <c r="W25" i="12"/>
  <c r="W4" i="10"/>
  <c r="Y24" i="12"/>
  <c r="U11" i="12"/>
  <c r="W5" i="16"/>
  <c r="G7" i="14"/>
  <c r="W4" i="3"/>
  <c r="Y5" i="4"/>
  <c r="X7" i="11"/>
  <c r="X14" i="12"/>
  <c r="U4" i="4"/>
  <c r="Y14" i="12"/>
  <c r="Y23" i="12"/>
  <c r="T5" i="1"/>
  <c r="X5" i="14"/>
  <c r="X5" i="5"/>
  <c r="W13" i="12"/>
  <c r="U7" i="14"/>
  <c r="T7" i="4"/>
  <c r="E4" i="11"/>
  <c r="Y4" i="12"/>
  <c r="U10" i="12"/>
  <c r="O12" i="11"/>
  <c r="D5" i="1"/>
  <c r="T31" i="12"/>
  <c r="T6" i="3"/>
  <c r="Y16" i="12"/>
  <c r="X4" i="10"/>
  <c r="E6" i="9"/>
  <c r="O7" i="15"/>
  <c r="X29" i="12"/>
  <c r="Y5" i="1"/>
  <c r="T4" i="5"/>
  <c r="T9" i="4"/>
  <c r="X27" i="12"/>
  <c r="N6" i="15"/>
  <c r="Y30" i="12"/>
  <c r="X17" i="12"/>
  <c r="E4" i="16"/>
  <c r="E6" i="15"/>
  <c r="Y22" i="12"/>
  <c r="U4" i="12"/>
  <c r="D6" i="16"/>
  <c r="W6" i="5"/>
  <c r="W7" i="12"/>
  <c r="U8" i="3"/>
  <c r="O13" i="12"/>
  <c r="W5" i="5"/>
  <c r="T7" i="3"/>
  <c r="T15" i="12"/>
  <c r="U8" i="4"/>
  <c r="X4" i="4"/>
  <c r="U6" i="3"/>
  <c r="T10" i="11"/>
  <c r="X6" i="4"/>
  <c r="X6" i="5"/>
  <c r="U6" i="14"/>
  <c r="X8" i="16"/>
  <c r="D4" i="1"/>
  <c r="W7" i="3"/>
  <c r="X4" i="16"/>
  <c r="U25" i="12"/>
  <c r="W9" i="12"/>
  <c r="U8" i="16"/>
  <c r="Y29" i="12"/>
  <c r="U24" i="12"/>
  <c r="T14" i="12"/>
  <c r="W8" i="12"/>
  <c r="U6" i="5"/>
  <c r="U32" i="12"/>
  <c r="U4" i="1"/>
  <c r="W4" i="5"/>
  <c r="Y8" i="11"/>
  <c r="F30" i="12"/>
  <c r="W6" i="3"/>
  <c r="U6" i="10"/>
  <c r="AA8" i="12"/>
  <c r="X32" i="12"/>
  <c r="U12" i="12"/>
  <c r="W7" i="5"/>
  <c r="E29" i="12"/>
  <c r="U7" i="15"/>
  <c r="T7" i="12"/>
  <c r="T6" i="11"/>
  <c r="W9" i="4"/>
  <c r="F7" i="1"/>
  <c r="E8" i="4"/>
  <c r="W5" i="14"/>
  <c r="T4" i="13"/>
  <c r="Y6" i="14"/>
  <c r="X5" i="13"/>
  <c r="W6" i="12"/>
  <c r="W7" i="15"/>
  <c r="T25" i="12"/>
  <c r="T6" i="14"/>
  <c r="T4" i="16"/>
  <c r="T4" i="12"/>
  <c r="Y8" i="4"/>
  <c r="U27" i="12"/>
  <c r="U4" i="9"/>
  <c r="AA24" i="12"/>
  <c r="T5" i="4"/>
  <c r="T11" i="12"/>
  <c r="D4" i="4"/>
  <c r="E5" i="11"/>
  <c r="Y31" i="12"/>
  <c r="U5" i="14"/>
  <c r="E4" i="1"/>
  <c r="T4" i="3"/>
  <c r="AA9" i="10"/>
  <c r="N6" i="4"/>
  <c r="U21" i="12"/>
  <c r="U4" i="10"/>
  <c r="U6" i="12"/>
  <c r="E5" i="1"/>
  <c r="X31" i="12"/>
  <c r="T8" i="12"/>
  <c r="N6" i="12"/>
  <c r="T6" i="10"/>
  <c r="X5" i="11"/>
  <c r="U4" i="5"/>
  <c r="U4" i="16"/>
  <c r="W5" i="13"/>
  <c r="E6" i="11"/>
  <c r="W7" i="16"/>
  <c r="T17" i="12"/>
  <c r="T6" i="1"/>
  <c r="P5" i="9"/>
  <c r="W4" i="15"/>
  <c r="X6" i="9"/>
  <c r="X8" i="3"/>
  <c r="E4" i="9"/>
  <c r="Y5" i="16"/>
  <c r="Y5" i="13"/>
  <c r="X8" i="15"/>
  <c r="G4" i="16"/>
  <c r="X7" i="14"/>
  <c r="U6" i="13"/>
  <c r="T4" i="1"/>
  <c r="T5" i="9"/>
  <c r="E6" i="4"/>
  <c r="Y4" i="11"/>
  <c r="E8" i="16"/>
  <c r="U30" i="12"/>
  <c r="X13" i="12"/>
  <c r="W21" i="12"/>
  <c r="E8" i="12"/>
  <c r="U6" i="4"/>
  <c r="D6" i="4"/>
  <c r="T8" i="15"/>
  <c r="X6" i="11"/>
  <c r="T5" i="14"/>
  <c r="Y4" i="4"/>
  <c r="D4" i="16"/>
  <c r="U7" i="11"/>
  <c r="T26" i="12"/>
  <c r="E5" i="16"/>
  <c r="E5" i="14"/>
  <c r="Y6" i="12"/>
  <c r="Y9" i="4"/>
  <c r="Y19" i="12"/>
  <c r="X8" i="4"/>
  <c r="T7" i="14"/>
  <c r="U4" i="15"/>
  <c r="Y4" i="14"/>
  <c r="D14" i="12"/>
  <c r="E10" i="11"/>
  <c r="W5" i="11"/>
  <c r="F5" i="1"/>
  <c r="U7" i="9"/>
  <c r="U15" i="12"/>
  <c r="W7" i="11"/>
  <c r="X19" i="12"/>
  <c r="AA8" i="11"/>
  <c r="D5" i="11"/>
  <c r="K5" i="14"/>
  <c r="Y5" i="5"/>
  <c r="N14" i="12"/>
  <c r="X9" i="11"/>
  <c r="Y6" i="1"/>
  <c r="U9" i="11"/>
  <c r="F11" i="12"/>
  <c r="Y6" i="5"/>
  <c r="AA25" i="12"/>
  <c r="X7" i="16"/>
  <c r="Y8" i="12"/>
  <c r="X4" i="15"/>
  <c r="W28" i="12"/>
  <c r="W4" i="12"/>
  <c r="N7" i="10"/>
  <c r="E6" i="16"/>
  <c r="Y6" i="16"/>
  <c r="W4" i="11"/>
  <c r="X15" i="12"/>
  <c r="X11" i="11"/>
  <c r="D5" i="12"/>
  <c r="G4" i="9"/>
  <c r="Y10" i="11"/>
  <c r="Y5" i="11"/>
  <c r="F5" i="14"/>
  <c r="W20" i="12"/>
  <c r="X4" i="1"/>
  <c r="R8" i="10"/>
  <c r="W12" i="12"/>
  <c r="E27" i="12"/>
  <c r="W18" i="12"/>
  <c r="T4" i="9"/>
  <c r="D4" i="10"/>
  <c r="K8" i="10"/>
  <c r="Y17" i="12"/>
  <c r="D28" i="12"/>
  <c r="X5" i="16"/>
  <c r="Y6" i="4"/>
  <c r="W4" i="16"/>
  <c r="E9" i="4"/>
  <c r="X20" i="12"/>
  <c r="P7" i="13"/>
  <c r="W15" i="12"/>
  <c r="W6" i="16"/>
  <c r="T4" i="4"/>
  <c r="O12" i="12"/>
  <c r="D5" i="14"/>
  <c r="U11" i="11"/>
  <c r="U28" i="12"/>
  <c r="D4" i="9"/>
  <c r="X5" i="10"/>
  <c r="K21" i="12"/>
  <c r="AA5" i="1"/>
  <c r="W7" i="14"/>
  <c r="F4" i="15"/>
  <c r="T6" i="13"/>
  <c r="T7" i="10"/>
  <c r="E4" i="12"/>
  <c r="U8" i="10"/>
  <c r="T6" i="12"/>
  <c r="Y9" i="12"/>
  <c r="D7" i="12"/>
  <c r="Y5" i="3"/>
  <c r="K8" i="12"/>
  <c r="U26" i="12"/>
  <c r="T6" i="16"/>
  <c r="W6" i="10"/>
  <c r="AA4" i="1"/>
  <c r="X8" i="11"/>
  <c r="T12" i="12"/>
  <c r="W4" i="4"/>
  <c r="X5" i="1"/>
  <c r="T7" i="11"/>
  <c r="G32" i="12"/>
  <c r="D9" i="10"/>
  <c r="T24" i="12"/>
  <c r="T29" i="12"/>
  <c r="U5" i="11"/>
  <c r="X6" i="15"/>
  <c r="W4" i="1"/>
  <c r="W4" i="14"/>
  <c r="X24" i="12"/>
  <c r="W16" i="12"/>
  <c r="T6" i="4"/>
  <c r="X6" i="14"/>
  <c r="X7" i="3"/>
  <c r="Y4" i="9"/>
  <c r="AA9" i="12"/>
  <c r="X4" i="11"/>
  <c r="R9" i="16"/>
  <c r="X7" i="15"/>
  <c r="P5" i="11"/>
  <c r="F8" i="4"/>
  <c r="Y26" i="12"/>
  <c r="W4" i="13"/>
  <c r="Y27" i="12"/>
  <c r="W6" i="4"/>
  <c r="Y6" i="9"/>
  <c r="U5" i="15"/>
  <c r="T8" i="11"/>
  <c r="U33" i="12"/>
  <c r="W8" i="3"/>
  <c r="Y6" i="3"/>
  <c r="R10" i="12"/>
  <c r="T32" i="12"/>
  <c r="U7" i="16"/>
  <c r="W8" i="15"/>
  <c r="U4" i="13"/>
  <c r="W14" i="12"/>
  <c r="E9" i="11"/>
  <c r="X5" i="12"/>
  <c r="X4" i="9"/>
  <c r="O4" i="16"/>
  <c r="T20" i="12"/>
  <c r="T10" i="12"/>
  <c r="W7" i="10"/>
  <c r="Y4" i="15"/>
  <c r="X4" i="13"/>
  <c r="W26" i="12"/>
  <c r="U14" i="12"/>
  <c r="E4" i="13"/>
  <c r="W32" i="12"/>
  <c r="Y7" i="15"/>
  <c r="G8" i="16"/>
  <c r="Y33" i="12"/>
  <c r="Y8" i="10"/>
  <c r="W17" i="12"/>
  <c r="W6" i="14"/>
  <c r="U5" i="1"/>
  <c r="U7" i="5"/>
  <c r="X12" i="12"/>
  <c r="U17" i="12"/>
  <c r="AA9" i="3"/>
  <c r="D7" i="4"/>
  <c r="Y7" i="4"/>
  <c r="D8" i="4"/>
  <c r="O17" i="12"/>
  <c r="P6" i="12"/>
  <c r="AA6" i="16"/>
  <c r="O32" i="12"/>
  <c r="O7" i="3"/>
  <c r="G9" i="15"/>
  <c r="R7" i="5"/>
  <c r="N7" i="9"/>
  <c r="O16" i="12"/>
  <c r="R10" i="11"/>
  <c r="P8" i="3"/>
  <c r="W5" i="3"/>
  <c r="R6" i="15"/>
  <c r="G17" i="12"/>
  <c r="P9" i="15"/>
  <c r="D7" i="13"/>
  <c r="K10" i="11"/>
  <c r="G7" i="13"/>
  <c r="N12" i="11"/>
  <c r="R9" i="11"/>
  <c r="K5" i="11"/>
  <c r="P4" i="11"/>
  <c r="O26" i="12"/>
  <c r="K6" i="9"/>
  <c r="N25" i="12"/>
  <c r="N24" i="12"/>
  <c r="AA8" i="10"/>
  <c r="P5" i="16"/>
  <c r="G29" i="12"/>
  <c r="G28" i="12"/>
  <c r="N5" i="13"/>
  <c r="P8" i="16"/>
  <c r="P15" i="12"/>
  <c r="D6" i="1"/>
  <c r="R10" i="4"/>
  <c r="F5" i="9"/>
  <c r="O9" i="15"/>
  <c r="F6" i="9"/>
  <c r="R5" i="3"/>
  <c r="G30" i="12"/>
  <c r="K30" i="12"/>
  <c r="AA11" i="11"/>
  <c r="N5" i="15"/>
  <c r="N6" i="11"/>
  <c r="G25" i="12"/>
  <c r="K11" i="12"/>
  <c r="G22" i="12"/>
  <c r="AA11" i="12"/>
  <c r="K19" i="12"/>
  <c r="G6" i="16"/>
  <c r="N27" i="12"/>
  <c r="F6" i="11"/>
  <c r="AA4" i="9"/>
  <c r="F6" i="1"/>
  <c r="K12" i="12"/>
  <c r="O5" i="15"/>
  <c r="F13" i="12"/>
  <c r="T5" i="5"/>
  <c r="F4" i="13"/>
  <c r="P7" i="5"/>
  <c r="K33" i="12"/>
  <c r="O8" i="4"/>
  <c r="R19" i="12"/>
  <c r="K4" i="1"/>
  <c r="N7" i="11"/>
  <c r="D8" i="10"/>
  <c r="R16" i="12"/>
  <c r="AA7" i="16"/>
  <c r="O6" i="16"/>
  <c r="AA7" i="9"/>
  <c r="O5" i="16"/>
  <c r="G20" i="12"/>
  <c r="R7" i="11"/>
  <c r="O9" i="10"/>
  <c r="F6" i="12"/>
  <c r="O7" i="11"/>
  <c r="AA6" i="10"/>
  <c r="N6" i="16"/>
  <c r="AA13" i="12"/>
  <c r="O6" i="12"/>
  <c r="F8" i="15"/>
  <c r="AA5" i="12"/>
  <c r="N28" i="12"/>
  <c r="F4" i="16"/>
  <c r="K7" i="12"/>
  <c r="G5" i="9"/>
  <c r="E11" i="11"/>
  <c r="G6" i="12"/>
  <c r="O4" i="3"/>
  <c r="AA7" i="12"/>
  <c r="E7" i="15"/>
  <c r="G5" i="4"/>
  <c r="E12" i="12"/>
  <c r="E18" i="12"/>
  <c r="E6" i="1"/>
  <c r="D8" i="15"/>
  <c r="K9" i="4"/>
  <c r="K4" i="10"/>
  <c r="D31" i="12"/>
  <c r="P4" i="4"/>
  <c r="O8" i="15"/>
  <c r="F4" i="11"/>
  <c r="P9" i="4"/>
  <c r="K23" i="12"/>
  <c r="O7" i="10"/>
  <c r="G6" i="1"/>
  <c r="G5" i="10"/>
  <c r="AA5" i="5"/>
  <c r="AA14" i="12"/>
  <c r="O20" i="12"/>
  <c r="P11" i="11"/>
  <c r="AA9" i="15"/>
  <c r="K9" i="10"/>
  <c r="G8" i="9"/>
  <c r="N18" i="12"/>
  <c r="AA8" i="9"/>
  <c r="K24" i="12"/>
  <c r="AA27" i="12"/>
  <c r="R5" i="16"/>
  <c r="G12" i="12"/>
  <c r="D8" i="11"/>
  <c r="F5" i="10"/>
  <c r="G7" i="10"/>
  <c r="G4" i="10"/>
  <c r="F20" i="12"/>
  <c r="AA6" i="15"/>
  <c r="P10" i="12"/>
  <c r="E33" i="12"/>
  <c r="AA7" i="1"/>
  <c r="R8" i="12"/>
  <c r="AA6" i="11"/>
  <c r="F10" i="4"/>
  <c r="F5" i="13"/>
  <c r="R5" i="4"/>
  <c r="K7" i="11"/>
  <c r="D17" i="12"/>
  <c r="N4" i="1"/>
  <c r="D9" i="15"/>
  <c r="D7" i="16"/>
  <c r="F9" i="11"/>
  <c r="P9" i="10"/>
  <c r="D4" i="15"/>
  <c r="Y11" i="11"/>
  <c r="W6" i="1"/>
  <c r="N10" i="11"/>
  <c r="O19" i="12"/>
  <c r="G8" i="15"/>
  <c r="D29" i="12"/>
  <c r="F10" i="11"/>
  <c r="N9" i="4"/>
  <c r="P6" i="15"/>
  <c r="O10" i="4"/>
  <c r="O4" i="10"/>
  <c r="P23" i="12"/>
  <c r="R6" i="11"/>
  <c r="E5" i="9"/>
  <c r="R15" i="12"/>
  <c r="G9" i="11"/>
  <c r="F26" i="12"/>
  <c r="P7" i="16"/>
  <c r="AA4" i="11"/>
  <c r="F6" i="13"/>
  <c r="N5" i="1"/>
  <c r="P17" i="12"/>
  <c r="G5" i="15"/>
  <c r="O4" i="4"/>
  <c r="K4" i="11"/>
  <c r="AA31" i="12"/>
  <c r="G9" i="10"/>
  <c r="O9" i="16"/>
  <c r="N6" i="9"/>
  <c r="E21" i="12"/>
  <c r="N16" i="12"/>
  <c r="N20" i="12"/>
  <c r="Y8" i="15"/>
  <c r="N17" i="12"/>
  <c r="N21" i="12"/>
  <c r="AA4" i="10"/>
  <c r="P5" i="10"/>
  <c r="G7" i="12"/>
  <c r="K22" i="12"/>
  <c r="E5" i="15"/>
  <c r="R13" i="12"/>
  <c r="K27" i="12"/>
  <c r="P5" i="5"/>
  <c r="K7" i="16"/>
  <c r="N9" i="12"/>
  <c r="F4" i="10"/>
  <c r="D33" i="12"/>
  <c r="N4" i="4"/>
  <c r="AA12" i="11"/>
  <c r="AA4" i="15"/>
  <c r="E22" i="12"/>
  <c r="N31" i="12"/>
  <c r="G11" i="11"/>
  <c r="O8" i="3"/>
  <c r="O4" i="12"/>
  <c r="R11" i="12"/>
  <c r="F6" i="16"/>
  <c r="AA6" i="13"/>
  <c r="N5" i="9"/>
  <c r="P33" i="12"/>
  <c r="P8" i="9"/>
  <c r="P27" i="12"/>
  <c r="N26" i="12"/>
  <c r="F23" i="12"/>
  <c r="O7" i="16"/>
  <c r="N8" i="11"/>
  <c r="E9" i="12"/>
  <c r="K5" i="10"/>
  <c r="R5" i="13"/>
  <c r="R6" i="16"/>
  <c r="R8" i="5"/>
  <c r="D32" i="12"/>
  <c r="W6" i="13"/>
  <c r="K4" i="9"/>
  <c r="N4" i="13"/>
  <c r="P7" i="3"/>
  <c r="D6" i="15"/>
  <c r="K28" i="12"/>
  <c r="K9" i="15"/>
  <c r="N4" i="15"/>
  <c r="P31" i="12"/>
  <c r="F28" i="12"/>
  <c r="D11" i="12"/>
  <c r="O7" i="5"/>
  <c r="P9" i="16"/>
  <c r="P7" i="1"/>
  <c r="N7" i="4"/>
  <c r="R27" i="12"/>
  <c r="G6" i="11"/>
  <c r="AA8" i="4"/>
  <c r="K20" i="12"/>
  <c r="AA7" i="10"/>
  <c r="R5" i="12"/>
  <c r="F7" i="11"/>
  <c r="P10" i="11"/>
  <c r="F9" i="12"/>
  <c r="F15" i="12"/>
  <c r="R7" i="15"/>
  <c r="D27" i="12"/>
  <c r="G5" i="11"/>
  <c r="N9" i="10"/>
  <c r="Y5" i="9"/>
  <c r="K16" i="12"/>
  <c r="O9" i="11"/>
  <c r="O27" i="12"/>
  <c r="E19" i="12"/>
  <c r="N6" i="10"/>
  <c r="AA18" i="12"/>
  <c r="O8" i="12"/>
  <c r="F7" i="9"/>
  <c r="D7" i="14"/>
  <c r="K10" i="4"/>
  <c r="P4" i="15"/>
  <c r="R7" i="1"/>
  <c r="F5" i="11"/>
  <c r="O11" i="11"/>
  <c r="X5" i="3"/>
  <c r="E15" i="12"/>
  <c r="R29" i="12"/>
  <c r="P32" i="12"/>
  <c r="P4" i="5"/>
  <c r="G8" i="11"/>
  <c r="R24" i="12"/>
  <c r="P12" i="12"/>
  <c r="N8" i="10"/>
  <c r="N9" i="11"/>
  <c r="AA15" i="12"/>
  <c r="AA5" i="9"/>
  <c r="F5" i="15"/>
  <c r="P7" i="15"/>
  <c r="P8" i="15"/>
  <c r="O6" i="5"/>
  <c r="N5" i="5"/>
  <c r="N8" i="5"/>
  <c r="D25" i="12"/>
  <c r="R9" i="4"/>
  <c r="AA16" i="12"/>
  <c r="D7" i="11"/>
  <c r="O22" i="12"/>
  <c r="K6" i="4"/>
  <c r="F5" i="4"/>
  <c r="D9" i="11"/>
  <c r="F8" i="11"/>
  <c r="AA6" i="3"/>
  <c r="N7" i="13"/>
  <c r="P6" i="11"/>
  <c r="P7" i="10"/>
  <c r="D23" i="12"/>
  <c r="AA5" i="13"/>
  <c r="D12" i="12"/>
  <c r="N13" i="12"/>
  <c r="G10" i="12"/>
  <c r="AA4" i="5"/>
  <c r="F4" i="4"/>
  <c r="K6" i="10"/>
  <c r="N9" i="15"/>
  <c r="D9" i="12"/>
  <c r="N7" i="15"/>
  <c r="Y7" i="16"/>
  <c r="O8" i="5"/>
  <c r="R7" i="10"/>
  <c r="P4" i="9"/>
  <c r="N15" i="12"/>
  <c r="P9" i="12"/>
  <c r="D15" i="12"/>
  <c r="P8" i="11"/>
  <c r="G4" i="11"/>
  <c r="G8" i="10"/>
  <c r="R5" i="9"/>
  <c r="G5" i="13"/>
  <c r="E14" i="12"/>
  <c r="P6" i="10"/>
  <c r="E12" i="11"/>
  <c r="F8" i="9"/>
  <c r="Y5" i="10"/>
  <c r="K17" i="12"/>
  <c r="O9" i="12"/>
  <c r="AA8" i="3"/>
  <c r="R7" i="12"/>
  <c r="P8" i="12"/>
  <c r="D26" i="12"/>
  <c r="AA32" i="12"/>
  <c r="E10" i="12"/>
  <c r="K7" i="15"/>
  <c r="P9" i="11"/>
  <c r="G9" i="12"/>
  <c r="D5" i="9"/>
  <c r="N4" i="12"/>
  <c r="P5" i="12"/>
  <c r="D10" i="12"/>
  <c r="O6" i="10"/>
  <c r="K13" i="12"/>
  <c r="K25" i="12"/>
  <c r="K5" i="16"/>
  <c r="AA10" i="12"/>
  <c r="F7" i="13"/>
  <c r="F7" i="14"/>
  <c r="AA10" i="4"/>
  <c r="K4" i="12"/>
  <c r="O9" i="4"/>
  <c r="P8" i="10"/>
  <c r="F9" i="16"/>
  <c r="G6" i="10"/>
  <c r="N8" i="12"/>
  <c r="R8" i="16"/>
  <c r="R12" i="11"/>
  <c r="E8" i="10"/>
  <c r="G4" i="1"/>
  <c r="O4" i="1"/>
  <c r="E8" i="14"/>
  <c r="R6" i="10"/>
  <c r="D7" i="10"/>
  <c r="X6" i="13"/>
  <c r="D10" i="11"/>
  <c r="F31" i="12"/>
  <c r="P5" i="15"/>
  <c r="K4" i="4"/>
  <c r="R8" i="4"/>
  <c r="R7" i="16"/>
  <c r="F7" i="4"/>
  <c r="G26" i="12"/>
  <c r="D19" i="12"/>
  <c r="N6" i="5"/>
  <c r="N7" i="1"/>
  <c r="AA6" i="1"/>
  <c r="F7" i="12"/>
  <c r="F29" i="12"/>
  <c r="N19" i="12"/>
  <c r="G11" i="12"/>
  <c r="P6" i="4"/>
  <c r="AA5" i="10"/>
  <c r="P4" i="13"/>
  <c r="P6" i="1"/>
  <c r="P7" i="12"/>
  <c r="R5" i="15"/>
  <c r="R6" i="12"/>
  <c r="G4" i="15"/>
  <c r="P8" i="4"/>
  <c r="O23" i="12"/>
  <c r="AA9" i="16"/>
  <c r="O8" i="11"/>
  <c r="P4" i="3"/>
  <c r="AA7" i="13"/>
  <c r="AA4" i="4"/>
  <c r="R8" i="15"/>
  <c r="E31" i="12"/>
  <c r="F12" i="12"/>
  <c r="E7" i="10"/>
  <c r="E4" i="15"/>
  <c r="G6" i="4"/>
  <c r="F32" i="12"/>
  <c r="G9" i="16"/>
  <c r="K6" i="16"/>
  <c r="O7" i="4"/>
  <c r="AA6" i="4"/>
  <c r="P22" i="12"/>
  <c r="P4" i="16"/>
  <c r="E9" i="10"/>
  <c r="G4" i="4"/>
  <c r="O31" i="12"/>
  <c r="K5" i="12"/>
  <c r="R6" i="5"/>
  <c r="F5" i="12"/>
  <c r="O33" i="12"/>
  <c r="E32" i="12"/>
  <c r="G23" i="12"/>
  <c r="P14" i="12"/>
  <c r="AA8" i="16"/>
  <c r="G4" i="12"/>
  <c r="P12" i="11"/>
  <c r="G5" i="12"/>
  <c r="O5" i="13"/>
  <c r="AA6" i="9"/>
  <c r="R30" i="12"/>
  <c r="O18" i="12"/>
  <c r="G8" i="4"/>
  <c r="O4" i="13"/>
  <c r="T5" i="10"/>
  <c r="K15" i="12"/>
  <c r="K4" i="15"/>
  <c r="K6" i="12"/>
  <c r="G7" i="16"/>
  <c r="K7" i="14"/>
  <c r="R7" i="4"/>
  <c r="P26" i="12"/>
  <c r="O15" i="12"/>
  <c r="G21" i="12"/>
  <c r="R17" i="12"/>
  <c r="N9" i="16"/>
  <c r="D5" i="10"/>
  <c r="O5" i="1"/>
  <c r="F7" i="15"/>
  <c r="E23" i="12"/>
  <c r="E7" i="11"/>
  <c r="G33" i="12"/>
  <c r="O6" i="1"/>
  <c r="K6" i="1"/>
  <c r="G12" i="11"/>
  <c r="F6" i="15"/>
  <c r="K7" i="10"/>
  <c r="K9" i="11"/>
  <c r="R12" i="12"/>
  <c r="F6" i="4"/>
  <c r="O6" i="15"/>
  <c r="P4" i="10"/>
  <c r="AA26" i="12"/>
  <c r="G9" i="4"/>
  <c r="R7" i="3"/>
  <c r="O21" i="12"/>
  <c r="N5" i="4"/>
  <c r="N6" i="13"/>
  <c r="O8" i="10"/>
  <c r="N23" i="12"/>
  <c r="D9" i="4"/>
  <c r="O4" i="5"/>
  <c r="R32" i="12"/>
  <c r="D18" i="12"/>
  <c r="P5" i="1"/>
  <c r="G15" i="12"/>
  <c r="N5" i="11"/>
  <c r="E16" i="12"/>
  <c r="G7" i="9"/>
  <c r="AA9" i="4"/>
  <c r="D20" i="12"/>
  <c r="R6" i="1"/>
  <c r="AA5" i="15"/>
  <c r="AA5" i="16"/>
  <c r="D8" i="16"/>
  <c r="K18" i="12"/>
  <c r="F9" i="10"/>
  <c r="AA7" i="11"/>
  <c r="G6" i="13"/>
  <c r="F12" i="11"/>
  <c r="D11" i="11"/>
  <c r="G7" i="4"/>
  <c r="R6" i="4"/>
  <c r="F8" i="16"/>
  <c r="O10" i="11"/>
  <c r="P4" i="12"/>
  <c r="P5" i="3"/>
  <c r="P25" i="12"/>
  <c r="R21" i="12"/>
  <c r="N4" i="10"/>
  <c r="K31" i="12"/>
  <c r="K7" i="13"/>
  <c r="K12" i="11"/>
  <c r="G19" i="12"/>
  <c r="N22" i="12"/>
  <c r="N32" i="12"/>
  <c r="P6" i="5"/>
  <c r="G4" i="13"/>
  <c r="D16" i="12"/>
  <c r="R9" i="15"/>
  <c r="E11" i="12"/>
  <c r="W8" i="16"/>
  <c r="E7" i="13"/>
  <c r="O14" i="12"/>
  <c r="N10" i="12"/>
  <c r="AA19" i="12"/>
  <c r="P24" i="12"/>
  <c r="K8" i="16"/>
  <c r="R7" i="13"/>
  <c r="F27" i="12"/>
  <c r="N7" i="5"/>
  <c r="P9" i="3"/>
  <c r="D7" i="9"/>
  <c r="AA7" i="4"/>
  <c r="R11" i="11"/>
  <c r="O7" i="12"/>
  <c r="N7" i="12"/>
  <c r="K6" i="15"/>
  <c r="O4" i="11"/>
  <c r="AA20" i="12"/>
  <c r="P11" i="12"/>
  <c r="G7" i="1"/>
  <c r="N33" i="12"/>
  <c r="X8" i="10"/>
  <c r="O5" i="11"/>
  <c r="F7" i="16"/>
  <c r="AA5" i="11"/>
  <c r="O6" i="4"/>
  <c r="O24" i="12"/>
  <c r="R18" i="12"/>
  <c r="F18" i="12"/>
  <c r="AA6" i="12"/>
  <c r="P4" i="1"/>
  <c r="F5" i="16"/>
  <c r="F11" i="11"/>
  <c r="F17" i="12"/>
  <c r="F8" i="10"/>
  <c r="F25" i="12"/>
  <c r="O5" i="12"/>
  <c r="AA33" i="12"/>
  <c r="P7" i="9"/>
  <c r="E7" i="9"/>
  <c r="AA7" i="3"/>
  <c r="F21" i="12"/>
  <c r="N10" i="4"/>
  <c r="G24" i="12"/>
  <c r="O10" i="12"/>
  <c r="O6" i="3"/>
  <c r="K9" i="12"/>
  <c r="F10" i="12"/>
  <c r="O4" i="15"/>
  <c r="Y7" i="9"/>
  <c r="R28" i="12"/>
  <c r="K5" i="13"/>
  <c r="K7" i="4"/>
  <c r="N8" i="15"/>
  <c r="R20" i="12"/>
  <c r="P6" i="3"/>
  <c r="O6" i="11"/>
  <c r="P7" i="4"/>
  <c r="N8" i="9"/>
  <c r="R14" i="12"/>
  <c r="E5" i="10"/>
  <c r="W8" i="10"/>
  <c r="O6" i="13"/>
  <c r="O30" i="12"/>
  <c r="R5" i="10"/>
  <c r="K9" i="16"/>
  <c r="D6" i="10"/>
  <c r="E26" i="12"/>
  <c r="N8" i="4"/>
  <c r="O29" i="12"/>
  <c r="K4" i="13"/>
  <c r="AA30" i="12"/>
  <c r="AA5" i="3"/>
  <c r="Y6" i="13"/>
  <c r="P6" i="16"/>
  <c r="F8" i="12"/>
  <c r="P19" i="12"/>
  <c r="E17" i="12"/>
  <c r="N11" i="11"/>
  <c r="O9" i="3"/>
  <c r="R6" i="3"/>
  <c r="AA9" i="11"/>
  <c r="K29" i="12"/>
  <c r="G5" i="16"/>
  <c r="K11" i="11"/>
  <c r="N5" i="12"/>
  <c r="P29" i="12"/>
  <c r="AA4" i="12"/>
  <c r="R5" i="5"/>
  <c r="R5" i="11"/>
  <c r="N4" i="11"/>
  <c r="R22" i="12"/>
  <c r="N7" i="16"/>
  <c r="AA28" i="12"/>
  <c r="N8" i="16"/>
  <c r="G6" i="9"/>
  <c r="D12" i="11"/>
  <c r="G8" i="12"/>
  <c r="G6" i="15"/>
  <c r="E20" i="12"/>
  <c r="AA29" i="12"/>
  <c r="K8" i="15"/>
  <c r="X5" i="9"/>
  <c r="F4" i="1"/>
  <c r="O5" i="4"/>
  <c r="D7" i="15"/>
  <c r="AA4" i="16"/>
  <c r="AA4" i="13"/>
  <c r="D5" i="15"/>
  <c r="N4" i="16"/>
  <c r="G14" i="12"/>
  <c r="D24" i="12"/>
  <c r="D6" i="13"/>
  <c r="F16" i="12"/>
  <c r="O11" i="12"/>
  <c r="K5" i="1"/>
  <c r="N6" i="1"/>
  <c r="O8" i="16"/>
  <c r="E28" i="12"/>
  <c r="AA5" i="4"/>
  <c r="AA7" i="15"/>
  <c r="N12" i="12"/>
  <c r="U5" i="10"/>
  <c r="F9" i="4"/>
  <c r="W5" i="9"/>
  <c r="D22" i="12"/>
  <c r="G18" i="12"/>
  <c r="E6" i="10"/>
  <c r="N5" i="10"/>
  <c r="G27" i="12"/>
  <c r="AA22" i="12"/>
  <c r="E30" i="12"/>
  <c r="E8" i="15"/>
  <c r="AA4" i="3"/>
  <c r="P5" i="13"/>
  <c r="K26" i="12"/>
  <c r="K5" i="4"/>
  <c r="E8" i="9"/>
  <c r="X7" i="9"/>
  <c r="G31" i="12"/>
  <c r="F24" i="12"/>
  <c r="R23" i="12"/>
  <c r="P30" i="12"/>
  <c r="G10" i="4"/>
  <c r="O7" i="13"/>
  <c r="O5" i="5"/>
  <c r="E6" i="13"/>
  <c r="G13" i="12"/>
  <c r="K8" i="9"/>
  <c r="P8" i="5"/>
  <c r="N4" i="9"/>
  <c r="F4" i="12"/>
  <c r="AA8" i="15"/>
  <c r="R31" i="12"/>
  <c r="R9" i="3"/>
  <c r="K6" i="11"/>
  <c r="K10" i="12"/>
  <c r="F33" i="12"/>
  <c r="P10" i="4"/>
  <c r="P16" i="12"/>
  <c r="AA12" i="12"/>
  <c r="K7" i="9"/>
  <c r="P7" i="11"/>
  <c r="AA17" i="12"/>
  <c r="D13" i="12"/>
  <c r="K7" i="1"/>
  <c r="K14" i="12"/>
  <c r="R9" i="12"/>
  <c r="R25" i="12"/>
  <c r="K6" i="13"/>
  <c r="K8" i="4"/>
  <c r="O25" i="12"/>
  <c r="P21" i="12"/>
  <c r="K5" i="15"/>
  <c r="F14" i="12"/>
  <c r="P13" i="12"/>
  <c r="N11" i="12"/>
  <c r="T5" i="3"/>
  <c r="N4" i="5"/>
  <c r="K4" i="16"/>
  <c r="E25" i="12"/>
  <c r="K5" i="9"/>
  <c r="P6" i="13"/>
  <c r="K8" i="11"/>
  <c r="AA21" i="12"/>
  <c r="E7" i="14"/>
  <c r="R8" i="11"/>
  <c r="F7" i="10"/>
  <c r="U5" i="9"/>
  <c r="X9" i="16"/>
  <c r="T7" i="1"/>
  <c r="E7" i="1"/>
  <c r="Y8" i="9"/>
  <c r="G8" i="14"/>
  <c r="T9" i="10"/>
  <c r="Q6" i="13"/>
  <c r="X8" i="9"/>
  <c r="T10" i="4"/>
  <c r="X8" i="14"/>
  <c r="X12" i="11"/>
  <c r="X9" i="3"/>
  <c r="Y9" i="3"/>
  <c r="W8" i="9"/>
  <c r="T7" i="13"/>
  <c r="E10" i="4"/>
  <c r="Y12" i="11"/>
  <c r="Q4" i="12"/>
  <c r="F8" i="14"/>
  <c r="W8" i="14"/>
  <c r="D10" i="4"/>
  <c r="W9" i="16"/>
  <c r="D8" i="14"/>
  <c r="Y7" i="1"/>
  <c r="U8" i="9"/>
  <c r="X8" i="5"/>
  <c r="W9" i="3"/>
  <c r="T8" i="9"/>
  <c r="W9" i="10"/>
  <c r="Y9" i="10"/>
  <c r="X9" i="10"/>
  <c r="E9" i="16"/>
  <c r="W12" i="11"/>
  <c r="U9" i="3"/>
  <c r="Y9" i="15"/>
  <c r="U7" i="13"/>
  <c r="W10" i="4"/>
  <c r="X7" i="13"/>
  <c r="W9" i="15"/>
  <c r="U10" i="4"/>
  <c r="Y8" i="5"/>
  <c r="U8" i="5"/>
  <c r="K8" i="14"/>
  <c r="W7" i="1"/>
  <c r="U9" i="15"/>
  <c r="W8" i="5"/>
  <c r="U9" i="10"/>
  <c r="Y7" i="13"/>
  <c r="U12" i="11"/>
  <c r="T8" i="5"/>
  <c r="T8" i="14"/>
  <c r="D9" i="16"/>
  <c r="C9" i="16" s="1"/>
  <c r="D7" i="1"/>
  <c r="X9" i="15"/>
  <c r="X7" i="1"/>
  <c r="U9" i="16"/>
  <c r="U7" i="1"/>
  <c r="T9" i="3"/>
  <c r="T12" i="11"/>
  <c r="Q5" i="13"/>
  <c r="U8" i="14"/>
  <c r="X10" i="4"/>
  <c r="W7" i="13"/>
  <c r="T9" i="16"/>
  <c r="Y9" i="16"/>
  <c r="Y8" i="14"/>
  <c r="T9" i="15"/>
  <c r="Y10" i="4"/>
  <c r="N9" i="5"/>
  <c r="W11" i="4"/>
  <c r="U10" i="15"/>
  <c r="Q10" i="10"/>
  <c r="Q21" i="12"/>
  <c r="Q8" i="4"/>
  <c r="Q4" i="3"/>
  <c r="U13" i="11"/>
  <c r="Z4" i="5"/>
  <c r="O9" i="5"/>
  <c r="Q13" i="12"/>
  <c r="O4" i="14"/>
  <c r="R10" i="3"/>
  <c r="Q5" i="16"/>
  <c r="U8" i="13"/>
  <c r="F11" i="4"/>
  <c r="W13" i="11"/>
  <c r="X8" i="13"/>
  <c r="X9" i="9"/>
  <c r="E8" i="1"/>
  <c r="F8" i="13"/>
  <c r="E10" i="16"/>
  <c r="T10" i="16"/>
  <c r="Q7" i="1"/>
  <c r="E13" i="11"/>
  <c r="X10" i="16"/>
  <c r="Q14" i="12"/>
  <c r="Q7" i="9"/>
  <c r="U9" i="5"/>
  <c r="D13" i="11"/>
  <c r="E9" i="9"/>
  <c r="E10" i="10"/>
  <c r="Q28" i="12"/>
  <c r="Q11" i="15"/>
  <c r="Q4" i="9"/>
  <c r="Q30" i="12"/>
  <c r="P9" i="5"/>
  <c r="Z10" i="5"/>
  <c r="P13" i="11"/>
  <c r="Z5" i="5"/>
  <c r="P10" i="10"/>
  <c r="Q15" i="12"/>
  <c r="Q5" i="15"/>
  <c r="D10" i="16"/>
  <c r="Q4" i="5"/>
  <c r="AA8" i="1"/>
  <c r="X8" i="1"/>
  <c r="Q22" i="12"/>
  <c r="F10" i="10"/>
  <c r="Q25" i="12"/>
  <c r="N9" i="13"/>
  <c r="Q7" i="12"/>
  <c r="Q4" i="4"/>
  <c r="G11" i="4"/>
  <c r="Q9" i="5"/>
  <c r="Q5" i="5"/>
  <c r="R8" i="13"/>
  <c r="AA7" i="14"/>
  <c r="G8" i="1"/>
  <c r="AA9" i="14"/>
  <c r="Y9" i="5"/>
  <c r="O8" i="13"/>
  <c r="Q29" i="12"/>
  <c r="K10" i="15"/>
  <c r="AA11" i="16"/>
  <c r="Q7" i="11"/>
  <c r="Q7" i="5"/>
  <c r="E10" i="15"/>
  <c r="F4" i="14"/>
  <c r="U10" i="3"/>
  <c r="X11" i="4"/>
  <c r="P8" i="1"/>
  <c r="Q4" i="14"/>
  <c r="R9" i="5"/>
  <c r="T10" i="10"/>
  <c r="G9" i="9"/>
  <c r="Q7" i="10"/>
  <c r="W9" i="5"/>
  <c r="N9" i="9"/>
  <c r="AA10" i="10"/>
  <c r="G4" i="14"/>
  <c r="Q8" i="12"/>
  <c r="W8" i="1"/>
  <c r="Q27" i="12"/>
  <c r="T9" i="14"/>
  <c r="D9" i="14"/>
  <c r="Q9" i="1"/>
  <c r="Q19" i="12"/>
  <c r="N13" i="11"/>
  <c r="Q6" i="3"/>
  <c r="R10" i="15"/>
  <c r="Q6" i="1"/>
  <c r="X9" i="1"/>
  <c r="U11" i="4"/>
  <c r="Y8" i="13"/>
  <c r="X9" i="5"/>
  <c r="G13" i="11"/>
  <c r="Q24" i="12"/>
  <c r="Q33" i="12"/>
  <c r="Q8" i="1"/>
  <c r="D9" i="9"/>
  <c r="G10" i="10"/>
  <c r="K9" i="14"/>
  <c r="W9" i="9"/>
  <c r="Q5" i="11"/>
  <c r="Q8" i="15"/>
  <c r="R10" i="10"/>
  <c r="Q5" i="10"/>
  <c r="P10" i="3"/>
  <c r="Q11" i="11"/>
  <c r="O10" i="3"/>
  <c r="Q5" i="4"/>
  <c r="Q9" i="3"/>
  <c r="AA10" i="14"/>
  <c r="AA9" i="9"/>
  <c r="Q8" i="5"/>
  <c r="F8" i="1"/>
  <c r="Q6" i="12"/>
  <c r="Q9" i="12"/>
  <c r="Y13" i="11"/>
  <c r="Q9" i="15"/>
  <c r="Q12" i="12"/>
  <c r="Q7" i="4"/>
  <c r="W9" i="14"/>
  <c r="AA13" i="11"/>
  <c r="Q7" i="13"/>
  <c r="Q26" i="12"/>
  <c r="N4" i="14"/>
  <c r="N35" i="14" s="1"/>
  <c r="N44" i="14" s="1"/>
  <c r="Q23" i="12"/>
  <c r="R10" i="16"/>
  <c r="Q4" i="10"/>
  <c r="Q16" i="12"/>
  <c r="T10" i="15"/>
  <c r="U9" i="14"/>
  <c r="G10" i="16"/>
  <c r="D9" i="13"/>
  <c r="Y9" i="14"/>
  <c r="Q10" i="3"/>
  <c r="Q6" i="16"/>
  <c r="Q7" i="3"/>
  <c r="Q13" i="11"/>
  <c r="Y10" i="3"/>
  <c r="K9" i="9"/>
  <c r="U11" i="16"/>
  <c r="F10" i="16"/>
  <c r="Y8" i="1"/>
  <c r="O10" i="16"/>
  <c r="Q8" i="10"/>
  <c r="R8" i="1"/>
  <c r="P9" i="9"/>
  <c r="W8" i="13"/>
  <c r="AA10" i="15"/>
  <c r="Q10" i="11"/>
  <c r="AA5" i="14"/>
  <c r="Q5" i="3"/>
  <c r="AA10" i="3"/>
  <c r="X13" i="11"/>
  <c r="K13" i="11"/>
  <c r="N11" i="4"/>
  <c r="T8" i="1"/>
  <c r="Q8" i="9"/>
  <c r="Q4" i="16"/>
  <c r="E9" i="14"/>
  <c r="Q10" i="15"/>
  <c r="P10" i="16"/>
  <c r="X10" i="10"/>
  <c r="K8" i="13"/>
  <c r="N8" i="13"/>
  <c r="Q8" i="13"/>
  <c r="F13" i="11"/>
  <c r="Q18" i="12"/>
  <c r="W10" i="15"/>
  <c r="Z6" i="5"/>
  <c r="F10" i="15"/>
  <c r="Q10" i="16"/>
  <c r="Q7" i="15"/>
  <c r="Q12" i="11"/>
  <c r="Q6" i="15"/>
  <c r="Q4" i="15"/>
  <c r="Q5" i="12"/>
  <c r="Q6" i="9"/>
  <c r="Q9" i="4"/>
  <c r="Q9" i="16"/>
  <c r="D10" i="10"/>
  <c r="R13" i="11"/>
  <c r="T11" i="4"/>
  <c r="K8" i="1"/>
  <c r="G10" i="15"/>
  <c r="P8" i="13"/>
  <c r="N10" i="10"/>
  <c r="O11" i="4"/>
  <c r="P4" i="14"/>
  <c r="F9" i="14"/>
  <c r="Z9" i="5"/>
  <c r="G9" i="14"/>
  <c r="O10" i="10"/>
  <c r="P11" i="4"/>
  <c r="D10" i="15"/>
  <c r="Q9" i="11"/>
  <c r="Y10" i="16"/>
  <c r="Z7" i="5"/>
  <c r="Q6" i="4"/>
  <c r="Y10" i="10"/>
  <c r="T13" i="11"/>
  <c r="K10" i="10"/>
  <c r="F9" i="9"/>
  <c r="E8" i="13"/>
  <c r="W10" i="16"/>
  <c r="Q6" i="5"/>
  <c r="Q32" i="12"/>
  <c r="U9" i="9"/>
  <c r="R11" i="4"/>
  <c r="Q6" i="10"/>
  <c r="AA8" i="14"/>
  <c r="N10" i="16"/>
  <c r="Q17" i="12"/>
  <c r="Y10" i="15"/>
  <c r="X10" i="3"/>
  <c r="D11" i="4"/>
  <c r="Q20" i="12"/>
  <c r="Q4" i="11"/>
  <c r="N8" i="1"/>
  <c r="E9" i="1"/>
  <c r="Z8" i="5"/>
  <c r="Q6" i="11"/>
  <c r="Q10" i="12"/>
  <c r="W10" i="10"/>
  <c r="W12" i="4"/>
  <c r="Q31" i="12"/>
  <c r="AA11" i="4"/>
  <c r="U10" i="16"/>
  <c r="Q9" i="10"/>
  <c r="U10" i="10"/>
  <c r="Q5" i="1"/>
  <c r="X9" i="14"/>
  <c r="U8" i="1"/>
  <c r="AA8" i="13"/>
  <c r="T10" i="3"/>
  <c r="AA10" i="16"/>
  <c r="T8" i="13"/>
  <c r="O13" i="11"/>
  <c r="Y9" i="9"/>
  <c r="W10" i="3"/>
  <c r="Y11" i="4"/>
  <c r="Q8" i="11"/>
  <c r="Q8" i="16"/>
  <c r="P10" i="15"/>
  <c r="Q5" i="9"/>
  <c r="Q11" i="4"/>
  <c r="O8" i="1"/>
  <c r="Q10" i="4"/>
  <c r="K11" i="4"/>
  <c r="Q4" i="13"/>
  <c r="Q9" i="9"/>
  <c r="T9" i="9"/>
  <c r="T9" i="5"/>
  <c r="AA6" i="14"/>
  <c r="D8" i="13"/>
  <c r="E11" i="4"/>
  <c r="D8" i="1"/>
  <c r="O10" i="15"/>
  <c r="Q8" i="3"/>
  <c r="G8" i="13"/>
  <c r="AA4" i="14"/>
  <c r="Q11" i="12"/>
  <c r="K10" i="16"/>
  <c r="Q4" i="1"/>
  <c r="K4" i="14"/>
  <c r="X10" i="15"/>
  <c r="Q7" i="16"/>
  <c r="N10" i="15"/>
  <c r="P11" i="10"/>
  <c r="P10" i="9"/>
  <c r="K10" i="9"/>
  <c r="O11" i="15"/>
  <c r="U11" i="15"/>
  <c r="Q9" i="13"/>
  <c r="R11" i="16"/>
  <c r="R14" i="11"/>
  <c r="F14" i="11"/>
  <c r="X11" i="3"/>
  <c r="X11" i="10"/>
  <c r="K9" i="13"/>
  <c r="Y11" i="16"/>
  <c r="W10" i="14"/>
  <c r="K11" i="10"/>
  <c r="Y10" i="5"/>
  <c r="K14" i="11"/>
  <c r="D11" i="15"/>
  <c r="AA10" i="9"/>
  <c r="T11" i="10"/>
  <c r="O9" i="13"/>
  <c r="W10" i="5"/>
  <c r="R11" i="10"/>
  <c r="Y10" i="14"/>
  <c r="Y12" i="4"/>
  <c r="P11" i="15"/>
  <c r="W9" i="13"/>
  <c r="T14" i="11"/>
  <c r="O10" i="5"/>
  <c r="P11" i="3"/>
  <c r="T10" i="14"/>
  <c r="P9" i="1"/>
  <c r="N11" i="10"/>
  <c r="W11" i="10"/>
  <c r="T10" i="9"/>
  <c r="X11" i="15"/>
  <c r="R11" i="3"/>
  <c r="O11" i="16"/>
  <c r="U9" i="1"/>
  <c r="T9" i="13"/>
  <c r="Y9" i="13"/>
  <c r="K12" i="4"/>
  <c r="K9" i="1"/>
  <c r="T11" i="15"/>
  <c r="X11" i="16"/>
  <c r="P12" i="4"/>
  <c r="AA9" i="1"/>
  <c r="E14" i="11"/>
  <c r="T11" i="3"/>
  <c r="D11" i="16"/>
  <c r="E10" i="14"/>
  <c r="Y11" i="10"/>
  <c r="U10" i="9"/>
  <c r="K10" i="14"/>
  <c r="O11" i="10"/>
  <c r="AA11" i="10"/>
  <c r="AA12" i="4"/>
  <c r="W11" i="15"/>
  <c r="R12" i="4"/>
  <c r="U14" i="11"/>
  <c r="D10" i="14"/>
  <c r="O14" i="11"/>
  <c r="N11" i="16"/>
  <c r="N12" i="4"/>
  <c r="D9" i="1"/>
  <c r="Q10" i="9"/>
  <c r="Y11" i="15"/>
  <c r="F11" i="16"/>
  <c r="W9" i="1"/>
  <c r="F11" i="15"/>
  <c r="G11" i="15"/>
  <c r="P10" i="5"/>
  <c r="G10" i="9"/>
  <c r="U12" i="4"/>
  <c r="T9" i="1"/>
  <c r="P11" i="16"/>
  <c r="U10" i="14"/>
  <c r="E12" i="4"/>
  <c r="R9" i="13"/>
  <c r="X9" i="13"/>
  <c r="E11" i="10"/>
  <c r="Y9" i="1"/>
  <c r="O9" i="1"/>
  <c r="G9" i="13"/>
  <c r="AA9" i="13"/>
  <c r="G11" i="10"/>
  <c r="N11" i="15"/>
  <c r="Y14" i="11"/>
  <c r="W11" i="3"/>
  <c r="G9" i="1"/>
  <c r="E11" i="15"/>
  <c r="Y11" i="3"/>
  <c r="E11" i="16"/>
  <c r="Q11" i="10"/>
  <c r="U11" i="3"/>
  <c r="N10" i="9"/>
  <c r="Q11" i="3"/>
  <c r="G11" i="16"/>
  <c r="W14" i="11"/>
  <c r="Y10" i="9"/>
  <c r="N9" i="1"/>
  <c r="O11" i="3"/>
  <c r="O12" i="4"/>
  <c r="U9" i="13"/>
  <c r="N14" i="11"/>
  <c r="K11" i="16"/>
  <c r="X10" i="14"/>
  <c r="T11" i="16"/>
  <c r="G12" i="4"/>
  <c r="P14" i="11"/>
  <c r="F9" i="13"/>
  <c r="X12" i="4"/>
  <c r="G14" i="11"/>
  <c r="D11" i="10"/>
  <c r="AA11" i="15"/>
  <c r="U10" i="5"/>
  <c r="F12" i="4"/>
  <c r="N10" i="5"/>
  <c r="AA14" i="11"/>
  <c r="X14" i="11"/>
  <c r="F10" i="9"/>
  <c r="F11" i="10"/>
  <c r="Q14" i="11"/>
  <c r="X10" i="5"/>
  <c r="R11" i="15"/>
  <c r="D12" i="4"/>
  <c r="U11" i="10"/>
  <c r="W11" i="16"/>
  <c r="G10" i="14"/>
  <c r="D10" i="9"/>
  <c r="T10" i="5"/>
  <c r="Q12" i="4"/>
  <c r="AA11" i="3"/>
  <c r="R9" i="1"/>
  <c r="E10" i="9"/>
  <c r="D14" i="11"/>
  <c r="X10" i="9"/>
  <c r="E9" i="13"/>
  <c r="W10" i="9"/>
  <c r="P9" i="13"/>
  <c r="T12" i="4"/>
  <c r="Q11" i="16"/>
  <c r="K11" i="15"/>
  <c r="F9" i="1"/>
  <c r="R10" i="5"/>
  <c r="F10" i="14"/>
  <c r="Q10" i="5"/>
  <c r="K11" i="14"/>
  <c r="R12" i="10"/>
  <c r="U10" i="13"/>
  <c r="Q12" i="10"/>
  <c r="O13" i="3"/>
  <c r="Y10" i="13"/>
  <c r="O11" i="5"/>
  <c r="G11" i="9"/>
  <c r="N12" i="15"/>
  <c r="N16" i="11"/>
  <c r="Y12" i="15"/>
  <c r="O12" i="3"/>
  <c r="Y13" i="4"/>
  <c r="X14" i="4"/>
  <c r="W15" i="11"/>
  <c r="P12" i="10"/>
  <c r="R12" i="3"/>
  <c r="O10" i="1"/>
  <c r="T11" i="9"/>
  <c r="K11" i="9"/>
  <c r="X12" i="10"/>
  <c r="Y12" i="10"/>
  <c r="Q10" i="1"/>
  <c r="Q11" i="9"/>
  <c r="G10" i="13"/>
  <c r="R10" i="13"/>
  <c r="U12" i="10"/>
  <c r="D12" i="10"/>
  <c r="Q13" i="4"/>
  <c r="D10" i="1"/>
  <c r="W12" i="10"/>
  <c r="AA12" i="3"/>
  <c r="P12" i="16"/>
  <c r="W11" i="14"/>
  <c r="T12" i="15"/>
  <c r="P10" i="1"/>
  <c r="U12" i="3"/>
  <c r="N11" i="9"/>
  <c r="AA15" i="11"/>
  <c r="O12" i="16"/>
  <c r="G15" i="11"/>
  <c r="R15" i="11"/>
  <c r="W12" i="3"/>
  <c r="Y12" i="16"/>
  <c r="U15" i="11"/>
  <c r="P16" i="11"/>
  <c r="AA12" i="15"/>
  <c r="F12" i="16"/>
  <c r="U11" i="14"/>
  <c r="W10" i="1"/>
  <c r="X11" i="14"/>
  <c r="K10" i="1"/>
  <c r="N12" i="16"/>
  <c r="D13" i="4"/>
  <c r="F12" i="15"/>
  <c r="U13" i="3"/>
  <c r="E10" i="1"/>
  <c r="N15" i="11"/>
  <c r="Q12" i="15"/>
  <c r="AA10" i="1"/>
  <c r="Y11" i="14"/>
  <c r="P12" i="3"/>
  <c r="U11" i="9"/>
  <c r="W12" i="15"/>
  <c r="P10" i="13"/>
  <c r="X10" i="13"/>
  <c r="G11" i="14"/>
  <c r="F12" i="10"/>
  <c r="T12" i="16"/>
  <c r="W13" i="4"/>
  <c r="G12" i="15"/>
  <c r="X12" i="16"/>
  <c r="E12" i="16"/>
  <c r="U12" i="15"/>
  <c r="D11" i="9"/>
  <c r="X12" i="3"/>
  <c r="F11" i="9"/>
  <c r="X10" i="1"/>
  <c r="X13" i="4"/>
  <c r="E13" i="4"/>
  <c r="Y12" i="3"/>
  <c r="X11" i="9"/>
  <c r="O12" i="15"/>
  <c r="K10" i="13"/>
  <c r="F15" i="11"/>
  <c r="N11" i="5"/>
  <c r="R12" i="16"/>
  <c r="G12" i="16"/>
  <c r="W11" i="5"/>
  <c r="Q12" i="3"/>
  <c r="AA12" i="16"/>
  <c r="K12" i="15"/>
  <c r="Y11" i="5"/>
  <c r="D11" i="14"/>
  <c r="P11" i="9"/>
  <c r="P11" i="5"/>
  <c r="Q11" i="5"/>
  <c r="F10" i="13"/>
  <c r="X11" i="5"/>
  <c r="W10" i="13"/>
  <c r="E15" i="11"/>
  <c r="O12" i="10"/>
  <c r="O15" i="11"/>
  <c r="T15" i="11"/>
  <c r="Y11" i="9"/>
  <c r="D12" i="15"/>
  <c r="AA11" i="14"/>
  <c r="N12" i="10"/>
  <c r="T16" i="11"/>
  <c r="Q10" i="13"/>
  <c r="K13" i="4"/>
  <c r="W11" i="9"/>
  <c r="Y10" i="1"/>
  <c r="T11" i="14"/>
  <c r="R13" i="4"/>
  <c r="N10" i="1"/>
  <c r="T12" i="3"/>
  <c r="D15" i="11"/>
  <c r="W12" i="14"/>
  <c r="E11" i="14"/>
  <c r="T11" i="5"/>
  <c r="P12" i="15"/>
  <c r="G10" i="1"/>
  <c r="AA12" i="10"/>
  <c r="E12" i="10"/>
  <c r="U10" i="1"/>
  <c r="AA13" i="4"/>
  <c r="F11" i="14"/>
  <c r="E12" i="15"/>
  <c r="E10" i="13"/>
  <c r="K12" i="10"/>
  <c r="W12" i="16"/>
  <c r="U13" i="4"/>
  <c r="F13" i="4"/>
  <c r="Y14" i="4"/>
  <c r="G13" i="16"/>
  <c r="X16" i="11"/>
  <c r="X15" i="11"/>
  <c r="E11" i="9"/>
  <c r="N13" i="4"/>
  <c r="N10" i="13"/>
  <c r="AA11" i="9"/>
  <c r="D10" i="13"/>
  <c r="O10" i="13"/>
  <c r="T10" i="1"/>
  <c r="U12" i="16"/>
  <c r="P13" i="4"/>
  <c r="AA10" i="13"/>
  <c r="T10" i="13"/>
  <c r="D12" i="16"/>
  <c r="X12" i="15"/>
  <c r="K12" i="16"/>
  <c r="T12" i="10"/>
  <c r="Y15" i="11"/>
  <c r="G12" i="10"/>
  <c r="G13" i="4"/>
  <c r="Q13" i="15"/>
  <c r="Z11" i="5"/>
  <c r="R11" i="5"/>
  <c r="F10" i="1"/>
  <c r="R10" i="1"/>
  <c r="Q15" i="11"/>
  <c r="P15" i="11"/>
  <c r="K15" i="11"/>
  <c r="O13" i="4"/>
  <c r="R12" i="15"/>
  <c r="Q12" i="16"/>
  <c r="T13" i="4"/>
  <c r="U11" i="5"/>
  <c r="N13" i="10"/>
  <c r="N13" i="16"/>
  <c r="W11" i="13"/>
  <c r="R11" i="1"/>
  <c r="P13" i="15"/>
  <c r="P11" i="13"/>
  <c r="Q11" i="13"/>
  <c r="R11" i="13"/>
  <c r="F16" i="11"/>
  <c r="D13" i="10"/>
  <c r="G16" i="11"/>
  <c r="F12" i="14"/>
  <c r="AA13" i="10"/>
  <c r="Q13" i="10"/>
  <c r="U16" i="11"/>
  <c r="R13" i="10"/>
  <c r="Y16" i="11"/>
  <c r="T11" i="1"/>
  <c r="U14" i="4"/>
  <c r="X11" i="13"/>
  <c r="P11" i="1"/>
  <c r="F12" i="1"/>
  <c r="E14" i="4"/>
  <c r="AA11" i="13"/>
  <c r="G13" i="15"/>
  <c r="R16" i="11"/>
  <c r="AA13" i="16"/>
  <c r="F13" i="15"/>
  <c r="U12" i="5"/>
  <c r="X12" i="14"/>
  <c r="T12" i="5"/>
  <c r="P13" i="16"/>
  <c r="X13" i="3"/>
  <c r="O12" i="5"/>
  <c r="Q13" i="16"/>
  <c r="Y13" i="10"/>
  <c r="AA12" i="9"/>
  <c r="Y13" i="16"/>
  <c r="X13" i="10"/>
  <c r="O11" i="1"/>
  <c r="T13" i="15"/>
  <c r="G11" i="13"/>
  <c r="D13" i="15"/>
  <c r="X12" i="5"/>
  <c r="Q12" i="5"/>
  <c r="E16" i="11"/>
  <c r="W13" i="15"/>
  <c r="R14" i="4"/>
  <c r="E11" i="1"/>
  <c r="O13" i="16"/>
  <c r="T12" i="9"/>
  <c r="F13" i="16"/>
  <c r="D14" i="4"/>
  <c r="Q11" i="1"/>
  <c r="W11" i="1"/>
  <c r="P12" i="5"/>
  <c r="Y12" i="14"/>
  <c r="R13" i="16"/>
  <c r="K13" i="15"/>
  <c r="Y13" i="3"/>
  <c r="T13" i="16"/>
  <c r="AA13" i="15"/>
  <c r="G14" i="4"/>
  <c r="U13" i="15"/>
  <c r="G13" i="5"/>
  <c r="AA14" i="4"/>
  <c r="N11" i="1"/>
  <c r="R13" i="15"/>
  <c r="Y13" i="15"/>
  <c r="O14" i="4"/>
  <c r="Q12" i="9"/>
  <c r="K12" i="9"/>
  <c r="P14" i="4"/>
  <c r="AA11" i="1"/>
  <c r="X11" i="1"/>
  <c r="N12" i="5"/>
  <c r="X12" i="9"/>
  <c r="F13" i="10"/>
  <c r="T13" i="3"/>
  <c r="X13" i="15"/>
  <c r="D12" i="9"/>
  <c r="E13" i="10"/>
  <c r="U11" i="13"/>
  <c r="N13" i="15"/>
  <c r="T11" i="13"/>
  <c r="W13" i="3"/>
  <c r="O11" i="13"/>
  <c r="W14" i="15"/>
  <c r="Q14" i="10"/>
  <c r="W14" i="4"/>
  <c r="Y12" i="5"/>
  <c r="K12" i="14"/>
  <c r="U13" i="10"/>
  <c r="G13" i="10"/>
  <c r="N14" i="4"/>
  <c r="AA12" i="14"/>
  <c r="U12" i="9"/>
  <c r="F12" i="9"/>
  <c r="F11" i="1"/>
  <c r="Q16" i="11"/>
  <c r="N12" i="9"/>
  <c r="P12" i="9"/>
  <c r="D16" i="11"/>
  <c r="G12" i="14"/>
  <c r="X13" i="16"/>
  <c r="F11" i="13"/>
  <c r="R13" i="3"/>
  <c r="D11" i="1"/>
  <c r="U11" i="1"/>
  <c r="T12" i="14"/>
  <c r="U12" i="14"/>
  <c r="D12" i="14"/>
  <c r="G11" i="1"/>
  <c r="U13" i="16"/>
  <c r="K14" i="4"/>
  <c r="O13" i="10"/>
  <c r="G12" i="9"/>
  <c r="Q14" i="4"/>
  <c r="P13" i="10"/>
  <c r="T13" i="10"/>
  <c r="O13" i="15"/>
  <c r="E13" i="15"/>
  <c r="W12" i="9"/>
  <c r="R12" i="5"/>
  <c r="P13" i="3"/>
  <c r="AA13" i="3"/>
  <c r="K13" i="10"/>
  <c r="K16" i="11"/>
  <c r="K11" i="1"/>
  <c r="E11" i="13"/>
  <c r="Y11" i="13"/>
  <c r="E12" i="14"/>
  <c r="E12" i="9"/>
  <c r="K13" i="16"/>
  <c r="W16" i="11"/>
  <c r="D11" i="13"/>
  <c r="Y11" i="1"/>
  <c r="K11" i="13"/>
  <c r="N11" i="13"/>
  <c r="D13" i="16"/>
  <c r="Y12" i="9"/>
  <c r="Q13" i="3"/>
  <c r="O16" i="11"/>
  <c r="T14" i="4"/>
  <c r="Z12" i="5"/>
  <c r="F14" i="4"/>
  <c r="AA16" i="11"/>
  <c r="W13" i="10"/>
  <c r="E13" i="16"/>
  <c r="W13" i="16"/>
  <c r="W12" i="5"/>
  <c r="D12" i="13"/>
  <c r="Y13" i="9"/>
  <c r="R14" i="3"/>
  <c r="W14" i="10"/>
  <c r="N14" i="16"/>
  <c r="W13" i="14"/>
  <c r="R14" i="10"/>
  <c r="G17" i="11"/>
  <c r="P13" i="5"/>
  <c r="Y12" i="1"/>
  <c r="T12" i="13"/>
  <c r="E13" i="14"/>
  <c r="D14" i="15"/>
  <c r="F14" i="16"/>
  <c r="R14" i="16"/>
  <c r="N13" i="5"/>
  <c r="K14" i="10"/>
  <c r="E17" i="11"/>
  <c r="Q12" i="13"/>
  <c r="R13" i="5"/>
  <c r="D14" i="16"/>
  <c r="T14" i="10"/>
  <c r="Y12" i="13"/>
  <c r="F15" i="4"/>
  <c r="Q14" i="15"/>
  <c r="G13" i="9"/>
  <c r="F12" i="13"/>
  <c r="X14" i="16"/>
  <c r="W17" i="11"/>
  <c r="Q13" i="9"/>
  <c r="F13" i="9"/>
  <c r="T17" i="11"/>
  <c r="O12" i="13"/>
  <c r="R17" i="11"/>
  <c r="P13" i="9"/>
  <c r="U17" i="11"/>
  <c r="K13" i="9"/>
  <c r="F14" i="15"/>
  <c r="X13" i="5"/>
  <c r="X14" i="5"/>
  <c r="AA14" i="3"/>
  <c r="T14" i="16"/>
  <c r="R14" i="15"/>
  <c r="R12" i="1"/>
  <c r="Y14" i="3"/>
  <c r="X14" i="15"/>
  <c r="O13" i="5"/>
  <c r="W15" i="4"/>
  <c r="U13" i="5"/>
  <c r="P14" i="15"/>
  <c r="G14" i="15"/>
  <c r="W14" i="3"/>
  <c r="E12" i="1"/>
  <c r="D13" i="5"/>
  <c r="T13" i="9"/>
  <c r="K14" i="16"/>
  <c r="Y13" i="5"/>
  <c r="AA14" i="15"/>
  <c r="X14" i="3"/>
  <c r="T13" i="14"/>
  <c r="P15" i="10"/>
  <c r="F13" i="14"/>
  <c r="G12" i="1"/>
  <c r="AA13" i="9"/>
  <c r="N13" i="9"/>
  <c r="X17" i="11"/>
  <c r="P14" i="3"/>
  <c r="AA12" i="13"/>
  <c r="W13" i="9"/>
  <c r="O14" i="16"/>
  <c r="O14" i="15"/>
  <c r="T14" i="15"/>
  <c r="D13" i="9"/>
  <c r="E12" i="13"/>
  <c r="AA14" i="16"/>
  <c r="K12" i="1"/>
  <c r="X12" i="13"/>
  <c r="P12" i="1"/>
  <c r="D14" i="10"/>
  <c r="U12" i="1"/>
  <c r="W12" i="1"/>
  <c r="E13" i="9"/>
  <c r="W14" i="16"/>
  <c r="G13" i="1"/>
  <c r="N17" i="11"/>
  <c r="P15" i="4"/>
  <c r="N12" i="1"/>
  <c r="T13" i="5"/>
  <c r="O17" i="11"/>
  <c r="U14" i="3"/>
  <c r="D15" i="4"/>
  <c r="Z13" i="5"/>
  <c r="P12" i="13"/>
  <c r="R12" i="13"/>
  <c r="U14" i="16"/>
  <c r="U12" i="13"/>
  <c r="F17" i="11"/>
  <c r="F13" i="5"/>
  <c r="Q17" i="11"/>
  <c r="G14" i="10"/>
  <c r="X14" i="10"/>
  <c r="K15" i="4"/>
  <c r="X13" i="9"/>
  <c r="W12" i="13"/>
  <c r="Y13" i="14"/>
  <c r="X13" i="14"/>
  <c r="K13" i="14"/>
  <c r="T14" i="3"/>
  <c r="N12" i="13"/>
  <c r="U14" i="10"/>
  <c r="G15" i="4"/>
  <c r="P14" i="10"/>
  <c r="F13" i="1"/>
  <c r="G12" i="13"/>
  <c r="AA14" i="10"/>
  <c r="Y14" i="16"/>
  <c r="Q14" i="3"/>
  <c r="K14" i="15"/>
  <c r="G14" i="16"/>
  <c r="Q15" i="4"/>
  <c r="D13" i="14"/>
  <c r="AA15" i="4"/>
  <c r="Q12" i="1"/>
  <c r="E13" i="5"/>
  <c r="P14" i="16"/>
  <c r="W13" i="5"/>
  <c r="Y14" i="10"/>
  <c r="O14" i="10"/>
  <c r="R15" i="4"/>
  <c r="F14" i="10"/>
  <c r="AA13" i="14"/>
  <c r="T15" i="4"/>
  <c r="E14" i="15"/>
  <c r="X15" i="4"/>
  <c r="AA12" i="1"/>
  <c r="Y14" i="15"/>
  <c r="N15" i="4"/>
  <c r="U13" i="9"/>
  <c r="G13" i="14"/>
  <c r="R13" i="1"/>
  <c r="Q13" i="5"/>
  <c r="U13" i="14"/>
  <c r="Q14" i="16"/>
  <c r="K17" i="11"/>
  <c r="N14" i="15"/>
  <c r="U15" i="4"/>
  <c r="K12" i="13"/>
  <c r="K13" i="5"/>
  <c r="U14" i="15"/>
  <c r="O14" i="3"/>
  <c r="P17" i="11"/>
  <c r="X12" i="1"/>
  <c r="E14" i="16"/>
  <c r="E15" i="4"/>
  <c r="O15" i="4"/>
  <c r="N14" i="10"/>
  <c r="T12" i="1"/>
  <c r="Y15" i="4"/>
  <c r="O12" i="1"/>
  <c r="D17" i="11"/>
  <c r="D12" i="1"/>
  <c r="Y17" i="11"/>
  <c r="AA17" i="11"/>
  <c r="E14" i="10"/>
  <c r="D13" i="13"/>
  <c r="K18" i="11"/>
  <c r="R15" i="3"/>
  <c r="G18" i="11"/>
  <c r="T18" i="11"/>
  <c r="W15" i="10"/>
  <c r="Y14" i="5"/>
  <c r="T16" i="4"/>
  <c r="U18" i="11"/>
  <c r="E15" i="16"/>
  <c r="F15" i="16"/>
  <c r="Q14" i="9"/>
  <c r="X15" i="3"/>
  <c r="G15" i="10"/>
  <c r="K15" i="15"/>
  <c r="AA13" i="13"/>
  <c r="R17" i="4"/>
  <c r="R15" i="16"/>
  <c r="O17" i="4"/>
  <c r="Y19" i="11"/>
  <c r="Y13" i="13"/>
  <c r="AA15" i="16"/>
  <c r="R16" i="4"/>
  <c r="U14" i="14"/>
  <c r="Q16" i="4"/>
  <c r="F16" i="4"/>
  <c r="T14" i="9"/>
  <c r="O15" i="16"/>
  <c r="Y16" i="4"/>
  <c r="AA16" i="4"/>
  <c r="D14" i="5"/>
  <c r="T15" i="16"/>
  <c r="Q15" i="16"/>
  <c r="N13" i="1"/>
  <c r="O15" i="3"/>
  <c r="W14" i="14"/>
  <c r="E14" i="5"/>
  <c r="E18" i="11"/>
  <c r="K15" i="10"/>
  <c r="P15" i="15"/>
  <c r="Y14" i="14"/>
  <c r="T15" i="10"/>
  <c r="F15" i="15"/>
  <c r="O15" i="15"/>
  <c r="N13" i="13"/>
  <c r="K14" i="14"/>
  <c r="X15" i="10"/>
  <c r="X13" i="13"/>
  <c r="U13" i="1"/>
  <c r="AA14" i="9"/>
  <c r="P14" i="1"/>
  <c r="AA13" i="1"/>
  <c r="U14" i="9"/>
  <c r="D16" i="4"/>
  <c r="Y13" i="1"/>
  <c r="P13" i="1"/>
  <c r="K14" i="5"/>
  <c r="D14" i="14"/>
  <c r="T15" i="3"/>
  <c r="E16" i="4"/>
  <c r="U16" i="4"/>
  <c r="U15" i="15"/>
  <c r="E13" i="1"/>
  <c r="X14" i="9"/>
  <c r="E15" i="15"/>
  <c r="W14" i="9"/>
  <c r="P14" i="5"/>
  <c r="E13" i="13"/>
  <c r="P15" i="3"/>
  <c r="U15" i="16"/>
  <c r="K13" i="13"/>
  <c r="Q15" i="10"/>
  <c r="W14" i="5"/>
  <c r="R18" i="11"/>
  <c r="O15" i="10"/>
  <c r="Y18" i="11"/>
  <c r="F13" i="13"/>
  <c r="E14" i="9"/>
  <c r="D13" i="1"/>
  <c r="Q18" i="11"/>
  <c r="X18" i="11"/>
  <c r="AA15" i="15"/>
  <c r="AA15" i="3"/>
  <c r="R13" i="13"/>
  <c r="U15" i="10"/>
  <c r="F14" i="9"/>
  <c r="W15" i="3"/>
  <c r="T13" i="13"/>
  <c r="G15" i="16"/>
  <c r="X13" i="1"/>
  <c r="Q15" i="3"/>
  <c r="E14" i="14"/>
  <c r="W13" i="13"/>
  <c r="N16" i="4"/>
  <c r="R14" i="5"/>
  <c r="P16" i="4"/>
  <c r="O13" i="1"/>
  <c r="G14" i="9"/>
  <c r="AA18" i="11"/>
  <c r="Y15" i="10"/>
  <c r="F14" i="5"/>
  <c r="X15" i="15"/>
  <c r="N14" i="5"/>
  <c r="Q14" i="5"/>
  <c r="N15" i="16"/>
  <c r="D14" i="9"/>
  <c r="R15" i="15"/>
  <c r="K13" i="1"/>
  <c r="G13" i="13"/>
  <c r="Y15" i="15"/>
  <c r="P18" i="11"/>
  <c r="W15" i="16"/>
  <c r="Q13" i="1"/>
  <c r="G15" i="15"/>
  <c r="E15" i="10"/>
  <c r="U15" i="3"/>
  <c r="N15" i="10"/>
  <c r="G14" i="5"/>
  <c r="N15" i="15"/>
  <c r="W18" i="11"/>
  <c r="AA14" i="14"/>
  <c r="O14" i="5"/>
  <c r="P14" i="9"/>
  <c r="U14" i="5"/>
  <c r="R15" i="10"/>
  <c r="AA16" i="3"/>
  <c r="T14" i="5"/>
  <c r="W16" i="4"/>
  <c r="P15" i="16"/>
  <c r="F14" i="14"/>
  <c r="N18" i="11"/>
  <c r="T14" i="14"/>
  <c r="P13" i="13"/>
  <c r="T13" i="1"/>
  <c r="N14" i="9"/>
  <c r="O18" i="11"/>
  <c r="Q15" i="15"/>
  <c r="K16" i="4"/>
  <c r="O16" i="4"/>
  <c r="AA15" i="10"/>
  <c r="Y16" i="15"/>
  <c r="T15" i="15"/>
  <c r="D18" i="11"/>
  <c r="G16" i="4"/>
  <c r="X14" i="14"/>
  <c r="D15" i="10"/>
  <c r="Y15" i="16"/>
  <c r="Q13" i="13"/>
  <c r="D15" i="15"/>
  <c r="Y15" i="3"/>
  <c r="G14" i="14"/>
  <c r="K15" i="16"/>
  <c r="X16" i="4"/>
  <c r="F15" i="10"/>
  <c r="Y14" i="9"/>
  <c r="O13" i="13"/>
  <c r="U13" i="13"/>
  <c r="X15" i="16"/>
  <c r="Z14" i="5"/>
  <c r="F18" i="11"/>
  <c r="K14" i="9"/>
  <c r="W13" i="1"/>
  <c r="W15" i="15"/>
  <c r="D15" i="16"/>
  <c r="Q15" i="5"/>
  <c r="K15" i="9"/>
  <c r="T16" i="16"/>
  <c r="K15" i="14"/>
  <c r="N15" i="5"/>
  <c r="K17" i="4"/>
  <c r="P15" i="5"/>
  <c r="E14" i="13"/>
  <c r="U14" i="1"/>
  <c r="G16" i="16"/>
  <c r="E16" i="10"/>
  <c r="D16" i="15"/>
  <c r="D19" i="11"/>
  <c r="Q16" i="10"/>
  <c r="X16" i="15"/>
  <c r="F19" i="11"/>
  <c r="P14" i="13"/>
  <c r="AA16" i="10"/>
  <c r="X16" i="5"/>
  <c r="F14" i="1"/>
  <c r="T15" i="5"/>
  <c r="AA14" i="13"/>
  <c r="W14" i="1"/>
  <c r="F16" i="15"/>
  <c r="D15" i="5"/>
  <c r="E14" i="1"/>
  <c r="D15" i="9"/>
  <c r="T14" i="1"/>
  <c r="Q17" i="4"/>
  <c r="W17" i="4"/>
  <c r="F16" i="16"/>
  <c r="U16" i="15"/>
  <c r="N17" i="4"/>
  <c r="W17" i="3"/>
  <c r="U14" i="13"/>
  <c r="G17" i="4"/>
  <c r="Q16" i="16"/>
  <c r="F16" i="10"/>
  <c r="U16" i="3"/>
  <c r="AA15" i="9"/>
  <c r="P15" i="9"/>
  <c r="P17" i="4"/>
  <c r="O16" i="10"/>
  <c r="T16" i="15"/>
  <c r="K14" i="13"/>
  <c r="O14" i="13"/>
  <c r="T16" i="3"/>
  <c r="W16" i="10"/>
  <c r="X17" i="4"/>
  <c r="N16" i="16"/>
  <c r="Y14" i="1"/>
  <c r="F14" i="13"/>
  <c r="G16" i="15"/>
  <c r="Q16" i="15"/>
  <c r="E15" i="14"/>
  <c r="X16" i="3"/>
  <c r="N16" i="10"/>
  <c r="K14" i="1"/>
  <c r="O16" i="3"/>
  <c r="K16" i="16"/>
  <c r="E16" i="15"/>
  <c r="U16" i="16"/>
  <c r="D17" i="4"/>
  <c r="W15" i="5"/>
  <c r="R14" i="13"/>
  <c r="Q14" i="1"/>
  <c r="D14" i="13"/>
  <c r="E19" i="11"/>
  <c r="U17" i="4"/>
  <c r="O15" i="5"/>
  <c r="N14" i="13"/>
  <c r="Q14" i="13"/>
  <c r="Y15" i="5"/>
  <c r="G14" i="13"/>
  <c r="F17" i="4"/>
  <c r="E16" i="16"/>
  <c r="W16" i="3"/>
  <c r="Y15" i="14"/>
  <c r="D14" i="1"/>
  <c r="G14" i="1"/>
  <c r="AA16" i="15"/>
  <c r="W19" i="11"/>
  <c r="T19" i="11"/>
  <c r="U15" i="5"/>
  <c r="N14" i="1"/>
  <c r="U19" i="11"/>
  <c r="K16" i="15"/>
  <c r="F15" i="5"/>
  <c r="Q19" i="11"/>
  <c r="U15" i="9"/>
  <c r="N19" i="11"/>
  <c r="AA17" i="4"/>
  <c r="T14" i="13"/>
  <c r="U15" i="14"/>
  <c r="D16" i="10"/>
  <c r="R16" i="3"/>
  <c r="P16" i="3"/>
  <c r="X16" i="16"/>
  <c r="P16" i="15"/>
  <c r="W15" i="14"/>
  <c r="X19" i="11"/>
  <c r="Y17" i="4"/>
  <c r="Y15" i="9"/>
  <c r="X15" i="5"/>
  <c r="O16" i="16"/>
  <c r="D16" i="16"/>
  <c r="P19" i="11"/>
  <c r="G15" i="9"/>
  <c r="K19" i="11"/>
  <c r="U16" i="10"/>
  <c r="R16" i="15"/>
  <c r="W14" i="13"/>
  <c r="O16" i="15"/>
  <c r="G19" i="11"/>
  <c r="N15" i="9"/>
  <c r="O14" i="1"/>
  <c r="G16" i="10"/>
  <c r="X14" i="1"/>
  <c r="R15" i="5"/>
  <c r="R16" i="16"/>
  <c r="D15" i="14"/>
  <c r="R15" i="1"/>
  <c r="AA15" i="14"/>
  <c r="N16" i="15"/>
  <c r="T15" i="14"/>
  <c r="W16" i="16"/>
  <c r="P16" i="10"/>
  <c r="Q16" i="3"/>
  <c r="W15" i="9"/>
  <c r="X15" i="9"/>
  <c r="R14" i="1"/>
  <c r="X16" i="10"/>
  <c r="O19" i="11"/>
  <c r="Y16" i="10"/>
  <c r="T15" i="9"/>
  <c r="X15" i="14"/>
  <c r="R16" i="10"/>
  <c r="Y16" i="3"/>
  <c r="AA19" i="11"/>
  <c r="K16" i="10"/>
  <c r="AA14" i="1"/>
  <c r="Y16" i="16"/>
  <c r="F15" i="9"/>
  <c r="E17" i="4"/>
  <c r="R19" i="11"/>
  <c r="AA16" i="16"/>
  <c r="P16" i="16"/>
  <c r="G15" i="14"/>
  <c r="K15" i="5"/>
  <c r="T17" i="4"/>
  <c r="T16" i="10"/>
  <c r="W16" i="15"/>
  <c r="X14" i="13"/>
  <c r="Y14" i="13"/>
  <c r="E15" i="9"/>
  <c r="Z15" i="5"/>
  <c r="Q15" i="9"/>
  <c r="F15" i="14"/>
  <c r="E17" i="16"/>
  <c r="Y18" i="4"/>
  <c r="W16" i="14"/>
  <c r="N20" i="11"/>
  <c r="P18" i="4"/>
  <c r="Q15" i="13"/>
  <c r="U15" i="13"/>
  <c r="K18" i="4"/>
  <c r="U16" i="9"/>
  <c r="N17" i="10"/>
  <c r="G18" i="15"/>
  <c r="Y20" i="11"/>
  <c r="T16" i="14"/>
  <c r="Q16" i="5"/>
  <c r="D17" i="15"/>
  <c r="Y15" i="1"/>
  <c r="Q20" i="11"/>
  <c r="U17" i="10"/>
  <c r="G15" i="1"/>
  <c r="Y15" i="13"/>
  <c r="O15" i="13"/>
  <c r="N17" i="16"/>
  <c r="R17" i="10"/>
  <c r="Q17" i="16"/>
  <c r="D17" i="10"/>
  <c r="W16" i="9"/>
  <c r="G16" i="14"/>
  <c r="G15" i="13"/>
  <c r="Q17" i="10"/>
  <c r="Y17" i="16"/>
  <c r="W18" i="4"/>
  <c r="K16" i="9"/>
  <c r="K17" i="10"/>
  <c r="T18" i="4"/>
  <c r="U17" i="16"/>
  <c r="E15" i="13"/>
  <c r="E18" i="4"/>
  <c r="N15" i="13"/>
  <c r="O17" i="15"/>
  <c r="AA17" i="16"/>
  <c r="AA18" i="4"/>
  <c r="K16" i="14"/>
  <c r="O16" i="5"/>
  <c r="D16" i="5"/>
  <c r="N17" i="15"/>
  <c r="X20" i="11"/>
  <c r="X15" i="1"/>
  <c r="K17" i="15"/>
  <c r="F20" i="11"/>
  <c r="X17" i="3"/>
  <c r="U17" i="15"/>
  <c r="U16" i="5"/>
  <c r="P16" i="5"/>
  <c r="F17" i="15"/>
  <c r="P17" i="15"/>
  <c r="Y17" i="10"/>
  <c r="R17" i="3"/>
  <c r="G16" i="9"/>
  <c r="D16" i="9"/>
  <c r="U15" i="1"/>
  <c r="N16" i="5"/>
  <c r="K15" i="13"/>
  <c r="W15" i="13"/>
  <c r="F17" i="10"/>
  <c r="W16" i="5"/>
  <c r="Z16" i="5"/>
  <c r="E15" i="1"/>
  <c r="AA17" i="3"/>
  <c r="Q17" i="3"/>
  <c r="O20" i="11"/>
  <c r="R17" i="16"/>
  <c r="K16" i="5"/>
  <c r="AA16" i="9"/>
  <c r="P15" i="13"/>
  <c r="N17" i="9"/>
  <c r="G17" i="10"/>
  <c r="AA16" i="14"/>
  <c r="Y17" i="15"/>
  <c r="T17" i="10"/>
  <c r="Q15" i="1"/>
  <c r="T17" i="3"/>
  <c r="O15" i="1"/>
  <c r="O17" i="16"/>
  <c r="F16" i="5"/>
  <c r="X16" i="14"/>
  <c r="F18" i="4"/>
  <c r="P16" i="9"/>
  <c r="Q17" i="15"/>
  <c r="W15" i="1"/>
  <c r="N15" i="1"/>
  <c r="R16" i="5"/>
  <c r="P17" i="10"/>
  <c r="U17" i="3"/>
  <c r="X16" i="9"/>
  <c r="R20" i="11"/>
  <c r="N18" i="4"/>
  <c r="W17" i="10"/>
  <c r="U18" i="10"/>
  <c r="T18" i="10"/>
  <c r="F17" i="16"/>
  <c r="E16" i="5"/>
  <c r="T17" i="16"/>
  <c r="T16" i="5"/>
  <c r="E17" i="15"/>
  <c r="T20" i="11"/>
  <c r="AA17" i="15"/>
  <c r="F15" i="13"/>
  <c r="P17" i="3"/>
  <c r="E17" i="10"/>
  <c r="W20" i="11"/>
  <c r="Y17" i="3"/>
  <c r="G17" i="16"/>
  <c r="X15" i="13"/>
  <c r="F15" i="1"/>
  <c r="AA20" i="11"/>
  <c r="Y16" i="14"/>
  <c r="R18" i="4"/>
  <c r="X17" i="10"/>
  <c r="K15" i="1"/>
  <c r="Y16" i="5"/>
  <c r="D20" i="11"/>
  <c r="T17" i="15"/>
  <c r="G16" i="5"/>
  <c r="G17" i="15"/>
  <c r="E16" i="14"/>
  <c r="E16" i="9"/>
  <c r="K17" i="16"/>
  <c r="X17" i="15"/>
  <c r="N16" i="9"/>
  <c r="D15" i="13"/>
  <c r="Y16" i="9"/>
  <c r="K20" i="11"/>
  <c r="Q16" i="9"/>
  <c r="D17" i="16"/>
  <c r="O17" i="10"/>
  <c r="F16" i="9"/>
  <c r="R17" i="15"/>
  <c r="P17" i="16"/>
  <c r="R15" i="13"/>
  <c r="O17" i="3"/>
  <c r="T15" i="13"/>
  <c r="G20" i="11"/>
  <c r="AA17" i="10"/>
  <c r="X17" i="16"/>
  <c r="D16" i="14"/>
  <c r="U16" i="14"/>
  <c r="F16" i="14"/>
  <c r="T15" i="1"/>
  <c r="T16" i="9"/>
  <c r="X18" i="4"/>
  <c r="U20" i="11"/>
  <c r="E20" i="11"/>
  <c r="Q18" i="4"/>
  <c r="U18" i="4"/>
  <c r="W17" i="15"/>
  <c r="AA15" i="13"/>
  <c r="D15" i="1"/>
  <c r="D18" i="4"/>
  <c r="G18" i="4"/>
  <c r="O18" i="4"/>
  <c r="P15" i="1"/>
  <c r="W17" i="16"/>
  <c r="AA15" i="1"/>
  <c r="P20" i="11"/>
  <c r="N18" i="16"/>
  <c r="R18" i="16"/>
  <c r="W18" i="16"/>
  <c r="F18" i="15"/>
  <c r="G18" i="10"/>
  <c r="G17" i="14"/>
  <c r="F19" i="4"/>
  <c r="E17" i="14"/>
  <c r="R16" i="13"/>
  <c r="Q18" i="3"/>
  <c r="G21" i="11"/>
  <c r="F17" i="9"/>
  <c r="U17" i="5"/>
  <c r="AA16" i="1"/>
  <c r="P19" i="4"/>
  <c r="Q16" i="13"/>
  <c r="G16" i="1"/>
  <c r="U18" i="16"/>
  <c r="W16" i="1"/>
  <c r="O18" i="10"/>
  <c r="K18" i="10"/>
  <c r="X18" i="15"/>
  <c r="G16" i="13"/>
  <c r="W17" i="14"/>
  <c r="X16" i="1"/>
  <c r="Y18" i="10"/>
  <c r="D18" i="10"/>
  <c r="P16" i="13"/>
  <c r="N21" i="11"/>
  <c r="U18" i="3"/>
  <c r="T16" i="1"/>
  <c r="G17" i="9"/>
  <c r="G17" i="5"/>
  <c r="G18" i="16"/>
  <c r="K18" i="16"/>
  <c r="Y17" i="5"/>
  <c r="K16" i="1"/>
  <c r="W21" i="11"/>
  <c r="W17" i="9"/>
  <c r="P18" i="3"/>
  <c r="Q18" i="15"/>
  <c r="AA18" i="10"/>
  <c r="Y19" i="15"/>
  <c r="D18" i="15"/>
  <c r="F18" i="10"/>
  <c r="P18" i="16"/>
  <c r="E16" i="13"/>
  <c r="G19" i="4"/>
  <c r="E18" i="10"/>
  <c r="X17" i="9"/>
  <c r="W16" i="13"/>
  <c r="Q17" i="9"/>
  <c r="N19" i="4"/>
  <c r="P17" i="9"/>
  <c r="AA18" i="3"/>
  <c r="F17" i="14"/>
  <c r="X19" i="4"/>
  <c r="R21" i="11"/>
  <c r="AA21" i="11"/>
  <c r="K19" i="4"/>
  <c r="P16" i="1"/>
  <c r="P18" i="15"/>
  <c r="T18" i="16"/>
  <c r="K16" i="13"/>
  <c r="U18" i="15"/>
  <c r="O18" i="16"/>
  <c r="Q21" i="11"/>
  <c r="F18" i="16"/>
  <c r="U17" i="14"/>
  <c r="Y16" i="13"/>
  <c r="E19" i="4"/>
  <c r="U19" i="4"/>
  <c r="T21" i="11"/>
  <c r="O18" i="15"/>
  <c r="K21" i="11"/>
  <c r="T17" i="14"/>
  <c r="N17" i="5"/>
  <c r="F16" i="13"/>
  <c r="O21" i="11"/>
  <c r="X18" i="16"/>
  <c r="X18" i="10"/>
  <c r="AA19" i="16"/>
  <c r="D18" i="16"/>
  <c r="W19" i="4"/>
  <c r="E21" i="11"/>
  <c r="X16" i="13"/>
  <c r="W18" i="3"/>
  <c r="D19" i="4"/>
  <c r="T19" i="4"/>
  <c r="N16" i="13"/>
  <c r="F21" i="11"/>
  <c r="T17" i="9"/>
  <c r="T18" i="15"/>
  <c r="Y18" i="3"/>
  <c r="O17" i="5"/>
  <c r="R18" i="10"/>
  <c r="U16" i="1"/>
  <c r="Y18" i="16"/>
  <c r="D16" i="1"/>
  <c r="O18" i="3"/>
  <c r="F17" i="5"/>
  <c r="Y16" i="1"/>
  <c r="AA19" i="4"/>
  <c r="Y21" i="11"/>
  <c r="D17" i="9"/>
  <c r="T16" i="13"/>
  <c r="AA17" i="9"/>
  <c r="R18" i="3"/>
  <c r="D21" i="11"/>
  <c r="X17" i="14"/>
  <c r="Q18" i="16"/>
  <c r="R17" i="5"/>
  <c r="D17" i="14"/>
  <c r="T18" i="3"/>
  <c r="R19" i="4"/>
  <c r="P18" i="10"/>
  <c r="Y17" i="9"/>
  <c r="X18" i="3"/>
  <c r="D17" i="5"/>
  <c r="Z17" i="5"/>
  <c r="U16" i="13"/>
  <c r="AA17" i="14"/>
  <c r="K18" i="15"/>
  <c r="N16" i="1"/>
  <c r="Q17" i="5"/>
  <c r="X17" i="5"/>
  <c r="N18" i="10"/>
  <c r="T17" i="5"/>
  <c r="E17" i="5"/>
  <c r="R18" i="15"/>
  <c r="U17" i="9"/>
  <c r="E17" i="9"/>
  <c r="X21" i="11"/>
  <c r="E16" i="1"/>
  <c r="U21" i="11"/>
  <c r="E18" i="16"/>
  <c r="K17" i="9"/>
  <c r="D16" i="13"/>
  <c r="W18" i="15"/>
  <c r="O16" i="13"/>
  <c r="E18" i="15"/>
  <c r="Y17" i="14"/>
  <c r="P17" i="5"/>
  <c r="P21" i="11"/>
  <c r="AA18" i="15"/>
  <c r="F16" i="1"/>
  <c r="Q18" i="10"/>
  <c r="O16" i="1"/>
  <c r="Q19" i="4"/>
  <c r="Y19" i="4"/>
  <c r="Y18" i="15"/>
  <c r="O19" i="4"/>
  <c r="AA18" i="16"/>
  <c r="W18" i="10"/>
  <c r="AA16" i="13"/>
  <c r="N18" i="15"/>
  <c r="K17" i="5"/>
  <c r="K17" i="14"/>
  <c r="Q16" i="1"/>
  <c r="W17" i="5"/>
  <c r="R16" i="1"/>
  <c r="T19" i="15"/>
  <c r="N17" i="1"/>
  <c r="K18" i="5"/>
  <c r="AA17" i="13"/>
  <c r="N19" i="9"/>
  <c r="T18" i="9"/>
  <c r="Q17" i="13"/>
  <c r="R19" i="3"/>
  <c r="X18" i="14"/>
  <c r="U18" i="14"/>
  <c r="D19" i="15"/>
  <c r="E20" i="4"/>
  <c r="R19" i="10"/>
  <c r="P19" i="15"/>
  <c r="Q22" i="11"/>
  <c r="U17" i="1"/>
  <c r="D18" i="14"/>
  <c r="Q19" i="10"/>
  <c r="F19" i="10"/>
  <c r="E19" i="15"/>
  <c r="AA19" i="3"/>
  <c r="E18" i="14"/>
  <c r="X17" i="1"/>
  <c r="W19" i="15"/>
  <c r="D19" i="10"/>
  <c r="E19" i="5"/>
  <c r="X20" i="16"/>
  <c r="P19" i="16"/>
  <c r="T19" i="16"/>
  <c r="U20" i="15"/>
  <c r="AA20" i="4"/>
  <c r="Y18" i="14"/>
  <c r="Y17" i="1"/>
  <c r="P17" i="1"/>
  <c r="O17" i="13"/>
  <c r="Y18" i="5"/>
  <c r="X19" i="10"/>
  <c r="T20" i="4"/>
  <c r="T18" i="14"/>
  <c r="N19" i="16"/>
  <c r="O18" i="5"/>
  <c r="G17" i="1"/>
  <c r="F18" i="9"/>
  <c r="G15" i="5"/>
  <c r="E19" i="10"/>
  <c r="O18" i="13"/>
  <c r="P20" i="4"/>
  <c r="T19" i="10"/>
  <c r="X20" i="4"/>
  <c r="W17" i="13"/>
  <c r="F20" i="4"/>
  <c r="O19" i="16"/>
  <c r="K22" i="11"/>
  <c r="D18" i="9"/>
  <c r="Q18" i="9"/>
  <c r="AA19" i="14"/>
  <c r="D19" i="9"/>
  <c r="W18" i="1"/>
  <c r="D18" i="1"/>
  <c r="X17" i="13"/>
  <c r="P19" i="3"/>
  <c r="E18" i="5"/>
  <c r="Y19" i="3"/>
  <c r="N18" i="9"/>
  <c r="G18" i="9"/>
  <c r="D20" i="4"/>
  <c r="Y18" i="13"/>
  <c r="AA19" i="15"/>
  <c r="N19" i="10"/>
  <c r="D17" i="13"/>
  <c r="Y22" i="11"/>
  <c r="W18" i="5"/>
  <c r="X19" i="3"/>
  <c r="E17" i="1"/>
  <c r="Q19" i="3"/>
  <c r="R22" i="11"/>
  <c r="X18" i="5"/>
  <c r="R19" i="16"/>
  <c r="Y18" i="9"/>
  <c r="U20" i="4"/>
  <c r="G20" i="4"/>
  <c r="P18" i="1"/>
  <c r="D20" i="10"/>
  <c r="W17" i="1"/>
  <c r="W20" i="4"/>
  <c r="T17" i="1"/>
  <c r="P22" i="11"/>
  <c r="K19" i="15"/>
  <c r="K17" i="1"/>
  <c r="F18" i="14"/>
  <c r="Q17" i="1"/>
  <c r="AA18" i="9"/>
  <c r="N20" i="4"/>
  <c r="Y17" i="13"/>
  <c r="E20" i="16"/>
  <c r="Q19" i="16"/>
  <c r="P18" i="9"/>
  <c r="U19" i="3"/>
  <c r="Z18" i="5"/>
  <c r="W18" i="14"/>
  <c r="F22" i="11"/>
  <c r="U19" i="16"/>
  <c r="E15" i="5"/>
  <c r="W22" i="11"/>
  <c r="AA17" i="1"/>
  <c r="K19" i="16"/>
  <c r="N19" i="15"/>
  <c r="U22" i="11"/>
  <c r="Y20" i="4"/>
  <c r="U19" i="10"/>
  <c r="R18" i="5"/>
  <c r="N22" i="11"/>
  <c r="K19" i="9"/>
  <c r="Y19" i="16"/>
  <c r="T22" i="11"/>
  <c r="W19" i="3"/>
  <c r="U19" i="15"/>
  <c r="O22" i="11"/>
  <c r="E18" i="9"/>
  <c r="K18" i="14"/>
  <c r="F19" i="15"/>
  <c r="R19" i="15"/>
  <c r="R20" i="15"/>
  <c r="W18" i="9"/>
  <c r="P19" i="10"/>
  <c r="O17" i="1"/>
  <c r="R17" i="13"/>
  <c r="N17" i="13"/>
  <c r="Q20" i="4"/>
  <c r="P17" i="13"/>
  <c r="D19" i="16"/>
  <c r="Y19" i="10"/>
  <c r="O19" i="10"/>
  <c r="G19" i="16"/>
  <c r="Q18" i="5"/>
  <c r="G19" i="15"/>
  <c r="Q19" i="15"/>
  <c r="T19" i="9"/>
  <c r="U20" i="10"/>
  <c r="D22" i="11"/>
  <c r="E22" i="11"/>
  <c r="X22" i="11"/>
  <c r="U18" i="9"/>
  <c r="Y20" i="15"/>
  <c r="K20" i="4"/>
  <c r="AA19" i="10"/>
  <c r="X19" i="16"/>
  <c r="W19" i="16"/>
  <c r="F17" i="13"/>
  <c r="G19" i="10"/>
  <c r="O19" i="15"/>
  <c r="X18" i="9"/>
  <c r="O20" i="4"/>
  <c r="O19" i="3"/>
  <c r="F17" i="1"/>
  <c r="E17" i="13"/>
  <c r="D17" i="1"/>
  <c r="T18" i="5"/>
  <c r="AA22" i="11"/>
  <c r="G22" i="11"/>
  <c r="R20" i="4"/>
  <c r="K18" i="9"/>
  <c r="K19" i="10"/>
  <c r="U18" i="5"/>
  <c r="U17" i="13"/>
  <c r="U20" i="16"/>
  <c r="F23" i="11"/>
  <c r="AA18" i="14"/>
  <c r="F19" i="16"/>
  <c r="T19" i="5"/>
  <c r="R17" i="1"/>
  <c r="X23" i="11"/>
  <c r="T17" i="13"/>
  <c r="E19" i="16"/>
  <c r="G18" i="5"/>
  <c r="G17" i="13"/>
  <c r="W19" i="10"/>
  <c r="K17" i="13"/>
  <c r="T19" i="3"/>
  <c r="G18" i="14"/>
  <c r="P18" i="5"/>
  <c r="D18" i="5"/>
  <c r="N18" i="5"/>
  <c r="X19" i="15"/>
  <c r="F18" i="5"/>
  <c r="P23" i="11"/>
  <c r="W20" i="16"/>
  <c r="F18" i="1"/>
  <c r="AA20" i="16"/>
  <c r="D20" i="15"/>
  <c r="Y21" i="4"/>
  <c r="P21" i="4"/>
  <c r="X20" i="15"/>
  <c r="U19" i="14"/>
  <c r="Q20" i="10"/>
  <c r="W19" i="5"/>
  <c r="D19" i="5"/>
  <c r="N18" i="13"/>
  <c r="T21" i="4"/>
  <c r="O20" i="3"/>
  <c r="R20" i="16"/>
  <c r="T19" i="14"/>
  <c r="W21" i="3"/>
  <c r="P20" i="10"/>
  <c r="G18" i="13"/>
  <c r="N23" i="11"/>
  <c r="W23" i="11"/>
  <c r="P20" i="3"/>
  <c r="P19" i="9"/>
  <c r="T23" i="11"/>
  <c r="E20" i="15"/>
  <c r="E23" i="11"/>
  <c r="R21" i="4"/>
  <c r="Q20" i="16"/>
  <c r="AA18" i="13"/>
  <c r="F19" i="9"/>
  <c r="Q20" i="3"/>
  <c r="N20" i="10"/>
  <c r="P20" i="16"/>
  <c r="O20" i="16"/>
  <c r="W18" i="13"/>
  <c r="T18" i="13"/>
  <c r="AA18" i="1"/>
  <c r="Q18" i="1"/>
  <c r="R20" i="3"/>
  <c r="G20" i="10"/>
  <c r="G20" i="15"/>
  <c r="R19" i="5"/>
  <c r="K20" i="16"/>
  <c r="T20" i="3"/>
  <c r="F19" i="14"/>
  <c r="F20" i="16"/>
  <c r="K21" i="4"/>
  <c r="AA23" i="11"/>
  <c r="Q18" i="13"/>
  <c r="AA20" i="10"/>
  <c r="Z19" i="5"/>
  <c r="Q20" i="15"/>
  <c r="R18" i="1"/>
  <c r="Y18" i="1"/>
  <c r="U18" i="13"/>
  <c r="G20" i="16"/>
  <c r="Y20" i="10"/>
  <c r="K20" i="10"/>
  <c r="E18" i="1"/>
  <c r="G23" i="11"/>
  <c r="D18" i="13"/>
  <c r="X21" i="4"/>
  <c r="W19" i="9"/>
  <c r="E20" i="10"/>
  <c r="AA21" i="4"/>
  <c r="O20" i="10"/>
  <c r="Q21" i="4"/>
  <c r="T20" i="10"/>
  <c r="E19" i="14"/>
  <c r="Y19" i="14"/>
  <c r="T20" i="15"/>
  <c r="N20" i="15"/>
  <c r="W20" i="10"/>
  <c r="O23" i="11"/>
  <c r="N18" i="1"/>
  <c r="T18" i="1"/>
  <c r="O20" i="15"/>
  <c r="K20" i="15"/>
  <c r="X19" i="14"/>
  <c r="O19" i="5"/>
  <c r="U19" i="9"/>
  <c r="AA20" i="15"/>
  <c r="R23" i="11"/>
  <c r="U23" i="11"/>
  <c r="W21" i="4"/>
  <c r="E21" i="4"/>
  <c r="Y23" i="11"/>
  <c r="X19" i="5"/>
  <c r="F20" i="15"/>
  <c r="N19" i="5"/>
  <c r="X22" i="4"/>
  <c r="X18" i="13"/>
  <c r="N20" i="16"/>
  <c r="N21" i="4"/>
  <c r="X20" i="3"/>
  <c r="Q19" i="5"/>
  <c r="Q23" i="11"/>
  <c r="F21" i="4"/>
  <c r="D20" i="16"/>
  <c r="U21" i="4"/>
  <c r="D21" i="4"/>
  <c r="R20" i="10"/>
  <c r="R18" i="13"/>
  <c r="F20" i="10"/>
  <c r="G21" i="4"/>
  <c r="P20" i="15"/>
  <c r="X19" i="9"/>
  <c r="T20" i="16"/>
  <c r="W20" i="15"/>
  <c r="P18" i="13"/>
  <c r="E19" i="9"/>
  <c r="O18" i="1"/>
  <c r="AA21" i="16"/>
  <c r="W20" i="3"/>
  <c r="U20" i="3"/>
  <c r="K18" i="1"/>
  <c r="D19" i="14"/>
  <c r="K18" i="13"/>
  <c r="F19" i="5"/>
  <c r="Y19" i="5"/>
  <c r="O21" i="4"/>
  <c r="P19" i="5"/>
  <c r="G19" i="14"/>
  <c r="K23" i="11"/>
  <c r="G19" i="5"/>
  <c r="X20" i="10"/>
  <c r="AA20" i="3"/>
  <c r="Y19" i="9"/>
  <c r="E18" i="13"/>
  <c r="Y20" i="3"/>
  <c r="G19" i="9"/>
  <c r="X18" i="1"/>
  <c r="W19" i="14"/>
  <c r="Y20" i="16"/>
  <c r="U19" i="5"/>
  <c r="Q19" i="9"/>
  <c r="D23" i="11"/>
  <c r="U18" i="1"/>
  <c r="K19" i="14"/>
  <c r="F18" i="13"/>
  <c r="AA19" i="9"/>
  <c r="G18" i="1"/>
  <c r="K19" i="5"/>
  <c r="K21" i="10"/>
  <c r="X21" i="10"/>
  <c r="W21" i="16"/>
  <c r="Q21" i="3"/>
  <c r="U21" i="10"/>
  <c r="Q22" i="4"/>
  <c r="U20" i="5"/>
  <c r="D21" i="15"/>
  <c r="D20" i="5"/>
  <c r="D24" i="11"/>
  <c r="K20" i="5"/>
  <c r="E22" i="4"/>
  <c r="AA21" i="10"/>
  <c r="F21" i="10"/>
  <c r="O21" i="16"/>
  <c r="N20" i="9"/>
  <c r="F21" i="15"/>
  <c r="N19" i="13"/>
  <c r="P24" i="11"/>
  <c r="E24" i="11"/>
  <c r="X20" i="5"/>
  <c r="P21" i="10"/>
  <c r="D20" i="9"/>
  <c r="W19" i="1"/>
  <c r="AA20" i="14"/>
  <c r="Q19" i="1"/>
  <c r="G24" i="11"/>
  <c r="F19" i="1"/>
  <c r="U21" i="3"/>
  <c r="W20" i="14"/>
  <c r="Y21" i="3"/>
  <c r="X22" i="10"/>
  <c r="U24" i="11"/>
  <c r="F24" i="11"/>
  <c r="F21" i="16"/>
  <c r="G22" i="4"/>
  <c r="T21" i="15"/>
  <c r="G20" i="9"/>
  <c r="D19" i="1"/>
  <c r="K22" i="4"/>
  <c r="X19" i="1"/>
  <c r="R24" i="11"/>
  <c r="AA21" i="15"/>
  <c r="R21" i="10"/>
  <c r="Q21" i="10"/>
  <c r="X21" i="3"/>
  <c r="P21" i="3"/>
  <c r="Y21" i="16"/>
  <c r="D21" i="10"/>
  <c r="E20" i="5"/>
  <c r="W20" i="9"/>
  <c r="K21" i="15"/>
  <c r="D20" i="14"/>
  <c r="Q21" i="15"/>
  <c r="O19" i="13"/>
  <c r="T21" i="3"/>
  <c r="D19" i="13"/>
  <c r="G20" i="14"/>
  <c r="X20" i="14"/>
  <c r="T20" i="9"/>
  <c r="K20" i="14"/>
  <c r="G21" i="10"/>
  <c r="P20" i="9"/>
  <c r="F20" i="5"/>
  <c r="X24" i="11"/>
  <c r="N20" i="5"/>
  <c r="E20" i="9"/>
  <c r="Y24" i="11"/>
  <c r="W19" i="13"/>
  <c r="E20" i="14"/>
  <c r="E21" i="15"/>
  <c r="Q21" i="16"/>
  <c r="N21" i="16"/>
  <c r="T21" i="16"/>
  <c r="W20" i="5"/>
  <c r="F19" i="13"/>
  <c r="O24" i="11"/>
  <c r="T22" i="4"/>
  <c r="R19" i="13"/>
  <c r="P19" i="13"/>
  <c r="X21" i="15"/>
  <c r="Y19" i="1"/>
  <c r="R21" i="15"/>
  <c r="K20" i="1"/>
  <c r="W21" i="10"/>
  <c r="U21" i="16"/>
  <c r="AA19" i="13"/>
  <c r="Y21" i="15"/>
  <c r="G19" i="13"/>
  <c r="G20" i="5"/>
  <c r="X25" i="11"/>
  <c r="W24" i="11"/>
  <c r="E21" i="10"/>
  <c r="P21" i="15"/>
  <c r="W21" i="15"/>
  <c r="D22" i="4"/>
  <c r="T19" i="1"/>
  <c r="E21" i="16"/>
  <c r="Y20" i="5"/>
  <c r="X21" i="16"/>
  <c r="X19" i="13"/>
  <c r="Q19" i="13"/>
  <c r="U21" i="15"/>
  <c r="U19" i="13"/>
  <c r="E19" i="13"/>
  <c r="G21" i="16"/>
  <c r="P20" i="5"/>
  <c r="E19" i="1"/>
  <c r="R21" i="16"/>
  <c r="R21" i="3"/>
  <c r="K21" i="16"/>
  <c r="P22" i="4"/>
  <c r="U19" i="1"/>
  <c r="N22" i="4"/>
  <c r="O21" i="10"/>
  <c r="W22" i="4"/>
  <c r="U20" i="14"/>
  <c r="P21" i="16"/>
  <c r="F25" i="11"/>
  <c r="AA20" i="9"/>
  <c r="R19" i="1"/>
  <c r="N19" i="1"/>
  <c r="Y20" i="9"/>
  <c r="K20" i="9"/>
  <c r="D21" i="16"/>
  <c r="F20" i="14"/>
  <c r="K19" i="13"/>
  <c r="G19" i="1"/>
  <c r="AA22" i="4"/>
  <c r="N24" i="11"/>
  <c r="T21" i="10"/>
  <c r="Y21" i="10"/>
  <c r="R22" i="4"/>
  <c r="U22" i="4"/>
  <c r="R20" i="5"/>
  <c r="F20" i="9"/>
  <c r="Y20" i="14"/>
  <c r="Y22" i="4"/>
  <c r="T20" i="14"/>
  <c r="X20" i="9"/>
  <c r="O20" i="5"/>
  <c r="Q20" i="5"/>
  <c r="Y19" i="13"/>
  <c r="O22" i="4"/>
  <c r="Q24" i="11"/>
  <c r="AA19" i="1"/>
  <c r="AA21" i="3"/>
  <c r="T20" i="5"/>
  <c r="Z20" i="5"/>
  <c r="F22" i="4"/>
  <c r="K24" i="11"/>
  <c r="P19" i="1"/>
  <c r="U20" i="9"/>
  <c r="N21" i="15"/>
  <c r="O21" i="3"/>
  <c r="O19" i="1"/>
  <c r="G21" i="15"/>
  <c r="T19" i="13"/>
  <c r="Q20" i="9"/>
  <c r="T24" i="11"/>
  <c r="AA24" i="11"/>
  <c r="N21" i="10"/>
  <c r="O21" i="15"/>
  <c r="K19" i="1"/>
  <c r="O22" i="16"/>
  <c r="Y22" i="16"/>
  <c r="N22" i="15"/>
  <c r="W22" i="15"/>
  <c r="P23" i="4"/>
  <c r="R22" i="15"/>
  <c r="O25" i="11"/>
  <c r="N21" i="5"/>
  <c r="D21" i="14"/>
  <c r="K23" i="4"/>
  <c r="G21" i="5"/>
  <c r="U20" i="13"/>
  <c r="D25" i="11"/>
  <c r="AA22" i="10"/>
  <c r="W21" i="5"/>
  <c r="R23" i="4"/>
  <c r="T22" i="3"/>
  <c r="K21" i="14"/>
  <c r="X22" i="3"/>
  <c r="F21" i="9"/>
  <c r="U23" i="4"/>
  <c r="X22" i="15"/>
  <c r="Y22" i="15"/>
  <c r="N20" i="13"/>
  <c r="AA23" i="4"/>
  <c r="AA20" i="1"/>
  <c r="N21" i="9"/>
  <c r="G21" i="14"/>
  <c r="D22" i="15"/>
  <c r="X22" i="16"/>
  <c r="T22" i="10"/>
  <c r="G20" i="13"/>
  <c r="T22" i="16"/>
  <c r="X21" i="5"/>
  <c r="Y20" i="13"/>
  <c r="U21" i="5"/>
  <c r="D21" i="9"/>
  <c r="X21" i="9"/>
  <c r="Y22" i="3"/>
  <c r="K21" i="5"/>
  <c r="R21" i="5"/>
  <c r="G22" i="15"/>
  <c r="O20" i="1"/>
  <c r="T20" i="13"/>
  <c r="R22" i="16"/>
  <c r="O23" i="4"/>
  <c r="T20" i="1"/>
  <c r="O22" i="3"/>
  <c r="Q21" i="5"/>
  <c r="G22" i="16"/>
  <c r="X21" i="14"/>
  <c r="T21" i="14"/>
  <c r="AA25" i="11"/>
  <c r="P20" i="13"/>
  <c r="F21" i="14"/>
  <c r="O22" i="10"/>
  <c r="AA21" i="14"/>
  <c r="U25" i="11"/>
  <c r="Y22" i="10"/>
  <c r="Q20" i="1"/>
  <c r="W21" i="14"/>
  <c r="O20" i="13"/>
  <c r="U21" i="14"/>
  <c r="T22" i="15"/>
  <c r="T23" i="4"/>
  <c r="P22" i="16"/>
  <c r="F21" i="5"/>
  <c r="F22" i="10"/>
  <c r="P25" i="11"/>
  <c r="R22" i="3"/>
  <c r="E25" i="11"/>
  <c r="N25" i="11"/>
  <c r="E20" i="1"/>
  <c r="E20" i="13"/>
  <c r="K22" i="10"/>
  <c r="K25" i="11"/>
  <c r="E21" i="5"/>
  <c r="O22" i="15"/>
  <c r="Y21" i="14"/>
  <c r="W22" i="16"/>
  <c r="K21" i="9"/>
  <c r="W25" i="11"/>
  <c r="F20" i="13"/>
  <c r="G21" i="9"/>
  <c r="K22" i="15"/>
  <c r="P22" i="10"/>
  <c r="D21" i="5"/>
  <c r="K22" i="16"/>
  <c r="U22" i="10"/>
  <c r="T21" i="5"/>
  <c r="P22" i="15"/>
  <c r="Q21" i="9"/>
  <c r="X20" i="13"/>
  <c r="Q22" i="3"/>
  <c r="R20" i="1"/>
  <c r="AA22" i="3"/>
  <c r="N20" i="1"/>
  <c r="D22" i="10"/>
  <c r="N23" i="4"/>
  <c r="E21" i="9"/>
  <c r="N22" i="10"/>
  <c r="W20" i="1"/>
  <c r="Z21" i="5"/>
  <c r="D20" i="1"/>
  <c r="X23" i="4"/>
  <c r="W20" i="13"/>
  <c r="Y21" i="9"/>
  <c r="U22" i="15"/>
  <c r="F23" i="4"/>
  <c r="U22" i="16"/>
  <c r="Y25" i="11"/>
  <c r="AA20" i="13"/>
  <c r="U22" i="3"/>
  <c r="G25" i="11"/>
  <c r="W23" i="4"/>
  <c r="N22" i="16"/>
  <c r="Y20" i="1"/>
  <c r="P22" i="3"/>
  <c r="Q25" i="11"/>
  <c r="P21" i="5"/>
  <c r="E23" i="4"/>
  <c r="R20" i="13"/>
  <c r="W22" i="10"/>
  <c r="Y21" i="5"/>
  <c r="U21" i="9"/>
  <c r="R25" i="11"/>
  <c r="E21" i="14"/>
  <c r="D20" i="13"/>
  <c r="K20" i="13"/>
  <c r="Q22" i="16"/>
  <c r="U20" i="1"/>
  <c r="Q22" i="15"/>
  <c r="F20" i="1"/>
  <c r="T21" i="9"/>
  <c r="G20" i="1"/>
  <c r="F22" i="15"/>
  <c r="Q22" i="10"/>
  <c r="P20" i="1"/>
  <c r="W22" i="3"/>
  <c r="G22" i="10"/>
  <c r="R22" i="10"/>
  <c r="Q20" i="13"/>
  <c r="T25" i="11"/>
  <c r="E22" i="16"/>
  <c r="AA22" i="15"/>
  <c r="AA22" i="16"/>
  <c r="F22" i="16"/>
  <c r="E22" i="15"/>
  <c r="X20" i="1"/>
  <c r="W21" i="9"/>
  <c r="Q23" i="4"/>
  <c r="E22" i="10"/>
  <c r="AA21" i="9"/>
  <c r="P21" i="9"/>
  <c r="D22" i="16"/>
  <c r="G23" i="4"/>
  <c r="D23" i="4"/>
  <c r="Y23" i="4"/>
  <c r="O21" i="5"/>
  <c r="E22" i="5"/>
  <c r="R23" i="16"/>
  <c r="O21" i="1"/>
  <c r="X22" i="9"/>
  <c r="T23" i="10"/>
  <c r="N24" i="4"/>
  <c r="U22" i="9"/>
  <c r="R23" i="3"/>
  <c r="T21" i="13"/>
  <c r="U23" i="16"/>
  <c r="E22" i="9"/>
  <c r="U22" i="5"/>
  <c r="K23" i="10"/>
  <c r="F22" i="9"/>
  <c r="D22" i="9"/>
  <c r="AA23" i="15"/>
  <c r="F23" i="9"/>
  <c r="U21" i="1"/>
  <c r="W23" i="16"/>
  <c r="K21" i="1"/>
  <c r="F23" i="10"/>
  <c r="D21" i="13"/>
  <c r="T21" i="1"/>
  <c r="T23" i="16"/>
  <c r="K22" i="5"/>
  <c r="Q23" i="3"/>
  <c r="N23" i="10"/>
  <c r="N22" i="1"/>
  <c r="G23" i="15"/>
  <c r="N23" i="16"/>
  <c r="F21" i="1"/>
  <c r="G26" i="11"/>
  <c r="P21" i="13"/>
  <c r="P23" i="15"/>
  <c r="E22" i="14"/>
  <c r="X23" i="16"/>
  <c r="U23" i="15"/>
  <c r="F22" i="5"/>
  <c r="D26" i="11"/>
  <c r="X26" i="11"/>
  <c r="P22" i="9"/>
  <c r="Z22" i="5"/>
  <c r="K22" i="14"/>
  <c r="F24" i="4"/>
  <c r="E23" i="15"/>
  <c r="G21" i="13"/>
  <c r="N21" i="13"/>
  <c r="T22" i="9"/>
  <c r="K21" i="13"/>
  <c r="X23" i="10"/>
  <c r="G23" i="10"/>
  <c r="X24" i="4"/>
  <c r="F26" i="11"/>
  <c r="U23" i="3"/>
  <c r="X21" i="1"/>
  <c r="W21" i="1"/>
  <c r="P23" i="3"/>
  <c r="D22" i="5"/>
  <c r="P22" i="5"/>
  <c r="O23" i="15"/>
  <c r="E23" i="16"/>
  <c r="AA22" i="9"/>
  <c r="W22" i="5"/>
  <c r="O23" i="16"/>
  <c r="D23" i="15"/>
  <c r="AA21" i="13"/>
  <c r="E21" i="13"/>
  <c r="F22" i="14"/>
  <c r="W23" i="3"/>
  <c r="K24" i="4"/>
  <c r="O21" i="13"/>
  <c r="Y25" i="4"/>
  <c r="AA23" i="3"/>
  <c r="Y23" i="16"/>
  <c r="G22" i="5"/>
  <c r="R23" i="15"/>
  <c r="W22" i="9"/>
  <c r="Q22" i="9"/>
  <c r="O22" i="5"/>
  <c r="P26" i="11"/>
  <c r="Q26" i="11"/>
  <c r="Q25" i="4"/>
  <c r="T23" i="3"/>
  <c r="R21" i="13"/>
  <c r="T22" i="14"/>
  <c r="T22" i="5"/>
  <c r="X23" i="9"/>
  <c r="N22" i="9"/>
  <c r="G22" i="9"/>
  <c r="Q22" i="5"/>
  <c r="Y26" i="11"/>
  <c r="N22" i="5"/>
  <c r="X22" i="5"/>
  <c r="U26" i="11"/>
  <c r="E21" i="1"/>
  <c r="T23" i="15"/>
  <c r="G22" i="14"/>
  <c r="P21" i="1"/>
  <c r="K23" i="15"/>
  <c r="D23" i="16"/>
  <c r="X22" i="14"/>
  <c r="Y22" i="5"/>
  <c r="K26" i="11"/>
  <c r="P23" i="10"/>
  <c r="X23" i="3"/>
  <c r="W23" i="15"/>
  <c r="N23" i="15"/>
  <c r="T26" i="11"/>
  <c r="U22" i="14"/>
  <c r="Y23" i="15"/>
  <c r="K23" i="16"/>
  <c r="T24" i="4"/>
  <c r="D24" i="4"/>
  <c r="W21" i="13"/>
  <c r="R21" i="1"/>
  <c r="F23" i="16"/>
  <c r="AA22" i="14"/>
  <c r="O23" i="10"/>
  <c r="Q21" i="13"/>
  <c r="U21" i="13"/>
  <c r="N21" i="1"/>
  <c r="F23" i="15"/>
  <c r="Q23" i="15"/>
  <c r="D21" i="1"/>
  <c r="E24" i="4"/>
  <c r="Y22" i="9"/>
  <c r="W23" i="10"/>
  <c r="P23" i="16"/>
  <c r="O26" i="11"/>
  <c r="AA26" i="11"/>
  <c r="W22" i="14"/>
  <c r="Q23" i="16"/>
  <c r="X21" i="13"/>
  <c r="O23" i="3"/>
  <c r="N27" i="11"/>
  <c r="U24" i="4"/>
  <c r="AA23" i="16"/>
  <c r="D22" i="14"/>
  <c r="E26" i="11"/>
  <c r="Y23" i="3"/>
  <c r="X23" i="15"/>
  <c r="E23" i="10"/>
  <c r="G21" i="1"/>
  <c r="K22" i="9"/>
  <c r="W26" i="11"/>
  <c r="AA23" i="10"/>
  <c r="Q24" i="4"/>
  <c r="Q21" i="1"/>
  <c r="G23" i="16"/>
  <c r="Y22" i="14"/>
  <c r="P24" i="4"/>
  <c r="D23" i="10"/>
  <c r="Y24" i="4"/>
  <c r="N26" i="11"/>
  <c r="R24" i="4"/>
  <c r="Y21" i="13"/>
  <c r="F25" i="4"/>
  <c r="Y21" i="1"/>
  <c r="AA24" i="4"/>
  <c r="G24" i="4"/>
  <c r="R22" i="5"/>
  <c r="F21" i="13"/>
  <c r="R23" i="10"/>
  <c r="U23" i="10"/>
  <c r="Q23" i="10"/>
  <c r="AA21" i="1"/>
  <c r="W24" i="4"/>
  <c r="T22" i="13"/>
  <c r="O24" i="4"/>
  <c r="R26" i="11"/>
  <c r="Y23" i="10"/>
  <c r="W23" i="9"/>
  <c r="N22" i="13"/>
  <c r="W24" i="16"/>
  <c r="P22" i="1"/>
  <c r="K22" i="13"/>
  <c r="U24" i="16"/>
  <c r="F22" i="13"/>
  <c r="K24" i="16"/>
  <c r="T24" i="3"/>
  <c r="Y23" i="9"/>
  <c r="E22" i="13"/>
  <c r="P27" i="11"/>
  <c r="AA23" i="9"/>
  <c r="W23" i="5"/>
  <c r="F24" i="16"/>
  <c r="T24" i="15"/>
  <c r="W24" i="3"/>
  <c r="P23" i="9"/>
  <c r="P23" i="5"/>
  <c r="X24" i="16"/>
  <c r="P25" i="4"/>
  <c r="D24" i="10"/>
  <c r="D24" i="15"/>
  <c r="Q24" i="10"/>
  <c r="Y23" i="5"/>
  <c r="U22" i="1"/>
  <c r="Y24" i="15"/>
  <c r="E25" i="4"/>
  <c r="Q24" i="15"/>
  <c r="T22" i="1"/>
  <c r="X27" i="11"/>
  <c r="N24" i="15"/>
  <c r="AA22" i="1"/>
  <c r="T23" i="5"/>
  <c r="Y24" i="16"/>
  <c r="G22" i="13"/>
  <c r="G23" i="9"/>
  <c r="X24" i="15"/>
  <c r="K23" i="9"/>
  <c r="K27" i="11"/>
  <c r="N24" i="10"/>
  <c r="X23" i="14"/>
  <c r="Y24" i="10"/>
  <c r="R24" i="16"/>
  <c r="T23" i="14"/>
  <c r="N23" i="9"/>
  <c r="T27" i="11"/>
  <c r="P24" i="10"/>
  <c r="O28" i="11"/>
  <c r="U23" i="9"/>
  <c r="R27" i="11"/>
  <c r="Y27" i="11"/>
  <c r="R22" i="1"/>
  <c r="D22" i="13"/>
  <c r="O27" i="11"/>
  <c r="Q27" i="11"/>
  <c r="X25" i="4"/>
  <c r="X22" i="13"/>
  <c r="D23" i="14"/>
  <c r="AA24" i="15"/>
  <c r="O24" i="10"/>
  <c r="E22" i="1"/>
  <c r="W22" i="1"/>
  <c r="O25" i="4"/>
  <c r="O24" i="16"/>
  <c r="P24" i="15"/>
  <c r="W25" i="4"/>
  <c r="T25" i="4"/>
  <c r="U24" i="3"/>
  <c r="Q22" i="13"/>
  <c r="U27" i="11"/>
  <c r="D23" i="9"/>
  <c r="Y22" i="1"/>
  <c r="E23" i="9"/>
  <c r="D25" i="4"/>
  <c r="Y22" i="13"/>
  <c r="D27" i="11"/>
  <c r="Y23" i="14"/>
  <c r="N25" i="4"/>
  <c r="W24" i="10"/>
  <c r="W23" i="14"/>
  <c r="G24" i="15"/>
  <c r="R25" i="4"/>
  <c r="E24" i="10"/>
  <c r="O24" i="3"/>
  <c r="P22" i="13"/>
  <c r="T24" i="10"/>
  <c r="R22" i="13"/>
  <c r="R24" i="3"/>
  <c r="AA24" i="10"/>
  <c r="K22" i="1"/>
  <c r="K25" i="4"/>
  <c r="G22" i="1"/>
  <c r="R24" i="10"/>
  <c r="P24" i="16"/>
  <c r="Z23" i="5"/>
  <c r="AA25" i="4"/>
  <c r="R23" i="5"/>
  <c r="AA24" i="3"/>
  <c r="D22" i="1"/>
  <c r="E24" i="16"/>
  <c r="N23" i="5"/>
  <c r="AA24" i="16"/>
  <c r="G23" i="14"/>
  <c r="U24" i="10"/>
  <c r="T23" i="9"/>
  <c r="G24" i="10"/>
  <c r="O22" i="13"/>
  <c r="AA23" i="14"/>
  <c r="K24" i="15"/>
  <c r="X24" i="3"/>
  <c r="F23" i="14"/>
  <c r="W24" i="15"/>
  <c r="R24" i="15"/>
  <c r="U22" i="13"/>
  <c r="E24" i="15"/>
  <c r="U24" i="15"/>
  <c r="O24" i="15"/>
  <c r="AA27" i="11"/>
  <c r="Q28" i="11"/>
  <c r="X24" i="10"/>
  <c r="E23" i="14"/>
  <c r="Q24" i="3"/>
  <c r="Q23" i="5"/>
  <c r="D24" i="16"/>
  <c r="O23" i="5"/>
  <c r="Q23" i="9"/>
  <c r="AA22" i="13"/>
  <c r="F27" i="11"/>
  <c r="W22" i="13"/>
  <c r="G27" i="11"/>
  <c r="Q22" i="1"/>
  <c r="F24" i="10"/>
  <c r="O22" i="1"/>
  <c r="U23" i="5"/>
  <c r="K23" i="14"/>
  <c r="E27" i="11"/>
  <c r="T24" i="16"/>
  <c r="N24" i="16"/>
  <c r="F24" i="15"/>
  <c r="G24" i="16"/>
  <c r="P24" i="3"/>
  <c r="K24" i="10"/>
  <c r="F22" i="1"/>
  <c r="Q24" i="16"/>
  <c r="G25" i="4"/>
  <c r="X22" i="1"/>
  <c r="U23" i="14"/>
  <c r="Y24" i="3"/>
  <c r="W27" i="11"/>
  <c r="X23" i="5"/>
  <c r="U25" i="4"/>
  <c r="W25" i="15"/>
  <c r="O26" i="4"/>
  <c r="X23" i="1"/>
  <c r="N24" i="9"/>
  <c r="Q23" i="13"/>
  <c r="AA25" i="3"/>
  <c r="E26" i="4"/>
  <c r="K25" i="15"/>
  <c r="R28" i="11"/>
  <c r="K24" i="9"/>
  <c r="U28" i="11"/>
  <c r="K23" i="13"/>
  <c r="T28" i="11"/>
  <c r="Y24" i="5"/>
  <c r="T25" i="15"/>
  <c r="U24" i="5"/>
  <c r="G23" i="13"/>
  <c r="U24" i="14"/>
  <c r="U25" i="16"/>
  <c r="O23" i="1"/>
  <c r="W24" i="14"/>
  <c r="AA23" i="1"/>
  <c r="T23" i="13"/>
  <c r="AA24" i="9"/>
  <c r="D28" i="11"/>
  <c r="O25" i="16"/>
  <c r="U25" i="3"/>
  <c r="E23" i="1"/>
  <c r="D26" i="4"/>
  <c r="O25" i="15"/>
  <c r="D25" i="16"/>
  <c r="E24" i="14"/>
  <c r="F23" i="1"/>
  <c r="Y25" i="16"/>
  <c r="W23" i="13"/>
  <c r="U25" i="15"/>
  <c r="W28" i="11"/>
  <c r="AA25" i="16"/>
  <c r="G24" i="14"/>
  <c r="R26" i="4"/>
  <c r="R25" i="3"/>
  <c r="N26" i="4"/>
  <c r="Y23" i="13"/>
  <c r="D23" i="1"/>
  <c r="N25" i="15"/>
  <c r="AA24" i="14"/>
  <c r="G25" i="15"/>
  <c r="O25" i="3"/>
  <c r="U25" i="10"/>
  <c r="G29" i="11"/>
  <c r="R23" i="1"/>
  <c r="G28" i="11"/>
  <c r="X23" i="13"/>
  <c r="K23" i="1"/>
  <c r="R23" i="13"/>
  <c r="U25" i="14"/>
  <c r="R25" i="10"/>
  <c r="AA28" i="11"/>
  <c r="T26" i="4"/>
  <c r="Q25" i="16"/>
  <c r="X26" i="4"/>
  <c r="E25" i="16"/>
  <c r="G24" i="9"/>
  <c r="K26" i="4"/>
  <c r="W25" i="3"/>
  <c r="W24" i="5"/>
  <c r="N25" i="10"/>
  <c r="E24" i="9"/>
  <c r="K24" i="14"/>
  <c r="Y23" i="1"/>
  <c r="F28" i="11"/>
  <c r="N23" i="1"/>
  <c r="P28" i="11"/>
  <c r="AA25" i="15"/>
  <c r="Q26" i="4"/>
  <c r="D25" i="10"/>
  <c r="F24" i="14"/>
  <c r="T24" i="14"/>
  <c r="Q25" i="3"/>
  <c r="Y25" i="10"/>
  <c r="Q23" i="1"/>
  <c r="R25" i="15"/>
  <c r="Y25" i="15"/>
  <c r="U24" i="9"/>
  <c r="F24" i="9"/>
  <c r="X24" i="14"/>
  <c r="F25" i="10"/>
  <c r="K28" i="11"/>
  <c r="AA25" i="10"/>
  <c r="O25" i="10"/>
  <c r="Y24" i="9"/>
  <c r="O24" i="1"/>
  <c r="F25" i="16"/>
  <c r="T23" i="1"/>
  <c r="T25" i="3"/>
  <c r="X24" i="9"/>
  <c r="W25" i="16"/>
  <c r="Q25" i="10"/>
  <c r="X25" i="15"/>
  <c r="AA23" i="13"/>
  <c r="P25" i="16"/>
  <c r="U23" i="13"/>
  <c r="T25" i="16"/>
  <c r="D25" i="15"/>
  <c r="Q25" i="15"/>
  <c r="F23" i="13"/>
  <c r="E25" i="15"/>
  <c r="O23" i="13"/>
  <c r="X25" i="16"/>
  <c r="Y28" i="11"/>
  <c r="D23" i="13"/>
  <c r="E28" i="11"/>
  <c r="U25" i="5"/>
  <c r="P25" i="3"/>
  <c r="G25" i="16"/>
  <c r="W25" i="10"/>
  <c r="X25" i="10"/>
  <c r="AA26" i="4"/>
  <c r="D24" i="9"/>
  <c r="P26" i="4"/>
  <c r="W24" i="9"/>
  <c r="N23" i="13"/>
  <c r="K25" i="10"/>
  <c r="U23" i="1"/>
  <c r="Y24" i="14"/>
  <c r="F26" i="4"/>
  <c r="E24" i="13"/>
  <c r="P25" i="10"/>
  <c r="N28" i="11"/>
  <c r="U26" i="4"/>
  <c r="E23" i="13"/>
  <c r="P23" i="1"/>
  <c r="P27" i="4"/>
  <c r="G25" i="10"/>
  <c r="P25" i="15"/>
  <c r="X28" i="11"/>
  <c r="Q24" i="9"/>
  <c r="W23" i="1"/>
  <c r="K25" i="16"/>
  <c r="W26" i="4"/>
  <c r="P23" i="13"/>
  <c r="T25" i="10"/>
  <c r="G26" i="4"/>
  <c r="P24" i="9"/>
  <c r="N25" i="16"/>
  <c r="T24" i="9"/>
  <c r="X25" i="3"/>
  <c r="R25" i="16"/>
  <c r="D24" i="14"/>
  <c r="G23" i="1"/>
  <c r="F25" i="15"/>
  <c r="Z24" i="5"/>
  <c r="E25" i="10"/>
  <c r="X24" i="5"/>
  <c r="Y26" i="4"/>
  <c r="Y25" i="3"/>
  <c r="Q27" i="4"/>
  <c r="Z25" i="5"/>
  <c r="T25" i="14"/>
  <c r="N27" i="4"/>
  <c r="Y27" i="4"/>
  <c r="G25" i="9"/>
  <c r="O26" i="16"/>
  <c r="O24" i="13"/>
  <c r="X26" i="10"/>
  <c r="E25" i="9"/>
  <c r="T26" i="16"/>
  <c r="P24" i="13"/>
  <c r="Q26" i="15"/>
  <c r="N25" i="5"/>
  <c r="W26" i="3"/>
  <c r="X24" i="1"/>
  <c r="AA26" i="15"/>
  <c r="F26" i="15"/>
  <c r="G24" i="13"/>
  <c r="AA26" i="3"/>
  <c r="Y25" i="5"/>
  <c r="X26" i="16"/>
  <c r="O27" i="4"/>
  <c r="P25" i="5"/>
  <c r="O29" i="11"/>
  <c r="T27" i="4"/>
  <c r="U26" i="16"/>
  <c r="U27" i="3"/>
  <c r="N29" i="11"/>
  <c r="F26" i="16"/>
  <c r="Y25" i="14"/>
  <c r="E25" i="14"/>
  <c r="N26" i="10"/>
  <c r="Y26" i="16"/>
  <c r="P26" i="16"/>
  <c r="X25" i="9"/>
  <c r="AA27" i="3"/>
  <c r="K26" i="10"/>
  <c r="K29" i="11"/>
  <c r="Q25" i="9"/>
  <c r="K25" i="13"/>
  <c r="O26" i="10"/>
  <c r="X27" i="4"/>
  <c r="E26" i="15"/>
  <c r="O26" i="3"/>
  <c r="W24" i="1"/>
  <c r="X24" i="13"/>
  <c r="W26" i="15"/>
  <c r="G27" i="4"/>
  <c r="P24" i="1"/>
  <c r="R27" i="4"/>
  <c r="AA26" i="10"/>
  <c r="T26" i="10"/>
  <c r="W27" i="4"/>
  <c r="P26" i="3"/>
  <c r="K24" i="13"/>
  <c r="D26" i="10"/>
  <c r="P29" i="11"/>
  <c r="D26" i="16"/>
  <c r="AA27" i="4"/>
  <c r="P26" i="15"/>
  <c r="T24" i="1"/>
  <c r="R26" i="16"/>
  <c r="T26" i="15"/>
  <c r="W25" i="14"/>
  <c r="D26" i="15"/>
  <c r="U26" i="15"/>
  <c r="T25" i="5"/>
  <c r="U27" i="4"/>
  <c r="R24" i="1"/>
  <c r="G26" i="16"/>
  <c r="K25" i="9"/>
  <c r="R24" i="13"/>
  <c r="N24" i="13"/>
  <c r="G24" i="1"/>
  <c r="W29" i="11"/>
  <c r="K25" i="5"/>
  <c r="O25" i="13"/>
  <c r="F24" i="13"/>
  <c r="Q26" i="16"/>
  <c r="D24" i="1"/>
  <c r="D25" i="14"/>
  <c r="W25" i="9"/>
  <c r="AA26" i="16"/>
  <c r="W25" i="5"/>
  <c r="U26" i="3"/>
  <c r="X25" i="5"/>
  <c r="F25" i="14"/>
  <c r="E25" i="5"/>
  <c r="Q29" i="11"/>
  <c r="G25" i="14"/>
  <c r="P26" i="10"/>
  <c r="X26" i="3"/>
  <c r="F27" i="4"/>
  <c r="G26" i="15"/>
  <c r="U29" i="11"/>
  <c r="T25" i="9"/>
  <c r="T29" i="11"/>
  <c r="Y26" i="3"/>
  <c r="Q26" i="3"/>
  <c r="F24" i="1"/>
  <c r="AA25" i="14"/>
  <c r="AA25" i="9"/>
  <c r="F25" i="9"/>
  <c r="Q24" i="13"/>
  <c r="Y24" i="1"/>
  <c r="E29" i="11"/>
  <c r="K26" i="15"/>
  <c r="Y29" i="11"/>
  <c r="Y25" i="9"/>
  <c r="F26" i="10"/>
  <c r="AA29" i="11"/>
  <c r="F25" i="5"/>
  <c r="R26" i="15"/>
  <c r="O26" i="15"/>
  <c r="AA24" i="1"/>
  <c r="N24" i="1"/>
  <c r="K24" i="1"/>
  <c r="W26" i="10"/>
  <c r="E24" i="1"/>
  <c r="X29" i="11"/>
  <c r="K26" i="16"/>
  <c r="Q24" i="1"/>
  <c r="U24" i="13"/>
  <c r="W24" i="13"/>
  <c r="Y26" i="15"/>
  <c r="D27" i="4"/>
  <c r="D25" i="5"/>
  <c r="R29" i="11"/>
  <c r="E27" i="4"/>
  <c r="T24" i="13"/>
  <c r="E26" i="16"/>
  <c r="U26" i="10"/>
  <c r="G25" i="5"/>
  <c r="P25" i="9"/>
  <c r="N26" i="15"/>
  <c r="G26" i="10"/>
  <c r="D25" i="9"/>
  <c r="F29" i="11"/>
  <c r="Y24" i="13"/>
  <c r="D24" i="13"/>
  <c r="R26" i="10"/>
  <c r="AA24" i="13"/>
  <c r="Q26" i="10"/>
  <c r="W26" i="16"/>
  <c r="N25" i="9"/>
  <c r="O25" i="5"/>
  <c r="X26" i="15"/>
  <c r="U25" i="9"/>
  <c r="U24" i="1"/>
  <c r="T26" i="3"/>
  <c r="K25" i="14"/>
  <c r="R26" i="3"/>
  <c r="Q25" i="5"/>
  <c r="R25" i="5"/>
  <c r="X25" i="14"/>
  <c r="O25" i="1"/>
  <c r="N26" i="5"/>
  <c r="E26" i="10"/>
  <c r="Y26" i="10"/>
  <c r="D29" i="11"/>
  <c r="N26" i="16"/>
  <c r="K27" i="4"/>
  <c r="R27" i="10"/>
  <c r="AA27" i="15"/>
  <c r="W26" i="14"/>
  <c r="N28" i="4"/>
  <c r="E27" i="10"/>
  <c r="AA25" i="1"/>
  <c r="F30" i="11"/>
  <c r="D28" i="4"/>
  <c r="W25" i="1"/>
  <c r="X25" i="13"/>
  <c r="W26" i="9"/>
  <c r="T25" i="1"/>
  <c r="Y25" i="1"/>
  <c r="U25" i="13"/>
  <c r="Q27" i="10"/>
  <c r="E25" i="13"/>
  <c r="P26" i="9"/>
  <c r="W26" i="5"/>
  <c r="T27" i="15"/>
  <c r="AA27" i="10"/>
  <c r="U27" i="15"/>
  <c r="K28" i="4"/>
  <c r="R25" i="1"/>
  <c r="P30" i="11"/>
  <c r="D26" i="14"/>
  <c r="W27" i="15"/>
  <c r="X30" i="11"/>
  <c r="Y26" i="5"/>
  <c r="E30" i="11"/>
  <c r="F26" i="14"/>
  <c r="U26" i="9"/>
  <c r="U26" i="5"/>
  <c r="Y25" i="13"/>
  <c r="T27" i="3"/>
  <c r="Y28" i="4"/>
  <c r="U26" i="14"/>
  <c r="N27" i="15"/>
  <c r="Q28" i="4"/>
  <c r="W25" i="13"/>
  <c r="O28" i="4"/>
  <c r="D25" i="13"/>
  <c r="K26" i="5"/>
  <c r="T25" i="13"/>
  <c r="O26" i="5"/>
  <c r="Q26" i="9"/>
  <c r="R27" i="16"/>
  <c r="X26" i="5"/>
  <c r="E27" i="15"/>
  <c r="Q27" i="15"/>
  <c r="P28" i="4"/>
  <c r="O30" i="11"/>
  <c r="W28" i="4"/>
  <c r="G26" i="14"/>
  <c r="W30" i="11"/>
  <c r="P27" i="16"/>
  <c r="T26" i="9"/>
  <c r="T26" i="14"/>
  <c r="K27" i="16"/>
  <c r="F26" i="5"/>
  <c r="G30" i="11"/>
  <c r="R26" i="5"/>
  <c r="O27" i="10"/>
  <c r="R30" i="11"/>
  <c r="G26" i="9"/>
  <c r="P25" i="13"/>
  <c r="U28" i="4"/>
  <c r="X26" i="9"/>
  <c r="T26" i="5"/>
  <c r="F25" i="1"/>
  <c r="G25" i="1"/>
  <c r="D27" i="10"/>
  <c r="AA30" i="11"/>
  <c r="T30" i="11"/>
  <c r="W27" i="16"/>
  <c r="Y27" i="16"/>
  <c r="F27" i="16"/>
  <c r="AA26" i="14"/>
  <c r="G28" i="4"/>
  <c r="K26" i="14"/>
  <c r="N27" i="10"/>
  <c r="G25" i="13"/>
  <c r="T27" i="16"/>
  <c r="E28" i="4"/>
  <c r="X28" i="4"/>
  <c r="Y27" i="3"/>
  <c r="R27" i="15"/>
  <c r="R27" i="3"/>
  <c r="X27" i="16"/>
  <c r="N30" i="11"/>
  <c r="Y26" i="14"/>
  <c r="W27" i="10"/>
  <c r="F28" i="4"/>
  <c r="G27" i="15"/>
  <c r="Q26" i="5"/>
  <c r="O27" i="16"/>
  <c r="Q27" i="16"/>
  <c r="Y30" i="11"/>
  <c r="G26" i="5"/>
  <c r="F26" i="9"/>
  <c r="U27" i="10"/>
  <c r="AA25" i="13"/>
  <c r="X27" i="15"/>
  <c r="X27" i="3"/>
  <c r="D27" i="16"/>
  <c r="E25" i="1"/>
  <c r="P27" i="10"/>
  <c r="D25" i="1"/>
  <c r="K30" i="11"/>
  <c r="Q30" i="11"/>
  <c r="P25" i="1"/>
  <c r="X27" i="10"/>
  <c r="E26" i="9"/>
  <c r="E27" i="16"/>
  <c r="K26" i="9"/>
  <c r="R25" i="13"/>
  <c r="AA26" i="9"/>
  <c r="X26" i="14"/>
  <c r="N25" i="13"/>
  <c r="X25" i="1"/>
  <c r="K25" i="1"/>
  <c r="O27" i="3"/>
  <c r="E26" i="14"/>
  <c r="K27" i="10"/>
  <c r="N27" i="16"/>
  <c r="Q25" i="1"/>
  <c r="Q27" i="3"/>
  <c r="D27" i="15"/>
  <c r="Q25" i="13"/>
  <c r="U27" i="16"/>
  <c r="G27" i="10"/>
  <c r="Z26" i="5"/>
  <c r="T28" i="4"/>
  <c r="W27" i="3"/>
  <c r="D26" i="9"/>
  <c r="F27" i="15"/>
  <c r="G27" i="16"/>
  <c r="N25" i="1"/>
  <c r="Y27" i="10"/>
  <c r="U25" i="1"/>
  <c r="P26" i="5"/>
  <c r="AA27" i="16"/>
  <c r="O27" i="15"/>
  <c r="P27" i="15"/>
  <c r="E26" i="5"/>
  <c r="F27" i="10"/>
  <c r="AA28" i="4"/>
  <c r="T27" i="10"/>
  <c r="D30" i="11"/>
  <c r="D26" i="5"/>
  <c r="U30" i="11"/>
  <c r="Y26" i="9"/>
  <c r="F25" i="13"/>
  <c r="P27" i="3"/>
  <c r="R28" i="4"/>
  <c r="N26" i="9"/>
  <c r="Y27" i="15"/>
  <c r="K27" i="15"/>
  <c r="O28" i="10"/>
  <c r="O26" i="1"/>
  <c r="G28" i="16"/>
  <c r="P31" i="11"/>
  <c r="K26" i="1"/>
  <c r="Y30" i="4"/>
  <c r="F31" i="11"/>
  <c r="X28" i="10"/>
  <c r="AA29" i="4"/>
  <c r="T28" i="10"/>
  <c r="T27" i="5"/>
  <c r="R26" i="13"/>
  <c r="Q28" i="3"/>
  <c r="K27" i="9"/>
  <c r="N27" i="5"/>
  <c r="Q28" i="16"/>
  <c r="X31" i="11"/>
  <c r="AA28" i="16"/>
  <c r="O29" i="4"/>
  <c r="O28" i="15"/>
  <c r="G27" i="9"/>
  <c r="Y26" i="1"/>
  <c r="P27" i="9"/>
  <c r="R28" i="16"/>
  <c r="AA31" i="11"/>
  <c r="Q29" i="4"/>
  <c r="F26" i="1"/>
  <c r="D28" i="10"/>
  <c r="E26" i="13"/>
  <c r="T28" i="15"/>
  <c r="R28" i="3"/>
  <c r="O31" i="11"/>
  <c r="K26" i="13"/>
  <c r="W29" i="4"/>
  <c r="W26" i="1"/>
  <c r="Y26" i="13"/>
  <c r="D27" i="5"/>
  <c r="D26" i="1"/>
  <c r="F28" i="10"/>
  <c r="U27" i="5"/>
  <c r="AA27" i="9"/>
  <c r="P28" i="16"/>
  <c r="Q26" i="1"/>
  <c r="D28" i="16"/>
  <c r="Y28" i="16"/>
  <c r="AA28" i="3"/>
  <c r="X27" i="14"/>
  <c r="AA28" i="10"/>
  <c r="E27" i="14"/>
  <c r="F28" i="15"/>
  <c r="T28" i="16"/>
  <c r="W28" i="16"/>
  <c r="D29" i="16"/>
  <c r="T26" i="13"/>
  <c r="X26" i="1"/>
  <c r="W31" i="11"/>
  <c r="D27" i="9"/>
  <c r="F29" i="4"/>
  <c r="E27" i="5"/>
  <c r="W28" i="10"/>
  <c r="N28" i="15"/>
  <c r="N26" i="13"/>
  <c r="AA27" i="14"/>
  <c r="P26" i="1"/>
  <c r="E28" i="15"/>
  <c r="R28" i="10"/>
  <c r="E29" i="10"/>
  <c r="O27" i="5"/>
  <c r="Q27" i="9"/>
  <c r="O28" i="16"/>
  <c r="K27" i="5"/>
  <c r="D27" i="14"/>
  <c r="Y28" i="3"/>
  <c r="P28" i="15"/>
  <c r="Y29" i="4"/>
  <c r="T28" i="3"/>
  <c r="G28" i="15"/>
  <c r="N28" i="16"/>
  <c r="AA26" i="1"/>
  <c r="N27" i="9"/>
  <c r="N28" i="10"/>
  <c r="G27" i="14"/>
  <c r="W28" i="3"/>
  <c r="P28" i="10"/>
  <c r="X27" i="5"/>
  <c r="W27" i="14"/>
  <c r="U28" i="15"/>
  <c r="E28" i="10"/>
  <c r="K28" i="10"/>
  <c r="Y27" i="5"/>
  <c r="O26" i="13"/>
  <c r="W27" i="5"/>
  <c r="Y28" i="15"/>
  <c r="AA28" i="15"/>
  <c r="U27" i="9"/>
  <c r="K28" i="16"/>
  <c r="Y28" i="10"/>
  <c r="Y32" i="11"/>
  <c r="G29" i="4"/>
  <c r="N26" i="1"/>
  <c r="W27" i="9"/>
  <c r="G31" i="11"/>
  <c r="E27" i="9"/>
  <c r="R28" i="15"/>
  <c r="Q27" i="5"/>
  <c r="F27" i="9"/>
  <c r="Q26" i="13"/>
  <c r="Q31" i="11"/>
  <c r="G26" i="13"/>
  <c r="P29" i="4"/>
  <c r="P29" i="3"/>
  <c r="Y31" i="11"/>
  <c r="R27" i="5"/>
  <c r="U26" i="13"/>
  <c r="G26" i="1"/>
  <c r="U29" i="4"/>
  <c r="X28" i="15"/>
  <c r="N31" i="11"/>
  <c r="X29" i="4"/>
  <c r="R26" i="1"/>
  <c r="K28" i="15"/>
  <c r="O28" i="3"/>
  <c r="X28" i="3"/>
  <c r="P26" i="13"/>
  <c r="R31" i="11"/>
  <c r="R29" i="4"/>
  <c r="U28" i="3"/>
  <c r="K27" i="14"/>
  <c r="Q28" i="15"/>
  <c r="D26" i="13"/>
  <c r="D29" i="4"/>
  <c r="U31" i="11"/>
  <c r="U28" i="10"/>
  <c r="T26" i="1"/>
  <c r="F26" i="13"/>
  <c r="E31" i="11"/>
  <c r="T31" i="11"/>
  <c r="G28" i="10"/>
  <c r="Y27" i="14"/>
  <c r="T27" i="9"/>
  <c r="W28" i="15"/>
  <c r="Y27" i="9"/>
  <c r="D28" i="15"/>
  <c r="T29" i="4"/>
  <c r="F27" i="14"/>
  <c r="E29" i="15"/>
  <c r="U28" i="16"/>
  <c r="U26" i="1"/>
  <c r="X27" i="9"/>
  <c r="E26" i="1"/>
  <c r="Z27" i="5"/>
  <c r="P27" i="5"/>
  <c r="T27" i="14"/>
  <c r="U27" i="14"/>
  <c r="K31" i="11"/>
  <c r="X26" i="13"/>
  <c r="E29" i="4"/>
  <c r="E28" i="16"/>
  <c r="K29" i="4"/>
  <c r="P28" i="3"/>
  <c r="N29" i="4"/>
  <c r="R27" i="1"/>
  <c r="D31" i="11"/>
  <c r="Q28" i="10"/>
  <c r="X28" i="16"/>
  <c r="AA26" i="13"/>
  <c r="W26" i="13"/>
  <c r="G27" i="5"/>
  <c r="F28" i="16"/>
  <c r="F27" i="5"/>
  <c r="T27" i="13"/>
  <c r="G29" i="10"/>
  <c r="T29" i="3"/>
  <c r="K29" i="10"/>
  <c r="Q29" i="10"/>
  <c r="D28" i="9"/>
  <c r="F32" i="11"/>
  <c r="U29" i="16"/>
  <c r="P28" i="5"/>
  <c r="Y28" i="14"/>
  <c r="X27" i="1"/>
  <c r="R28" i="5"/>
  <c r="P27" i="1"/>
  <c r="R32" i="11"/>
  <c r="W29" i="3"/>
  <c r="N29" i="16"/>
  <c r="D32" i="11"/>
  <c r="Q32" i="11"/>
  <c r="W29" i="16"/>
  <c r="O29" i="10"/>
  <c r="AA32" i="11"/>
  <c r="P32" i="11"/>
  <c r="T28" i="5"/>
  <c r="Y28" i="5"/>
  <c r="X29" i="3"/>
  <c r="W30" i="4"/>
  <c r="E30" i="4"/>
  <c r="F28" i="14"/>
  <c r="X27" i="13"/>
  <c r="W28" i="14"/>
  <c r="E28" i="9"/>
  <c r="K28" i="14"/>
  <c r="X29" i="15"/>
  <c r="F30" i="4"/>
  <c r="K30" i="4"/>
  <c r="Y29" i="16"/>
  <c r="U32" i="11"/>
  <c r="P27" i="13"/>
  <c r="R27" i="13"/>
  <c r="O27" i="1"/>
  <c r="AA29" i="3"/>
  <c r="G28" i="14"/>
  <c r="U29" i="10"/>
  <c r="O29" i="16"/>
  <c r="R29" i="15"/>
  <c r="E29" i="16"/>
  <c r="U29" i="15"/>
  <c r="Y28" i="9"/>
  <c r="F28" i="5"/>
  <c r="AA29" i="15"/>
  <c r="F27" i="1"/>
  <c r="E32" i="11"/>
  <c r="P30" i="4"/>
  <c r="Y27" i="13"/>
  <c r="W29" i="10"/>
  <c r="O27" i="13"/>
  <c r="Q30" i="4"/>
  <c r="K28" i="9"/>
  <c r="K27" i="1"/>
  <c r="R29" i="16"/>
  <c r="K29" i="16"/>
  <c r="K28" i="5"/>
  <c r="G32" i="11"/>
  <c r="D28" i="5"/>
  <c r="N28" i="5"/>
  <c r="Y27" i="1"/>
  <c r="O30" i="4"/>
  <c r="T32" i="11"/>
  <c r="U27" i="13"/>
  <c r="R30" i="4"/>
  <c r="N32" i="11"/>
  <c r="T30" i="4"/>
  <c r="O29" i="15"/>
  <c r="W28" i="9"/>
  <c r="AA27" i="13"/>
  <c r="K29" i="15"/>
  <c r="N27" i="1"/>
  <c r="AA29" i="16"/>
  <c r="G28" i="5"/>
  <c r="F28" i="9"/>
  <c r="T28" i="9"/>
  <c r="W29" i="15"/>
  <c r="N29" i="10"/>
  <c r="U30" i="4"/>
  <c r="P29" i="10"/>
  <c r="D29" i="10"/>
  <c r="Q29" i="16"/>
  <c r="X30" i="4"/>
  <c r="Y29" i="15"/>
  <c r="Z28" i="5"/>
  <c r="AA28" i="14"/>
  <c r="T27" i="1"/>
  <c r="Y29" i="3"/>
  <c r="Q28" i="9"/>
  <c r="P29" i="15"/>
  <c r="W27" i="13"/>
  <c r="G29" i="15"/>
  <c r="W32" i="11"/>
  <c r="W27" i="1"/>
  <c r="AA27" i="1"/>
  <c r="F29" i="15"/>
  <c r="AA29" i="10"/>
  <c r="D28" i="14"/>
  <c r="T28" i="14"/>
  <c r="F29" i="10"/>
  <c r="Q27" i="1"/>
  <c r="R29" i="3"/>
  <c r="X29" i="16"/>
  <c r="O28" i="5"/>
  <c r="X32" i="11"/>
  <c r="G28" i="9"/>
  <c r="U27" i="1"/>
  <c r="O29" i="3"/>
  <c r="U29" i="3"/>
  <c r="Y29" i="10"/>
  <c r="P28" i="9"/>
  <c r="N29" i="15"/>
  <c r="D27" i="1"/>
  <c r="K32" i="11"/>
  <c r="G29" i="16"/>
  <c r="D30" i="4"/>
  <c r="X28" i="9"/>
  <c r="Q29" i="15"/>
  <c r="T29" i="10"/>
  <c r="Q28" i="5"/>
  <c r="X28" i="5"/>
  <c r="N28" i="9"/>
  <c r="Q29" i="3"/>
  <c r="T29" i="16"/>
  <c r="E28" i="14"/>
  <c r="U28" i="14"/>
  <c r="AA28" i="9"/>
  <c r="N30" i="4"/>
  <c r="X28" i="14"/>
  <c r="F29" i="16"/>
  <c r="P29" i="16"/>
  <c r="AA30" i="4"/>
  <c r="X29" i="10"/>
  <c r="D29" i="15"/>
  <c r="E28" i="5"/>
  <c r="G30" i="4"/>
  <c r="U28" i="9"/>
  <c r="T29" i="15"/>
  <c r="U28" i="5"/>
  <c r="R29" i="10"/>
  <c r="W28" i="5"/>
  <c r="E27" i="1"/>
  <c r="G27" i="1"/>
  <c r="O32" i="11"/>
  <c r="X29" i="14"/>
  <c r="Y30" i="10"/>
  <c r="R29" i="5"/>
  <c r="O31" i="3"/>
  <c r="U30" i="15"/>
  <c r="E28" i="1"/>
  <c r="U29" i="9"/>
  <c r="E29" i="14"/>
  <c r="U33" i="11"/>
  <c r="Y31" i="4"/>
  <c r="T29" i="9"/>
  <c r="T29" i="14"/>
  <c r="AA34" i="11"/>
  <c r="E31" i="4"/>
  <c r="G30" i="16"/>
  <c r="N29" i="9"/>
  <c r="F28" i="1"/>
  <c r="P30" i="16"/>
  <c r="R30" i="10"/>
  <c r="P31" i="4"/>
  <c r="X30" i="16"/>
  <c r="G34" i="11"/>
  <c r="O29" i="5"/>
  <c r="G31" i="4"/>
  <c r="N33" i="11"/>
  <c r="T31" i="4"/>
  <c r="D28" i="1"/>
  <c r="D30" i="16"/>
  <c r="P29" i="9"/>
  <c r="O28" i="1"/>
  <c r="R33" i="11"/>
  <c r="G29" i="5"/>
  <c r="O30" i="15"/>
  <c r="AA30" i="10"/>
  <c r="F30" i="16"/>
  <c r="E30" i="15"/>
  <c r="O30" i="3"/>
  <c r="X30" i="3"/>
  <c r="N31" i="16"/>
  <c r="AA29" i="14"/>
  <c r="W28" i="1"/>
  <c r="P30" i="3"/>
  <c r="Y28" i="1"/>
  <c r="X31" i="4"/>
  <c r="F29" i="9"/>
  <c r="N30" i="16"/>
  <c r="AA28" i="1"/>
  <c r="Y30" i="15"/>
  <c r="AA30" i="16"/>
  <c r="Q28" i="1"/>
  <c r="W30" i="15"/>
  <c r="K29" i="5"/>
  <c r="AA30" i="3"/>
  <c r="D30" i="15"/>
  <c r="D31" i="4"/>
  <c r="Y29" i="14"/>
  <c r="G28" i="1"/>
  <c r="X29" i="9"/>
  <c r="R31" i="15"/>
  <c r="G30" i="15"/>
  <c r="Q29" i="9"/>
  <c r="G33" i="11"/>
  <c r="Y33" i="11"/>
  <c r="D30" i="10"/>
  <c r="D29" i="9"/>
  <c r="E29" i="5"/>
  <c r="U30" i="3"/>
  <c r="Q30" i="16"/>
  <c r="R30" i="3"/>
  <c r="W33" i="11"/>
  <c r="D33" i="11"/>
  <c r="E31" i="16"/>
  <c r="Q30" i="10"/>
  <c r="U29" i="5"/>
  <c r="N28" i="1"/>
  <c r="T30" i="15"/>
  <c r="K30" i="15"/>
  <c r="G29" i="9"/>
  <c r="R28" i="1"/>
  <c r="P30" i="15"/>
  <c r="X28" i="1"/>
  <c r="Q31" i="4"/>
  <c r="E30" i="10"/>
  <c r="W30" i="3"/>
  <c r="F30" i="15"/>
  <c r="E29" i="9"/>
  <c r="AA30" i="15"/>
  <c r="O30" i="10"/>
  <c r="X30" i="15"/>
  <c r="U28" i="1"/>
  <c r="T30" i="16"/>
  <c r="U31" i="4"/>
  <c r="AA31" i="4"/>
  <c r="AA29" i="9"/>
  <c r="K30" i="10"/>
  <c r="Q33" i="11"/>
  <c r="P33" i="11"/>
  <c r="T29" i="1"/>
  <c r="O30" i="16"/>
  <c r="U30" i="16"/>
  <c r="G29" i="14"/>
  <c r="N31" i="4"/>
  <c r="T29" i="5"/>
  <c r="O33" i="11"/>
  <c r="AA33" i="11"/>
  <c r="P30" i="10"/>
  <c r="W31" i="4"/>
  <c r="U30" i="10"/>
  <c r="K29" i="14"/>
  <c r="Y29" i="5"/>
  <c r="D31" i="15"/>
  <c r="X30" i="10"/>
  <c r="Q30" i="15"/>
  <c r="K33" i="11"/>
  <c r="N30" i="10"/>
  <c r="W29" i="5"/>
  <c r="T30" i="3"/>
  <c r="D29" i="5"/>
  <c r="N30" i="9"/>
  <c r="D29" i="14"/>
  <c r="K28" i="1"/>
  <c r="Y29" i="9"/>
  <c r="P28" i="1"/>
  <c r="N29" i="5"/>
  <c r="K29" i="9"/>
  <c r="W29" i="9"/>
  <c r="AA31" i="10"/>
  <c r="Q29" i="5"/>
  <c r="P29" i="5"/>
  <c r="T31" i="16"/>
  <c r="D30" i="9"/>
  <c r="Z29" i="5"/>
  <c r="W29" i="14"/>
  <c r="F30" i="10"/>
  <c r="K31" i="4"/>
  <c r="F33" i="11"/>
  <c r="G30" i="10"/>
  <c r="F29" i="14"/>
  <c r="X33" i="11"/>
  <c r="R30" i="15"/>
  <c r="Y30" i="16"/>
  <c r="R30" i="16"/>
  <c r="T28" i="1"/>
  <c r="E30" i="16"/>
  <c r="T33" i="11"/>
  <c r="X29" i="5"/>
  <c r="R31" i="4"/>
  <c r="F29" i="5"/>
  <c r="Y30" i="3"/>
  <c r="P31" i="15"/>
  <c r="T30" i="10"/>
  <c r="K30" i="16"/>
  <c r="E33" i="11"/>
  <c r="O31" i="4"/>
  <c r="Q30" i="3"/>
  <c r="U28" i="13"/>
  <c r="W30" i="10"/>
  <c r="W30" i="16"/>
  <c r="N30" i="15"/>
  <c r="U29" i="14"/>
  <c r="F31" i="4"/>
  <c r="Q31" i="10"/>
  <c r="T31" i="10"/>
  <c r="X30" i="5"/>
  <c r="Y32" i="4"/>
  <c r="W29" i="1"/>
  <c r="O34" i="11"/>
  <c r="AA30" i="9"/>
  <c r="T31" i="15"/>
  <c r="T32" i="4"/>
  <c r="X30" i="9"/>
  <c r="T30" i="14"/>
  <c r="W30" i="14"/>
  <c r="Y30" i="14"/>
  <c r="K30" i="14"/>
  <c r="E30" i="14"/>
  <c r="Q29" i="1"/>
  <c r="G30" i="9"/>
  <c r="O29" i="1"/>
  <c r="Q32" i="4"/>
  <c r="G31" i="15"/>
  <c r="R30" i="5"/>
  <c r="U30" i="14"/>
  <c r="U31" i="15"/>
  <c r="O31" i="16"/>
  <c r="AA32" i="4"/>
  <c r="P31" i="3"/>
  <c r="O31" i="10"/>
  <c r="D34" i="11"/>
  <c r="AA30" i="14"/>
  <c r="F30" i="14"/>
  <c r="X31" i="10"/>
  <c r="N31" i="15"/>
  <c r="T31" i="3"/>
  <c r="F31" i="10"/>
  <c r="F31" i="15"/>
  <c r="W30" i="9"/>
  <c r="N30" i="5"/>
  <c r="U34" i="11"/>
  <c r="N32" i="4"/>
  <c r="Y31" i="10"/>
  <c r="D31" i="16"/>
  <c r="P31" i="16"/>
  <c r="AA31" i="16"/>
  <c r="P30" i="9"/>
  <c r="E30" i="9"/>
  <c r="X32" i="4"/>
  <c r="R29" i="1"/>
  <c r="O30" i="5"/>
  <c r="W34" i="11"/>
  <c r="R31" i="10"/>
  <c r="F31" i="16"/>
  <c r="K31" i="10"/>
  <c r="R34" i="11"/>
  <c r="Y29" i="1"/>
  <c r="Q31" i="15"/>
  <c r="Q31" i="16"/>
  <c r="N34" i="11"/>
  <c r="D31" i="10"/>
  <c r="R31" i="3"/>
  <c r="O32" i="4"/>
  <c r="E32" i="4"/>
  <c r="Y34" i="11"/>
  <c r="W31" i="15"/>
  <c r="Y31" i="16"/>
  <c r="D29" i="1"/>
  <c r="K34" i="11"/>
  <c r="K31" i="16"/>
  <c r="P29" i="1"/>
  <c r="P32" i="4"/>
  <c r="G31" i="10"/>
  <c r="N29" i="1"/>
  <c r="K29" i="1"/>
  <c r="E34" i="11"/>
  <c r="D32" i="4"/>
  <c r="F32" i="4"/>
  <c r="X30" i="14"/>
  <c r="Q31" i="3"/>
  <c r="G31" i="16"/>
  <c r="W30" i="5"/>
  <c r="E30" i="5"/>
  <c r="T30" i="9"/>
  <c r="W31" i="10"/>
  <c r="U31" i="10"/>
  <c r="F29" i="1"/>
  <c r="Y31" i="15"/>
  <c r="Z30" i="5"/>
  <c r="D30" i="5"/>
  <c r="F30" i="5"/>
  <c r="W31" i="16"/>
  <c r="X31" i="15"/>
  <c r="U31" i="16"/>
  <c r="X31" i="16"/>
  <c r="Y30" i="9"/>
  <c r="R32" i="4"/>
  <c r="AA29" i="1"/>
  <c r="T34" i="11"/>
  <c r="R31" i="16"/>
  <c r="Q30" i="5"/>
  <c r="Q30" i="9"/>
  <c r="N31" i="10"/>
  <c r="K31" i="15"/>
  <c r="F30" i="9"/>
  <c r="E31" i="10"/>
  <c r="K32" i="4"/>
  <c r="U29" i="1"/>
  <c r="P34" i="11"/>
  <c r="U30" i="9"/>
  <c r="X34" i="11"/>
  <c r="G30" i="5"/>
  <c r="U31" i="3"/>
  <c r="P31" i="10"/>
  <c r="AA31" i="3"/>
  <c r="Q34" i="11"/>
  <c r="E29" i="1"/>
  <c r="F34" i="11"/>
  <c r="W32" i="4"/>
  <c r="G29" i="1"/>
  <c r="X29" i="1"/>
  <c r="U32" i="4"/>
  <c r="G30" i="14"/>
  <c r="T30" i="5"/>
  <c r="D30" i="14"/>
  <c r="Y31" i="3"/>
  <c r="K30" i="5"/>
  <c r="W31" i="3"/>
  <c r="E31" i="15"/>
  <c r="X31" i="3"/>
  <c r="Y30" i="5"/>
  <c r="P30" i="5"/>
  <c r="G32" i="4"/>
  <c r="O31" i="15"/>
  <c r="AA31" i="15"/>
  <c r="K30" i="9"/>
  <c r="U30" i="5"/>
  <c r="Q32" i="3"/>
  <c r="N32" i="10"/>
  <c r="U32" i="3"/>
  <c r="D31" i="9"/>
  <c r="W33" i="4"/>
  <c r="W33" i="3"/>
  <c r="G31" i="14"/>
  <c r="O32" i="16"/>
  <c r="X31" i="5"/>
  <c r="D32" i="3"/>
  <c r="W31" i="5"/>
  <c r="R31" i="5"/>
  <c r="E32" i="16"/>
  <c r="X31" i="9"/>
  <c r="AA33" i="4"/>
  <c r="W32" i="10"/>
  <c r="K31" i="9"/>
  <c r="F31" i="14"/>
  <c r="X30" i="1"/>
  <c r="P32" i="10"/>
  <c r="K32" i="10"/>
  <c r="F32" i="10"/>
  <c r="O32" i="3"/>
  <c r="AA32" i="10"/>
  <c r="F31" i="5"/>
  <c r="U31" i="5"/>
  <c r="N31" i="9"/>
  <c r="U30" i="1"/>
  <c r="N32" i="16"/>
  <c r="D31" i="5"/>
  <c r="Q32" i="16"/>
  <c r="E31" i="14"/>
  <c r="N33" i="4"/>
  <c r="Q30" i="1"/>
  <c r="F33" i="4"/>
  <c r="Q33" i="4"/>
  <c r="F31" i="9"/>
  <c r="Y31" i="9"/>
  <c r="Y32" i="3"/>
  <c r="G32" i="10"/>
  <c r="Q31" i="9"/>
  <c r="R33" i="4"/>
  <c r="AA32" i="5"/>
  <c r="D33" i="4"/>
  <c r="T30" i="1"/>
  <c r="D30" i="1"/>
  <c r="X33" i="4"/>
  <c r="X32" i="16"/>
  <c r="R32" i="10"/>
  <c r="W32" i="16"/>
  <c r="R31" i="1"/>
  <c r="K31" i="14"/>
  <c r="T33" i="4"/>
  <c r="E32" i="9"/>
  <c r="P30" i="1"/>
  <c r="U32" i="10"/>
  <c r="Y32" i="16"/>
  <c r="K30" i="1"/>
  <c r="G32" i="9"/>
  <c r="P31" i="9"/>
  <c r="U33" i="16"/>
  <c r="F32" i="3"/>
  <c r="G32" i="3"/>
  <c r="Y33" i="4"/>
  <c r="T31" i="9"/>
  <c r="X32" i="3"/>
  <c r="O33" i="4"/>
  <c r="N31" i="5"/>
  <c r="W31" i="9"/>
  <c r="AA30" i="1"/>
  <c r="T32" i="3"/>
  <c r="Q33" i="16"/>
  <c r="AA31" i="9"/>
  <c r="W30" i="1"/>
  <c r="E31" i="5"/>
  <c r="E30" i="1"/>
  <c r="AA32" i="16"/>
  <c r="Z31" i="5"/>
  <c r="P32" i="3"/>
  <c r="G30" i="1"/>
  <c r="N30" i="1"/>
  <c r="Q31" i="5"/>
  <c r="G31" i="9"/>
  <c r="AA32" i="3"/>
  <c r="G33" i="4"/>
  <c r="K33" i="4"/>
  <c r="T31" i="14"/>
  <c r="G32" i="16"/>
  <c r="U31" i="9"/>
  <c r="K32" i="16"/>
  <c r="R30" i="1"/>
  <c r="T32" i="10"/>
  <c r="P32" i="16"/>
  <c r="Y30" i="1"/>
  <c r="D32" i="10"/>
  <c r="Y31" i="14"/>
  <c r="U32" i="16"/>
  <c r="T31" i="5"/>
  <c r="R32" i="3"/>
  <c r="E32" i="10"/>
  <c r="F30" i="1"/>
  <c r="K32" i="3"/>
  <c r="E32" i="3"/>
  <c r="O30" i="1"/>
  <c r="Q32" i="10"/>
  <c r="W32" i="3"/>
  <c r="Y32" i="10"/>
  <c r="E31" i="9"/>
  <c r="R32" i="16"/>
  <c r="F32" i="16"/>
  <c r="O32" i="10"/>
  <c r="Y31" i="5"/>
  <c r="E33" i="4"/>
  <c r="U33" i="4"/>
  <c r="T32" i="16"/>
  <c r="X32" i="10"/>
  <c r="D31" i="14"/>
  <c r="X31" i="14"/>
  <c r="O31" i="5"/>
  <c r="W31" i="14"/>
  <c r="K31" i="5"/>
  <c r="G31" i="5"/>
  <c r="AA31" i="14"/>
  <c r="P31" i="5"/>
  <c r="P33" i="4"/>
  <c r="U32" i="5"/>
  <c r="D32" i="16"/>
  <c r="U31" i="14"/>
  <c r="G32" i="5"/>
  <c r="G32" i="14"/>
  <c r="X33" i="3"/>
  <c r="K32" i="5"/>
  <c r="W33" i="16"/>
  <c r="Y33" i="3"/>
  <c r="E33" i="10"/>
  <c r="Q32" i="9"/>
  <c r="W34" i="4"/>
  <c r="E32" i="5"/>
  <c r="X32" i="9"/>
  <c r="X34" i="4"/>
  <c r="AA33" i="16"/>
  <c r="U33" i="3"/>
  <c r="N31" i="1"/>
  <c r="K33" i="16"/>
  <c r="P31" i="1"/>
  <c r="N33" i="10"/>
  <c r="X33" i="10"/>
  <c r="Y32" i="5"/>
  <c r="F32" i="9"/>
  <c r="W31" i="1"/>
  <c r="W32" i="5"/>
  <c r="AA32" i="14"/>
  <c r="D33" i="16"/>
  <c r="R32" i="5"/>
  <c r="X33" i="16"/>
  <c r="E32" i="14"/>
  <c r="Y34" i="4"/>
  <c r="W33" i="10"/>
  <c r="D32" i="5"/>
  <c r="F33" i="10"/>
  <c r="W32" i="14"/>
  <c r="D33" i="3"/>
  <c r="O32" i="5"/>
  <c r="X31" i="1"/>
  <c r="P33" i="3"/>
  <c r="N32" i="9"/>
  <c r="Q34" i="4"/>
  <c r="U32" i="9"/>
  <c r="Y33" i="16"/>
  <c r="AA32" i="9"/>
  <c r="N32" i="5"/>
  <c r="E31" i="1"/>
  <c r="F33" i="3"/>
  <c r="O31" i="1"/>
  <c r="T33" i="16"/>
  <c r="T31" i="1"/>
  <c r="T32" i="5"/>
  <c r="Y33" i="10"/>
  <c r="X32" i="5"/>
  <c r="Q33" i="3"/>
  <c r="K34" i="4"/>
  <c r="T34" i="4"/>
  <c r="R33" i="10"/>
  <c r="P33" i="10"/>
  <c r="T32" i="9"/>
  <c r="Z32" i="5"/>
  <c r="AA33" i="3"/>
  <c r="U31" i="1"/>
  <c r="R33" i="3"/>
  <c r="Q31" i="1"/>
  <c r="D33" i="10"/>
  <c r="E33" i="3"/>
  <c r="O33" i="16"/>
  <c r="X32" i="14"/>
  <c r="Q32" i="5"/>
  <c r="F31" i="1"/>
  <c r="O33" i="10"/>
  <c r="F34" i="4"/>
  <c r="U33" i="10"/>
  <c r="F33" i="16"/>
  <c r="K33" i="3"/>
  <c r="T33" i="3"/>
  <c r="K32" i="14"/>
  <c r="AA33" i="10"/>
  <c r="P34" i="4"/>
  <c r="O33" i="3"/>
  <c r="P32" i="9"/>
  <c r="G34" i="4"/>
  <c r="K31" i="1"/>
  <c r="O34" i="4"/>
  <c r="G33" i="3"/>
  <c r="Q33" i="10"/>
  <c r="T32" i="14"/>
  <c r="K33" i="10"/>
  <c r="E34" i="4"/>
  <c r="F32" i="5"/>
  <c r="W32" i="9"/>
  <c r="P33" i="16"/>
  <c r="D32" i="14"/>
  <c r="Y32" i="14"/>
  <c r="U32" i="14"/>
  <c r="R34" i="4"/>
  <c r="U34" i="4"/>
  <c r="G31" i="1"/>
  <c r="N34" i="4"/>
  <c r="G33" i="10"/>
  <c r="AA31" i="1"/>
  <c r="D34" i="4"/>
  <c r="K32" i="9"/>
  <c r="F32" i="14"/>
  <c r="P32" i="5"/>
  <c r="N33" i="16"/>
  <c r="AA34" i="4"/>
  <c r="R33" i="16"/>
  <c r="G33" i="16"/>
  <c r="T33" i="10"/>
  <c r="E33" i="16"/>
  <c r="D32" i="9"/>
  <c r="Y32" i="9"/>
  <c r="D31" i="1"/>
  <c r="Y31" i="1"/>
  <c r="U32" i="1"/>
  <c r="W33" i="5"/>
  <c r="K33" i="14"/>
  <c r="F33" i="9"/>
  <c r="R32" i="1"/>
  <c r="X34" i="16"/>
  <c r="G33" i="9"/>
  <c r="Q32" i="1"/>
  <c r="AA33" i="14"/>
  <c r="N33" i="5"/>
  <c r="Q34" i="16"/>
  <c r="W33" i="14"/>
  <c r="D32" i="1"/>
  <c r="G32" i="1"/>
  <c r="P32" i="1"/>
  <c r="N33" i="9"/>
  <c r="G33" i="14"/>
  <c r="W33" i="9"/>
  <c r="O33" i="5"/>
  <c r="U34" i="16"/>
  <c r="F33" i="5"/>
  <c r="U33" i="9"/>
  <c r="N32" i="1"/>
  <c r="E33" i="14"/>
  <c r="G33" i="5"/>
  <c r="K33" i="5"/>
  <c r="U33" i="14"/>
  <c r="T32" i="1"/>
  <c r="D33" i="5"/>
  <c r="K32" i="1"/>
  <c r="Q33" i="9"/>
  <c r="X33" i="14"/>
  <c r="T34" i="16"/>
  <c r="Y34" i="16"/>
  <c r="T33" i="5"/>
  <c r="R34" i="16"/>
  <c r="Q33" i="5"/>
  <c r="R33" i="5"/>
  <c r="G34" i="16"/>
  <c r="F32" i="1"/>
  <c r="P34" i="5"/>
  <c r="N34" i="16"/>
  <c r="K33" i="9"/>
  <c r="U33" i="5"/>
  <c r="D34" i="16"/>
  <c r="F34" i="16"/>
  <c r="F33" i="14"/>
  <c r="W34" i="16"/>
  <c r="T33" i="14"/>
  <c r="AA32" i="1"/>
  <c r="Y33" i="14"/>
  <c r="E33" i="9"/>
  <c r="P34" i="16"/>
  <c r="Y33" i="9"/>
  <c r="T33" i="9"/>
  <c r="Z33" i="5"/>
  <c r="W32" i="1"/>
  <c r="AA34" i="16"/>
  <c r="P33" i="9"/>
  <c r="P33" i="5"/>
  <c r="E34" i="16"/>
  <c r="X32" i="1"/>
  <c r="Y32" i="1"/>
  <c r="E32" i="1"/>
  <c r="K34" i="16"/>
  <c r="E33" i="5"/>
  <c r="AA33" i="5"/>
  <c r="D33" i="9"/>
  <c r="AA33" i="9"/>
  <c r="O32" i="1"/>
  <c r="D33" i="14"/>
  <c r="O34" i="16"/>
  <c r="Y33" i="5"/>
  <c r="X33" i="5"/>
  <c r="X33" i="9"/>
  <c r="N33" i="1"/>
  <c r="X34" i="5"/>
  <c r="E34" i="9"/>
  <c r="X34" i="9"/>
  <c r="Q33" i="1"/>
  <c r="W34" i="5"/>
  <c r="U34" i="14"/>
  <c r="D34" i="5"/>
  <c r="K34" i="5"/>
  <c r="F34" i="14"/>
  <c r="Q34" i="5"/>
  <c r="G34" i="14"/>
  <c r="X33" i="1"/>
  <c r="D34" i="14"/>
  <c r="Q34" i="9"/>
  <c r="K33" i="1"/>
  <c r="U34" i="9"/>
  <c r="Y34" i="14"/>
  <c r="F33" i="1"/>
  <c r="E34" i="14"/>
  <c r="Y33" i="1"/>
  <c r="O33" i="1"/>
  <c r="AA33" i="1"/>
  <c r="D33" i="1"/>
  <c r="O34" i="5"/>
  <c r="Y34" i="5"/>
  <c r="D34" i="9"/>
  <c r="R34" i="5"/>
  <c r="T34" i="14"/>
  <c r="G34" i="5"/>
  <c r="X34" i="14"/>
  <c r="T33" i="1"/>
  <c r="T34" i="5"/>
  <c r="E33" i="1"/>
  <c r="N34" i="9"/>
  <c r="AA34" i="5"/>
  <c r="P33" i="1"/>
  <c r="G34" i="9"/>
  <c r="W34" i="14"/>
  <c r="T34" i="9"/>
  <c r="Y34" i="9"/>
  <c r="K34" i="9"/>
  <c r="AA34" i="14"/>
  <c r="R33" i="1"/>
  <c r="U33" i="1"/>
  <c r="P34" i="9"/>
  <c r="AA34" i="9"/>
  <c r="U34" i="5"/>
  <c r="W34" i="9"/>
  <c r="Z34" i="5"/>
  <c r="G33" i="1"/>
  <c r="W33" i="1"/>
  <c r="E34" i="5"/>
  <c r="K34" i="14"/>
  <c r="N34" i="5"/>
  <c r="F34" i="9"/>
  <c r="F34" i="5"/>
  <c r="J724" i="2" l="1"/>
  <c r="R35" i="1"/>
  <c r="I725" i="2"/>
  <c r="J725" i="2" s="1"/>
  <c r="L23" i="15"/>
  <c r="O35" i="5"/>
  <c r="O44" i="5" s="1"/>
  <c r="L28" i="9"/>
  <c r="R28" i="13"/>
  <c r="L15" i="15"/>
  <c r="C725" i="2"/>
  <c r="H725" i="2" s="1"/>
  <c r="K726" i="2"/>
  <c r="K28" i="13" s="1"/>
  <c r="L16" i="13"/>
  <c r="L24" i="16"/>
  <c r="O28" i="13"/>
  <c r="L14" i="12"/>
  <c r="I23" i="5"/>
  <c r="L18" i="13"/>
  <c r="C15" i="15"/>
  <c r="H15" i="15" s="1"/>
  <c r="P35" i="14"/>
  <c r="P44" i="14" s="1"/>
  <c r="P35" i="9"/>
  <c r="P44" i="9" s="1"/>
  <c r="O35" i="10"/>
  <c r="O44" i="10" s="1"/>
  <c r="K35" i="10"/>
  <c r="K44" i="10" s="1"/>
  <c r="K47" i="10" s="1"/>
  <c r="O35" i="16"/>
  <c r="O44" i="16" s="1"/>
  <c r="W35" i="4"/>
  <c r="W35" i="11"/>
  <c r="T35" i="12"/>
  <c r="T44" i="12" s="1"/>
  <c r="T51" i="12" s="1"/>
  <c r="W35" i="10"/>
  <c r="S35" i="12"/>
  <c r="S44" i="12" s="1"/>
  <c r="N35" i="9"/>
  <c r="N44" i="9" s="1"/>
  <c r="P35" i="10"/>
  <c r="P44" i="10" s="1"/>
  <c r="K35" i="12"/>
  <c r="K44" i="12" s="1"/>
  <c r="K47" i="12" s="1"/>
  <c r="P35" i="15"/>
  <c r="P44" i="15" s="1"/>
  <c r="K35" i="9"/>
  <c r="K44" i="9" s="1"/>
  <c r="K47" i="9" s="1"/>
  <c r="N35" i="1"/>
  <c r="N44" i="1" s="1"/>
  <c r="O35" i="3"/>
  <c r="O44" i="3" s="1"/>
  <c r="X35" i="9"/>
  <c r="X35" i="11"/>
  <c r="S35" i="3"/>
  <c r="S44" i="3" s="1"/>
  <c r="T35" i="9"/>
  <c r="T44" i="9" s="1"/>
  <c r="T51" i="9" s="1"/>
  <c r="T59" i="9" s="1"/>
  <c r="Y35" i="11"/>
  <c r="S35" i="14"/>
  <c r="S44" i="14" s="1"/>
  <c r="T35" i="15"/>
  <c r="U35" i="11"/>
  <c r="U44" i="11" s="1"/>
  <c r="U51" i="11" s="1"/>
  <c r="L24" i="15"/>
  <c r="O35" i="15"/>
  <c r="O44" i="15" s="1"/>
  <c r="N35" i="10"/>
  <c r="N44" i="10" s="1"/>
  <c r="K35" i="15"/>
  <c r="N35" i="15"/>
  <c r="N44" i="15" s="1"/>
  <c r="K35" i="11"/>
  <c r="K44" i="11" s="1"/>
  <c r="K47" i="11" s="1"/>
  <c r="K35" i="1"/>
  <c r="W35" i="16"/>
  <c r="T35" i="16"/>
  <c r="W35" i="5"/>
  <c r="X35" i="5"/>
  <c r="S35" i="1"/>
  <c r="S44" i="1" s="1"/>
  <c r="Y35" i="5"/>
  <c r="X35" i="14"/>
  <c r="O35" i="11"/>
  <c r="O44" i="11" s="1"/>
  <c r="N35" i="4"/>
  <c r="N44" i="4" s="1"/>
  <c r="O35" i="4"/>
  <c r="O44" i="4" s="1"/>
  <c r="S35" i="11"/>
  <c r="S44" i="11" s="1"/>
  <c r="X35" i="16"/>
  <c r="U35" i="12"/>
  <c r="U44" i="12" s="1"/>
  <c r="U51" i="12" s="1"/>
  <c r="Y35" i="12"/>
  <c r="S35" i="4"/>
  <c r="S44" i="4" s="1"/>
  <c r="L25" i="5"/>
  <c r="K35" i="16"/>
  <c r="N35" i="16"/>
  <c r="N44" i="16" s="1"/>
  <c r="P35" i="1"/>
  <c r="P44" i="1" s="1"/>
  <c r="O35" i="12"/>
  <c r="O44" i="12" s="1"/>
  <c r="Y35" i="15"/>
  <c r="Y35" i="9"/>
  <c r="W35" i="14"/>
  <c r="T35" i="4"/>
  <c r="W35" i="12"/>
  <c r="Y35" i="4"/>
  <c r="T35" i="1"/>
  <c r="T35" i="3"/>
  <c r="U35" i="1"/>
  <c r="X35" i="4"/>
  <c r="X35" i="10"/>
  <c r="Y35" i="1"/>
  <c r="T35" i="10"/>
  <c r="T44" i="10" s="1"/>
  <c r="T51" i="10" s="1"/>
  <c r="U35" i="14"/>
  <c r="U44" i="14" s="1"/>
  <c r="T35" i="11"/>
  <c r="T44" i="11" s="1"/>
  <c r="T51" i="11" s="1"/>
  <c r="X35" i="12"/>
  <c r="N35" i="12"/>
  <c r="N44" i="12" s="1"/>
  <c r="P35" i="11"/>
  <c r="P44" i="11" s="1"/>
  <c r="W35" i="1"/>
  <c r="Y35" i="14"/>
  <c r="U35" i="9"/>
  <c r="U44" i="9" s="1"/>
  <c r="U51" i="9" s="1"/>
  <c r="U59" i="9" s="1"/>
  <c r="Y35" i="16"/>
  <c r="S35" i="16"/>
  <c r="S44" i="16" s="1"/>
  <c r="U35" i="3"/>
  <c r="S35" i="9"/>
  <c r="S44" i="9" s="1"/>
  <c r="W35" i="9"/>
  <c r="O35" i="14"/>
  <c r="O44" i="14" s="1"/>
  <c r="P35" i="12"/>
  <c r="P44" i="12" s="1"/>
  <c r="P35" i="3"/>
  <c r="P44" i="3" s="1"/>
  <c r="P35" i="4"/>
  <c r="P44" i="4" s="1"/>
  <c r="S35" i="10"/>
  <c r="S44" i="10" s="1"/>
  <c r="S35" i="15"/>
  <c r="S44" i="15" s="1"/>
  <c r="U35" i="15"/>
  <c r="W35" i="15"/>
  <c r="U35" i="16"/>
  <c r="T35" i="14"/>
  <c r="T44" i="14" s="1"/>
  <c r="Y35" i="10"/>
  <c r="K35" i="14"/>
  <c r="K44" i="14" s="1"/>
  <c r="K46" i="14" s="1"/>
  <c r="N35" i="11"/>
  <c r="N44" i="11" s="1"/>
  <c r="P35" i="16"/>
  <c r="P44" i="16" s="1"/>
  <c r="K35" i="4"/>
  <c r="O35" i="1"/>
  <c r="O44" i="1" s="1"/>
  <c r="X35" i="1"/>
  <c r="X35" i="15"/>
  <c r="U35" i="5"/>
  <c r="U44" i="5" s="1"/>
  <c r="U51" i="5" s="1"/>
  <c r="U35" i="10"/>
  <c r="U44" i="10" s="1"/>
  <c r="U51" i="10" s="1"/>
  <c r="U35" i="4"/>
  <c r="F35" i="12"/>
  <c r="G35" i="12"/>
  <c r="G44" i="12" s="1"/>
  <c r="G47" i="12" s="1"/>
  <c r="G35" i="1"/>
  <c r="F35" i="4"/>
  <c r="D35" i="10"/>
  <c r="F35" i="15"/>
  <c r="D35" i="4"/>
  <c r="D44" i="4" s="1"/>
  <c r="E35" i="14"/>
  <c r="E44" i="14" s="1"/>
  <c r="E46" i="14" s="1"/>
  <c r="F35" i="1"/>
  <c r="D35" i="16"/>
  <c r="D44" i="16" s="1"/>
  <c r="F35" i="14"/>
  <c r="G35" i="4"/>
  <c r="G35" i="15"/>
  <c r="G35" i="11"/>
  <c r="G44" i="11" s="1"/>
  <c r="G47" i="11" s="1"/>
  <c r="D35" i="15"/>
  <c r="D44" i="15" s="1"/>
  <c r="E35" i="9"/>
  <c r="E44" i="9" s="1"/>
  <c r="E47" i="9" s="1"/>
  <c r="D35" i="12"/>
  <c r="G35" i="14"/>
  <c r="G44" i="14" s="1"/>
  <c r="G46" i="14" s="1"/>
  <c r="F35" i="11"/>
  <c r="G35" i="9"/>
  <c r="G44" i="9" s="1"/>
  <c r="G47" i="9" s="1"/>
  <c r="E35" i="11"/>
  <c r="E44" i="11" s="1"/>
  <c r="E47" i="11" s="1"/>
  <c r="E35" i="4"/>
  <c r="F35" i="9"/>
  <c r="D35" i="14"/>
  <c r="D44" i="14" s="1"/>
  <c r="D46" i="14" s="1"/>
  <c r="F35" i="10"/>
  <c r="L35" i="10" s="1"/>
  <c r="E35" i="1"/>
  <c r="D35" i="1"/>
  <c r="D44" i="1" s="1"/>
  <c r="E35" i="10"/>
  <c r="E44" i="10" s="1"/>
  <c r="E47" i="10" s="1"/>
  <c r="G35" i="10"/>
  <c r="G44" i="10" s="1"/>
  <c r="G47" i="10" s="1"/>
  <c r="F35" i="16"/>
  <c r="E35" i="12"/>
  <c r="E44" i="12" s="1"/>
  <c r="E47" i="12" s="1"/>
  <c r="D35" i="9"/>
  <c r="E35" i="16"/>
  <c r="D35" i="11"/>
  <c r="E35" i="15"/>
  <c r="G35" i="16"/>
  <c r="Q35" i="1"/>
  <c r="Q44" i="1" s="1"/>
  <c r="Q35" i="4"/>
  <c r="Q44" i="4" s="1"/>
  <c r="Q35" i="15"/>
  <c r="Q44" i="15" s="1"/>
  <c r="Q35" i="14"/>
  <c r="Q44" i="14" s="1"/>
  <c r="Q35" i="16"/>
  <c r="Q44" i="16" s="1"/>
  <c r="Q35" i="11"/>
  <c r="Q44" i="11" s="1"/>
  <c r="Q35" i="10"/>
  <c r="Q44" i="10" s="1"/>
  <c r="Q35" i="9"/>
  <c r="Q44" i="9" s="1"/>
  <c r="Q35" i="12"/>
  <c r="Q44" i="12" s="1"/>
  <c r="Q35" i="5"/>
  <c r="Q44" i="5" s="1"/>
  <c r="Q35" i="3"/>
  <c r="Q44" i="3" s="1"/>
  <c r="C15" i="13"/>
  <c r="H15" i="13" s="1"/>
  <c r="C31" i="11"/>
  <c r="H31" i="11" s="1"/>
  <c r="C17" i="11"/>
  <c r="H17" i="11" s="1"/>
  <c r="C13" i="14"/>
  <c r="H13" i="14" s="1"/>
  <c r="C17" i="14"/>
  <c r="H17" i="14" s="1"/>
  <c r="L27" i="5"/>
  <c r="L9" i="13"/>
  <c r="L22" i="1"/>
  <c r="L26" i="15"/>
  <c r="C22" i="1"/>
  <c r="H22" i="1" s="1"/>
  <c r="L15" i="14"/>
  <c r="L15" i="12"/>
  <c r="P28" i="13"/>
  <c r="L29" i="14"/>
  <c r="T28" i="13"/>
  <c r="L27" i="9"/>
  <c r="I25" i="14"/>
  <c r="L24" i="10"/>
  <c r="L23" i="14"/>
  <c r="L21" i="5"/>
  <c r="C23" i="11"/>
  <c r="H23" i="11" s="1"/>
  <c r="C13" i="13"/>
  <c r="H13" i="13" s="1"/>
  <c r="L25" i="12"/>
  <c r="L6" i="4"/>
  <c r="L22" i="14"/>
  <c r="Y28" i="13"/>
  <c r="AA28" i="13"/>
  <c r="W28" i="13"/>
  <c r="L18" i="4"/>
  <c r="X28" i="13"/>
  <c r="L8" i="10"/>
  <c r="H726" i="42"/>
  <c r="G726" i="42"/>
  <c r="D726" i="42"/>
  <c r="C726" i="42"/>
  <c r="A726" i="42"/>
  <c r="B727" i="42"/>
  <c r="E726" i="42"/>
  <c r="I5" i="5"/>
  <c r="I6" i="5"/>
  <c r="L8" i="12"/>
  <c r="L17" i="15"/>
  <c r="L21" i="11"/>
  <c r="L33" i="11"/>
  <c r="L12" i="1"/>
  <c r="L22" i="15"/>
  <c r="L12" i="13"/>
  <c r="L32" i="14"/>
  <c r="C33" i="9"/>
  <c r="H33" i="9" s="1"/>
  <c r="C8" i="1"/>
  <c r="H8" i="1" s="1"/>
  <c r="L28" i="1"/>
  <c r="L10" i="13"/>
  <c r="L11" i="10"/>
  <c r="C16" i="16"/>
  <c r="H16" i="16" s="1"/>
  <c r="L725" i="2"/>
  <c r="L12" i="12"/>
  <c r="L6" i="9"/>
  <c r="L34" i="4"/>
  <c r="L26" i="14"/>
  <c r="L14" i="9"/>
  <c r="I14" i="14"/>
  <c r="L29" i="9"/>
  <c r="L33" i="3"/>
  <c r="L34" i="14"/>
  <c r="D27" i="13"/>
  <c r="C27" i="13" s="1"/>
  <c r="C20" i="16"/>
  <c r="H20" i="16" s="1"/>
  <c r="C18" i="12"/>
  <c r="H18" i="12" s="1"/>
  <c r="C9" i="12"/>
  <c r="H9" i="12" s="1"/>
  <c r="C7" i="4"/>
  <c r="H7" i="4" s="1"/>
  <c r="C11" i="10"/>
  <c r="H11" i="10" s="1"/>
  <c r="C8" i="13"/>
  <c r="H8" i="13" s="1"/>
  <c r="I7" i="16"/>
  <c r="L27" i="12"/>
  <c r="L12" i="11"/>
  <c r="C32" i="14"/>
  <c r="H32" i="14" s="1"/>
  <c r="C29" i="9"/>
  <c r="H29" i="9" s="1"/>
  <c r="C12" i="16"/>
  <c r="H12" i="16" s="1"/>
  <c r="C10" i="10"/>
  <c r="H10" i="10" s="1"/>
  <c r="L7" i="15"/>
  <c r="L33" i="10"/>
  <c r="L8" i="16"/>
  <c r="L4" i="13"/>
  <c r="L6" i="14"/>
  <c r="L14" i="14"/>
  <c r="L13" i="15"/>
  <c r="L15" i="11"/>
  <c r="C9" i="9"/>
  <c r="H9" i="9" s="1"/>
  <c r="L32" i="12"/>
  <c r="C33" i="12"/>
  <c r="H33" i="12" s="1"/>
  <c r="L10" i="11"/>
  <c r="L12" i="14"/>
  <c r="L10" i="9"/>
  <c r="L10" i="16"/>
  <c r="L33" i="12"/>
  <c r="L7" i="12"/>
  <c r="L28" i="12"/>
  <c r="L13" i="12"/>
  <c r="L9" i="15"/>
  <c r="I12" i="5"/>
  <c r="I10" i="5"/>
  <c r="I7" i="5"/>
  <c r="I9" i="5"/>
  <c r="I11" i="5"/>
  <c r="I8" i="5"/>
  <c r="L32" i="16"/>
  <c r="C33" i="3"/>
  <c r="H33" i="3" s="1"/>
  <c r="L21" i="13"/>
  <c r="L26" i="1"/>
  <c r="L25" i="13"/>
  <c r="L26" i="5"/>
  <c r="C25" i="9"/>
  <c r="H25" i="9" s="1"/>
  <c r="I25" i="10"/>
  <c r="I34" i="14"/>
  <c r="I29" i="14"/>
  <c r="C29" i="5"/>
  <c r="H29" i="5" s="1"/>
  <c r="C24" i="16"/>
  <c r="H24" i="16" s="1"/>
  <c r="C13" i="9"/>
  <c r="H13" i="9" s="1"/>
  <c r="C12" i="13"/>
  <c r="H12" i="13" s="1"/>
  <c r="C12" i="9"/>
  <c r="H12" i="9" s="1"/>
  <c r="I7" i="14"/>
  <c r="C33" i="1"/>
  <c r="H33" i="1" s="1"/>
  <c r="L33" i="9"/>
  <c r="C32" i="9"/>
  <c r="H32" i="9" s="1"/>
  <c r="L32" i="5"/>
  <c r="L31" i="1"/>
  <c r="I32" i="14"/>
  <c r="C33" i="16"/>
  <c r="H33" i="16" s="1"/>
  <c r="L33" i="4"/>
  <c r="I30" i="14"/>
  <c r="I30" i="15"/>
  <c r="L29" i="5"/>
  <c r="C30" i="10"/>
  <c r="H30" i="10" s="1"/>
  <c r="C30" i="16"/>
  <c r="H30" i="16" s="1"/>
  <c r="I31" i="11"/>
  <c r="J31" i="11" s="1"/>
  <c r="I28" i="15"/>
  <c r="I26" i="14"/>
  <c r="L26" i="10"/>
  <c r="L25" i="9"/>
  <c r="L28" i="11"/>
  <c r="C22" i="14"/>
  <c r="H22" i="14" s="1"/>
  <c r="L26" i="11"/>
  <c r="L21" i="1"/>
  <c r="L23" i="4"/>
  <c r="C21" i="5"/>
  <c r="H21" i="5" s="1"/>
  <c r="L22" i="4"/>
  <c r="L20" i="14"/>
  <c r="C22" i="4"/>
  <c r="H22" i="4" s="1"/>
  <c r="L19" i="13"/>
  <c r="L19" i="1"/>
  <c r="C21" i="15"/>
  <c r="H21" i="15" s="1"/>
  <c r="C19" i="16"/>
  <c r="H19" i="16" s="1"/>
  <c r="I18" i="14"/>
  <c r="L18" i="14"/>
  <c r="C16" i="13"/>
  <c r="H16" i="13" s="1"/>
  <c r="L15" i="13"/>
  <c r="L16" i="5"/>
  <c r="L20" i="11"/>
  <c r="I15" i="14"/>
  <c r="I15" i="15"/>
  <c r="L13" i="4"/>
  <c r="L11" i="14"/>
  <c r="I8" i="16"/>
  <c r="I32" i="12"/>
  <c r="J32" i="12" s="1"/>
  <c r="I5" i="12"/>
  <c r="J5" i="12" s="1"/>
  <c r="I7" i="4"/>
  <c r="I5" i="10"/>
  <c r="I6" i="1"/>
  <c r="I25" i="12"/>
  <c r="I15" i="12"/>
  <c r="L8" i="13"/>
  <c r="L18" i="12"/>
  <c r="L31" i="12"/>
  <c r="C12" i="12"/>
  <c r="H12" i="12" s="1"/>
  <c r="C25" i="12"/>
  <c r="H25" i="12" s="1"/>
  <c r="C7" i="14"/>
  <c r="H7" i="14" s="1"/>
  <c r="L9" i="12"/>
  <c r="L8" i="15"/>
  <c r="L8" i="4"/>
  <c r="I6" i="14"/>
  <c r="L11" i="12"/>
  <c r="C15" i="16"/>
  <c r="H15" i="16" s="1"/>
  <c r="I30" i="12"/>
  <c r="Y35" i="3"/>
  <c r="C32" i="16"/>
  <c r="H32" i="16" s="1"/>
  <c r="I30" i="1"/>
  <c r="L30" i="16"/>
  <c r="L29" i="15"/>
  <c r="L24" i="9"/>
  <c r="L24" i="14"/>
  <c r="L23" i="16"/>
  <c r="L22" i="5"/>
  <c r="C21" i="16"/>
  <c r="H21" i="16" s="1"/>
  <c r="L20" i="5"/>
  <c r="C19" i="13"/>
  <c r="H19" i="13" s="1"/>
  <c r="L21" i="16"/>
  <c r="L20" i="4"/>
  <c r="L16" i="14"/>
  <c r="L15" i="5"/>
  <c r="C14" i="13"/>
  <c r="H14" i="13" s="1"/>
  <c r="L14" i="1"/>
  <c r="L14" i="10"/>
  <c r="C14" i="4"/>
  <c r="H14" i="4" s="1"/>
  <c r="I8" i="11"/>
  <c r="I12" i="12"/>
  <c r="J12" i="12" s="1"/>
  <c r="I27" i="12"/>
  <c r="I7" i="10"/>
  <c r="L10" i="10"/>
  <c r="I21" i="12"/>
  <c r="H9" i="16"/>
  <c r="C10" i="4"/>
  <c r="H10" i="4" s="1"/>
  <c r="L9" i="4"/>
  <c r="L20" i="12"/>
  <c r="L25" i="11"/>
  <c r="C17" i="9"/>
  <c r="H17" i="9" s="1"/>
  <c r="C17" i="16"/>
  <c r="H17" i="16" s="1"/>
  <c r="L4" i="10"/>
  <c r="L34" i="9"/>
  <c r="C32" i="5"/>
  <c r="H32" i="5" s="1"/>
  <c r="C31" i="10"/>
  <c r="H31" i="10" s="1"/>
  <c r="C28" i="1"/>
  <c r="H28" i="1" s="1"/>
  <c r="L28" i="14"/>
  <c r="C29" i="4"/>
  <c r="H29" i="4" s="1"/>
  <c r="C26" i="1"/>
  <c r="H26" i="1" s="1"/>
  <c r="C25" i="1"/>
  <c r="H25" i="1" s="1"/>
  <c r="L28" i="4"/>
  <c r="C28" i="4"/>
  <c r="H28" i="4" s="1"/>
  <c r="L25" i="14"/>
  <c r="C24" i="1"/>
  <c r="H24" i="1" s="1"/>
  <c r="C26" i="16"/>
  <c r="H26" i="16" s="1"/>
  <c r="C23" i="14"/>
  <c r="H23" i="14" s="1"/>
  <c r="C23" i="16"/>
  <c r="H23" i="16" s="1"/>
  <c r="C22" i="5"/>
  <c r="H22" i="5" s="1"/>
  <c r="I21" i="14"/>
  <c r="C21" i="10"/>
  <c r="H21" i="10" s="1"/>
  <c r="L18" i="5"/>
  <c r="I17" i="14"/>
  <c r="C21" i="11"/>
  <c r="H21" i="11" s="1"/>
  <c r="L15" i="10"/>
  <c r="C16" i="4"/>
  <c r="H16" i="4" s="1"/>
  <c r="L16" i="4"/>
  <c r="L13" i="16"/>
  <c r="L10" i="1"/>
  <c r="L11" i="9"/>
  <c r="L12" i="16"/>
  <c r="C12" i="4"/>
  <c r="H12" i="4" s="1"/>
  <c r="L9" i="14"/>
  <c r="I24" i="12"/>
  <c r="L7" i="10"/>
  <c r="C23" i="12"/>
  <c r="H23" i="12" s="1"/>
  <c r="L9" i="11"/>
  <c r="L4" i="11"/>
  <c r="I5" i="14"/>
  <c r="L11" i="16"/>
  <c r="C7" i="1"/>
  <c r="H7" i="1" s="1"/>
  <c r="C34" i="14"/>
  <c r="H34" i="14" s="1"/>
  <c r="L34" i="16"/>
  <c r="C31" i="16"/>
  <c r="H31" i="16" s="1"/>
  <c r="F27" i="13"/>
  <c r="L27" i="13" s="1"/>
  <c r="L27" i="14"/>
  <c r="C26" i="13"/>
  <c r="H26" i="13" s="1"/>
  <c r="C27" i="15"/>
  <c r="H27" i="15" s="1"/>
  <c r="C24" i="13"/>
  <c r="H24" i="13" s="1"/>
  <c r="L22" i="13"/>
  <c r="C15" i="10"/>
  <c r="H15" i="10" s="1"/>
  <c r="L10" i="14"/>
  <c r="Q726" i="2"/>
  <c r="F726" i="2"/>
  <c r="E726" i="2"/>
  <c r="E28" i="13" s="1"/>
  <c r="D726" i="2"/>
  <c r="G726" i="2"/>
  <c r="G28" i="13" s="1"/>
  <c r="A726" i="2"/>
  <c r="I5" i="15"/>
  <c r="C6" i="10"/>
  <c r="H6" i="10" s="1"/>
  <c r="C8" i="16"/>
  <c r="H8" i="16" s="1"/>
  <c r="N27" i="13"/>
  <c r="I27" i="13" s="1"/>
  <c r="J27" i="13" s="1"/>
  <c r="L30" i="4"/>
  <c r="L14" i="13"/>
  <c r="L16" i="15"/>
  <c r="L13" i="10"/>
  <c r="L16" i="11"/>
  <c r="C7" i="15"/>
  <c r="H7" i="15" s="1"/>
  <c r="L9" i="10"/>
  <c r="L4" i="4"/>
  <c r="C33" i="5"/>
  <c r="H33" i="5" s="1"/>
  <c r="C23" i="4"/>
  <c r="H23" i="4" s="1"/>
  <c r="C25" i="11"/>
  <c r="H25" i="11" s="1"/>
  <c r="I16" i="1"/>
  <c r="I16" i="4"/>
  <c r="I15" i="4"/>
  <c r="C9" i="13"/>
  <c r="H9" i="13" s="1"/>
  <c r="C29" i="15"/>
  <c r="H29" i="15" s="1"/>
  <c r="C32" i="10"/>
  <c r="H32" i="10" s="1"/>
  <c r="I27" i="10"/>
  <c r="J27" i="10" s="1"/>
  <c r="C25" i="4"/>
  <c r="H25" i="4" s="1"/>
  <c r="C23" i="10"/>
  <c r="H23" i="10" s="1"/>
  <c r="C18" i="1"/>
  <c r="H18" i="1" s="1"/>
  <c r="C19" i="4"/>
  <c r="H19" i="4" s="1"/>
  <c r="C17" i="10"/>
  <c r="H17" i="10" s="1"/>
  <c r="C16" i="10"/>
  <c r="H16" i="10" s="1"/>
  <c r="C14" i="16"/>
  <c r="H14" i="16" s="1"/>
  <c r="C14" i="15"/>
  <c r="H14" i="15" s="1"/>
  <c r="C11" i="1"/>
  <c r="H11" i="1" s="1"/>
  <c r="C11" i="15"/>
  <c r="H11" i="15" s="1"/>
  <c r="C19" i="12"/>
  <c r="H19" i="12" s="1"/>
  <c r="I16" i="11"/>
  <c r="C9" i="14"/>
  <c r="H9" i="14" s="1"/>
  <c r="C22" i="12"/>
  <c r="H22" i="12" s="1"/>
  <c r="C31" i="15"/>
  <c r="H31" i="15" s="1"/>
  <c r="C23" i="1"/>
  <c r="H23" i="1" s="1"/>
  <c r="C26" i="4"/>
  <c r="H26" i="4" s="1"/>
  <c r="I20" i="16"/>
  <c r="C17" i="1"/>
  <c r="H17" i="1" s="1"/>
  <c r="C18" i="15"/>
  <c r="H18" i="15" s="1"/>
  <c r="I15" i="16"/>
  <c r="C13" i="1"/>
  <c r="H13" i="1" s="1"/>
  <c r="I11" i="10"/>
  <c r="J11" i="10" s="1"/>
  <c r="C11" i="11"/>
  <c r="H11" i="11" s="1"/>
  <c r="C9" i="10"/>
  <c r="H9" i="10" s="1"/>
  <c r="C14" i="12"/>
  <c r="H14" i="12" s="1"/>
  <c r="C6" i="16"/>
  <c r="H6" i="16" s="1"/>
  <c r="C26" i="9"/>
  <c r="H26" i="9" s="1"/>
  <c r="C24" i="14"/>
  <c r="H24" i="14" s="1"/>
  <c r="C20" i="15"/>
  <c r="H20" i="15" s="1"/>
  <c r="C21" i="4"/>
  <c r="H21" i="4" s="1"/>
  <c r="I31" i="15"/>
  <c r="C20" i="4"/>
  <c r="H20" i="4" s="1"/>
  <c r="I10" i="13"/>
  <c r="J10" i="13" s="1"/>
  <c r="C10" i="1"/>
  <c r="H10" i="1" s="1"/>
  <c r="C11" i="16"/>
  <c r="H11" i="16" s="1"/>
  <c r="C10" i="11"/>
  <c r="H10" i="11" s="1"/>
  <c r="C28" i="12"/>
  <c r="H28" i="12" s="1"/>
  <c r="I22" i="13"/>
  <c r="I22" i="11"/>
  <c r="J22" i="11" s="1"/>
  <c r="C9" i="11"/>
  <c r="H9" i="11" s="1"/>
  <c r="C29" i="12"/>
  <c r="H29" i="12" s="1"/>
  <c r="C29" i="14"/>
  <c r="C30" i="4"/>
  <c r="H30" i="4" s="1"/>
  <c r="C21" i="14"/>
  <c r="H21" i="14" s="1"/>
  <c r="C22" i="11"/>
  <c r="H22" i="11" s="1"/>
  <c r="C15" i="4"/>
  <c r="H15" i="4" s="1"/>
  <c r="C11" i="9"/>
  <c r="H11" i="9" s="1"/>
  <c r="C20" i="12"/>
  <c r="H20" i="12" s="1"/>
  <c r="C6" i="15"/>
  <c r="H6" i="15" s="1"/>
  <c r="C9" i="15"/>
  <c r="H9" i="15" s="1"/>
  <c r="C21" i="1"/>
  <c r="H21" i="1" s="1"/>
  <c r="C8" i="15"/>
  <c r="H8" i="15" s="1"/>
  <c r="C28" i="15"/>
  <c r="H28" i="15" s="1"/>
  <c r="C14" i="11"/>
  <c r="H14" i="11" s="1"/>
  <c r="C13" i="12"/>
  <c r="H13" i="12" s="1"/>
  <c r="C5" i="14"/>
  <c r="H5" i="14" s="1"/>
  <c r="C29" i="1"/>
  <c r="H29" i="1" s="1"/>
  <c r="C26" i="11"/>
  <c r="H26" i="11" s="1"/>
  <c r="C20" i="10"/>
  <c r="H20" i="10" s="1"/>
  <c r="C6" i="14"/>
  <c r="C31" i="14"/>
  <c r="H31" i="14" s="1"/>
  <c r="C33" i="4"/>
  <c r="H33" i="4" s="1"/>
  <c r="C30" i="14"/>
  <c r="H30" i="14" s="1"/>
  <c r="C33" i="11"/>
  <c r="H33" i="11" s="1"/>
  <c r="C25" i="16"/>
  <c r="H25" i="16" s="1"/>
  <c r="C17" i="5"/>
  <c r="H17" i="5" s="1"/>
  <c r="C16" i="1"/>
  <c r="H16" i="1" s="1"/>
  <c r="C15" i="1"/>
  <c r="H15" i="1" s="1"/>
  <c r="C20" i="11"/>
  <c r="H20" i="11" s="1"/>
  <c r="C18" i="11"/>
  <c r="H18" i="11" s="1"/>
  <c r="C10" i="13"/>
  <c r="H10" i="13" s="1"/>
  <c r="C8" i="14"/>
  <c r="H8" i="14" s="1"/>
  <c r="C24" i="12"/>
  <c r="H24" i="12" s="1"/>
  <c r="C7" i="9"/>
  <c r="H7" i="9" s="1"/>
  <c r="C9" i="4"/>
  <c r="H9" i="4" s="1"/>
  <c r="C11" i="12"/>
  <c r="H11" i="12" s="1"/>
  <c r="C7" i="12"/>
  <c r="H7" i="12" s="1"/>
  <c r="L34" i="5"/>
  <c r="L29" i="1"/>
  <c r="I27" i="14"/>
  <c r="I33" i="1"/>
  <c r="I33" i="5"/>
  <c r="I34" i="4"/>
  <c r="C33" i="10"/>
  <c r="H33" i="10" s="1"/>
  <c r="W35" i="3"/>
  <c r="C28" i="14"/>
  <c r="H28" i="14" s="1"/>
  <c r="C32" i="11"/>
  <c r="H32" i="11" s="1"/>
  <c r="I29" i="4"/>
  <c r="I27" i="16"/>
  <c r="I30" i="11"/>
  <c r="I28" i="4"/>
  <c r="I23" i="1"/>
  <c r="I25" i="15"/>
  <c r="I24" i="16"/>
  <c r="C27" i="11"/>
  <c r="H27" i="11" s="1"/>
  <c r="I24" i="10"/>
  <c r="J24" i="10" s="1"/>
  <c r="I26" i="11"/>
  <c r="J26" i="11" s="1"/>
  <c r="I21" i="13"/>
  <c r="C20" i="5"/>
  <c r="H20" i="5" s="1"/>
  <c r="I21" i="4"/>
  <c r="I20" i="15"/>
  <c r="I19" i="15"/>
  <c r="I17" i="1"/>
  <c r="I18" i="15"/>
  <c r="I16" i="13"/>
  <c r="J16" i="13" s="1"/>
  <c r="L18" i="10"/>
  <c r="I21" i="11"/>
  <c r="J21" i="11" s="1"/>
  <c r="L19" i="4"/>
  <c r="L15" i="1"/>
  <c r="L17" i="16"/>
  <c r="L17" i="4"/>
  <c r="I16" i="10"/>
  <c r="J16" i="10" s="1"/>
  <c r="C14" i="9"/>
  <c r="H14" i="9" s="1"/>
  <c r="I12" i="13"/>
  <c r="J12" i="13" s="1"/>
  <c r="I11" i="13"/>
  <c r="J11" i="13" s="1"/>
  <c r="I14" i="4"/>
  <c r="C12" i="15"/>
  <c r="H12" i="15" s="1"/>
  <c r="I11" i="14"/>
  <c r="I14" i="11"/>
  <c r="J14" i="11" s="1"/>
  <c r="L10" i="15"/>
  <c r="L8" i="1"/>
  <c r="I9" i="13"/>
  <c r="I5" i="16"/>
  <c r="I8" i="4"/>
  <c r="I5" i="13"/>
  <c r="L24" i="12"/>
  <c r="L4" i="1"/>
  <c r="L7" i="16"/>
  <c r="C5" i="10"/>
  <c r="H5" i="10" s="1"/>
  <c r="D38" i="10"/>
  <c r="D37" i="11" s="1"/>
  <c r="C15" i="12"/>
  <c r="H15" i="12" s="1"/>
  <c r="L8" i="11"/>
  <c r="G38" i="15"/>
  <c r="G37" i="16" s="1"/>
  <c r="C4" i="15"/>
  <c r="C8" i="10"/>
  <c r="H8" i="10" s="1"/>
  <c r="L5" i="9"/>
  <c r="F38" i="9"/>
  <c r="K38" i="11"/>
  <c r="K37" i="12" s="1"/>
  <c r="C8" i="4"/>
  <c r="H8" i="4" s="1"/>
  <c r="C5" i="11"/>
  <c r="H5" i="11" s="1"/>
  <c r="D38" i="11"/>
  <c r="D37" i="12" s="1"/>
  <c r="C4" i="16"/>
  <c r="C4" i="4"/>
  <c r="C5" i="1"/>
  <c r="H5" i="1" s="1"/>
  <c r="D38" i="1"/>
  <c r="D37" i="4" s="1"/>
  <c r="E38" i="12"/>
  <c r="E37" i="13" s="1"/>
  <c r="L4" i="9"/>
  <c r="C21" i="12"/>
  <c r="H21" i="12" s="1"/>
  <c r="I33" i="10"/>
  <c r="J33" i="10" s="1"/>
  <c r="L14" i="16"/>
  <c r="C4" i="12"/>
  <c r="I30" i="5"/>
  <c r="I8" i="1"/>
  <c r="I33" i="12"/>
  <c r="J33" i="12" s="1"/>
  <c r="C5" i="4"/>
  <c r="H5" i="4" s="1"/>
  <c r="D38" i="4"/>
  <c r="D37" i="3" s="1"/>
  <c r="L32" i="1"/>
  <c r="L30" i="1"/>
  <c r="I33" i="4"/>
  <c r="C32" i="3"/>
  <c r="H32" i="3" s="1"/>
  <c r="C28" i="16"/>
  <c r="H28" i="16" s="1"/>
  <c r="C26" i="5"/>
  <c r="H26" i="5" s="1"/>
  <c r="L27" i="15"/>
  <c r="I27" i="15"/>
  <c r="I24" i="13"/>
  <c r="J24" i="13" s="1"/>
  <c r="L26" i="16"/>
  <c r="I25" i="5"/>
  <c r="L25" i="15"/>
  <c r="I28" i="11"/>
  <c r="J28" i="11" s="1"/>
  <c r="I23" i="13"/>
  <c r="L25" i="16"/>
  <c r="L25" i="10"/>
  <c r="C25" i="10"/>
  <c r="H25" i="10" s="1"/>
  <c r="C22" i="13"/>
  <c r="H22" i="13" s="1"/>
  <c r="C24" i="15"/>
  <c r="H24" i="15" s="1"/>
  <c r="I22" i="5"/>
  <c r="C23" i="15"/>
  <c r="H23" i="15" s="1"/>
  <c r="I23" i="16"/>
  <c r="C21" i="13"/>
  <c r="H21" i="13" s="1"/>
  <c r="L23" i="9"/>
  <c r="C22" i="16"/>
  <c r="H22" i="16" s="1"/>
  <c r="C20" i="13"/>
  <c r="H20" i="13" s="1"/>
  <c r="I25" i="11"/>
  <c r="L24" i="11"/>
  <c r="L21" i="10"/>
  <c r="L19" i="5"/>
  <c r="C18" i="13"/>
  <c r="H18" i="13" s="1"/>
  <c r="L18" i="9"/>
  <c r="L17" i="9"/>
  <c r="L18" i="15"/>
  <c r="I15" i="1"/>
  <c r="I17" i="10"/>
  <c r="J17" i="10" s="1"/>
  <c r="I20" i="11"/>
  <c r="J20" i="11" s="1"/>
  <c r="I16" i="15"/>
  <c r="C16" i="15"/>
  <c r="H16" i="15" s="1"/>
  <c r="I15" i="10"/>
  <c r="J15" i="10" s="1"/>
  <c r="I14" i="5"/>
  <c r="L13" i="13"/>
  <c r="I17" i="11"/>
  <c r="J17" i="11" s="1"/>
  <c r="L13" i="14"/>
  <c r="C13" i="5"/>
  <c r="H13" i="5" s="1"/>
  <c r="C11" i="13"/>
  <c r="H11" i="13" s="1"/>
  <c r="I12" i="14"/>
  <c r="I13" i="4"/>
  <c r="C13" i="4"/>
  <c r="H13" i="4" s="1"/>
  <c r="I11" i="15"/>
  <c r="C9" i="1"/>
  <c r="H9" i="1" s="1"/>
  <c r="I10" i="4"/>
  <c r="I6" i="15"/>
  <c r="I18" i="12"/>
  <c r="I8" i="10"/>
  <c r="I9" i="14"/>
  <c r="I23" i="12"/>
  <c r="J23" i="12" s="1"/>
  <c r="I8" i="15"/>
  <c r="I22" i="12"/>
  <c r="J22" i="12" s="1"/>
  <c r="I28" i="12"/>
  <c r="J28" i="12" s="1"/>
  <c r="I14" i="12"/>
  <c r="J14" i="12" s="1"/>
  <c r="I13" i="12"/>
  <c r="K38" i="1"/>
  <c r="K37" i="4" s="1"/>
  <c r="I9" i="15"/>
  <c r="L7" i="11"/>
  <c r="L6" i="13"/>
  <c r="L10" i="4"/>
  <c r="C4" i="9"/>
  <c r="L7" i="1"/>
  <c r="L19" i="12"/>
  <c r="G38" i="1"/>
  <c r="G37" i="4" s="1"/>
  <c r="L6" i="10"/>
  <c r="I13" i="1"/>
  <c r="C5" i="9"/>
  <c r="H5" i="9" s="1"/>
  <c r="D38" i="9"/>
  <c r="D37" i="10" s="1"/>
  <c r="I28" i="10"/>
  <c r="J28" i="10" s="1"/>
  <c r="L28" i="10"/>
  <c r="I24" i="1"/>
  <c r="I25" i="16"/>
  <c r="I22" i="10"/>
  <c r="I19" i="14"/>
  <c r="L17" i="13"/>
  <c r="I14" i="10"/>
  <c r="C14" i="10"/>
  <c r="L12" i="15"/>
  <c r="I29" i="12"/>
  <c r="L5" i="4"/>
  <c r="F38" i="4"/>
  <c r="C6" i="12"/>
  <c r="H6" i="12" s="1"/>
  <c r="I33" i="14"/>
  <c r="I30" i="10"/>
  <c r="J30" i="10" s="1"/>
  <c r="I31" i="4"/>
  <c r="I28" i="5"/>
  <c r="L33" i="5"/>
  <c r="C32" i="1"/>
  <c r="H32" i="1" s="1"/>
  <c r="L33" i="16"/>
  <c r="I31" i="1"/>
  <c r="I31" i="14"/>
  <c r="L31" i="14"/>
  <c r="L31" i="15"/>
  <c r="L30" i="14"/>
  <c r="L30" i="10"/>
  <c r="C31" i="4"/>
  <c r="H31" i="4" s="1"/>
  <c r="L29" i="16"/>
  <c r="C27" i="1"/>
  <c r="H27" i="1" s="1"/>
  <c r="C29" i="10"/>
  <c r="H29" i="10" s="1"/>
  <c r="I32" i="11"/>
  <c r="J32" i="11" s="1"/>
  <c r="C28" i="5"/>
  <c r="H28" i="5" s="1"/>
  <c r="L27" i="1"/>
  <c r="L32" i="11"/>
  <c r="C27" i="14"/>
  <c r="H27" i="14" s="1"/>
  <c r="L29" i="4"/>
  <c r="L28" i="15"/>
  <c r="I27" i="5"/>
  <c r="L31" i="11"/>
  <c r="C30" i="11"/>
  <c r="H30" i="11" s="1"/>
  <c r="L26" i="9"/>
  <c r="C27" i="10"/>
  <c r="H27" i="10" s="1"/>
  <c r="L30" i="11"/>
  <c r="C25" i="5"/>
  <c r="H25" i="5" s="1"/>
  <c r="L27" i="4"/>
  <c r="C26" i="15"/>
  <c r="H26" i="15" s="1"/>
  <c r="I29" i="11"/>
  <c r="J29" i="11" s="1"/>
  <c r="L23" i="13"/>
  <c r="I26" i="4"/>
  <c r="I24" i="14"/>
  <c r="L27" i="11"/>
  <c r="C24" i="10"/>
  <c r="H24" i="10" s="1"/>
  <c r="I22" i="14"/>
  <c r="I27" i="11"/>
  <c r="I23" i="15"/>
  <c r="L24" i="4"/>
  <c r="L21" i="14"/>
  <c r="I20" i="13"/>
  <c r="I22" i="15"/>
  <c r="I21" i="16"/>
  <c r="I20" i="14"/>
  <c r="I19" i="13"/>
  <c r="J19" i="13" s="1"/>
  <c r="L21" i="4"/>
  <c r="I19" i="5"/>
  <c r="L20" i="16"/>
  <c r="L19" i="16"/>
  <c r="L17" i="1"/>
  <c r="I17" i="13"/>
  <c r="C19" i="9"/>
  <c r="H19" i="9" s="1"/>
  <c r="L19" i="10"/>
  <c r="C19" i="15"/>
  <c r="H19" i="15" s="1"/>
  <c r="L16" i="1"/>
  <c r="L17" i="5"/>
  <c r="L17" i="14"/>
  <c r="C18" i="10"/>
  <c r="H18" i="10" s="1"/>
  <c r="C16" i="14"/>
  <c r="H16" i="14" s="1"/>
  <c r="C16" i="9"/>
  <c r="H16" i="9" s="1"/>
  <c r="I15" i="13"/>
  <c r="J15" i="13" s="1"/>
  <c r="C14" i="1"/>
  <c r="H14" i="1" s="1"/>
  <c r="I17" i="4"/>
  <c r="C15" i="5"/>
  <c r="H15" i="5" s="1"/>
  <c r="L18" i="11"/>
  <c r="I18" i="11"/>
  <c r="C14" i="5"/>
  <c r="H14" i="5" s="1"/>
  <c r="C12" i="1"/>
  <c r="H12" i="1" s="1"/>
  <c r="L13" i="1"/>
  <c r="L13" i="5"/>
  <c r="I13" i="14"/>
  <c r="I14" i="16"/>
  <c r="L11" i="13"/>
  <c r="L11" i="1"/>
  <c r="C13" i="15"/>
  <c r="H13" i="15" s="1"/>
  <c r="C13" i="10"/>
  <c r="H13" i="10" s="1"/>
  <c r="C15" i="11"/>
  <c r="H15" i="11" s="1"/>
  <c r="I12" i="16"/>
  <c r="C12" i="10"/>
  <c r="H12" i="10" s="1"/>
  <c r="I9" i="1"/>
  <c r="I12" i="4"/>
  <c r="I20" i="12"/>
  <c r="I10" i="16"/>
  <c r="L13" i="11"/>
  <c r="I5" i="11"/>
  <c r="I8" i="12"/>
  <c r="L4" i="14"/>
  <c r="F38" i="14"/>
  <c r="L8" i="14"/>
  <c r="K38" i="9"/>
  <c r="K37" i="10" s="1"/>
  <c r="L4" i="12"/>
  <c r="K38" i="4"/>
  <c r="K37" i="3" s="1"/>
  <c r="L21" i="12"/>
  <c r="L17" i="12"/>
  <c r="L29" i="12"/>
  <c r="L7" i="4"/>
  <c r="C7" i="10"/>
  <c r="H7" i="10" s="1"/>
  <c r="G38" i="11"/>
  <c r="G37" i="12" s="1"/>
  <c r="C32" i="12"/>
  <c r="H32" i="12" s="1"/>
  <c r="C7" i="16"/>
  <c r="H7" i="16" s="1"/>
  <c r="G38" i="9"/>
  <c r="G37" i="10" s="1"/>
  <c r="E38" i="1"/>
  <c r="E37" i="4" s="1"/>
  <c r="C4" i="1"/>
  <c r="E38" i="4"/>
  <c r="E37" i="3" s="1"/>
  <c r="C30" i="12"/>
  <c r="H30" i="12" s="1"/>
  <c r="I34" i="16"/>
  <c r="I26" i="5"/>
  <c r="L21" i="9"/>
  <c r="G38" i="12"/>
  <c r="G37" i="13" s="1"/>
  <c r="I32" i="1"/>
  <c r="I31" i="5"/>
  <c r="C25" i="14"/>
  <c r="H25" i="14" s="1"/>
  <c r="C19" i="11"/>
  <c r="H19" i="11" s="1"/>
  <c r="I11" i="1"/>
  <c r="I17" i="12"/>
  <c r="C5" i="15"/>
  <c r="H5" i="15" s="1"/>
  <c r="E41" i="15"/>
  <c r="D38" i="15"/>
  <c r="D37" i="16" s="1"/>
  <c r="L7" i="9"/>
  <c r="C6" i="1"/>
  <c r="H6" i="1" s="1"/>
  <c r="C5" i="12"/>
  <c r="H5" i="12" s="1"/>
  <c r="D38" i="12"/>
  <c r="D37" i="13" s="1"/>
  <c r="I34" i="5"/>
  <c r="C34" i="5"/>
  <c r="H34" i="5" s="1"/>
  <c r="L30" i="9"/>
  <c r="I34" i="11"/>
  <c r="J34" i="11" s="1"/>
  <c r="L30" i="15"/>
  <c r="C30" i="15"/>
  <c r="H30" i="15" s="1"/>
  <c r="I31" i="16"/>
  <c r="I33" i="11"/>
  <c r="I27" i="1"/>
  <c r="C28" i="9"/>
  <c r="H28" i="9" s="1"/>
  <c r="C27" i="9"/>
  <c r="H27" i="9" s="1"/>
  <c r="C27" i="5"/>
  <c r="H27" i="5" s="1"/>
  <c r="I26" i="16"/>
  <c r="C27" i="4"/>
  <c r="H27" i="4" s="1"/>
  <c r="L24" i="1"/>
  <c r="L24" i="13"/>
  <c r="C26" i="10"/>
  <c r="H26" i="10" s="1"/>
  <c r="L23" i="1"/>
  <c r="I23" i="14"/>
  <c r="C23" i="9"/>
  <c r="H23" i="9" s="1"/>
  <c r="L25" i="4"/>
  <c r="I21" i="1"/>
  <c r="I22" i="1"/>
  <c r="C22" i="9"/>
  <c r="H22" i="9" s="1"/>
  <c r="L22" i="16"/>
  <c r="L20" i="1"/>
  <c r="I23" i="4"/>
  <c r="I21" i="10"/>
  <c r="J21" i="10" s="1"/>
  <c r="I21" i="15"/>
  <c r="I24" i="11"/>
  <c r="J24" i="11" s="1"/>
  <c r="I19" i="1"/>
  <c r="I22" i="4"/>
  <c r="C19" i="1"/>
  <c r="H19" i="1" s="1"/>
  <c r="L21" i="15"/>
  <c r="L20" i="15"/>
  <c r="I18" i="1"/>
  <c r="I20" i="10"/>
  <c r="J20" i="10" s="1"/>
  <c r="I23" i="11"/>
  <c r="J23" i="11" s="1"/>
  <c r="I18" i="13"/>
  <c r="J18" i="13" s="1"/>
  <c r="I18" i="5"/>
  <c r="I17" i="5"/>
  <c r="I18" i="4"/>
  <c r="I17" i="15"/>
  <c r="I17" i="16"/>
  <c r="I14" i="13"/>
  <c r="L14" i="5"/>
  <c r="I13" i="13"/>
  <c r="J13" i="13" s="1"/>
  <c r="L15" i="16"/>
  <c r="L17" i="11"/>
  <c r="L13" i="9"/>
  <c r="L12" i="9"/>
  <c r="I13" i="15"/>
  <c r="I13" i="16"/>
  <c r="L12" i="10"/>
  <c r="C10" i="9"/>
  <c r="H10" i="9" s="1"/>
  <c r="I11" i="16"/>
  <c r="L14" i="11"/>
  <c r="I11" i="12"/>
  <c r="J11" i="12" s="1"/>
  <c r="I5" i="1"/>
  <c r="L9" i="9"/>
  <c r="I9" i="11"/>
  <c r="J9" i="11" s="1"/>
  <c r="I12" i="11"/>
  <c r="J12" i="11" s="1"/>
  <c r="I10" i="11"/>
  <c r="I26" i="12"/>
  <c r="I5" i="4"/>
  <c r="I13" i="11"/>
  <c r="J13" i="11" s="1"/>
  <c r="G38" i="14"/>
  <c r="G37" i="15" s="1"/>
  <c r="K38" i="15"/>
  <c r="K37" i="16" s="1"/>
  <c r="L16" i="12"/>
  <c r="L11" i="11"/>
  <c r="K38" i="12"/>
  <c r="K37" i="13" s="1"/>
  <c r="C7" i="11"/>
  <c r="H7" i="11" s="1"/>
  <c r="L5" i="11"/>
  <c r="F38" i="11"/>
  <c r="L6" i="16"/>
  <c r="L5" i="10"/>
  <c r="F38" i="10"/>
  <c r="L6" i="1"/>
  <c r="C7" i="13"/>
  <c r="H7" i="13" s="1"/>
  <c r="C4" i="10"/>
  <c r="E38" i="16"/>
  <c r="C5" i="13"/>
  <c r="H5" i="13" s="1"/>
  <c r="E38" i="14"/>
  <c r="E37" i="15" s="1"/>
  <c r="C5" i="16"/>
  <c r="H5" i="16" s="1"/>
  <c r="D38" i="16"/>
  <c r="C6" i="9"/>
  <c r="H6" i="9" s="1"/>
  <c r="C4" i="14"/>
  <c r="D38" i="14"/>
  <c r="D37" i="15" s="1"/>
  <c r="I29" i="16"/>
  <c r="C29" i="16"/>
  <c r="H29" i="16" s="1"/>
  <c r="I24" i="15"/>
  <c r="I12" i="15"/>
  <c r="K38" i="16"/>
  <c r="K38" i="10"/>
  <c r="K37" i="11" s="1"/>
  <c r="E38" i="9"/>
  <c r="E37" i="10" s="1"/>
  <c r="K38" i="14"/>
  <c r="K37" i="15" s="1"/>
  <c r="I26" i="15"/>
  <c r="I22" i="16"/>
  <c r="C15" i="9"/>
  <c r="H15" i="9" s="1"/>
  <c r="I31" i="12"/>
  <c r="I6" i="4"/>
  <c r="I6" i="13"/>
  <c r="J6" i="13" s="1"/>
  <c r="L5" i="12"/>
  <c r="F38" i="12"/>
  <c r="L5" i="13"/>
  <c r="C4" i="13"/>
  <c r="L33" i="14"/>
  <c r="C34" i="4"/>
  <c r="H34" i="4" s="1"/>
  <c r="L32" i="3"/>
  <c r="L31" i="5"/>
  <c r="C31" i="9"/>
  <c r="H31" i="9" s="1"/>
  <c r="I29" i="1"/>
  <c r="C34" i="9"/>
  <c r="H34" i="9" s="1"/>
  <c r="C34" i="16"/>
  <c r="H34" i="16" s="1"/>
  <c r="X35" i="3"/>
  <c r="C30" i="1"/>
  <c r="H30" i="1" s="1"/>
  <c r="I32" i="10"/>
  <c r="J32" i="10" s="1"/>
  <c r="C33" i="14"/>
  <c r="H33" i="14" s="1"/>
  <c r="C31" i="1"/>
  <c r="H31" i="1" s="1"/>
  <c r="I32" i="5"/>
  <c r="L32" i="9"/>
  <c r="L31" i="9"/>
  <c r="C31" i="5"/>
  <c r="H31" i="5" s="1"/>
  <c r="L30" i="5"/>
  <c r="L32" i="4"/>
  <c r="L31" i="16"/>
  <c r="I32" i="4"/>
  <c r="L31" i="10"/>
  <c r="C34" i="11"/>
  <c r="H34" i="11" s="1"/>
  <c r="L31" i="4"/>
  <c r="I30" i="16"/>
  <c r="I29" i="15"/>
  <c r="L29" i="10"/>
  <c r="I28" i="14"/>
  <c r="L28" i="5"/>
  <c r="L28" i="16"/>
  <c r="I26" i="1"/>
  <c r="I28" i="16"/>
  <c r="I25" i="13"/>
  <c r="C27" i="16"/>
  <c r="H27" i="16" s="1"/>
  <c r="L27" i="16"/>
  <c r="L25" i="1"/>
  <c r="C29" i="11"/>
  <c r="H29" i="11" s="1"/>
  <c r="L29" i="11"/>
  <c r="C24" i="9"/>
  <c r="H24" i="9" s="1"/>
  <c r="C23" i="13"/>
  <c r="H23" i="13" s="1"/>
  <c r="C25" i="15"/>
  <c r="H25" i="15" s="1"/>
  <c r="C28" i="11"/>
  <c r="H28" i="11" s="1"/>
  <c r="I25" i="4"/>
  <c r="C24" i="4"/>
  <c r="H24" i="4" s="1"/>
  <c r="I23" i="10"/>
  <c r="L23" i="10"/>
  <c r="L22" i="9"/>
  <c r="I24" i="4"/>
  <c r="C22" i="10"/>
  <c r="H22" i="10" s="1"/>
  <c r="C21" i="9"/>
  <c r="H21" i="9" s="1"/>
  <c r="C22" i="15"/>
  <c r="H22" i="15" s="1"/>
  <c r="I21" i="5"/>
  <c r="I20" i="5"/>
  <c r="C20" i="14"/>
  <c r="H20" i="14" s="1"/>
  <c r="C20" i="9"/>
  <c r="H20" i="9" s="1"/>
  <c r="C19" i="14"/>
  <c r="H19" i="14" s="1"/>
  <c r="L20" i="10"/>
  <c r="L19" i="14"/>
  <c r="C19" i="5"/>
  <c r="H19" i="5" s="1"/>
  <c r="C18" i="5"/>
  <c r="H18" i="5" s="1"/>
  <c r="L23" i="11"/>
  <c r="L19" i="15"/>
  <c r="L22" i="11"/>
  <c r="I20" i="4"/>
  <c r="C17" i="13"/>
  <c r="H17" i="13" s="1"/>
  <c r="I19" i="16"/>
  <c r="C19" i="10"/>
  <c r="H19" i="10" s="1"/>
  <c r="C18" i="14"/>
  <c r="H18" i="14" s="1"/>
  <c r="I18" i="10"/>
  <c r="J18" i="10" s="1"/>
  <c r="I18" i="16"/>
  <c r="C18" i="4"/>
  <c r="H18" i="4" s="1"/>
  <c r="L16" i="9"/>
  <c r="L17" i="10"/>
  <c r="C16" i="5"/>
  <c r="H16" i="5" s="1"/>
  <c r="C17" i="15"/>
  <c r="H17" i="15" s="1"/>
  <c r="L15" i="9"/>
  <c r="C15" i="14"/>
  <c r="H15" i="14" s="1"/>
  <c r="I19" i="11"/>
  <c r="J19" i="11" s="1"/>
  <c r="I14" i="1"/>
  <c r="C17" i="4"/>
  <c r="H17" i="4" s="1"/>
  <c r="L16" i="10"/>
  <c r="L16" i="16"/>
  <c r="L19" i="11"/>
  <c r="I14" i="15"/>
  <c r="L14" i="15"/>
  <c r="L15" i="4"/>
  <c r="L14" i="4"/>
  <c r="C12" i="14"/>
  <c r="H12" i="14" s="1"/>
  <c r="I13" i="10"/>
  <c r="J13" i="10" s="1"/>
  <c r="I10" i="1"/>
  <c r="I12" i="10"/>
  <c r="J12" i="10" s="1"/>
  <c r="L9" i="1"/>
  <c r="L12" i="4"/>
  <c r="I10" i="14"/>
  <c r="L11" i="15"/>
  <c r="I10" i="15"/>
  <c r="I5" i="9"/>
  <c r="I10" i="12"/>
  <c r="C11" i="4"/>
  <c r="H11" i="4" s="1"/>
  <c r="I6" i="10"/>
  <c r="J6" i="10" s="1"/>
  <c r="C10" i="15"/>
  <c r="H10" i="15" s="1"/>
  <c r="I10" i="10"/>
  <c r="J10" i="10" s="1"/>
  <c r="I9" i="16"/>
  <c r="J9" i="16" s="1"/>
  <c r="I7" i="15"/>
  <c r="I8" i="13"/>
  <c r="I6" i="16"/>
  <c r="I16" i="12"/>
  <c r="J16" i="12" s="1"/>
  <c r="I7" i="13"/>
  <c r="J7" i="13" s="1"/>
  <c r="I9" i="12"/>
  <c r="I19" i="12"/>
  <c r="J19" i="12" s="1"/>
  <c r="I7" i="12"/>
  <c r="I7" i="1"/>
  <c r="L11" i="4"/>
  <c r="C6" i="13"/>
  <c r="H6" i="13" s="1"/>
  <c r="G38" i="16"/>
  <c r="E38" i="10"/>
  <c r="E37" i="11" s="1"/>
  <c r="L10" i="12"/>
  <c r="L5" i="16"/>
  <c r="F38" i="16"/>
  <c r="C16" i="12"/>
  <c r="H16" i="12" s="1"/>
  <c r="L6" i="15"/>
  <c r="L7" i="14"/>
  <c r="C10" i="12"/>
  <c r="H10" i="12" s="1"/>
  <c r="C27" i="12"/>
  <c r="H27" i="12" s="1"/>
  <c r="L23" i="12"/>
  <c r="E38" i="15"/>
  <c r="E37" i="16" s="1"/>
  <c r="L26" i="12"/>
  <c r="C8" i="11"/>
  <c r="H8" i="11" s="1"/>
  <c r="G38" i="10"/>
  <c r="G37" i="11" s="1"/>
  <c r="C31" i="12"/>
  <c r="H31" i="12" s="1"/>
  <c r="G38" i="4"/>
  <c r="G37" i="3" s="1"/>
  <c r="L4" i="16"/>
  <c r="L4" i="15"/>
  <c r="L5" i="14"/>
  <c r="L5" i="1"/>
  <c r="F38" i="1"/>
  <c r="C6" i="4"/>
  <c r="H6" i="4" s="1"/>
  <c r="C6" i="11"/>
  <c r="H6" i="11" s="1"/>
  <c r="C8" i="12"/>
  <c r="H8" i="12" s="1"/>
  <c r="L22" i="12"/>
  <c r="C4" i="11"/>
  <c r="I12" i="1"/>
  <c r="I28" i="1"/>
  <c r="I16" i="5"/>
  <c r="I15" i="5"/>
  <c r="L33" i="1"/>
  <c r="I33" i="16"/>
  <c r="I32" i="16"/>
  <c r="L32" i="10"/>
  <c r="L34" i="11"/>
  <c r="I31" i="10"/>
  <c r="C30" i="5"/>
  <c r="H30" i="5" s="1"/>
  <c r="C32" i="4"/>
  <c r="H32" i="4" s="1"/>
  <c r="C30" i="9"/>
  <c r="H30" i="9" s="1"/>
  <c r="I29" i="5"/>
  <c r="I30" i="4"/>
  <c r="I29" i="10"/>
  <c r="L26" i="13"/>
  <c r="I26" i="13"/>
  <c r="J26" i="13" s="1"/>
  <c r="C28" i="10"/>
  <c r="H28" i="10" s="1"/>
  <c r="L27" i="10"/>
  <c r="I25" i="1"/>
  <c r="C25" i="13"/>
  <c r="H25" i="13" s="1"/>
  <c r="C26" i="14"/>
  <c r="H26" i="14" s="1"/>
  <c r="I26" i="10"/>
  <c r="I27" i="4"/>
  <c r="L26" i="4"/>
  <c r="C20" i="1"/>
  <c r="H20" i="1" s="1"/>
  <c r="I20" i="1"/>
  <c r="L20" i="13"/>
  <c r="L22" i="10"/>
  <c r="L20" i="9"/>
  <c r="C24" i="11"/>
  <c r="H24" i="11" s="1"/>
  <c r="L19" i="9"/>
  <c r="L18" i="1"/>
  <c r="I19" i="10"/>
  <c r="C18" i="9"/>
  <c r="H18" i="9" s="1"/>
  <c r="C18" i="16"/>
  <c r="H18" i="16" s="1"/>
  <c r="L18" i="16"/>
  <c r="I19" i="4"/>
  <c r="I16" i="14"/>
  <c r="I16" i="16"/>
  <c r="C14" i="14"/>
  <c r="H14" i="14" s="1"/>
  <c r="I13" i="5"/>
  <c r="C13" i="16"/>
  <c r="H13" i="16" s="1"/>
  <c r="C16" i="11"/>
  <c r="H16" i="11" s="1"/>
  <c r="C11" i="14"/>
  <c r="H11" i="14" s="1"/>
  <c r="I15" i="11"/>
  <c r="J15" i="11" s="1"/>
  <c r="C10" i="14"/>
  <c r="H10" i="14" s="1"/>
  <c r="I9" i="10"/>
  <c r="I6" i="11"/>
  <c r="I9" i="4"/>
  <c r="I11" i="4"/>
  <c r="I6" i="12"/>
  <c r="J6" i="12" s="1"/>
  <c r="I11" i="11"/>
  <c r="J11" i="11" s="1"/>
  <c r="I7" i="11"/>
  <c r="J7" i="11" s="1"/>
  <c r="C10" i="16"/>
  <c r="H10" i="16" s="1"/>
  <c r="C13" i="11"/>
  <c r="H13" i="11" s="1"/>
  <c r="I8" i="14"/>
  <c r="C12" i="11"/>
  <c r="H12" i="11" s="1"/>
  <c r="L9" i="16"/>
  <c r="L7" i="13"/>
  <c r="C26" i="12"/>
  <c r="H26" i="12" s="1"/>
  <c r="L8" i="9"/>
  <c r="L5" i="15"/>
  <c r="F38" i="15"/>
  <c r="C17" i="12"/>
  <c r="H17" i="12" s="1"/>
  <c r="L6" i="12"/>
  <c r="L6" i="11"/>
  <c r="E38" i="11"/>
  <c r="E37" i="12" s="1"/>
  <c r="L30" i="12"/>
  <c r="C8" i="9"/>
  <c r="H8" i="9" s="1"/>
  <c r="J27" i="12" l="1"/>
  <c r="J8" i="11"/>
  <c r="J6" i="11"/>
  <c r="J31" i="10"/>
  <c r="J7" i="12"/>
  <c r="J17" i="12"/>
  <c r="J17" i="13"/>
  <c r="J22" i="10"/>
  <c r="J9" i="10"/>
  <c r="J26" i="12"/>
  <c r="J33" i="11"/>
  <c r="J20" i="12"/>
  <c r="J18" i="11"/>
  <c r="J8" i="10"/>
  <c r="J16" i="11"/>
  <c r="J15" i="12"/>
  <c r="J24" i="12"/>
  <c r="J14" i="13"/>
  <c r="J10" i="12"/>
  <c r="J31" i="12"/>
  <c r="J8" i="12"/>
  <c r="J25" i="11"/>
  <c r="J8" i="13"/>
  <c r="J25" i="13"/>
  <c r="J27" i="11"/>
  <c r="J22" i="13"/>
  <c r="J19" i="10"/>
  <c r="J26" i="10"/>
  <c r="J29" i="10"/>
  <c r="J9" i="12"/>
  <c r="J23" i="10"/>
  <c r="J10" i="11"/>
  <c r="J20" i="13"/>
  <c r="J29" i="12"/>
  <c r="J13" i="12"/>
  <c r="J18" i="12"/>
  <c r="J23" i="13"/>
  <c r="J9" i="13"/>
  <c r="J21" i="13"/>
  <c r="J30" i="11"/>
  <c r="J21" i="12"/>
  <c r="J25" i="12"/>
  <c r="J25" i="10"/>
  <c r="J7" i="10"/>
  <c r="J30" i="12"/>
  <c r="J5" i="10"/>
  <c r="L35" i="11"/>
  <c r="L35" i="12"/>
  <c r="L35" i="9"/>
  <c r="L44" i="9" s="1"/>
  <c r="L47" i="9" s="1"/>
  <c r="F44" i="4"/>
  <c r="F47" i="4" s="1"/>
  <c r="L35" i="4"/>
  <c r="L35" i="14"/>
  <c r="L44" i="14" s="1"/>
  <c r="L46" i="14" s="1"/>
  <c r="F44" i="14"/>
  <c r="F46" i="14" s="1"/>
  <c r="F44" i="1"/>
  <c r="F47" i="1" s="1"/>
  <c r="L35" i="1"/>
  <c r="F44" i="16"/>
  <c r="L35" i="16"/>
  <c r="F44" i="15"/>
  <c r="F47" i="15" s="1"/>
  <c r="L35" i="15"/>
  <c r="T44" i="4"/>
  <c r="T51" i="4" s="1"/>
  <c r="E44" i="4"/>
  <c r="E47" i="4" s="1"/>
  <c r="K44" i="16"/>
  <c r="K47" i="16" s="1"/>
  <c r="E44" i="16"/>
  <c r="E47" i="16" s="1"/>
  <c r="U51" i="14"/>
  <c r="E47" i="14"/>
  <c r="T51" i="14"/>
  <c r="T44" i="16"/>
  <c r="T51" i="16" s="1"/>
  <c r="T59" i="16" s="1"/>
  <c r="G44" i="16"/>
  <c r="G47" i="16" s="1"/>
  <c r="G47" i="14"/>
  <c r="G44" i="4"/>
  <c r="G47" i="4" s="1"/>
  <c r="U44" i="4"/>
  <c r="U51" i="4" s="1"/>
  <c r="K44" i="4"/>
  <c r="U44" i="16"/>
  <c r="U51" i="16" s="1"/>
  <c r="N4" i="8"/>
  <c r="U44" i="3"/>
  <c r="U51" i="3" s="1"/>
  <c r="T44" i="3"/>
  <c r="T51" i="3" s="1"/>
  <c r="K44" i="1"/>
  <c r="K47" i="1" s="1"/>
  <c r="G44" i="1"/>
  <c r="G47" i="1" s="1"/>
  <c r="E44" i="1"/>
  <c r="E47" i="1" s="1"/>
  <c r="U44" i="1"/>
  <c r="U51" i="1" s="1"/>
  <c r="U59" i="1" s="1"/>
  <c r="T44" i="1"/>
  <c r="T51" i="1" s="1"/>
  <c r="G44" i="15"/>
  <c r="G47" i="15" s="1"/>
  <c r="T44" i="15"/>
  <c r="T51" i="15" s="1"/>
  <c r="E44" i="15"/>
  <c r="E47" i="15" s="1"/>
  <c r="U44" i="15"/>
  <c r="U51" i="15" s="1"/>
  <c r="K44" i="15"/>
  <c r="K47" i="15" s="1"/>
  <c r="U59" i="5"/>
  <c r="U62" i="5" s="1"/>
  <c r="J33" i="5"/>
  <c r="N28" i="13"/>
  <c r="I726" i="2"/>
  <c r="J32" i="5"/>
  <c r="J34" i="5"/>
  <c r="J29" i="5"/>
  <c r="J31" i="5"/>
  <c r="P70" i="8"/>
  <c r="U52" i="10"/>
  <c r="T52" i="13"/>
  <c r="T59" i="12"/>
  <c r="T52" i="12"/>
  <c r="T59" i="11"/>
  <c r="T52" i="11"/>
  <c r="T59" i="10"/>
  <c r="U52" i="11"/>
  <c r="U59" i="10"/>
  <c r="T52" i="10"/>
  <c r="U52" i="13"/>
  <c r="U59" i="12"/>
  <c r="U52" i="12"/>
  <c r="U59" i="11"/>
  <c r="J30" i="5"/>
  <c r="U52" i="9"/>
  <c r="R29" i="13"/>
  <c r="J15" i="15"/>
  <c r="J28" i="5"/>
  <c r="K727" i="2"/>
  <c r="K29" i="13" s="1"/>
  <c r="J26" i="5"/>
  <c r="J25" i="5"/>
  <c r="J27" i="5"/>
  <c r="J13" i="14"/>
  <c r="O29" i="13"/>
  <c r="J22" i="1"/>
  <c r="L44" i="10"/>
  <c r="L47" i="10" s="1"/>
  <c r="L44" i="12"/>
  <c r="L47" i="12" s="1"/>
  <c r="L44" i="11"/>
  <c r="L47" i="11" s="1"/>
  <c r="P51" i="14"/>
  <c r="O4" i="8"/>
  <c r="R9" i="8"/>
  <c r="R12" i="8" s="1"/>
  <c r="S51" i="15"/>
  <c r="C35" i="16"/>
  <c r="S51" i="10"/>
  <c r="R44" i="8"/>
  <c r="R47" i="8" s="1"/>
  <c r="S51" i="16"/>
  <c r="R14" i="8"/>
  <c r="R17" i="8" s="1"/>
  <c r="R54" i="8"/>
  <c r="R57" i="8" s="1"/>
  <c r="S51" i="12"/>
  <c r="S51" i="14"/>
  <c r="R4" i="8"/>
  <c r="R7" i="8" s="1"/>
  <c r="R39" i="8"/>
  <c r="R42" i="8" s="1"/>
  <c r="S51" i="9"/>
  <c r="S59" i="9" s="1"/>
  <c r="S51" i="4"/>
  <c r="R24" i="8"/>
  <c r="R27" i="8" s="1"/>
  <c r="R49" i="8"/>
  <c r="R52" i="8" s="1"/>
  <c r="S51" i="11"/>
  <c r="R29" i="8"/>
  <c r="R32" i="8" s="1"/>
  <c r="S51" i="3"/>
  <c r="S51" i="1"/>
  <c r="R19" i="8"/>
  <c r="R22" i="8" s="1"/>
  <c r="C35" i="9"/>
  <c r="H35" i="9" s="1"/>
  <c r="C35" i="10"/>
  <c r="H35" i="10" s="1"/>
  <c r="C35" i="14"/>
  <c r="C44" i="14" s="1"/>
  <c r="C46" i="14" s="1"/>
  <c r="C35" i="15"/>
  <c r="C35" i="1"/>
  <c r="C35" i="12"/>
  <c r="H35" i="12" s="1"/>
  <c r="C35" i="11"/>
  <c r="H35" i="11" s="1"/>
  <c r="C35" i="4"/>
  <c r="P4" i="8"/>
  <c r="P7" i="8" s="1"/>
  <c r="Q51" i="14"/>
  <c r="J17" i="14"/>
  <c r="M14" i="8"/>
  <c r="M17" i="8" s="1"/>
  <c r="N51" i="16"/>
  <c r="N29" i="8"/>
  <c r="N32" i="8" s="1"/>
  <c r="O51" i="3"/>
  <c r="N49" i="8"/>
  <c r="N52" i="8" s="1"/>
  <c r="O51" i="11"/>
  <c r="M4" i="8"/>
  <c r="N51" i="14"/>
  <c r="O29" i="8"/>
  <c r="O32" i="8" s="1"/>
  <c r="P51" i="3"/>
  <c r="P51" i="10"/>
  <c r="O44" i="8"/>
  <c r="O47" i="8" s="1"/>
  <c r="N34" i="8"/>
  <c r="O51" i="5"/>
  <c r="O49" i="8"/>
  <c r="O52" i="8" s="1"/>
  <c r="P51" i="11"/>
  <c r="M39" i="8"/>
  <c r="M42" i="8" s="1"/>
  <c r="N51" i="9"/>
  <c r="N59" i="9" s="1"/>
  <c r="O14" i="8"/>
  <c r="O17" i="8" s="1"/>
  <c r="P51" i="16"/>
  <c r="O24" i="8"/>
  <c r="O27" i="8" s="1"/>
  <c r="P51" i="4"/>
  <c r="N44" i="8"/>
  <c r="N47" i="8" s="1"/>
  <c r="O51" i="10"/>
  <c r="P51" i="1"/>
  <c r="O19" i="8"/>
  <c r="O22" i="8" s="1"/>
  <c r="N14" i="8"/>
  <c r="N17" i="8" s="1"/>
  <c r="O51" i="16"/>
  <c r="O51" i="1"/>
  <c r="N19" i="8"/>
  <c r="N22" i="8" s="1"/>
  <c r="N54" i="8"/>
  <c r="N57" i="8" s="1"/>
  <c r="O51" i="12"/>
  <c r="O9" i="8"/>
  <c r="O12" i="8" s="1"/>
  <c r="P51" i="15"/>
  <c r="N9" i="8"/>
  <c r="N12" i="8" s="1"/>
  <c r="O51" i="15"/>
  <c r="O54" i="8"/>
  <c r="O57" i="8" s="1"/>
  <c r="P51" i="12"/>
  <c r="M54" i="8"/>
  <c r="M57" i="8" s="1"/>
  <c r="N51" i="12"/>
  <c r="O51" i="4"/>
  <c r="N24" i="8"/>
  <c r="N27" i="8" s="1"/>
  <c r="M24" i="8"/>
  <c r="M27" i="8" s="1"/>
  <c r="N51" i="4"/>
  <c r="M44" i="8"/>
  <c r="M47" i="8" s="1"/>
  <c r="N51" i="10"/>
  <c r="M19" i="8"/>
  <c r="M22" i="8" s="1"/>
  <c r="N51" i="1"/>
  <c r="M49" i="8"/>
  <c r="M52" i="8" s="1"/>
  <c r="N51" i="11"/>
  <c r="M9" i="8"/>
  <c r="M12" i="8" s="1"/>
  <c r="N51" i="15"/>
  <c r="O39" i="8"/>
  <c r="O42" i="8" s="1"/>
  <c r="P51" i="9"/>
  <c r="P59" i="9" s="1"/>
  <c r="P19" i="8"/>
  <c r="Q51" i="1"/>
  <c r="P9" i="8"/>
  <c r="Q51" i="15"/>
  <c r="P29" i="8"/>
  <c r="P32" i="8" s="1"/>
  <c r="Q51" i="3"/>
  <c r="P54" i="8"/>
  <c r="P57" i="8" s="1"/>
  <c r="Q51" i="12"/>
  <c r="P14" i="8"/>
  <c r="Q51" i="16"/>
  <c r="P24" i="8"/>
  <c r="P27" i="8" s="1"/>
  <c r="Q51" i="4"/>
  <c r="P34" i="8"/>
  <c r="Q51" i="5"/>
  <c r="P44" i="8"/>
  <c r="P47" i="8" s="1"/>
  <c r="Q51" i="10"/>
  <c r="P39" i="8"/>
  <c r="Q51" i="9"/>
  <c r="Q59" i="9" s="1"/>
  <c r="P49" i="8"/>
  <c r="Q51" i="11"/>
  <c r="H727" i="42"/>
  <c r="G727" i="42"/>
  <c r="D727" i="42"/>
  <c r="C727" i="42"/>
  <c r="B728" i="42"/>
  <c r="E727" i="42"/>
  <c r="A727" i="42"/>
  <c r="J6" i="16"/>
  <c r="J16" i="16"/>
  <c r="J17" i="16"/>
  <c r="J21" i="15"/>
  <c r="J24" i="1"/>
  <c r="J7" i="14"/>
  <c r="J8" i="1"/>
  <c r="J22" i="4"/>
  <c r="J22" i="14"/>
  <c r="J30" i="16"/>
  <c r="J20" i="16"/>
  <c r="J29" i="1"/>
  <c r="J26" i="1"/>
  <c r="J23" i="1"/>
  <c r="J18" i="15"/>
  <c r="J14" i="4"/>
  <c r="J33" i="1"/>
  <c r="J14" i="15"/>
  <c r="J23" i="4"/>
  <c r="J21" i="5"/>
  <c r="J12" i="16"/>
  <c r="J21" i="16"/>
  <c r="J15" i="1"/>
  <c r="J9" i="4"/>
  <c r="J25" i="1"/>
  <c r="J7" i="1"/>
  <c r="J7" i="4"/>
  <c r="J24" i="15"/>
  <c r="J29" i="14"/>
  <c r="J10" i="4"/>
  <c r="J15" i="16"/>
  <c r="J14" i="16"/>
  <c r="J5" i="14"/>
  <c r="J25" i="4"/>
  <c r="J26" i="16"/>
  <c r="J23" i="16"/>
  <c r="J32" i="16"/>
  <c r="J32" i="14"/>
  <c r="J12" i="4"/>
  <c r="J33" i="16"/>
  <c r="J19" i="16"/>
  <c r="J23" i="14"/>
  <c r="J11" i="1"/>
  <c r="J16" i="4"/>
  <c r="J28" i="1"/>
  <c r="J29" i="15"/>
  <c r="J21" i="4"/>
  <c r="J24" i="16"/>
  <c r="J27" i="15"/>
  <c r="J31" i="15"/>
  <c r="H27" i="13"/>
  <c r="J30" i="14"/>
  <c r="J22" i="5"/>
  <c r="J6" i="14"/>
  <c r="J29" i="4"/>
  <c r="C726" i="2"/>
  <c r="H726" i="2" s="1"/>
  <c r="D28" i="13"/>
  <c r="J13" i="5"/>
  <c r="J19" i="4"/>
  <c r="J31" i="16"/>
  <c r="J33" i="4"/>
  <c r="L726" i="2"/>
  <c r="F28" i="13"/>
  <c r="J34" i="14"/>
  <c r="F727" i="2"/>
  <c r="A727" i="2"/>
  <c r="E727" i="2"/>
  <c r="E29" i="13" s="1"/>
  <c r="Q727" i="2"/>
  <c r="Q29" i="13" s="1"/>
  <c r="X30" i="13"/>
  <c r="D727" i="2"/>
  <c r="G727" i="2"/>
  <c r="G29" i="13" s="1"/>
  <c r="X29" i="13"/>
  <c r="T29" i="13"/>
  <c r="W29" i="13"/>
  <c r="Y29" i="13"/>
  <c r="U29" i="13"/>
  <c r="P29" i="13"/>
  <c r="AA29" i="13"/>
  <c r="Q28" i="13"/>
  <c r="J16" i="14"/>
  <c r="J7" i="15"/>
  <c r="J28" i="16"/>
  <c r="J17" i="15"/>
  <c r="J18" i="1"/>
  <c r="J26" i="4"/>
  <c r="J28" i="4"/>
  <c r="J8" i="16"/>
  <c r="J13" i="1"/>
  <c r="J11" i="15"/>
  <c r="J24" i="14"/>
  <c r="J6" i="15"/>
  <c r="J19" i="1"/>
  <c r="J8" i="14"/>
  <c r="J9" i="14"/>
  <c r="J17" i="1"/>
  <c r="J28" i="14"/>
  <c r="H29" i="14"/>
  <c r="J8" i="15"/>
  <c r="J24" i="4"/>
  <c r="J27" i="4"/>
  <c r="J16" i="1"/>
  <c r="J16" i="5"/>
  <c r="J11" i="16"/>
  <c r="J20" i="15"/>
  <c r="J6" i="4"/>
  <c r="J20" i="4"/>
  <c r="J33" i="14"/>
  <c r="J9" i="15"/>
  <c r="J31" i="14"/>
  <c r="J15" i="4"/>
  <c r="J20" i="5"/>
  <c r="J21" i="1"/>
  <c r="J17" i="5"/>
  <c r="J32" i="4"/>
  <c r="J30" i="1"/>
  <c r="J13" i="15"/>
  <c r="J23" i="15"/>
  <c r="J12" i="14"/>
  <c r="J7" i="16"/>
  <c r="J30" i="4"/>
  <c r="J12" i="1"/>
  <c r="J14" i="1"/>
  <c r="J18" i="14"/>
  <c r="J6" i="1"/>
  <c r="J10" i="16"/>
  <c r="H6" i="14"/>
  <c r="J16" i="15"/>
  <c r="J19" i="15"/>
  <c r="J21" i="14"/>
  <c r="J28" i="15"/>
  <c r="J10" i="1"/>
  <c r="J12" i="15"/>
  <c r="J20" i="14"/>
  <c r="J25" i="16"/>
  <c r="E46" i="10"/>
  <c r="E51" i="10"/>
  <c r="E59" i="10" s="1"/>
  <c r="D44" i="8"/>
  <c r="D47" i="8" s="1"/>
  <c r="F44" i="10"/>
  <c r="F47" i="10" s="1"/>
  <c r="F37" i="12"/>
  <c r="L38" i="11"/>
  <c r="L37" i="12" s="1"/>
  <c r="D47" i="1"/>
  <c r="E6" i="18"/>
  <c r="D54" i="8"/>
  <c r="D57" i="8" s="1"/>
  <c r="E46" i="12"/>
  <c r="E51" i="12"/>
  <c r="E59" i="12" s="1"/>
  <c r="H4" i="12"/>
  <c r="D13" i="18"/>
  <c r="F13" i="18"/>
  <c r="C38" i="12"/>
  <c r="E7" i="18"/>
  <c r="D47" i="4"/>
  <c r="J26" i="15"/>
  <c r="D14" i="8"/>
  <c r="D17" i="8" s="1"/>
  <c r="E46" i="16"/>
  <c r="E51" i="16"/>
  <c r="E59" i="16" s="1"/>
  <c r="H4" i="1"/>
  <c r="D6" i="18"/>
  <c r="F6" i="18"/>
  <c r="C38" i="1"/>
  <c r="K46" i="4"/>
  <c r="J24" i="8"/>
  <c r="J27" i="8" s="1"/>
  <c r="K51" i="4"/>
  <c r="K59" i="4" s="1"/>
  <c r="H4" i="4"/>
  <c r="C38" i="4"/>
  <c r="D7" i="18"/>
  <c r="F7" i="18"/>
  <c r="F44" i="9"/>
  <c r="F47" i="9" s="1"/>
  <c r="I38" i="15"/>
  <c r="I37" i="16" s="1"/>
  <c r="J34" i="4"/>
  <c r="F37" i="13"/>
  <c r="L38" i="12"/>
  <c r="L37" i="13" s="1"/>
  <c r="J18" i="4"/>
  <c r="J32" i="1"/>
  <c r="J34" i="16"/>
  <c r="J17" i="4"/>
  <c r="J22" i="15"/>
  <c r="J14" i="10"/>
  <c r="H14" i="10"/>
  <c r="H4" i="16"/>
  <c r="F5" i="18"/>
  <c r="C38" i="16"/>
  <c r="D5" i="18"/>
  <c r="J5" i="15"/>
  <c r="J27" i="16"/>
  <c r="J27" i="14"/>
  <c r="J5" i="11"/>
  <c r="I38" i="11"/>
  <c r="I37" i="12" s="1"/>
  <c r="L38" i="4"/>
  <c r="L37" i="3" s="1"/>
  <c r="F37" i="3"/>
  <c r="L38" i="9"/>
  <c r="L37" i="10" s="1"/>
  <c r="F37" i="10"/>
  <c r="G51" i="16"/>
  <c r="G59" i="16" s="1"/>
  <c r="J5" i="9"/>
  <c r="J29" i="16"/>
  <c r="J11" i="4"/>
  <c r="J10" i="15"/>
  <c r="J18" i="16"/>
  <c r="F44" i="12"/>
  <c r="F47" i="12" s="1"/>
  <c r="H4" i="10"/>
  <c r="D11" i="18"/>
  <c r="F11" i="18"/>
  <c r="C38" i="10"/>
  <c r="J5" i="4"/>
  <c r="I38" i="4"/>
  <c r="I37" i="3" s="1"/>
  <c r="J5" i="1"/>
  <c r="I38" i="1"/>
  <c r="I37" i="4" s="1"/>
  <c r="J13" i="16"/>
  <c r="J39" i="8"/>
  <c r="J42" i="8" s="1"/>
  <c r="K46" i="9"/>
  <c r="K51" i="9"/>
  <c r="K59" i="9" s="1"/>
  <c r="J11" i="14"/>
  <c r="J4" i="8"/>
  <c r="J7" i="8" s="1"/>
  <c r="K51" i="14"/>
  <c r="F37" i="16"/>
  <c r="L38" i="15"/>
  <c r="L37" i="16" s="1"/>
  <c r="I38" i="12"/>
  <c r="I37" i="13" s="1"/>
  <c r="D44" i="11"/>
  <c r="D47" i="11" s="1"/>
  <c r="E12" i="18"/>
  <c r="H4" i="13"/>
  <c r="E3" i="18"/>
  <c r="D47" i="14"/>
  <c r="J54" i="8"/>
  <c r="J57" i="8" s="1"/>
  <c r="K46" i="12"/>
  <c r="K51" i="12"/>
  <c r="K59" i="12" s="1"/>
  <c r="F54" i="8"/>
  <c r="F57" i="8" s="1"/>
  <c r="G51" i="12"/>
  <c r="G59" i="12" s="1"/>
  <c r="G46" i="12"/>
  <c r="J9" i="1"/>
  <c r="J31" i="1"/>
  <c r="J31" i="4"/>
  <c r="J14" i="14"/>
  <c r="E4" i="18"/>
  <c r="D47" i="15"/>
  <c r="J5" i="13"/>
  <c r="J25" i="15"/>
  <c r="E11" i="18"/>
  <c r="D44" i="10"/>
  <c r="D47" i="10" s="1"/>
  <c r="J15" i="5"/>
  <c r="H4" i="11"/>
  <c r="C38" i="11"/>
  <c r="F12" i="18"/>
  <c r="D12" i="18"/>
  <c r="L38" i="1"/>
  <c r="L37" i="4" s="1"/>
  <c r="F37" i="4"/>
  <c r="F47" i="16"/>
  <c r="J10" i="14"/>
  <c r="J44" i="8"/>
  <c r="J47" i="8" s="1"/>
  <c r="K51" i="10"/>
  <c r="K59" i="10" s="1"/>
  <c r="K46" i="10"/>
  <c r="H4" i="14"/>
  <c r="F3" i="18"/>
  <c r="C38" i="14"/>
  <c r="D3" i="18"/>
  <c r="J18" i="5"/>
  <c r="J27" i="1"/>
  <c r="G46" i="11"/>
  <c r="G51" i="11"/>
  <c r="G59" i="11" s="1"/>
  <c r="F49" i="8"/>
  <c r="F52" i="8" s="1"/>
  <c r="F37" i="15"/>
  <c r="L38" i="14"/>
  <c r="L37" i="15" s="1"/>
  <c r="J19" i="5"/>
  <c r="E10" i="18"/>
  <c r="D44" i="9"/>
  <c r="D47" i="9" s="1"/>
  <c r="H4" i="15"/>
  <c r="C38" i="15"/>
  <c r="D4" i="18"/>
  <c r="F4" i="18"/>
  <c r="J8" i="4"/>
  <c r="F4" i="8"/>
  <c r="F7" i="8" s="1"/>
  <c r="G51" i="14"/>
  <c r="E5" i="18"/>
  <c r="D47" i="16"/>
  <c r="J20" i="1"/>
  <c r="G51" i="10"/>
  <c r="G59" i="10" s="1"/>
  <c r="G46" i="10"/>
  <c r="F44" i="8"/>
  <c r="F47" i="8" s="1"/>
  <c r="L38" i="16"/>
  <c r="J22" i="16"/>
  <c r="J15" i="14"/>
  <c r="F37" i="11"/>
  <c r="L38" i="10"/>
  <c r="L37" i="11" s="1"/>
  <c r="F44" i="11"/>
  <c r="F47" i="11" s="1"/>
  <c r="I38" i="10"/>
  <c r="I37" i="11" s="1"/>
  <c r="D49" i="8"/>
  <c r="D52" i="8" s="1"/>
  <c r="E46" i="11"/>
  <c r="E51" i="11"/>
  <c r="E59" i="11" s="1"/>
  <c r="G46" i="9"/>
  <c r="F39" i="8"/>
  <c r="F42" i="8" s="1"/>
  <c r="G51" i="9"/>
  <c r="G59" i="9" s="1"/>
  <c r="E51" i="9"/>
  <c r="E59" i="9" s="1"/>
  <c r="D39" i="8"/>
  <c r="D42" i="8" s="1"/>
  <c r="E46" i="9"/>
  <c r="J19" i="14"/>
  <c r="H4" i="9"/>
  <c r="D10" i="18"/>
  <c r="C38" i="9"/>
  <c r="F10" i="18"/>
  <c r="J13" i="4"/>
  <c r="J14" i="5"/>
  <c r="E13" i="18"/>
  <c r="D44" i="12"/>
  <c r="D47" i="12" s="1"/>
  <c r="J26" i="14"/>
  <c r="H38" i="1"/>
  <c r="H37" i="4" s="1"/>
  <c r="K51" i="11"/>
  <c r="K59" i="11" s="1"/>
  <c r="J49" i="8"/>
  <c r="J52" i="8" s="1"/>
  <c r="K46" i="11"/>
  <c r="J5" i="16"/>
  <c r="I38" i="16"/>
  <c r="J25" i="14"/>
  <c r="J30" i="15"/>
  <c r="J726" i="2" l="1"/>
  <c r="F47" i="14"/>
  <c r="M7" i="8"/>
  <c r="O7" i="8"/>
  <c r="N7" i="8"/>
  <c r="K46" i="15"/>
  <c r="E46" i="15"/>
  <c r="E51" i="15"/>
  <c r="E59" i="15" s="1"/>
  <c r="K46" i="16"/>
  <c r="G46" i="1"/>
  <c r="J19" i="8"/>
  <c r="J22" i="8" s="1"/>
  <c r="K51" i="1"/>
  <c r="K59" i="1" s="1"/>
  <c r="K61" i="1" s="1"/>
  <c r="G51" i="4"/>
  <c r="G59" i="4" s="1"/>
  <c r="N37" i="8"/>
  <c r="N69" i="8"/>
  <c r="K51" i="16"/>
  <c r="K59" i="16" s="1"/>
  <c r="K61" i="16" s="1"/>
  <c r="G46" i="4"/>
  <c r="K46" i="1"/>
  <c r="F19" i="8"/>
  <c r="F22" i="8" s="1"/>
  <c r="F24" i="8"/>
  <c r="F27" i="8" s="1"/>
  <c r="E46" i="4"/>
  <c r="L44" i="4"/>
  <c r="L47" i="4" s="1"/>
  <c r="J9" i="8"/>
  <c r="J12" i="8" s="1"/>
  <c r="G51" i="1"/>
  <c r="G59" i="1" s="1"/>
  <c r="G61" i="1" s="1"/>
  <c r="K51" i="15"/>
  <c r="K59" i="15" s="1"/>
  <c r="K61" i="15" s="1"/>
  <c r="J14" i="8"/>
  <c r="J17" i="8" s="1"/>
  <c r="P37" i="8"/>
  <c r="P69" i="8"/>
  <c r="E51" i="14"/>
  <c r="E59" i="14" s="1"/>
  <c r="G46" i="16"/>
  <c r="E51" i="4"/>
  <c r="E59" i="4" s="1"/>
  <c r="E61" i="4" s="1"/>
  <c r="F14" i="8"/>
  <c r="F17" i="8" s="1"/>
  <c r="D24" i="8"/>
  <c r="D27" i="8" s="1"/>
  <c r="D9" i="8"/>
  <c r="G51" i="15"/>
  <c r="G59" i="15" s="1"/>
  <c r="G46" i="15"/>
  <c r="F9" i="8"/>
  <c r="N6" i="8"/>
  <c r="L44" i="16"/>
  <c r="L47" i="16" s="1"/>
  <c r="D4" i="8"/>
  <c r="D7" i="8" s="1"/>
  <c r="O51" i="14"/>
  <c r="O54" i="14" s="1"/>
  <c r="E51" i="1"/>
  <c r="E59" i="1" s="1"/>
  <c r="E62" i="1" s="1"/>
  <c r="E46" i="1"/>
  <c r="D19" i="8"/>
  <c r="D22" i="8" s="1"/>
  <c r="U53" i="4"/>
  <c r="U54" i="4"/>
  <c r="U59" i="4"/>
  <c r="T53" i="14"/>
  <c r="T54" i="14"/>
  <c r="T59" i="14"/>
  <c r="U54" i="16"/>
  <c r="U53" i="16"/>
  <c r="U59" i="16"/>
  <c r="T53" i="4"/>
  <c r="T54" i="4"/>
  <c r="T59" i="4"/>
  <c r="P53" i="16"/>
  <c r="P54" i="16"/>
  <c r="N54" i="16"/>
  <c r="N53" i="16"/>
  <c r="T53" i="16"/>
  <c r="T54" i="16"/>
  <c r="U54" i="14"/>
  <c r="U53" i="14"/>
  <c r="S53" i="14"/>
  <c r="S54" i="14"/>
  <c r="K47" i="4"/>
  <c r="O54" i="4"/>
  <c r="O53" i="4"/>
  <c r="S54" i="4"/>
  <c r="S53" i="4"/>
  <c r="H35" i="16"/>
  <c r="C44" i="16"/>
  <c r="H44" i="16" s="1"/>
  <c r="L47" i="14"/>
  <c r="K47" i="14"/>
  <c r="O53" i="16"/>
  <c r="O54" i="16"/>
  <c r="P53" i="4"/>
  <c r="P54" i="4"/>
  <c r="T62" i="16"/>
  <c r="T61" i="16"/>
  <c r="H35" i="14"/>
  <c r="H44" i="14" s="1"/>
  <c r="H46" i="14" s="1"/>
  <c r="N54" i="4"/>
  <c r="N53" i="4"/>
  <c r="H35" i="4"/>
  <c r="C44" i="4"/>
  <c r="H44" i="4" s="1"/>
  <c r="S54" i="16"/>
  <c r="S53" i="16"/>
  <c r="U59" i="14"/>
  <c r="L44" i="15"/>
  <c r="L47" i="15" s="1"/>
  <c r="Q54" i="4"/>
  <c r="Q53" i="4"/>
  <c r="Q53" i="16"/>
  <c r="Q54" i="16"/>
  <c r="N54" i="14"/>
  <c r="N53" i="14"/>
  <c r="Q54" i="14"/>
  <c r="Q53" i="14"/>
  <c r="P53" i="14"/>
  <c r="P54" i="14"/>
  <c r="T54" i="3"/>
  <c r="T53" i="3"/>
  <c r="T52" i="5"/>
  <c r="T59" i="3"/>
  <c r="T60" i="10" s="1"/>
  <c r="U54" i="3"/>
  <c r="U53" i="3"/>
  <c r="U52" i="5"/>
  <c r="U54" i="5" s="1"/>
  <c r="U59" i="3"/>
  <c r="U60" i="10" s="1"/>
  <c r="P54" i="3"/>
  <c r="P53" i="3"/>
  <c r="Q53" i="3"/>
  <c r="Q54" i="3"/>
  <c r="S53" i="3"/>
  <c r="S54" i="3"/>
  <c r="O53" i="3"/>
  <c r="O54" i="3"/>
  <c r="T53" i="1"/>
  <c r="T54" i="1"/>
  <c r="T59" i="1"/>
  <c r="Q53" i="1"/>
  <c r="Q54" i="1"/>
  <c r="N53" i="1"/>
  <c r="N54" i="1"/>
  <c r="U62" i="1"/>
  <c r="U61" i="1"/>
  <c r="U53" i="1"/>
  <c r="U54" i="1"/>
  <c r="O53" i="1"/>
  <c r="O54" i="1"/>
  <c r="S54" i="1"/>
  <c r="S53" i="1"/>
  <c r="P53" i="1"/>
  <c r="P54" i="1"/>
  <c r="H35" i="1"/>
  <c r="C44" i="1"/>
  <c r="L44" i="1"/>
  <c r="L47" i="1" s="1"/>
  <c r="T53" i="15"/>
  <c r="T54" i="15"/>
  <c r="T59" i="15"/>
  <c r="U54" i="15"/>
  <c r="U53" i="15"/>
  <c r="N54" i="15"/>
  <c r="N53" i="15"/>
  <c r="O53" i="15"/>
  <c r="O54" i="15"/>
  <c r="U59" i="15"/>
  <c r="Q54" i="15"/>
  <c r="Q53" i="15"/>
  <c r="P53" i="15"/>
  <c r="P54" i="15"/>
  <c r="H35" i="15"/>
  <c r="C44" i="15"/>
  <c r="S53" i="15"/>
  <c r="S54" i="15"/>
  <c r="Q59" i="5"/>
  <c r="Q62" i="5" s="1"/>
  <c r="O59" i="5"/>
  <c r="O62" i="5" s="1"/>
  <c r="I727" i="2"/>
  <c r="P11" i="8"/>
  <c r="P12" i="8"/>
  <c r="P16" i="8"/>
  <c r="P17" i="8"/>
  <c r="P21" i="8"/>
  <c r="P22" i="8"/>
  <c r="P51" i="8"/>
  <c r="P52" i="8"/>
  <c r="P41" i="8"/>
  <c r="P42" i="8"/>
  <c r="S52" i="10"/>
  <c r="K61" i="11"/>
  <c r="K62" i="11"/>
  <c r="E61" i="9"/>
  <c r="E62" i="9"/>
  <c r="E62" i="16"/>
  <c r="E61" i="16"/>
  <c r="Q52" i="5"/>
  <c r="Q54" i="5" s="1"/>
  <c r="Q59" i="3"/>
  <c r="N52" i="11"/>
  <c r="N59" i="10"/>
  <c r="N52" i="13"/>
  <c r="N59" i="12"/>
  <c r="P59" i="15"/>
  <c r="O59" i="16"/>
  <c r="O52" i="11"/>
  <c r="O59" i="10"/>
  <c r="P59" i="16"/>
  <c r="O52" i="12"/>
  <c r="O59" i="11"/>
  <c r="N59" i="16"/>
  <c r="S52" i="5"/>
  <c r="S59" i="3"/>
  <c r="S52" i="11"/>
  <c r="S59" i="10"/>
  <c r="G59" i="14"/>
  <c r="G54" i="14"/>
  <c r="U60" i="12"/>
  <c r="G62" i="9"/>
  <c r="G61" i="9"/>
  <c r="K62" i="10"/>
  <c r="K61" i="10"/>
  <c r="K59" i="14"/>
  <c r="K54" i="14"/>
  <c r="Q59" i="4"/>
  <c r="Q59" i="15"/>
  <c r="N59" i="15"/>
  <c r="N59" i="4"/>
  <c r="P52" i="13"/>
  <c r="P59" i="12"/>
  <c r="O52" i="13"/>
  <c r="O59" i="12"/>
  <c r="P59" i="4"/>
  <c r="N52" i="10"/>
  <c r="S52" i="12"/>
  <c r="S59" i="11"/>
  <c r="S59" i="14"/>
  <c r="S59" i="15"/>
  <c r="K61" i="9"/>
  <c r="K62" i="9"/>
  <c r="K61" i="4"/>
  <c r="K62" i="4"/>
  <c r="P59" i="1"/>
  <c r="P52" i="11"/>
  <c r="P59" i="10"/>
  <c r="Q59" i="14"/>
  <c r="S52" i="13"/>
  <c r="S59" i="12"/>
  <c r="K62" i="1"/>
  <c r="G62" i="10"/>
  <c r="G61" i="10"/>
  <c r="G62" i="12"/>
  <c r="G61" i="12"/>
  <c r="Q59" i="16"/>
  <c r="Q59" i="1"/>
  <c r="N52" i="12"/>
  <c r="N59" i="11"/>
  <c r="P52" i="5"/>
  <c r="P59" i="3"/>
  <c r="G61" i="16"/>
  <c r="G62" i="16"/>
  <c r="E61" i="11"/>
  <c r="E62" i="11"/>
  <c r="E62" i="12"/>
  <c r="E61" i="12"/>
  <c r="O59" i="4"/>
  <c r="O59" i="1"/>
  <c r="S59" i="4"/>
  <c r="G62" i="11"/>
  <c r="G61" i="11"/>
  <c r="K61" i="12"/>
  <c r="K62" i="12"/>
  <c r="G61" i="4"/>
  <c r="G62" i="4"/>
  <c r="E61" i="10"/>
  <c r="E62" i="10"/>
  <c r="P52" i="10"/>
  <c r="N59" i="1"/>
  <c r="O59" i="15"/>
  <c r="P52" i="12"/>
  <c r="P59" i="11"/>
  <c r="N59" i="14"/>
  <c r="O52" i="5"/>
  <c r="O54" i="5" s="1"/>
  <c r="O59" i="3"/>
  <c r="S59" i="1"/>
  <c r="S59" i="16"/>
  <c r="P59" i="14"/>
  <c r="Q52" i="12"/>
  <c r="Q59" i="11"/>
  <c r="Q52" i="10"/>
  <c r="Q52" i="11"/>
  <c r="Q59" i="10"/>
  <c r="Q52" i="13"/>
  <c r="Q59" i="12"/>
  <c r="O52" i="9"/>
  <c r="Q52" i="9"/>
  <c r="R30" i="13"/>
  <c r="K728" i="2"/>
  <c r="K30" i="13" s="1"/>
  <c r="O6" i="8"/>
  <c r="I3" i="18"/>
  <c r="I4" i="18"/>
  <c r="R51" i="8"/>
  <c r="R6" i="8"/>
  <c r="R26" i="8"/>
  <c r="R21" i="8"/>
  <c r="R11" i="8"/>
  <c r="R56" i="8"/>
  <c r="R16" i="8"/>
  <c r="R31" i="8"/>
  <c r="R41" i="8"/>
  <c r="R46" i="8"/>
  <c r="P6" i="8"/>
  <c r="I28" i="13"/>
  <c r="P31" i="8"/>
  <c r="I10" i="18"/>
  <c r="P26" i="8"/>
  <c r="O51" i="8"/>
  <c r="M6" i="8"/>
  <c r="N31" i="8"/>
  <c r="N21" i="8"/>
  <c r="M11" i="8"/>
  <c r="M46" i="8"/>
  <c r="N11" i="8"/>
  <c r="N16" i="8"/>
  <c r="N46" i="8"/>
  <c r="O16" i="8"/>
  <c r="N36" i="8"/>
  <c r="N51" i="8"/>
  <c r="M16" i="8"/>
  <c r="N26" i="8"/>
  <c r="M21" i="8"/>
  <c r="N56" i="8"/>
  <c r="O21" i="8"/>
  <c r="O46" i="8"/>
  <c r="O41" i="8"/>
  <c r="O56" i="8"/>
  <c r="O31" i="8"/>
  <c r="M51" i="8"/>
  <c r="M26" i="8"/>
  <c r="M56" i="8"/>
  <c r="O11" i="8"/>
  <c r="O26" i="8"/>
  <c r="M41" i="8"/>
  <c r="P46" i="8"/>
  <c r="P36" i="8"/>
  <c r="P56" i="8"/>
  <c r="H728" i="42"/>
  <c r="G728" i="42"/>
  <c r="E728" i="42"/>
  <c r="D728" i="42"/>
  <c r="C728" i="42"/>
  <c r="B729" i="42"/>
  <c r="A728" i="42"/>
  <c r="T30" i="13"/>
  <c r="O30" i="13"/>
  <c r="P30" i="13"/>
  <c r="AA30" i="13"/>
  <c r="W30" i="13"/>
  <c r="L727" i="2"/>
  <c r="U30" i="13"/>
  <c r="Y30" i="13"/>
  <c r="I7" i="18"/>
  <c r="C727" i="2"/>
  <c r="H727" i="2" s="1"/>
  <c r="L28" i="13"/>
  <c r="C28" i="13"/>
  <c r="F29" i="13"/>
  <c r="L29" i="13" s="1"/>
  <c r="N29" i="13"/>
  <c r="G728" i="2"/>
  <c r="G30" i="13" s="1"/>
  <c r="F728" i="2"/>
  <c r="D728" i="2"/>
  <c r="A728" i="2"/>
  <c r="Q728" i="2"/>
  <c r="Q30" i="13" s="1"/>
  <c r="E728" i="2"/>
  <c r="E30" i="13" s="1"/>
  <c r="D29" i="13"/>
  <c r="J38" i="16"/>
  <c r="I13" i="18"/>
  <c r="I6" i="18"/>
  <c r="I11" i="18"/>
  <c r="E52" i="12"/>
  <c r="E54" i="12" s="1"/>
  <c r="C37" i="11"/>
  <c r="J38" i="10"/>
  <c r="J37" i="11" s="1"/>
  <c r="E4" i="8"/>
  <c r="E7" i="8" s="1"/>
  <c r="F51" i="14"/>
  <c r="J46" i="8"/>
  <c r="E9" i="8"/>
  <c r="F46" i="15"/>
  <c r="F51" i="15"/>
  <c r="F59" i="15" s="1"/>
  <c r="E44" i="8"/>
  <c r="E47" i="8" s="1"/>
  <c r="F46" i="10"/>
  <c r="F51" i="10"/>
  <c r="F59" i="10" s="1"/>
  <c r="C37" i="15"/>
  <c r="E54" i="8"/>
  <c r="E57" i="8" s="1"/>
  <c r="F46" i="12"/>
  <c r="F51" i="12"/>
  <c r="F59" i="12" s="1"/>
  <c r="G13" i="18"/>
  <c r="C44" i="12"/>
  <c r="K54" i="4"/>
  <c r="F51" i="9"/>
  <c r="F59" i="9" s="1"/>
  <c r="E39" i="8"/>
  <c r="E42" i="8" s="1"/>
  <c r="F46" i="9"/>
  <c r="E52" i="11"/>
  <c r="E54" i="11" s="1"/>
  <c r="J6" i="8"/>
  <c r="G54" i="4"/>
  <c r="G52" i="11"/>
  <c r="G54" i="11" s="1"/>
  <c r="L46" i="4"/>
  <c r="K24" i="8"/>
  <c r="K27" i="8" s="1"/>
  <c r="L51" i="4"/>
  <c r="L59" i="4" s="1"/>
  <c r="C37" i="10"/>
  <c r="G52" i="10"/>
  <c r="G54" i="10" s="1"/>
  <c r="F46" i="11"/>
  <c r="F51" i="11"/>
  <c r="F59" i="11" s="1"/>
  <c r="E49" i="8"/>
  <c r="E52" i="8" s="1"/>
  <c r="C14" i="8"/>
  <c r="C17" i="8" s="1"/>
  <c r="D46" i="16"/>
  <c r="D51" i="16"/>
  <c r="D59" i="16" s="1"/>
  <c r="C39" i="8"/>
  <c r="C42" i="8" s="1"/>
  <c r="D46" i="9"/>
  <c r="D51" i="9"/>
  <c r="D59" i="9" s="1"/>
  <c r="G3" i="18"/>
  <c r="L51" i="16"/>
  <c r="L59" i="16" s="1"/>
  <c r="L46" i="16"/>
  <c r="D51" i="14"/>
  <c r="C4" i="8"/>
  <c r="C7" i="8" s="1"/>
  <c r="F51" i="1"/>
  <c r="F59" i="1" s="1"/>
  <c r="F46" i="1"/>
  <c r="E19" i="8"/>
  <c r="E22" i="8" s="1"/>
  <c r="L51" i="9"/>
  <c r="L59" i="9" s="1"/>
  <c r="L46" i="9"/>
  <c r="K39" i="8"/>
  <c r="K42" i="8" s="1"/>
  <c r="E52" i="13"/>
  <c r="K52" i="12"/>
  <c r="K54" i="12" s="1"/>
  <c r="K52" i="11"/>
  <c r="K54" i="11" s="1"/>
  <c r="G7" i="18"/>
  <c r="J16" i="8"/>
  <c r="L51" i="10"/>
  <c r="L59" i="10" s="1"/>
  <c r="L46" i="10"/>
  <c r="K44" i="8"/>
  <c r="K47" i="8" s="1"/>
  <c r="C9" i="8"/>
  <c r="D51" i="15"/>
  <c r="D59" i="15" s="1"/>
  <c r="D46" i="15"/>
  <c r="K52" i="13"/>
  <c r="K54" i="8"/>
  <c r="K57" i="8" s="1"/>
  <c r="L46" i="12"/>
  <c r="L51" i="12"/>
  <c r="L59" i="12" s="1"/>
  <c r="G54" i="1"/>
  <c r="F51" i="4"/>
  <c r="F59" i="4" s="1"/>
  <c r="E24" i="8"/>
  <c r="E27" i="8" s="1"/>
  <c r="F46" i="4"/>
  <c r="C37" i="12"/>
  <c r="J38" i="11"/>
  <c r="J37" i="12" s="1"/>
  <c r="D46" i="8"/>
  <c r="C54" i="8"/>
  <c r="C57" i="8" s="1"/>
  <c r="D46" i="12"/>
  <c r="D51" i="12"/>
  <c r="D59" i="12" s="1"/>
  <c r="E14" i="8"/>
  <c r="E17" i="8" s="1"/>
  <c r="F46" i="16"/>
  <c r="F51" i="16"/>
  <c r="F59" i="16" s="1"/>
  <c r="J56" i="8"/>
  <c r="K52" i="10"/>
  <c r="K54" i="10" s="1"/>
  <c r="F41" i="8"/>
  <c r="L46" i="11"/>
  <c r="K49" i="8"/>
  <c r="K52" i="8" s="1"/>
  <c r="L51" i="11"/>
  <c r="L59" i="11" s="1"/>
  <c r="J38" i="15"/>
  <c r="J37" i="16" s="1"/>
  <c r="C37" i="16"/>
  <c r="D51" i="10"/>
  <c r="D59" i="10" s="1"/>
  <c r="C44" i="8"/>
  <c r="C47" i="8" s="1"/>
  <c r="D46" i="10"/>
  <c r="F56" i="8"/>
  <c r="J41" i="8"/>
  <c r="J26" i="8"/>
  <c r="D46" i="4"/>
  <c r="C24" i="8"/>
  <c r="C27" i="8" s="1"/>
  <c r="D51" i="4"/>
  <c r="D59" i="4" s="1"/>
  <c r="D46" i="1"/>
  <c r="C19" i="8"/>
  <c r="C22" i="8" s="1"/>
  <c r="D51" i="1"/>
  <c r="D59" i="1" s="1"/>
  <c r="E52" i="10"/>
  <c r="E54" i="10" s="1"/>
  <c r="L51" i="14"/>
  <c r="K4" i="8"/>
  <c r="K7" i="8" s="1"/>
  <c r="D51" i="8"/>
  <c r="G52" i="12"/>
  <c r="G54" i="12" s="1"/>
  <c r="K54" i="1"/>
  <c r="G52" i="13"/>
  <c r="J51" i="8"/>
  <c r="G10" i="18"/>
  <c r="C44" i="9"/>
  <c r="D41" i="8"/>
  <c r="G4" i="18"/>
  <c r="J11" i="8"/>
  <c r="E54" i="15"/>
  <c r="E54" i="16"/>
  <c r="F6" i="8"/>
  <c r="G12" i="18"/>
  <c r="C44" i="11"/>
  <c r="G5" i="18"/>
  <c r="C37" i="4"/>
  <c r="J38" i="1"/>
  <c r="J37" i="4" s="1"/>
  <c r="G54" i="16"/>
  <c r="F51" i="8"/>
  <c r="C49" i="8"/>
  <c r="C52" i="8" s="1"/>
  <c r="D46" i="11"/>
  <c r="D51" i="11"/>
  <c r="D59" i="11" s="1"/>
  <c r="K53" i="14"/>
  <c r="K54" i="15"/>
  <c r="F46" i="8"/>
  <c r="G53" i="14"/>
  <c r="I12" i="18"/>
  <c r="G11" i="18"/>
  <c r="C44" i="10"/>
  <c r="I5" i="18"/>
  <c r="C37" i="3"/>
  <c r="J38" i="4"/>
  <c r="J37" i="3" s="1"/>
  <c r="G6" i="18"/>
  <c r="D16" i="8"/>
  <c r="C37" i="13"/>
  <c r="J38" i="12"/>
  <c r="J37" i="13" s="1"/>
  <c r="D56" i="8"/>
  <c r="J727" i="2" l="1"/>
  <c r="J28" i="13"/>
  <c r="K62" i="15"/>
  <c r="E53" i="14"/>
  <c r="E54" i="4"/>
  <c r="L51" i="15"/>
  <c r="L59" i="15" s="1"/>
  <c r="G62" i="1"/>
  <c r="E62" i="4"/>
  <c r="D26" i="8"/>
  <c r="K9" i="8"/>
  <c r="K14" i="8"/>
  <c r="K17" i="8" s="1"/>
  <c r="J21" i="8"/>
  <c r="E54" i="14"/>
  <c r="F21" i="8"/>
  <c r="K54" i="16"/>
  <c r="F16" i="8"/>
  <c r="K62" i="16"/>
  <c r="D6" i="8"/>
  <c r="D21" i="8"/>
  <c r="U53" i="5"/>
  <c r="F26" i="8"/>
  <c r="K19" i="8"/>
  <c r="K22" i="8" s="1"/>
  <c r="L46" i="15"/>
  <c r="G54" i="15"/>
  <c r="O59" i="14"/>
  <c r="O61" i="14" s="1"/>
  <c r="L46" i="1"/>
  <c r="T60" i="12"/>
  <c r="T60" i="11"/>
  <c r="L51" i="1"/>
  <c r="L59" i="1" s="1"/>
  <c r="L62" i="1" s="1"/>
  <c r="O53" i="14"/>
  <c r="E54" i="1"/>
  <c r="E61" i="1"/>
  <c r="N62" i="4"/>
  <c r="N61" i="4"/>
  <c r="U62" i="14"/>
  <c r="U61" i="14"/>
  <c r="T62" i="4"/>
  <c r="T61" i="4"/>
  <c r="T62" i="14"/>
  <c r="T61" i="14"/>
  <c r="S62" i="4"/>
  <c r="S61" i="4"/>
  <c r="P61" i="4"/>
  <c r="P62" i="4"/>
  <c r="N62" i="16"/>
  <c r="N61" i="16"/>
  <c r="O62" i="16"/>
  <c r="O61" i="16"/>
  <c r="O62" i="4"/>
  <c r="O61" i="4"/>
  <c r="S62" i="14"/>
  <c r="S61" i="14"/>
  <c r="U62" i="16"/>
  <c r="U61" i="16"/>
  <c r="U62" i="4"/>
  <c r="U61" i="4"/>
  <c r="S62" i="16"/>
  <c r="S61" i="16"/>
  <c r="P61" i="16"/>
  <c r="P62" i="16"/>
  <c r="P62" i="14"/>
  <c r="P61" i="14"/>
  <c r="N62" i="14"/>
  <c r="N61" i="14"/>
  <c r="Q62" i="16"/>
  <c r="Q61" i="16"/>
  <c r="Q61" i="14"/>
  <c r="Q62" i="14"/>
  <c r="Q61" i="4"/>
  <c r="Q62" i="4"/>
  <c r="P61" i="3"/>
  <c r="P62" i="3"/>
  <c r="U60" i="11"/>
  <c r="O61" i="3"/>
  <c r="O62" i="3"/>
  <c r="T61" i="3"/>
  <c r="T62" i="3"/>
  <c r="Q62" i="3"/>
  <c r="Q61" i="3"/>
  <c r="U62" i="3"/>
  <c r="U61" i="3"/>
  <c r="U60" i="13"/>
  <c r="S62" i="3"/>
  <c r="S61" i="3"/>
  <c r="T60" i="13"/>
  <c r="S61" i="1"/>
  <c r="S62" i="1"/>
  <c r="P61" i="1"/>
  <c r="P62" i="1"/>
  <c r="O62" i="1"/>
  <c r="O61" i="1"/>
  <c r="Q62" i="1"/>
  <c r="Q61" i="1"/>
  <c r="H44" i="1"/>
  <c r="H47" i="1" s="1"/>
  <c r="T61" i="1"/>
  <c r="T62" i="1"/>
  <c r="N62" i="1"/>
  <c r="N61" i="1"/>
  <c r="N62" i="15"/>
  <c r="N61" i="15"/>
  <c r="H44" i="15"/>
  <c r="H47" i="15" s="1"/>
  <c r="Q62" i="15"/>
  <c r="Q61" i="15"/>
  <c r="O62" i="15"/>
  <c r="O61" i="15"/>
  <c r="S62" i="15"/>
  <c r="S61" i="15"/>
  <c r="T62" i="15"/>
  <c r="T61" i="15"/>
  <c r="P61" i="15"/>
  <c r="P62" i="15"/>
  <c r="U62" i="15"/>
  <c r="U61" i="15"/>
  <c r="Q53" i="5"/>
  <c r="O53" i="5"/>
  <c r="I728" i="2"/>
  <c r="D62" i="11"/>
  <c r="D61" i="11"/>
  <c r="C59" i="16"/>
  <c r="C47" i="16"/>
  <c r="C59" i="11"/>
  <c r="C47" i="11"/>
  <c r="C59" i="4"/>
  <c r="C47" i="4"/>
  <c r="C59" i="15"/>
  <c r="C47" i="15"/>
  <c r="D62" i="10"/>
  <c r="D61" i="10"/>
  <c r="F62" i="9"/>
  <c r="F61" i="9"/>
  <c r="E61" i="14"/>
  <c r="E62" i="14"/>
  <c r="K61" i="14"/>
  <c r="K62" i="14"/>
  <c r="D61" i="1"/>
  <c r="D62" i="1"/>
  <c r="F62" i="4"/>
  <c r="F61" i="4"/>
  <c r="D62" i="16"/>
  <c r="D61" i="16"/>
  <c r="D62" i="12"/>
  <c r="D61" i="12"/>
  <c r="C59" i="10"/>
  <c r="C47" i="10"/>
  <c r="L61" i="16"/>
  <c r="L62" i="16"/>
  <c r="L62" i="4"/>
  <c r="L61" i="4"/>
  <c r="L62" i="12"/>
  <c r="L61" i="12"/>
  <c r="F61" i="1"/>
  <c r="F62" i="1"/>
  <c r="F62" i="10"/>
  <c r="F61" i="10"/>
  <c r="C47" i="9"/>
  <c r="D62" i="4"/>
  <c r="D61" i="4"/>
  <c r="L61" i="11"/>
  <c r="L62" i="11"/>
  <c r="F61" i="16"/>
  <c r="F62" i="16"/>
  <c r="L62" i="10"/>
  <c r="L61" i="10"/>
  <c r="C59" i="14"/>
  <c r="C47" i="14"/>
  <c r="C59" i="12"/>
  <c r="C47" i="12"/>
  <c r="G62" i="14"/>
  <c r="G61" i="14"/>
  <c r="F59" i="14"/>
  <c r="F54" i="14"/>
  <c r="F62" i="11"/>
  <c r="F61" i="11"/>
  <c r="C59" i="1"/>
  <c r="C47" i="1"/>
  <c r="L59" i="14"/>
  <c r="L54" i="14"/>
  <c r="L62" i="9"/>
  <c r="L61" i="9"/>
  <c r="D59" i="14"/>
  <c r="D54" i="14"/>
  <c r="D61" i="9"/>
  <c r="D62" i="9"/>
  <c r="F62" i="12"/>
  <c r="F61" i="12"/>
  <c r="K53" i="16"/>
  <c r="E53" i="16"/>
  <c r="G53" i="1"/>
  <c r="G53" i="4"/>
  <c r="E53" i="4"/>
  <c r="K53" i="11"/>
  <c r="K53" i="12"/>
  <c r="K53" i="10"/>
  <c r="G53" i="10"/>
  <c r="R31" i="13"/>
  <c r="K729" i="2"/>
  <c r="K31" i="13" s="1"/>
  <c r="O31" i="13"/>
  <c r="J11" i="18"/>
  <c r="K11" i="18" s="1"/>
  <c r="L11" i="18"/>
  <c r="J7" i="18"/>
  <c r="K7" i="18" s="1"/>
  <c r="L7" i="18"/>
  <c r="J4" i="18"/>
  <c r="K4" i="18" s="1"/>
  <c r="L4" i="18"/>
  <c r="J5" i="18"/>
  <c r="K5" i="18" s="1"/>
  <c r="L5" i="18"/>
  <c r="J10" i="18"/>
  <c r="K10" i="18" s="1"/>
  <c r="L10" i="18"/>
  <c r="J13" i="18"/>
  <c r="K13" i="18" s="1"/>
  <c r="L13" i="18"/>
  <c r="J12" i="18"/>
  <c r="K12" i="18" s="1"/>
  <c r="L12" i="18"/>
  <c r="J3" i="18"/>
  <c r="K3" i="18" s="1"/>
  <c r="L3" i="18"/>
  <c r="J6" i="18"/>
  <c r="K6" i="18" s="1"/>
  <c r="L6" i="18"/>
  <c r="C29" i="13"/>
  <c r="H29" i="13" s="1"/>
  <c r="H729" i="42"/>
  <c r="G729" i="42"/>
  <c r="E729" i="42"/>
  <c r="D729" i="42"/>
  <c r="C729" i="42"/>
  <c r="B730" i="42"/>
  <c r="A729" i="42"/>
  <c r="K53" i="1"/>
  <c r="L728" i="2"/>
  <c r="F30" i="13"/>
  <c r="K53" i="4"/>
  <c r="E729" i="2"/>
  <c r="E31" i="13" s="1"/>
  <c r="A729" i="2"/>
  <c r="D729" i="2"/>
  <c r="D31" i="13" s="1"/>
  <c r="Q729" i="2"/>
  <c r="Q31" i="13" s="1"/>
  <c r="G729" i="2"/>
  <c r="G31" i="13" s="1"/>
  <c r="F729" i="2"/>
  <c r="F31" i="13" s="1"/>
  <c r="U31" i="13"/>
  <c r="W31" i="13"/>
  <c r="Y31" i="13"/>
  <c r="T31" i="13"/>
  <c r="X31" i="13"/>
  <c r="P31" i="13"/>
  <c r="AA31" i="13"/>
  <c r="N30" i="13"/>
  <c r="I30" i="13" s="1"/>
  <c r="H28" i="13"/>
  <c r="I29" i="13"/>
  <c r="C728" i="2"/>
  <c r="H728" i="2" s="1"/>
  <c r="D30" i="13"/>
  <c r="E53" i="10"/>
  <c r="G53" i="12"/>
  <c r="G53" i="11"/>
  <c r="E53" i="1"/>
  <c r="E53" i="12"/>
  <c r="C6" i="8"/>
  <c r="E41" i="8"/>
  <c r="F54" i="16"/>
  <c r="K41" i="8"/>
  <c r="H38" i="14"/>
  <c r="H37" i="15" s="1"/>
  <c r="H47" i="14"/>
  <c r="H44" i="11"/>
  <c r="H47" i="11" s="1"/>
  <c r="H38" i="11"/>
  <c r="H37" i="12" s="1"/>
  <c r="B42" i="8"/>
  <c r="C51" i="9"/>
  <c r="C59" i="9" s="1"/>
  <c r="C46" i="9"/>
  <c r="E53" i="15"/>
  <c r="H38" i="9"/>
  <c r="H37" i="10" s="1"/>
  <c r="H44" i="9"/>
  <c r="H47" i="9" s="1"/>
  <c r="L54" i="4"/>
  <c r="K6" i="8"/>
  <c r="C26" i="8"/>
  <c r="D52" i="13"/>
  <c r="K56" i="8"/>
  <c r="K46" i="8"/>
  <c r="B24" i="8"/>
  <c r="B27" i="8" s="1"/>
  <c r="C46" i="4"/>
  <c r="C51" i="4"/>
  <c r="L52" i="10"/>
  <c r="L54" i="10" s="1"/>
  <c r="D52" i="10"/>
  <c r="D54" i="10" s="1"/>
  <c r="C16" i="8"/>
  <c r="F52" i="10"/>
  <c r="F54" i="10" s="1"/>
  <c r="H44" i="12"/>
  <c r="H47" i="12" s="1"/>
  <c r="H38" i="12"/>
  <c r="H37" i="13" s="1"/>
  <c r="E46" i="8"/>
  <c r="C46" i="1"/>
  <c r="B19" i="8"/>
  <c r="B22" i="8" s="1"/>
  <c r="C51" i="1"/>
  <c r="C46" i="16"/>
  <c r="B14" i="8"/>
  <c r="B17" i="8" s="1"/>
  <c r="C51" i="16"/>
  <c r="L54" i="15"/>
  <c r="L53" i="14"/>
  <c r="D52" i="11"/>
  <c r="D54" i="11" s="1"/>
  <c r="F52" i="13"/>
  <c r="E6" i="8"/>
  <c r="C51" i="8"/>
  <c r="E16" i="8"/>
  <c r="H47" i="4"/>
  <c r="H38" i="4"/>
  <c r="H37" i="3" s="1"/>
  <c r="B49" i="8"/>
  <c r="B52" i="8" s="1"/>
  <c r="C46" i="11"/>
  <c r="C51" i="11"/>
  <c r="G53" i="15"/>
  <c r="H38" i="15"/>
  <c r="H37" i="16" s="1"/>
  <c r="L52" i="12"/>
  <c r="L54" i="12" s="1"/>
  <c r="B54" i="8"/>
  <c r="B57" i="8" s="1"/>
  <c r="C51" i="12"/>
  <c r="C46" i="12"/>
  <c r="E53" i="11"/>
  <c r="L54" i="16"/>
  <c r="D54" i="16"/>
  <c r="E26" i="8"/>
  <c r="L52" i="13"/>
  <c r="F54" i="4"/>
  <c r="B4" i="8"/>
  <c r="B7" i="8" s="1"/>
  <c r="C51" i="14"/>
  <c r="C54" i="14" s="1"/>
  <c r="D54" i="1"/>
  <c r="E56" i="8"/>
  <c r="F52" i="11"/>
  <c r="F54" i="11" s="1"/>
  <c r="D53" i="14"/>
  <c r="D54" i="15"/>
  <c r="H44" i="10"/>
  <c r="H47" i="10" s="1"/>
  <c r="H38" i="10"/>
  <c r="H37" i="11" s="1"/>
  <c r="K53" i="15"/>
  <c r="C51" i="15"/>
  <c r="C46" i="15"/>
  <c r="B9" i="8"/>
  <c r="D54" i="4"/>
  <c r="C46" i="8"/>
  <c r="K51" i="8"/>
  <c r="E51" i="8"/>
  <c r="C46" i="10"/>
  <c r="C51" i="10"/>
  <c r="B44" i="8"/>
  <c r="B47" i="8" s="1"/>
  <c r="D52" i="12"/>
  <c r="D54" i="12" s="1"/>
  <c r="H38" i="16"/>
  <c r="H47" i="16"/>
  <c r="C21" i="8"/>
  <c r="F54" i="1"/>
  <c r="C56" i="8"/>
  <c r="G53" i="16"/>
  <c r="L52" i="11"/>
  <c r="L54" i="11" s="1"/>
  <c r="E21" i="8"/>
  <c r="C41" i="8"/>
  <c r="F52" i="12"/>
  <c r="F54" i="12" s="1"/>
  <c r="K26" i="8"/>
  <c r="F54" i="15"/>
  <c r="F53" i="14"/>
  <c r="J728" i="2" l="1"/>
  <c r="K16" i="8"/>
  <c r="K21" i="8"/>
  <c r="H46" i="1"/>
  <c r="H51" i="1"/>
  <c r="H59" i="1" s="1"/>
  <c r="H61" i="1" s="1"/>
  <c r="G19" i="8"/>
  <c r="G22" i="8" s="1"/>
  <c r="L54" i="1"/>
  <c r="O62" i="14"/>
  <c r="L61" i="1"/>
  <c r="I729" i="2"/>
  <c r="C62" i="1"/>
  <c r="C61" i="1"/>
  <c r="D61" i="14"/>
  <c r="D62" i="14"/>
  <c r="C61" i="12"/>
  <c r="C62" i="12"/>
  <c r="C61" i="4"/>
  <c r="C62" i="4"/>
  <c r="C61" i="14"/>
  <c r="C62" i="14"/>
  <c r="C62" i="11"/>
  <c r="C61" i="11"/>
  <c r="F61" i="14"/>
  <c r="F62" i="14"/>
  <c r="H62" i="1"/>
  <c r="C61" i="16"/>
  <c r="C62" i="16"/>
  <c r="L62" i="14"/>
  <c r="L61" i="14"/>
  <c r="C62" i="9"/>
  <c r="C61" i="9"/>
  <c r="C61" i="10"/>
  <c r="C62" i="10"/>
  <c r="F53" i="15"/>
  <c r="L53" i="1"/>
  <c r="D53" i="15"/>
  <c r="L53" i="16"/>
  <c r="L53" i="4"/>
  <c r="F53" i="12"/>
  <c r="D53" i="12"/>
  <c r="F53" i="10"/>
  <c r="D53" i="11"/>
  <c r="L53" i="11"/>
  <c r="L53" i="10"/>
  <c r="R32" i="13"/>
  <c r="K730" i="2"/>
  <c r="K32" i="13" s="1"/>
  <c r="H730" i="42"/>
  <c r="G730" i="42"/>
  <c r="E730" i="42"/>
  <c r="D730" i="42"/>
  <c r="C730" i="42"/>
  <c r="A730" i="42"/>
  <c r="B731" i="42"/>
  <c r="U32" i="13"/>
  <c r="O32" i="13"/>
  <c r="P32" i="13"/>
  <c r="AA32" i="13"/>
  <c r="Y32" i="13"/>
  <c r="X32" i="13"/>
  <c r="T32" i="13"/>
  <c r="L53" i="12"/>
  <c r="C729" i="2"/>
  <c r="H729" i="2" s="1"/>
  <c r="C30" i="13"/>
  <c r="J30" i="13" s="1"/>
  <c r="N31" i="13"/>
  <c r="I31" i="13" s="1"/>
  <c r="J31" i="13" s="1"/>
  <c r="L30" i="13"/>
  <c r="C31" i="13"/>
  <c r="H31" i="13" s="1"/>
  <c r="E730" i="2"/>
  <c r="G730" i="2"/>
  <c r="G32" i="13" s="1"/>
  <c r="A730" i="2"/>
  <c r="F730" i="2"/>
  <c r="Q730" i="2"/>
  <c r="Q32" i="13" s="1"/>
  <c r="D730" i="2"/>
  <c r="D32" i="13" s="1"/>
  <c r="L31" i="13"/>
  <c r="L729" i="2"/>
  <c r="D53" i="4"/>
  <c r="J29" i="13"/>
  <c r="W32" i="13"/>
  <c r="D53" i="1"/>
  <c r="F53" i="1"/>
  <c r="F53" i="16"/>
  <c r="D53" i="10"/>
  <c r="F53" i="4"/>
  <c r="C54" i="15"/>
  <c r="C53" i="14"/>
  <c r="L53" i="15"/>
  <c r="H46" i="15"/>
  <c r="H51" i="15"/>
  <c r="H59" i="15" s="1"/>
  <c r="G9" i="8"/>
  <c r="C54" i="1"/>
  <c r="H46" i="12"/>
  <c r="H51" i="12"/>
  <c r="B16" i="8"/>
  <c r="B26" i="8"/>
  <c r="B51" i="8"/>
  <c r="B46" i="8"/>
  <c r="B6" i="8"/>
  <c r="C52" i="11"/>
  <c r="C54" i="11" s="1"/>
  <c r="C52" i="10"/>
  <c r="C54" i="10" s="1"/>
  <c r="B41" i="8"/>
  <c r="H51" i="14"/>
  <c r="G4" i="8"/>
  <c r="G7" i="8" s="1"/>
  <c r="C54" i="16"/>
  <c r="B56" i="8"/>
  <c r="H46" i="4"/>
  <c r="G24" i="8"/>
  <c r="G27" i="8" s="1"/>
  <c r="H51" i="4"/>
  <c r="H59" i="4" s="1"/>
  <c r="C54" i="4"/>
  <c r="G39" i="8"/>
  <c r="G42" i="8" s="1"/>
  <c r="H46" i="9"/>
  <c r="H51" i="9"/>
  <c r="H59" i="9" s="1"/>
  <c r="G14" i="8"/>
  <c r="G17" i="8" s="1"/>
  <c r="H51" i="16"/>
  <c r="H59" i="16" s="1"/>
  <c r="H46" i="16"/>
  <c r="H46" i="10"/>
  <c r="H51" i="10"/>
  <c r="H59" i="10" s="1"/>
  <c r="G44" i="8"/>
  <c r="F53" i="11"/>
  <c r="C52" i="13"/>
  <c r="D53" i="16"/>
  <c r="C52" i="12"/>
  <c r="C54" i="12" s="1"/>
  <c r="H51" i="11"/>
  <c r="H59" i="11" s="1"/>
  <c r="H46" i="11"/>
  <c r="B21" i="8"/>
  <c r="J729" i="2" l="1"/>
  <c r="G21" i="8"/>
  <c r="H59" i="12"/>
  <c r="H62" i="12" s="1"/>
  <c r="H52" i="13"/>
  <c r="I730" i="2"/>
  <c r="J730" i="2" s="1"/>
  <c r="G46" i="8"/>
  <c r="G47" i="8"/>
  <c r="R35" i="3"/>
  <c r="R44" i="3" s="1"/>
  <c r="H62" i="4"/>
  <c r="H61" i="4"/>
  <c r="H59" i="14"/>
  <c r="H54" i="14"/>
  <c r="H62" i="9"/>
  <c r="H61" i="9"/>
  <c r="H54" i="4"/>
  <c r="H62" i="10"/>
  <c r="H61" i="10"/>
  <c r="H61" i="11"/>
  <c r="H62" i="11"/>
  <c r="H61" i="16"/>
  <c r="H62" i="16"/>
  <c r="H61" i="12"/>
  <c r="C53" i="16"/>
  <c r="C53" i="11"/>
  <c r="R33" i="13"/>
  <c r="K731" i="2"/>
  <c r="K33" i="13" s="1"/>
  <c r="G41" i="8"/>
  <c r="O33" i="13"/>
  <c r="AA33" i="13"/>
  <c r="H731" i="42"/>
  <c r="G731" i="42"/>
  <c r="E731" i="42"/>
  <c r="D731" i="42"/>
  <c r="C731" i="42"/>
  <c r="A731" i="42"/>
  <c r="B732" i="42"/>
  <c r="N32" i="13"/>
  <c r="I32" i="13" s="1"/>
  <c r="L730" i="2"/>
  <c r="F32" i="13"/>
  <c r="C53" i="1"/>
  <c r="G731" i="2"/>
  <c r="G33" i="13" s="1"/>
  <c r="F731" i="2"/>
  <c r="E731" i="2"/>
  <c r="E33" i="13" s="1"/>
  <c r="A731" i="2"/>
  <c r="D731" i="2"/>
  <c r="D33" i="13" s="1"/>
  <c r="Q731" i="2"/>
  <c r="Q33" i="13" s="1"/>
  <c r="W33" i="13"/>
  <c r="W35" i="13" s="1"/>
  <c r="U33" i="13"/>
  <c r="P33" i="13"/>
  <c r="X33" i="13"/>
  <c r="X35" i="13" s="1"/>
  <c r="Y33" i="13"/>
  <c r="Y35" i="13" s="1"/>
  <c r="T33" i="13"/>
  <c r="C730" i="2"/>
  <c r="H730" i="2" s="1"/>
  <c r="E32" i="13"/>
  <c r="H30" i="13"/>
  <c r="C53" i="15"/>
  <c r="C53" i="12"/>
  <c r="H54" i="16"/>
  <c r="H52" i="12"/>
  <c r="H54" i="12" s="1"/>
  <c r="H52" i="10"/>
  <c r="H54" i="10" s="1"/>
  <c r="H54" i="15"/>
  <c r="H53" i="14"/>
  <c r="C53" i="4"/>
  <c r="G16" i="8"/>
  <c r="H53" i="4"/>
  <c r="G26" i="8"/>
  <c r="G6" i="8"/>
  <c r="H54" i="1"/>
  <c r="C53" i="10"/>
  <c r="H52" i="11"/>
  <c r="H54" i="11" s="1"/>
  <c r="G50" i="8" l="1"/>
  <c r="G49" i="8"/>
  <c r="I731" i="2"/>
  <c r="R6" i="9"/>
  <c r="O23" i="9"/>
  <c r="O30" i="9"/>
  <c r="O27" i="9"/>
  <c r="R11" i="9"/>
  <c r="O21" i="9"/>
  <c r="R12" i="9"/>
  <c r="O29" i="9"/>
  <c r="O10" i="9"/>
  <c r="O17" i="9"/>
  <c r="O14" i="9"/>
  <c r="O24" i="9"/>
  <c r="O19" i="9"/>
  <c r="R7" i="9"/>
  <c r="R30" i="9"/>
  <c r="O18" i="9"/>
  <c r="R10" i="9"/>
  <c r="O13" i="9"/>
  <c r="R31" i="9"/>
  <c r="O32" i="9"/>
  <c r="R33" i="9"/>
  <c r="R23" i="9"/>
  <c r="R29" i="9"/>
  <c r="O25" i="9"/>
  <c r="O34" i="9"/>
  <c r="R20" i="9"/>
  <c r="O16" i="9"/>
  <c r="O12" i="9"/>
  <c r="R16" i="9"/>
  <c r="R18" i="9"/>
  <c r="R15" i="9"/>
  <c r="O26" i="9"/>
  <c r="R32" i="9"/>
  <c r="R24" i="9"/>
  <c r="R8" i="9"/>
  <c r="R19" i="9"/>
  <c r="R17" i="9"/>
  <c r="O7" i="9"/>
  <c r="O22" i="9"/>
  <c r="R28" i="9"/>
  <c r="O9" i="9"/>
  <c r="R27" i="9"/>
  <c r="O31" i="9"/>
  <c r="R25" i="9"/>
  <c r="O6" i="9"/>
  <c r="O33" i="9"/>
  <c r="R22" i="9"/>
  <c r="R26" i="9"/>
  <c r="O11" i="9"/>
  <c r="R13" i="9"/>
  <c r="O15" i="9"/>
  <c r="O20" i="9"/>
  <c r="R14" i="9"/>
  <c r="O8" i="9"/>
  <c r="R21" i="9"/>
  <c r="R34" i="9"/>
  <c r="R9" i="9"/>
  <c r="O28" i="9"/>
  <c r="R4" i="9"/>
  <c r="I4" i="9" s="1"/>
  <c r="R4" i="12"/>
  <c r="R35" i="12" s="1"/>
  <c r="R44" i="12" s="1"/>
  <c r="R4" i="13"/>
  <c r="I4" i="13" s="1"/>
  <c r="J4" i="13" s="1"/>
  <c r="R4" i="10"/>
  <c r="I4" i="10" s="1"/>
  <c r="R4" i="11"/>
  <c r="R35" i="11" s="1"/>
  <c r="R44" i="11" s="1"/>
  <c r="R35" i="4"/>
  <c r="R44" i="4" s="1"/>
  <c r="I4" i="4"/>
  <c r="R35" i="16"/>
  <c r="R44" i="16" s="1"/>
  <c r="I4" i="16"/>
  <c r="Q29" i="8"/>
  <c r="Q32" i="8" s="1"/>
  <c r="R51" i="3"/>
  <c r="R35" i="5"/>
  <c r="R44" i="5" s="1"/>
  <c r="I4" i="5"/>
  <c r="R35" i="14"/>
  <c r="R44" i="14" s="1"/>
  <c r="I4" i="14"/>
  <c r="I4" i="1"/>
  <c r="R44" i="1"/>
  <c r="I4" i="15"/>
  <c r="R35" i="15"/>
  <c r="R44" i="15" s="1"/>
  <c r="H61" i="14"/>
  <c r="H62" i="14"/>
  <c r="H53" i="12"/>
  <c r="H53" i="11"/>
  <c r="R34" i="13"/>
  <c r="S732" i="2"/>
  <c r="S34" i="13" s="1"/>
  <c r="S35" i="13" s="1"/>
  <c r="S44" i="13" s="1"/>
  <c r="AA20" i="5"/>
  <c r="AA11" i="5"/>
  <c r="AA7" i="5"/>
  <c r="AA9" i="5"/>
  <c r="AA29" i="5"/>
  <c r="AA10" i="5"/>
  <c r="AA22" i="5"/>
  <c r="AA6" i="5"/>
  <c r="AA12" i="5"/>
  <c r="AA8" i="5"/>
  <c r="AA24" i="5"/>
  <c r="AA31" i="5"/>
  <c r="AA17" i="5"/>
  <c r="AA13" i="5"/>
  <c r="AA25" i="5"/>
  <c r="AA23" i="5"/>
  <c r="AA28" i="5"/>
  <c r="AA27" i="5"/>
  <c r="AA19" i="5"/>
  <c r="AA16" i="5"/>
  <c r="AA14" i="5"/>
  <c r="AA15" i="5"/>
  <c r="AA30" i="5"/>
  <c r="AA18" i="5"/>
  <c r="AA26" i="5"/>
  <c r="N24" i="5"/>
  <c r="T24" i="5"/>
  <c r="T35" i="5" s="1"/>
  <c r="T44" i="5" s="1"/>
  <c r="T51" i="5" s="1"/>
  <c r="T54" i="5" s="1"/>
  <c r="G24" i="5"/>
  <c r="F24" i="5"/>
  <c r="E24" i="5"/>
  <c r="D24" i="5"/>
  <c r="K24" i="5"/>
  <c r="P24" i="5"/>
  <c r="P35" i="5" s="1"/>
  <c r="P44" i="5" s="1"/>
  <c r="S44" i="5"/>
  <c r="K23" i="5"/>
  <c r="L23" i="5" s="1"/>
  <c r="E23" i="5"/>
  <c r="C23" i="5" s="1"/>
  <c r="E9" i="3"/>
  <c r="G4" i="3"/>
  <c r="G8" i="3"/>
  <c r="K13" i="3"/>
  <c r="D24" i="3"/>
  <c r="F15" i="3"/>
  <c r="F16" i="3"/>
  <c r="D16" i="3"/>
  <c r="D9" i="3"/>
  <c r="F22" i="3"/>
  <c r="G18" i="3"/>
  <c r="E15" i="3"/>
  <c r="E18" i="3"/>
  <c r="D29" i="3"/>
  <c r="E6" i="3"/>
  <c r="K19" i="3"/>
  <c r="E28" i="3"/>
  <c r="E7" i="3"/>
  <c r="D4" i="3"/>
  <c r="G7" i="3"/>
  <c r="D31" i="3"/>
  <c r="K22" i="3"/>
  <c r="G19" i="3"/>
  <c r="K18" i="3"/>
  <c r="G23" i="3"/>
  <c r="D25" i="3"/>
  <c r="F7" i="3"/>
  <c r="E29" i="3"/>
  <c r="K21" i="3"/>
  <c r="K4" i="3"/>
  <c r="D30" i="3"/>
  <c r="D23" i="3"/>
  <c r="D26" i="3"/>
  <c r="D5" i="3"/>
  <c r="E26" i="3"/>
  <c r="D18" i="3"/>
  <c r="G10" i="3"/>
  <c r="G16" i="3"/>
  <c r="F8" i="3"/>
  <c r="F11" i="3"/>
  <c r="E23" i="3"/>
  <c r="F10" i="3"/>
  <c r="G31" i="3"/>
  <c r="K20" i="3"/>
  <c r="E16" i="3"/>
  <c r="K31" i="3"/>
  <c r="G12" i="3"/>
  <c r="E14" i="3"/>
  <c r="D13" i="3"/>
  <c r="D8" i="3"/>
  <c r="D14" i="3"/>
  <c r="F4" i="3"/>
  <c r="F29" i="3"/>
  <c r="K26" i="3"/>
  <c r="G27" i="3"/>
  <c r="K11" i="3"/>
  <c r="F19" i="3"/>
  <c r="F24" i="3"/>
  <c r="F26" i="3"/>
  <c r="K10" i="3"/>
  <c r="E11" i="3"/>
  <c r="F27" i="3"/>
  <c r="G30" i="3"/>
  <c r="G26" i="3"/>
  <c r="G21" i="3"/>
  <c r="G22" i="3"/>
  <c r="D15" i="3"/>
  <c r="E5" i="3"/>
  <c r="K28" i="3"/>
  <c r="G25" i="3"/>
  <c r="F25" i="3"/>
  <c r="G9" i="3"/>
  <c r="G5" i="3"/>
  <c r="E13" i="3"/>
  <c r="K16" i="3"/>
  <c r="G6" i="3"/>
  <c r="F9" i="3"/>
  <c r="D7" i="3"/>
  <c r="G24" i="3"/>
  <c r="D27" i="3"/>
  <c r="D12" i="3"/>
  <c r="E20" i="3"/>
  <c r="K5" i="3"/>
  <c r="G11" i="3"/>
  <c r="E17" i="3"/>
  <c r="F20" i="3"/>
  <c r="E31" i="3"/>
  <c r="F6" i="3"/>
  <c r="K27" i="3"/>
  <c r="F21" i="3"/>
  <c r="D20" i="3"/>
  <c r="K8" i="3"/>
  <c r="E12" i="3"/>
  <c r="K14" i="3"/>
  <c r="G20" i="3"/>
  <c r="E24" i="3"/>
  <c r="F31" i="3"/>
  <c r="G28" i="3"/>
  <c r="K7" i="3"/>
  <c r="D21" i="3"/>
  <c r="F30" i="3"/>
  <c r="E10" i="3"/>
  <c r="F14" i="3"/>
  <c r="F13" i="3"/>
  <c r="E19" i="3"/>
  <c r="F12" i="3"/>
  <c r="K9" i="3"/>
  <c r="F28" i="3"/>
  <c r="D22" i="3"/>
  <c r="D17" i="3"/>
  <c r="F23" i="3"/>
  <c r="K25" i="3"/>
  <c r="E25" i="3"/>
  <c r="K15" i="3"/>
  <c r="D11" i="3"/>
  <c r="K12" i="3"/>
  <c r="K24" i="3"/>
  <c r="E8" i="3"/>
  <c r="K17" i="3"/>
  <c r="K30" i="3"/>
  <c r="D28" i="3"/>
  <c r="K6" i="3"/>
  <c r="F5" i="3"/>
  <c r="D10" i="3"/>
  <c r="E4" i="3"/>
  <c r="K23" i="3"/>
  <c r="G29" i="3"/>
  <c r="G15" i="3"/>
  <c r="K29" i="3"/>
  <c r="E30" i="3"/>
  <c r="G13" i="3"/>
  <c r="D19" i="3"/>
  <c r="E27" i="3"/>
  <c r="F18" i="3"/>
  <c r="F17" i="3"/>
  <c r="E22" i="3"/>
  <c r="E21" i="3"/>
  <c r="G14" i="3"/>
  <c r="G17" i="3"/>
  <c r="D6" i="3"/>
  <c r="N18" i="3"/>
  <c r="I18" i="3" s="1"/>
  <c r="N21" i="3"/>
  <c r="I21" i="3" s="1"/>
  <c r="N5" i="3"/>
  <c r="I5" i="3" s="1"/>
  <c r="N33" i="3"/>
  <c r="I33" i="3" s="1"/>
  <c r="J33" i="3" s="1"/>
  <c r="N7" i="3"/>
  <c r="I7" i="3" s="1"/>
  <c r="N10" i="3"/>
  <c r="I10" i="3" s="1"/>
  <c r="N23" i="3"/>
  <c r="I23" i="3" s="1"/>
  <c r="N19" i="3"/>
  <c r="I19" i="3" s="1"/>
  <c r="N16" i="3"/>
  <c r="I16" i="3" s="1"/>
  <c r="N13" i="3"/>
  <c r="I13" i="3" s="1"/>
  <c r="N17" i="3"/>
  <c r="I17" i="3" s="1"/>
  <c r="N14" i="3"/>
  <c r="I14" i="3" s="1"/>
  <c r="N26" i="3"/>
  <c r="I26" i="3" s="1"/>
  <c r="N9" i="3"/>
  <c r="I9" i="3" s="1"/>
  <c r="N24" i="3"/>
  <c r="I24" i="3" s="1"/>
  <c r="N25" i="3"/>
  <c r="I25" i="3" s="1"/>
  <c r="N30" i="3"/>
  <c r="I30" i="3" s="1"/>
  <c r="N6" i="3"/>
  <c r="I6" i="3" s="1"/>
  <c r="N31" i="3"/>
  <c r="I31" i="3" s="1"/>
  <c r="N28" i="3"/>
  <c r="I28" i="3" s="1"/>
  <c r="N32" i="3"/>
  <c r="I32" i="3" s="1"/>
  <c r="J32" i="3" s="1"/>
  <c r="N4" i="3"/>
  <c r="N12" i="3"/>
  <c r="I12" i="3" s="1"/>
  <c r="N8" i="3"/>
  <c r="I8" i="3" s="1"/>
  <c r="N20" i="3"/>
  <c r="I20" i="3" s="1"/>
  <c r="N29" i="3"/>
  <c r="I29" i="3" s="1"/>
  <c r="N15" i="3"/>
  <c r="I15" i="3" s="1"/>
  <c r="N22" i="3"/>
  <c r="I22" i="3" s="1"/>
  <c r="N11" i="3"/>
  <c r="I11" i="3" s="1"/>
  <c r="N27" i="3"/>
  <c r="I27" i="3" s="1"/>
  <c r="H732" i="42"/>
  <c r="G732" i="42"/>
  <c r="E732" i="42"/>
  <c r="D732" i="42"/>
  <c r="C732" i="42"/>
  <c r="A732" i="42"/>
  <c r="AA34" i="13"/>
  <c r="O34" i="13"/>
  <c r="L731" i="2"/>
  <c r="Y34" i="13"/>
  <c r="X34" i="13"/>
  <c r="U34" i="13"/>
  <c r="U35" i="13" s="1"/>
  <c r="U44" i="13" s="1"/>
  <c r="U51" i="13" s="1"/>
  <c r="U59" i="13" s="1"/>
  <c r="P34" i="13"/>
  <c r="T34" i="13"/>
  <c r="E5" i="5"/>
  <c r="F7" i="5"/>
  <c r="E4" i="5"/>
  <c r="K5" i="5"/>
  <c r="F5" i="5"/>
  <c r="D5" i="5"/>
  <c r="F8" i="5"/>
  <c r="K6" i="5"/>
  <c r="G7" i="5"/>
  <c r="F6" i="5"/>
  <c r="G5" i="5"/>
  <c r="E8" i="5"/>
  <c r="G6" i="5"/>
  <c r="K8" i="5"/>
  <c r="D7" i="5"/>
  <c r="K7" i="5"/>
  <c r="D8" i="5"/>
  <c r="E7" i="5"/>
  <c r="K4" i="5"/>
  <c r="G8" i="5"/>
  <c r="F4" i="5"/>
  <c r="D4" i="5"/>
  <c r="E6" i="5"/>
  <c r="G4" i="5"/>
  <c r="F9" i="5"/>
  <c r="E9" i="5"/>
  <c r="D6" i="5"/>
  <c r="G9" i="5"/>
  <c r="F10" i="5"/>
  <c r="G10" i="5"/>
  <c r="K9" i="5"/>
  <c r="D9" i="5"/>
  <c r="K10" i="5"/>
  <c r="E11" i="5"/>
  <c r="E10" i="5"/>
  <c r="G11" i="5"/>
  <c r="D10" i="5"/>
  <c r="F12" i="5"/>
  <c r="F11" i="5"/>
  <c r="K11" i="5"/>
  <c r="D11" i="5"/>
  <c r="K12" i="5"/>
  <c r="E12" i="5"/>
  <c r="D12" i="5"/>
  <c r="G12" i="5"/>
  <c r="L32" i="13"/>
  <c r="F732" i="2"/>
  <c r="F34" i="13" s="1"/>
  <c r="E732" i="2"/>
  <c r="E34" i="13" s="1"/>
  <c r="D732" i="2"/>
  <c r="A732" i="2"/>
  <c r="Q732" i="2"/>
  <c r="Q34" i="13" s="1"/>
  <c r="G732" i="2"/>
  <c r="G34" i="13" s="1"/>
  <c r="G35" i="13" s="1"/>
  <c r="K732" i="2"/>
  <c r="K34" i="13" s="1"/>
  <c r="W34" i="13"/>
  <c r="C33" i="13"/>
  <c r="F33" i="13"/>
  <c r="L33" i="13" s="1"/>
  <c r="J32" i="13"/>
  <c r="C731" i="2"/>
  <c r="H731" i="2" s="1"/>
  <c r="C32" i="13"/>
  <c r="N33" i="13"/>
  <c r="I33" i="13" s="1"/>
  <c r="H53" i="10"/>
  <c r="H53" i="16"/>
  <c r="H53" i="15"/>
  <c r="H53" i="1"/>
  <c r="J33" i="13" l="1"/>
  <c r="J731" i="2"/>
  <c r="I31" i="9"/>
  <c r="J31" i="9" s="1"/>
  <c r="G51" i="8"/>
  <c r="G52" i="8"/>
  <c r="I8" i="9"/>
  <c r="J8" i="9" s="1"/>
  <c r="R54" i="3"/>
  <c r="R53" i="3"/>
  <c r="T59" i="5"/>
  <c r="T62" i="5" s="1"/>
  <c r="T53" i="5"/>
  <c r="I7" i="9"/>
  <c r="J7" i="9" s="1"/>
  <c r="I20" i="9"/>
  <c r="J20" i="9" s="1"/>
  <c r="I28" i="9"/>
  <c r="J28" i="9" s="1"/>
  <c r="I33" i="9"/>
  <c r="J33" i="9" s="1"/>
  <c r="I11" i="9"/>
  <c r="J11" i="9" s="1"/>
  <c r="I19" i="9"/>
  <c r="J19" i="9" s="1"/>
  <c r="I21" i="9"/>
  <c r="J21" i="9" s="1"/>
  <c r="I12" i="9"/>
  <c r="J12" i="9" s="1"/>
  <c r="I32" i="9"/>
  <c r="J32" i="9" s="1"/>
  <c r="I24" i="9"/>
  <c r="J24" i="9" s="1"/>
  <c r="I27" i="9"/>
  <c r="J27" i="9" s="1"/>
  <c r="I15" i="9"/>
  <c r="J15" i="9" s="1"/>
  <c r="I16" i="9"/>
  <c r="J16" i="9" s="1"/>
  <c r="I14" i="9"/>
  <c r="J14" i="9" s="1"/>
  <c r="I30" i="9"/>
  <c r="J30" i="9" s="1"/>
  <c r="I22" i="9"/>
  <c r="J22" i="9" s="1"/>
  <c r="I13" i="9"/>
  <c r="J13" i="9" s="1"/>
  <c r="I17" i="9"/>
  <c r="J17" i="9" s="1"/>
  <c r="I23" i="9"/>
  <c r="J23" i="9" s="1"/>
  <c r="I9" i="9"/>
  <c r="J9" i="9" s="1"/>
  <c r="I34" i="9"/>
  <c r="J34" i="9" s="1"/>
  <c r="I10" i="9"/>
  <c r="J10" i="9" s="1"/>
  <c r="I26" i="9"/>
  <c r="J26" i="9" s="1"/>
  <c r="I25" i="9"/>
  <c r="J25" i="9" s="1"/>
  <c r="I18" i="9"/>
  <c r="J18" i="9" s="1"/>
  <c r="I29" i="9"/>
  <c r="J29" i="9" s="1"/>
  <c r="I732" i="2"/>
  <c r="I6" i="9"/>
  <c r="O35" i="9"/>
  <c r="O44" i="9" s="1"/>
  <c r="I4" i="11"/>
  <c r="J4" i="11" s="1"/>
  <c r="R35" i="10"/>
  <c r="R44" i="10" s="1"/>
  <c r="R51" i="10" s="1"/>
  <c r="R35" i="9"/>
  <c r="R44" i="9" s="1"/>
  <c r="R51" i="9" s="1"/>
  <c r="R59" i="9" s="1"/>
  <c r="I4" i="12"/>
  <c r="J4" i="12" s="1"/>
  <c r="R51" i="15"/>
  <c r="Q9" i="8"/>
  <c r="Q12" i="8" s="1"/>
  <c r="Q14" i="8"/>
  <c r="Q17" i="8" s="1"/>
  <c r="R51" i="16"/>
  <c r="Q4" i="8"/>
  <c r="R51" i="14"/>
  <c r="R51" i="12"/>
  <c r="Q54" i="8"/>
  <c r="Q57" i="8" s="1"/>
  <c r="J4" i="15"/>
  <c r="I35" i="15"/>
  <c r="I44" i="15" s="1"/>
  <c r="Q34" i="8"/>
  <c r="R51" i="5"/>
  <c r="J4" i="10"/>
  <c r="I35" i="10"/>
  <c r="R51" i="1"/>
  <c r="Q19" i="8"/>
  <c r="Q22" i="8" s="1"/>
  <c r="R52" i="5"/>
  <c r="R59" i="3"/>
  <c r="I35" i="16"/>
  <c r="I44" i="16" s="1"/>
  <c r="J4" i="16"/>
  <c r="J4" i="1"/>
  <c r="I35" i="1"/>
  <c r="I44" i="1" s="1"/>
  <c r="Q49" i="8"/>
  <c r="Q52" i="8" s="1"/>
  <c r="R51" i="11"/>
  <c r="Q31" i="8"/>
  <c r="J4" i="14"/>
  <c r="I35" i="14"/>
  <c r="I44" i="14" s="1"/>
  <c r="I38" i="14"/>
  <c r="J4" i="4"/>
  <c r="I35" i="4"/>
  <c r="I44" i="4" s="1"/>
  <c r="J4" i="9"/>
  <c r="Q24" i="8"/>
  <c r="Q27" i="8" s="1"/>
  <c r="R51" i="4"/>
  <c r="T52" i="9"/>
  <c r="L17" i="3"/>
  <c r="C8" i="3"/>
  <c r="H8" i="3" s="1"/>
  <c r="C7" i="3"/>
  <c r="H7" i="3" s="1"/>
  <c r="C24" i="5"/>
  <c r="H24" i="5" s="1"/>
  <c r="L24" i="5"/>
  <c r="S51" i="5"/>
  <c r="S54" i="5" s="1"/>
  <c r="R34" i="8"/>
  <c r="I24" i="5"/>
  <c r="N35" i="5"/>
  <c r="N44" i="5" s="1"/>
  <c r="O34" i="8"/>
  <c r="P51" i="5"/>
  <c r="P54" i="5" s="1"/>
  <c r="L13" i="3"/>
  <c r="L27" i="3"/>
  <c r="L24" i="3"/>
  <c r="H23" i="5"/>
  <c r="J23" i="5"/>
  <c r="L9" i="3"/>
  <c r="L30" i="3"/>
  <c r="L25" i="3"/>
  <c r="K35" i="5"/>
  <c r="K44" i="5" s="1"/>
  <c r="L23" i="3"/>
  <c r="L6" i="3"/>
  <c r="O35" i="13"/>
  <c r="O44" i="13" s="1"/>
  <c r="I4" i="3"/>
  <c r="I35" i="3" s="1"/>
  <c r="I44" i="3" s="1"/>
  <c r="N35" i="3"/>
  <c r="N44" i="3" s="1"/>
  <c r="K35" i="3"/>
  <c r="L15" i="3"/>
  <c r="K35" i="13"/>
  <c r="K44" i="13" s="1"/>
  <c r="K47" i="13" s="1"/>
  <c r="S51" i="13"/>
  <c r="S59" i="13" s="1"/>
  <c r="R59" i="8"/>
  <c r="R62" i="8" s="1"/>
  <c r="L29" i="3"/>
  <c r="T35" i="13"/>
  <c r="T44" i="13" s="1"/>
  <c r="T51" i="13" s="1"/>
  <c r="T59" i="13" s="1"/>
  <c r="P35" i="13"/>
  <c r="P44" i="13" s="1"/>
  <c r="R35" i="13"/>
  <c r="R44" i="13" s="1"/>
  <c r="F35" i="13"/>
  <c r="G35" i="5"/>
  <c r="G44" i="5" s="1"/>
  <c r="G47" i="5" s="1"/>
  <c r="L12" i="3"/>
  <c r="E35" i="5"/>
  <c r="E44" i="5" s="1"/>
  <c r="E47" i="5" s="1"/>
  <c r="F35" i="3"/>
  <c r="D35" i="5"/>
  <c r="E35" i="13"/>
  <c r="E44" i="13" s="1"/>
  <c r="E47" i="13" s="1"/>
  <c r="F35" i="5"/>
  <c r="G35" i="3"/>
  <c r="Q35" i="13"/>
  <c r="Q44" i="13" s="1"/>
  <c r="L18" i="3"/>
  <c r="L16" i="3"/>
  <c r="C10" i="3"/>
  <c r="H10" i="3" s="1"/>
  <c r="L4" i="3"/>
  <c r="C29" i="3"/>
  <c r="H29" i="3" s="1"/>
  <c r="C11" i="3"/>
  <c r="H11" i="3" s="1"/>
  <c r="C18" i="3"/>
  <c r="H18" i="3" s="1"/>
  <c r="C27" i="3"/>
  <c r="H27" i="3" s="1"/>
  <c r="C14" i="3"/>
  <c r="H14" i="3" s="1"/>
  <c r="E35" i="3"/>
  <c r="C22" i="3"/>
  <c r="H22" i="3" s="1"/>
  <c r="C21" i="3"/>
  <c r="H21" i="3" s="1"/>
  <c r="C20" i="3"/>
  <c r="H20" i="3" s="1"/>
  <c r="C28" i="3"/>
  <c r="J28" i="3" s="1"/>
  <c r="L11" i="3"/>
  <c r="C16" i="3"/>
  <c r="H16" i="3" s="1"/>
  <c r="C17" i="3"/>
  <c r="H17" i="3" s="1"/>
  <c r="L14" i="3"/>
  <c r="C31" i="3"/>
  <c r="H31" i="3" s="1"/>
  <c r="C30" i="3"/>
  <c r="H30" i="3" s="1"/>
  <c r="C6" i="3"/>
  <c r="H6" i="3" s="1"/>
  <c r="L28" i="3"/>
  <c r="C24" i="3"/>
  <c r="H24" i="3" s="1"/>
  <c r="L5" i="3"/>
  <c r="F38" i="3"/>
  <c r="L8" i="3"/>
  <c r="E38" i="3"/>
  <c r="E37" i="5" s="1"/>
  <c r="L20" i="3"/>
  <c r="C15" i="3"/>
  <c r="H15" i="3" s="1"/>
  <c r="C4" i="3"/>
  <c r="D35" i="3"/>
  <c r="D44" i="3" s="1"/>
  <c r="K38" i="3"/>
  <c r="K37" i="5" s="1"/>
  <c r="L26" i="3"/>
  <c r="L7" i="3"/>
  <c r="L21" i="3"/>
  <c r="L10" i="3"/>
  <c r="C5" i="3"/>
  <c r="H5" i="3" s="1"/>
  <c r="D38" i="3"/>
  <c r="D37" i="5" s="1"/>
  <c r="C25" i="3"/>
  <c r="H25" i="3" s="1"/>
  <c r="L22" i="3"/>
  <c r="C19" i="3"/>
  <c r="H19" i="3" s="1"/>
  <c r="L31" i="3"/>
  <c r="C12" i="3"/>
  <c r="H12" i="3" s="1"/>
  <c r="G38" i="3"/>
  <c r="G37" i="5" s="1"/>
  <c r="L19" i="3"/>
  <c r="C13" i="3"/>
  <c r="H13" i="3" s="1"/>
  <c r="C23" i="3"/>
  <c r="H23" i="3" s="1"/>
  <c r="C26" i="3"/>
  <c r="H26" i="3" s="1"/>
  <c r="C9" i="3"/>
  <c r="H9" i="3" s="1"/>
  <c r="I38" i="3"/>
  <c r="L8" i="5"/>
  <c r="L6" i="5"/>
  <c r="L7" i="5"/>
  <c r="L4" i="5"/>
  <c r="C10" i="5"/>
  <c r="H10" i="5" s="1"/>
  <c r="C12" i="5"/>
  <c r="H12" i="5" s="1"/>
  <c r="L34" i="13"/>
  <c r="L11" i="5"/>
  <c r="L12" i="5"/>
  <c r="L10" i="5"/>
  <c r="C7" i="5"/>
  <c r="H7" i="5" s="1"/>
  <c r="C8" i="5"/>
  <c r="H8" i="5" s="1"/>
  <c r="C5" i="5"/>
  <c r="D38" i="5"/>
  <c r="D37" i="9" s="1"/>
  <c r="L5" i="5"/>
  <c r="F38" i="5"/>
  <c r="K38" i="5"/>
  <c r="K37" i="9" s="1"/>
  <c r="C6" i="5"/>
  <c r="G38" i="5"/>
  <c r="G37" i="9" s="1"/>
  <c r="C4" i="5"/>
  <c r="E38" i="13"/>
  <c r="K38" i="13"/>
  <c r="C11" i="5"/>
  <c r="L9" i="5"/>
  <c r="E38" i="5"/>
  <c r="E37" i="9" s="1"/>
  <c r="C9" i="5"/>
  <c r="H32" i="13"/>
  <c r="D34" i="13"/>
  <c r="D35" i="13" s="1"/>
  <c r="C732" i="2"/>
  <c r="H732" i="2" s="1"/>
  <c r="H33" i="13"/>
  <c r="N34" i="13"/>
  <c r="N35" i="13" s="1"/>
  <c r="G44" i="13"/>
  <c r="G47" i="13" s="1"/>
  <c r="G38" i="13"/>
  <c r="L732" i="2"/>
  <c r="F38" i="13"/>
  <c r="J732" i="2" l="1"/>
  <c r="R64" i="8"/>
  <c r="Q7" i="8"/>
  <c r="L35" i="13"/>
  <c r="L35" i="5"/>
  <c r="O37" i="8"/>
  <c r="O69" i="8"/>
  <c r="Q37" i="8"/>
  <c r="Q69" i="8"/>
  <c r="R37" i="8"/>
  <c r="R69" i="8"/>
  <c r="R72" i="8" s="1"/>
  <c r="F44" i="3"/>
  <c r="L35" i="3"/>
  <c r="J44" i="14"/>
  <c r="J46" i="14" s="1"/>
  <c r="I46" i="14"/>
  <c r="G54" i="8"/>
  <c r="G55" i="8"/>
  <c r="J44" i="4"/>
  <c r="J44" i="1"/>
  <c r="J44" i="16"/>
  <c r="J44" i="15"/>
  <c r="R53" i="16"/>
  <c r="R54" i="16"/>
  <c r="R53" i="4"/>
  <c r="R54" i="4"/>
  <c r="R53" i="14"/>
  <c r="R54" i="14"/>
  <c r="R61" i="3"/>
  <c r="R62" i="3"/>
  <c r="E44" i="3"/>
  <c r="E51" i="3" s="1"/>
  <c r="G44" i="3"/>
  <c r="G51" i="3" s="1"/>
  <c r="K44" i="3"/>
  <c r="J29" i="8" s="1"/>
  <c r="J32" i="8" s="1"/>
  <c r="R54" i="1"/>
  <c r="R53" i="1"/>
  <c r="R53" i="15"/>
  <c r="R54" i="15"/>
  <c r="P59" i="5"/>
  <c r="P62" i="5" s="1"/>
  <c r="P53" i="5"/>
  <c r="S59" i="5"/>
  <c r="S62" i="5" s="1"/>
  <c r="S53" i="5"/>
  <c r="R53" i="5"/>
  <c r="R59" i="5"/>
  <c r="R62" i="5" s="1"/>
  <c r="R54" i="5"/>
  <c r="K47" i="5"/>
  <c r="I35" i="9"/>
  <c r="J35" i="9" s="1"/>
  <c r="J44" i="9" s="1"/>
  <c r="O51" i="9"/>
  <c r="O59" i="9" s="1"/>
  <c r="N39" i="8"/>
  <c r="J6" i="9"/>
  <c r="I38" i="9"/>
  <c r="Q39" i="8"/>
  <c r="Q42" i="8" s="1"/>
  <c r="Q44" i="8"/>
  <c r="Q47" i="8" s="1"/>
  <c r="I35" i="11"/>
  <c r="J35" i="11" s="1"/>
  <c r="J44" i="11" s="1"/>
  <c r="I35" i="12"/>
  <c r="J35" i="12" s="1"/>
  <c r="J44" i="12" s="1"/>
  <c r="J35" i="16"/>
  <c r="Q36" i="8"/>
  <c r="R59" i="15"/>
  <c r="J35" i="15"/>
  <c r="R59" i="14"/>
  <c r="R52" i="12"/>
  <c r="R59" i="11"/>
  <c r="Q21" i="8"/>
  <c r="Q51" i="8"/>
  <c r="R59" i="1"/>
  <c r="R52" i="11"/>
  <c r="R59" i="10"/>
  <c r="Q6" i="8"/>
  <c r="J35" i="1"/>
  <c r="J35" i="10"/>
  <c r="J44" i="10" s="1"/>
  <c r="I44" i="10"/>
  <c r="Q56" i="8"/>
  <c r="R59" i="16"/>
  <c r="J35" i="4"/>
  <c r="R52" i="10"/>
  <c r="R59" i="4"/>
  <c r="I37" i="15"/>
  <c r="J38" i="14"/>
  <c r="J37" i="15" s="1"/>
  <c r="R52" i="13"/>
  <c r="R59" i="12"/>
  <c r="Q16" i="8"/>
  <c r="J35" i="14"/>
  <c r="R52" i="9"/>
  <c r="Q11" i="8"/>
  <c r="Q26" i="8"/>
  <c r="P52" i="9"/>
  <c r="S52" i="9"/>
  <c r="J7" i="3"/>
  <c r="J8" i="3"/>
  <c r="O36" i="8"/>
  <c r="M34" i="8"/>
  <c r="N51" i="5"/>
  <c r="J24" i="5"/>
  <c r="I38" i="5"/>
  <c r="I37" i="9" s="1"/>
  <c r="I35" i="5"/>
  <c r="I44" i="5" s="1"/>
  <c r="R36" i="8"/>
  <c r="L44" i="13"/>
  <c r="L47" i="13" s="1"/>
  <c r="J59" i="8"/>
  <c r="K51" i="13"/>
  <c r="K46" i="13"/>
  <c r="J4" i="3"/>
  <c r="J10" i="3"/>
  <c r="C35" i="5"/>
  <c r="H35" i="5" s="1"/>
  <c r="N59" i="8"/>
  <c r="O51" i="13"/>
  <c r="O59" i="13" s="1"/>
  <c r="O59" i="8"/>
  <c r="O64" i="8" s="1"/>
  <c r="P51" i="13"/>
  <c r="P59" i="13" s="1"/>
  <c r="Q59" i="8"/>
  <c r="R51" i="13"/>
  <c r="R59" i="13" s="1"/>
  <c r="R67" i="8"/>
  <c r="R61" i="8"/>
  <c r="E46" i="13"/>
  <c r="D59" i="8"/>
  <c r="E51" i="13"/>
  <c r="P59" i="8"/>
  <c r="P64" i="8" s="1"/>
  <c r="Q51" i="13"/>
  <c r="Q59" i="13" s="1"/>
  <c r="J6" i="3"/>
  <c r="J29" i="3"/>
  <c r="J25" i="3"/>
  <c r="J18" i="3"/>
  <c r="J11" i="3"/>
  <c r="J20" i="3"/>
  <c r="J27" i="3"/>
  <c r="J14" i="3"/>
  <c r="H28" i="3"/>
  <c r="J19" i="3"/>
  <c r="J15" i="3"/>
  <c r="J26" i="3"/>
  <c r="J23" i="3"/>
  <c r="J16" i="3"/>
  <c r="J13" i="3"/>
  <c r="J22" i="3"/>
  <c r="J30" i="3"/>
  <c r="J21" i="3"/>
  <c r="L38" i="3"/>
  <c r="L37" i="5" s="1"/>
  <c r="F37" i="5"/>
  <c r="F47" i="3"/>
  <c r="J9" i="3"/>
  <c r="E8" i="18"/>
  <c r="D47" i="3"/>
  <c r="H4" i="3"/>
  <c r="C35" i="3"/>
  <c r="C44" i="3" s="1"/>
  <c r="H44" i="3" s="1"/>
  <c r="C38" i="3"/>
  <c r="C37" i="5" s="1"/>
  <c r="D8" i="18"/>
  <c r="F8" i="18"/>
  <c r="J5" i="3"/>
  <c r="J24" i="3"/>
  <c r="J31" i="3"/>
  <c r="J17" i="3"/>
  <c r="J12" i="3"/>
  <c r="I37" i="5"/>
  <c r="M29" i="8"/>
  <c r="M32" i="8" s="1"/>
  <c r="N51" i="3"/>
  <c r="J10" i="5"/>
  <c r="J12" i="5"/>
  <c r="J7" i="5"/>
  <c r="J8" i="5"/>
  <c r="J34" i="8"/>
  <c r="J69" i="8" s="1"/>
  <c r="K46" i="5"/>
  <c r="K51" i="5"/>
  <c r="D34" i="8"/>
  <c r="E46" i="5"/>
  <c r="E51" i="5"/>
  <c r="H4" i="5"/>
  <c r="J4" i="5"/>
  <c r="F9" i="18"/>
  <c r="C38" i="5"/>
  <c r="D9" i="18"/>
  <c r="H5" i="5"/>
  <c r="J5" i="5"/>
  <c r="H9" i="5"/>
  <c r="J9" i="5"/>
  <c r="L38" i="13"/>
  <c r="L38" i="5"/>
  <c r="L37" i="9" s="1"/>
  <c r="F37" i="9"/>
  <c r="H11" i="5"/>
  <c r="J11" i="5"/>
  <c r="D44" i="5"/>
  <c r="D47" i="5" s="1"/>
  <c r="E9" i="18"/>
  <c r="G51" i="5"/>
  <c r="F34" i="8"/>
  <c r="G46" i="5"/>
  <c r="H6" i="5"/>
  <c r="J6" i="5"/>
  <c r="F44" i="5"/>
  <c r="F47" i="5" s="1"/>
  <c r="G51" i="13"/>
  <c r="F59" i="8"/>
  <c r="G46" i="13"/>
  <c r="F44" i="13"/>
  <c r="F47" i="13" s="1"/>
  <c r="C34" i="13"/>
  <c r="C35" i="13" s="1"/>
  <c r="H35" i="13" s="1"/>
  <c r="D38" i="13"/>
  <c r="I34" i="13"/>
  <c r="I35" i="13" s="1"/>
  <c r="N44" i="13"/>
  <c r="D62" i="8" l="1"/>
  <c r="N62" i="8"/>
  <c r="N64" i="8"/>
  <c r="Q62" i="8"/>
  <c r="Q64" i="8"/>
  <c r="Q67" i="8" s="1"/>
  <c r="J62" i="8"/>
  <c r="J64" i="8"/>
  <c r="J66" i="8" s="1"/>
  <c r="D37" i="8"/>
  <c r="M37" i="8"/>
  <c r="M69" i="8"/>
  <c r="J37" i="8"/>
  <c r="K46" i="3"/>
  <c r="F37" i="8"/>
  <c r="E46" i="3"/>
  <c r="D29" i="8"/>
  <c r="D69" i="8" s="1"/>
  <c r="G57" i="8"/>
  <c r="G60" i="8" s="1"/>
  <c r="G56" i="8"/>
  <c r="F62" i="8"/>
  <c r="K51" i="3"/>
  <c r="K52" i="5" s="1"/>
  <c r="K54" i="5" s="1"/>
  <c r="K47" i="3"/>
  <c r="L44" i="3"/>
  <c r="L47" i="3" s="1"/>
  <c r="G47" i="3"/>
  <c r="R61" i="16"/>
  <c r="R62" i="16"/>
  <c r="F29" i="8"/>
  <c r="F32" i="8" s="1"/>
  <c r="R61" i="4"/>
  <c r="R62" i="4"/>
  <c r="R62" i="14"/>
  <c r="R61" i="14"/>
  <c r="G46" i="3"/>
  <c r="E47" i="3"/>
  <c r="J44" i="3"/>
  <c r="N54" i="3"/>
  <c r="N53" i="3"/>
  <c r="R62" i="1"/>
  <c r="R61" i="1"/>
  <c r="R62" i="15"/>
  <c r="R61" i="15"/>
  <c r="L44" i="5"/>
  <c r="L47" i="5" s="1"/>
  <c r="G59" i="5"/>
  <c r="G62" i="5" s="1"/>
  <c r="E59" i="5"/>
  <c r="E62" i="5" s="1"/>
  <c r="K59" i="5"/>
  <c r="K62" i="5" s="1"/>
  <c r="N59" i="5"/>
  <c r="N62" i="5" s="1"/>
  <c r="I47" i="3"/>
  <c r="Q46" i="8"/>
  <c r="I44" i="9"/>
  <c r="I51" i="9" s="1"/>
  <c r="I59" i="9" s="1"/>
  <c r="N42" i="8"/>
  <c r="N41" i="8"/>
  <c r="O52" i="10"/>
  <c r="I37" i="10"/>
  <c r="J38" i="9"/>
  <c r="J37" i="10" s="1"/>
  <c r="Q41" i="8"/>
  <c r="I44" i="11"/>
  <c r="I47" i="11" s="1"/>
  <c r="I44" i="12"/>
  <c r="I46" i="12" s="1"/>
  <c r="O67" i="8"/>
  <c r="O62" i="8"/>
  <c r="P61" i="8"/>
  <c r="P62" i="8"/>
  <c r="I47" i="5"/>
  <c r="J47" i="12"/>
  <c r="J46" i="12"/>
  <c r="I54" i="8"/>
  <c r="I57" i="8" s="1"/>
  <c r="J51" i="12"/>
  <c r="J47" i="14"/>
  <c r="I4" i="8"/>
  <c r="I7" i="8" s="1"/>
  <c r="J51" i="14"/>
  <c r="I47" i="14"/>
  <c r="I51" i="14"/>
  <c r="H4" i="8"/>
  <c r="H7" i="8" s="1"/>
  <c r="J47" i="11"/>
  <c r="I49" i="8"/>
  <c r="I52" i="8" s="1"/>
  <c r="J51" i="11"/>
  <c r="J46" i="11"/>
  <c r="I47" i="10"/>
  <c r="H44" i="8"/>
  <c r="H47" i="8" s="1"/>
  <c r="I51" i="10"/>
  <c r="I46" i="10"/>
  <c r="J47" i="15"/>
  <c r="I9" i="8"/>
  <c r="J51" i="15"/>
  <c r="J46" i="15"/>
  <c r="I47" i="16"/>
  <c r="I51" i="16"/>
  <c r="H14" i="8"/>
  <c r="H17" i="8" s="1"/>
  <c r="I46" i="16"/>
  <c r="J47" i="10"/>
  <c r="I44" i="8"/>
  <c r="I47" i="8" s="1"/>
  <c r="J51" i="10"/>
  <c r="J46" i="10"/>
  <c r="I47" i="15"/>
  <c r="I51" i="15"/>
  <c r="I46" i="15"/>
  <c r="H9" i="8"/>
  <c r="J47" i="16"/>
  <c r="J51" i="16"/>
  <c r="I14" i="8"/>
  <c r="I17" i="8" s="1"/>
  <c r="J46" i="16"/>
  <c r="J47" i="4"/>
  <c r="I24" i="8"/>
  <c r="I27" i="8" s="1"/>
  <c r="J46" i="4"/>
  <c r="J51" i="4"/>
  <c r="J47" i="9"/>
  <c r="J46" i="9"/>
  <c r="I39" i="8"/>
  <c r="I42" i="8" s="1"/>
  <c r="J51" i="9"/>
  <c r="J59" i="9" s="1"/>
  <c r="J47" i="1"/>
  <c r="J46" i="1"/>
  <c r="J51" i="1"/>
  <c r="I19" i="8"/>
  <c r="I22" i="8" s="1"/>
  <c r="I47" i="4"/>
  <c r="H24" i="8"/>
  <c r="H27" i="8" s="1"/>
  <c r="I46" i="4"/>
  <c r="I51" i="4"/>
  <c r="I47" i="1"/>
  <c r="I46" i="1"/>
  <c r="H19" i="8"/>
  <c r="H22" i="8" s="1"/>
  <c r="I51" i="1"/>
  <c r="G59" i="13"/>
  <c r="G54" i="13"/>
  <c r="N52" i="5"/>
  <c r="N54" i="5" s="1"/>
  <c r="N59" i="3"/>
  <c r="G59" i="3"/>
  <c r="G54" i="3"/>
  <c r="E59" i="13"/>
  <c r="E54" i="13"/>
  <c r="K59" i="13"/>
  <c r="K54" i="13"/>
  <c r="E59" i="3"/>
  <c r="E54" i="3"/>
  <c r="E53" i="13"/>
  <c r="K53" i="13"/>
  <c r="E53" i="3"/>
  <c r="N52" i="9"/>
  <c r="O61" i="8"/>
  <c r="J61" i="8"/>
  <c r="I46" i="5"/>
  <c r="H34" i="8"/>
  <c r="I51" i="5"/>
  <c r="I59" i="5" s="1"/>
  <c r="M36" i="8"/>
  <c r="Q72" i="8"/>
  <c r="Q61" i="8"/>
  <c r="J35" i="5"/>
  <c r="N61" i="8"/>
  <c r="D61" i="8"/>
  <c r="R66" i="8"/>
  <c r="R71" i="8"/>
  <c r="P72" i="8"/>
  <c r="J35" i="13"/>
  <c r="E52" i="5"/>
  <c r="E54" i="5" s="1"/>
  <c r="C52" i="5" a="1"/>
  <c r="C52" i="5" s="1"/>
  <c r="H35" i="3"/>
  <c r="G8" i="18"/>
  <c r="J38" i="3"/>
  <c r="J37" i="5" s="1"/>
  <c r="G52" i="5"/>
  <c r="G54" i="5" s="1"/>
  <c r="G53" i="3"/>
  <c r="F46" i="3"/>
  <c r="E29" i="8"/>
  <c r="E32" i="8" s="1"/>
  <c r="F51" i="3"/>
  <c r="J35" i="3"/>
  <c r="I8" i="18"/>
  <c r="C29" i="8"/>
  <c r="C32" i="8" s="1"/>
  <c r="D46" i="3"/>
  <c r="D51" i="3"/>
  <c r="J31" i="8"/>
  <c r="M31" i="8"/>
  <c r="I46" i="3"/>
  <c r="H29" i="8"/>
  <c r="H32" i="8" s="1"/>
  <c r="I51" i="3"/>
  <c r="M59" i="8"/>
  <c r="N51" i="13"/>
  <c r="N59" i="13" s="1"/>
  <c r="I9" i="18"/>
  <c r="E52" i="9"/>
  <c r="E54" i="9" s="1"/>
  <c r="D36" i="8"/>
  <c r="F51" i="5"/>
  <c r="F46" i="5"/>
  <c r="E34" i="8"/>
  <c r="K52" i="9"/>
  <c r="K54" i="9" s="1"/>
  <c r="F36" i="8"/>
  <c r="D51" i="5"/>
  <c r="D46" i="5"/>
  <c r="C34" i="8"/>
  <c r="J38" i="5"/>
  <c r="J37" i="9" s="1"/>
  <c r="C37" i="9"/>
  <c r="G52" i="9"/>
  <c r="G54" i="9" s="1"/>
  <c r="C44" i="5"/>
  <c r="H44" i="5" s="1"/>
  <c r="G9" i="18"/>
  <c r="J36" i="8"/>
  <c r="J34" i="13"/>
  <c r="I38" i="13"/>
  <c r="F51" i="13"/>
  <c r="E59" i="8"/>
  <c r="F46" i="13"/>
  <c r="L46" i="13"/>
  <c r="K59" i="8"/>
  <c r="L51" i="13"/>
  <c r="D44" i="13"/>
  <c r="D47" i="13" s="1"/>
  <c r="E14" i="18"/>
  <c r="F61" i="8"/>
  <c r="H34" i="13"/>
  <c r="D14" i="18"/>
  <c r="D16" i="18" s="1"/>
  <c r="C38" i="13"/>
  <c r="F14" i="18"/>
  <c r="G53" i="13"/>
  <c r="F69" i="8" l="1"/>
  <c r="L51" i="5"/>
  <c r="L46" i="3"/>
  <c r="C69" i="8"/>
  <c r="D32" i="8"/>
  <c r="L46" i="5"/>
  <c r="K34" i="8"/>
  <c r="K37" i="8" s="1"/>
  <c r="D31" i="8"/>
  <c r="D64" i="8"/>
  <c r="E62" i="8"/>
  <c r="E64" i="8"/>
  <c r="K64" i="8" s="1"/>
  <c r="E69" i="8"/>
  <c r="F64" i="8"/>
  <c r="M62" i="8"/>
  <c r="M64" i="8"/>
  <c r="H69" i="8"/>
  <c r="G59" i="8"/>
  <c r="G61" i="8" s="1"/>
  <c r="E61" i="5"/>
  <c r="E37" i="8"/>
  <c r="C37" i="8"/>
  <c r="H37" i="8"/>
  <c r="G61" i="5"/>
  <c r="K62" i="8"/>
  <c r="K61" i="8"/>
  <c r="F31" i="8"/>
  <c r="K29" i="8"/>
  <c r="K32" i="8" s="1"/>
  <c r="K54" i="3"/>
  <c r="K59" i="3"/>
  <c r="K53" i="3"/>
  <c r="L51" i="3"/>
  <c r="L54" i="3" s="1"/>
  <c r="J72" i="8"/>
  <c r="J71" i="8"/>
  <c r="K61" i="5"/>
  <c r="N62" i="3"/>
  <c r="N61" i="3"/>
  <c r="J44" i="5"/>
  <c r="I34" i="8" s="1"/>
  <c r="I37" i="8" s="1"/>
  <c r="F59" i="5"/>
  <c r="F62" i="5" s="1"/>
  <c r="J47" i="3"/>
  <c r="D59" i="5"/>
  <c r="D62" i="5" s="1"/>
  <c r="N53" i="5"/>
  <c r="L59" i="5"/>
  <c r="L62" i="5" s="1"/>
  <c r="C47" i="5"/>
  <c r="I47" i="9"/>
  <c r="I46" i="9"/>
  <c r="H39" i="8"/>
  <c r="H42" i="8" s="1"/>
  <c r="I47" i="12"/>
  <c r="H49" i="8"/>
  <c r="H52" i="8" s="1"/>
  <c r="I51" i="11"/>
  <c r="I59" i="11" s="1"/>
  <c r="O66" i="8"/>
  <c r="I46" i="11"/>
  <c r="I51" i="12"/>
  <c r="I59" i="12" s="1"/>
  <c r="H54" i="8"/>
  <c r="H57" i="8" s="1"/>
  <c r="J67" i="8"/>
  <c r="N71" i="8"/>
  <c r="N72" i="8"/>
  <c r="O71" i="8"/>
  <c r="O72" i="8"/>
  <c r="N66" i="8"/>
  <c r="N67" i="8"/>
  <c r="P66" i="8"/>
  <c r="P67" i="8"/>
  <c r="I54" i="3"/>
  <c r="I59" i="4"/>
  <c r="J52" i="10"/>
  <c r="J54" i="10" s="1"/>
  <c r="J59" i="12"/>
  <c r="J52" i="13"/>
  <c r="I41" i="8"/>
  <c r="I16" i="8"/>
  <c r="J59" i="10"/>
  <c r="J52" i="11"/>
  <c r="J54" i="11" s="1"/>
  <c r="J59" i="15"/>
  <c r="J54" i="16"/>
  <c r="J59" i="11"/>
  <c r="J52" i="12"/>
  <c r="J54" i="12" s="1"/>
  <c r="I56" i="8"/>
  <c r="I52" i="10"/>
  <c r="I54" i="10" s="1"/>
  <c r="H26" i="8"/>
  <c r="J59" i="16"/>
  <c r="J54" i="1"/>
  <c r="I46" i="8"/>
  <c r="I51" i="8"/>
  <c r="I59" i="1"/>
  <c r="I54" i="4"/>
  <c r="I21" i="8"/>
  <c r="J59" i="4"/>
  <c r="J54" i="15"/>
  <c r="J53" i="14"/>
  <c r="J59" i="14"/>
  <c r="J54" i="14"/>
  <c r="H16" i="8"/>
  <c r="I59" i="10"/>
  <c r="I52" i="11"/>
  <c r="H6" i="8"/>
  <c r="H21" i="8"/>
  <c r="J59" i="1"/>
  <c r="J54" i="4"/>
  <c r="I26" i="8"/>
  <c r="I59" i="15"/>
  <c r="I54" i="16"/>
  <c r="I59" i="16"/>
  <c r="I54" i="1"/>
  <c r="H46" i="8"/>
  <c r="I53" i="14"/>
  <c r="I59" i="14"/>
  <c r="I54" i="15"/>
  <c r="I54" i="14"/>
  <c r="I6" i="8"/>
  <c r="K62" i="3"/>
  <c r="K61" i="3"/>
  <c r="F59" i="3"/>
  <c r="F54" i="3"/>
  <c r="E61" i="3"/>
  <c r="E62" i="3"/>
  <c r="G61" i="3"/>
  <c r="G62" i="3"/>
  <c r="L59" i="13"/>
  <c r="L54" i="13"/>
  <c r="C59" i="3"/>
  <c r="C47" i="3"/>
  <c r="K61" i="13"/>
  <c r="K62" i="13"/>
  <c r="F59" i="13"/>
  <c r="F54" i="13"/>
  <c r="D59" i="3"/>
  <c r="D54" i="3"/>
  <c r="I59" i="3"/>
  <c r="E61" i="13"/>
  <c r="E62" i="13"/>
  <c r="G62" i="13"/>
  <c r="G61" i="13"/>
  <c r="G53" i="5"/>
  <c r="E53" i="5"/>
  <c r="I52" i="9"/>
  <c r="I54" i="9" s="1"/>
  <c r="I62" i="5"/>
  <c r="H36" i="8"/>
  <c r="Q66" i="8"/>
  <c r="Q71" i="8"/>
  <c r="J8" i="18"/>
  <c r="K8" i="18" s="1"/>
  <c r="L8" i="18"/>
  <c r="J9" i="18"/>
  <c r="K9" i="18" s="1"/>
  <c r="L9" i="18"/>
  <c r="K53" i="5"/>
  <c r="P71" i="8"/>
  <c r="F52" i="5"/>
  <c r="F54" i="5" s="1"/>
  <c r="F53" i="3"/>
  <c r="E31" i="8"/>
  <c r="I29" i="8"/>
  <c r="I32" i="8" s="1"/>
  <c r="D52" i="5"/>
  <c r="D54" i="5" s="1"/>
  <c r="D53" i="3"/>
  <c r="J46" i="3"/>
  <c r="J51" i="3"/>
  <c r="H38" i="3"/>
  <c r="H37" i="5" s="1"/>
  <c r="H47" i="3"/>
  <c r="C31" i="8"/>
  <c r="C51" i="3"/>
  <c r="C54" i="3" s="1"/>
  <c r="C46" i="3"/>
  <c r="B29" i="8"/>
  <c r="B32" i="8" s="1"/>
  <c r="I52" i="5"/>
  <c r="I54" i="5" s="1"/>
  <c r="H31" i="8"/>
  <c r="M67" i="8"/>
  <c r="M72" i="8"/>
  <c r="M61" i="8"/>
  <c r="G53" i="9"/>
  <c r="L52" i="9"/>
  <c r="L54" i="9" s="1"/>
  <c r="F52" i="9"/>
  <c r="F54" i="9" s="1"/>
  <c r="H47" i="5"/>
  <c r="H38" i="5"/>
  <c r="H37" i="9" s="1"/>
  <c r="C36" i="8"/>
  <c r="K53" i="9"/>
  <c r="E36" i="8"/>
  <c r="C51" i="5"/>
  <c r="C59" i="5" s="1"/>
  <c r="C62" i="5" s="1"/>
  <c r="B34" i="8"/>
  <c r="C46" i="5"/>
  <c r="D52" i="9"/>
  <c r="D54" i="9" s="1"/>
  <c r="E53" i="9"/>
  <c r="J38" i="13"/>
  <c r="E61" i="8"/>
  <c r="C44" i="13"/>
  <c r="G14" i="18"/>
  <c r="D46" i="13"/>
  <c r="D51" i="13"/>
  <c r="C59" i="8"/>
  <c r="F53" i="13"/>
  <c r="I14" i="18"/>
  <c r="L53" i="13"/>
  <c r="I44" i="13"/>
  <c r="K36" i="8" l="1"/>
  <c r="B69" i="8"/>
  <c r="C62" i="8"/>
  <c r="C64" i="8"/>
  <c r="K31" i="8"/>
  <c r="B37" i="8"/>
  <c r="J44" i="13"/>
  <c r="I59" i="8" s="1"/>
  <c r="I62" i="8" s="1"/>
  <c r="L59" i="3"/>
  <c r="L62" i="3" s="1"/>
  <c r="L53" i="3"/>
  <c r="L52" i="5"/>
  <c r="L54" i="5" s="1"/>
  <c r="J51" i="5"/>
  <c r="J59" i="5" s="1"/>
  <c r="J62" i="5" s="1"/>
  <c r="J46" i="5"/>
  <c r="F61" i="5"/>
  <c r="J47" i="5"/>
  <c r="D61" i="5"/>
  <c r="L61" i="5"/>
  <c r="H41" i="8"/>
  <c r="I52" i="12"/>
  <c r="I54" i="12" s="1"/>
  <c r="H51" i="8"/>
  <c r="I54" i="11"/>
  <c r="I53" i="3"/>
  <c r="H56" i="8"/>
  <c r="I52" i="13"/>
  <c r="I53" i="10"/>
  <c r="I47" i="13"/>
  <c r="J53" i="11"/>
  <c r="I53" i="1"/>
  <c r="I61" i="14"/>
  <c r="I62" i="14"/>
  <c r="J53" i="1"/>
  <c r="I62" i="12"/>
  <c r="I61" i="12"/>
  <c r="J62" i="10"/>
  <c r="J61" i="10"/>
  <c r="I61" i="16"/>
  <c r="I62" i="16"/>
  <c r="J62" i="1"/>
  <c r="J61" i="1"/>
  <c r="J61" i="14"/>
  <c r="J62" i="14"/>
  <c r="J62" i="11"/>
  <c r="J61" i="11"/>
  <c r="I53" i="11"/>
  <c r="I53" i="16"/>
  <c r="J62" i="4"/>
  <c r="J61" i="4"/>
  <c r="I53" i="15"/>
  <c r="I62" i="10"/>
  <c r="I61" i="10"/>
  <c r="I62" i="9"/>
  <c r="I61" i="9"/>
  <c r="J53" i="15"/>
  <c r="I62" i="11"/>
  <c r="I61" i="11"/>
  <c r="J53" i="16"/>
  <c r="J53" i="10"/>
  <c r="J62" i="9"/>
  <c r="J61" i="9"/>
  <c r="I62" i="1"/>
  <c r="I61" i="1"/>
  <c r="J53" i="4"/>
  <c r="J61" i="16"/>
  <c r="J62" i="16"/>
  <c r="J53" i="12"/>
  <c r="I53" i="4"/>
  <c r="I61" i="4"/>
  <c r="I62" i="4"/>
  <c r="J62" i="12"/>
  <c r="J61" i="12"/>
  <c r="I61" i="3"/>
  <c r="I62" i="3"/>
  <c r="C59" i="13"/>
  <c r="C47" i="13"/>
  <c r="C62" i="3"/>
  <c r="C61" i="3"/>
  <c r="F61" i="3"/>
  <c r="F62" i="3"/>
  <c r="D61" i="3"/>
  <c r="D62" i="3"/>
  <c r="L62" i="13"/>
  <c r="L61" i="13"/>
  <c r="D59" i="13"/>
  <c r="D54" i="13"/>
  <c r="J59" i="3"/>
  <c r="J54" i="3"/>
  <c r="F62" i="13"/>
  <c r="F61" i="13"/>
  <c r="L61" i="3"/>
  <c r="C61" i="5"/>
  <c r="J52" i="5"/>
  <c r="D53" i="5"/>
  <c r="I53" i="9"/>
  <c r="I61" i="5"/>
  <c r="J14" i="18"/>
  <c r="K14" i="18" s="1"/>
  <c r="L14" i="18"/>
  <c r="F53" i="5"/>
  <c r="I31" i="8"/>
  <c r="J53" i="3"/>
  <c r="B31" i="8"/>
  <c r="G29" i="8"/>
  <c r="G32" i="8" s="1"/>
  <c r="H51" i="3"/>
  <c r="H46" i="3"/>
  <c r="C53" i="3"/>
  <c r="I53" i="5"/>
  <c r="M71" i="8"/>
  <c r="M66" i="8"/>
  <c r="K69" i="8"/>
  <c r="D53" i="9"/>
  <c r="L53" i="9"/>
  <c r="G34" i="8"/>
  <c r="G37" i="8" s="1"/>
  <c r="H51" i="5"/>
  <c r="H46" i="5"/>
  <c r="B36" i="8"/>
  <c r="F53" i="9"/>
  <c r="C52" i="9"/>
  <c r="C54" i="9" s="1"/>
  <c r="I36" i="8"/>
  <c r="C46" i="13"/>
  <c r="B59" i="8"/>
  <c r="B64" i="8" s="1"/>
  <c r="C51" i="13"/>
  <c r="C54" i="13" s="1"/>
  <c r="H44" i="13"/>
  <c r="H47" i="13" s="1"/>
  <c r="H38" i="13"/>
  <c r="H59" i="8"/>
  <c r="H64" i="8" s="1"/>
  <c r="I51" i="13"/>
  <c r="I46" i="13"/>
  <c r="D53" i="13"/>
  <c r="C61" i="8"/>
  <c r="L53" i="5" l="1"/>
  <c r="J51" i="13"/>
  <c r="J54" i="13" s="1"/>
  <c r="J46" i="13"/>
  <c r="J47" i="13"/>
  <c r="J52" i="9"/>
  <c r="J54" i="9" s="1"/>
  <c r="J53" i="5"/>
  <c r="H59" i="5"/>
  <c r="H62" i="5" s="1"/>
  <c r="C54" i="5"/>
  <c r="H62" i="8"/>
  <c r="I53" i="12"/>
  <c r="I54" i="13"/>
  <c r="B62" i="8"/>
  <c r="H59" i="3"/>
  <c r="H54" i="3"/>
  <c r="D62" i="13"/>
  <c r="D61" i="13"/>
  <c r="C62" i="13"/>
  <c r="C61" i="13"/>
  <c r="J62" i="3"/>
  <c r="J61" i="3"/>
  <c r="J54" i="5"/>
  <c r="I59" i="13"/>
  <c r="J61" i="5"/>
  <c r="C53" i="5"/>
  <c r="H52" i="5"/>
  <c r="H54" i="5" s="1"/>
  <c r="H53" i="3"/>
  <c r="G31" i="8"/>
  <c r="H52" i="9"/>
  <c r="H54" i="9" s="1"/>
  <c r="G36" i="8"/>
  <c r="C53" i="9"/>
  <c r="H61" i="8"/>
  <c r="I61" i="8"/>
  <c r="H51" i="13"/>
  <c r="H53" i="13" s="1"/>
  <c r="G62" i="8"/>
  <c r="H46" i="13"/>
  <c r="C53" i="13"/>
  <c r="B61" i="8"/>
  <c r="I53" i="13"/>
  <c r="J53" i="13" l="1"/>
  <c r="I62" i="13"/>
  <c r="J59" i="13"/>
  <c r="J62" i="13" s="1"/>
  <c r="J53" i="9"/>
  <c r="H61" i="5"/>
  <c r="E16" i="18"/>
  <c r="I16" i="18" s="1"/>
  <c r="G69" i="8"/>
  <c r="H59" i="13"/>
  <c r="H54" i="13"/>
  <c r="H61" i="3"/>
  <c r="H62" i="3"/>
  <c r="I61" i="13"/>
  <c r="H53" i="5"/>
  <c r="I69" i="8"/>
  <c r="I64" i="8"/>
  <c r="H53" i="9"/>
  <c r="G64" i="8"/>
  <c r="J61" i="13" l="1"/>
  <c r="J16" i="18"/>
  <c r="K16" i="18" s="1"/>
  <c r="H62" i="13"/>
  <c r="H61" i="13"/>
  <c r="F60" i="15" l="1"/>
  <c r="G60" i="15"/>
  <c r="C62" i="15"/>
  <c r="E60" i="15"/>
  <c r="I60" i="15"/>
  <c r="D60" i="15"/>
  <c r="H60" i="15" l="1"/>
  <c r="G10" i="8" s="1"/>
  <c r="I61" i="15"/>
  <c r="E61" i="15"/>
  <c r="G61" i="15"/>
  <c r="E10" i="8"/>
  <c r="E70" i="8" s="1"/>
  <c r="B10" i="8"/>
  <c r="G62" i="15"/>
  <c r="D61" i="15"/>
  <c r="E62" i="15"/>
  <c r="H10" i="8"/>
  <c r="H65" i="8" s="1"/>
  <c r="C61" i="15"/>
  <c r="F61" i="15"/>
  <c r="J60" i="15"/>
  <c r="I62" i="15"/>
  <c r="F10" i="8"/>
  <c r="D10" i="8"/>
  <c r="L60" i="15"/>
  <c r="D62" i="15"/>
  <c r="C10" i="8"/>
  <c r="F62" i="15"/>
  <c r="F65" i="8" l="1"/>
  <c r="F70" i="8"/>
  <c r="D65" i="8"/>
  <c r="D70" i="8"/>
  <c r="C65" i="8"/>
  <c r="C70" i="8"/>
  <c r="B65" i="8"/>
  <c r="B70" i="8"/>
  <c r="E11" i="8"/>
  <c r="E65" i="8"/>
  <c r="K65" i="8" s="1"/>
  <c r="H62" i="15"/>
  <c r="H61" i="15"/>
  <c r="E12" i="8"/>
  <c r="E71" i="8"/>
  <c r="I10" i="8"/>
  <c r="J61" i="15"/>
  <c r="J62" i="15"/>
  <c r="C11" i="8"/>
  <c r="C12" i="8"/>
  <c r="G12" i="8"/>
  <c r="G11" i="8"/>
  <c r="L62" i="15"/>
  <c r="L61" i="15"/>
  <c r="K10" i="8"/>
  <c r="B11" i="8"/>
  <c r="B12" i="8"/>
  <c r="H70" i="8"/>
  <c r="H12" i="8"/>
  <c r="H11" i="8"/>
  <c r="D12" i="8"/>
  <c r="D11" i="8"/>
  <c r="F11" i="8"/>
  <c r="F12" i="8"/>
  <c r="E67" i="8" l="1"/>
  <c r="E66" i="8"/>
  <c r="K70" i="8"/>
  <c r="K72" i="8" s="1"/>
  <c r="E72" i="8"/>
  <c r="H67" i="8"/>
  <c r="H66" i="8"/>
  <c r="K11" i="8"/>
  <c r="K12" i="8"/>
  <c r="C71" i="8"/>
  <c r="C72" i="8"/>
  <c r="C67" i="8"/>
  <c r="C66" i="8"/>
  <c r="H72" i="8"/>
  <c r="H71" i="8"/>
  <c r="F66" i="8"/>
  <c r="F67" i="8"/>
  <c r="D67" i="8"/>
  <c r="D66" i="8"/>
  <c r="D71" i="8"/>
  <c r="D72" i="8"/>
  <c r="I70" i="8"/>
  <c r="B71" i="8"/>
  <c r="G70" i="8"/>
  <c r="B72" i="8"/>
  <c r="B66" i="8"/>
  <c r="I65" i="8"/>
  <c r="B67" i="8"/>
  <c r="G65" i="8"/>
  <c r="F71" i="8"/>
  <c r="F72" i="8"/>
  <c r="I11" i="8"/>
  <c r="I12" i="8"/>
  <c r="K71" i="8" l="1"/>
  <c r="K66" i="8"/>
  <c r="K67" i="8"/>
  <c r="G67" i="8"/>
  <c r="G66" i="8"/>
  <c r="I67" i="8"/>
  <c r="I66" i="8"/>
  <c r="G71" i="8"/>
  <c r="G72" i="8"/>
  <c r="I72" i="8"/>
  <c r="I71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tc={A0F3969F-2921-40FA-BC34-69B937EEDFF4}</author>
    <author>tc={5C455165-263F-4788-8D3F-B7518F08D984}</author>
    <author>tc={582FE9D5-3D9D-47E1-82AF-DA16AEE7250B}</author>
    <author>tc={49C8D4A0-1F3E-449E-8408-FE5EF1472E0D}</author>
  </authors>
  <commentList>
    <comment ref="D2" authorId="0" shapeId="0" xr:uid="{A0F3969F-2921-40FA-BC34-69B937EEDFF4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Soma receita bruta aba janeiro
</t>
      </text>
    </comment>
    <comment ref="E2" authorId="1" shapeId="0" xr:uid="{5C455165-263F-4788-8D3F-B7518F08D984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Soma receita liquida + frete aba janeiro
</t>
      </text>
    </comment>
    <comment ref="F2" authorId="2" shapeId="0" xr:uid="{582FE9D5-3D9D-47E1-82AF-DA16AEE7250B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Soma intervalo dias aba janeiro</t>
      </text>
    </comment>
    <comment ref="G2" authorId="3" shapeId="0" xr:uid="{49C8D4A0-1F3E-449E-8408-FE5EF1472E0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Linha receita bruta aba janeiro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C0990DF-4744-41AF-81FF-C54F52086561}" keepAlive="1" name="Consulta - Arquivo de Amostra" description="Conexão com a consulta 'Arquivo de Amostra' na pasta de trabalho." type="5" refreshedVersion="0" background="1">
    <dbPr connection="Provider=Microsoft.Mashup.OleDb.1;Data Source=$Workbook$;Location=&quot;Arquivo de Amostra&quot;;Extended Properties=&quot;&quot;" command="SELECT * FROM [Arquivo de Amostra]"/>
  </connection>
  <connection id="2" xr16:uid="{C2713522-00BC-46B9-9F1D-5DFBD96CC350}" keepAlive="1" name="Consulta - Arquivo de Amostra (10)" description="Conexão com a consulta 'Arquivo de Amostra (10)' na pasta de trabalho." type="5" refreshedVersion="0" background="1">
    <dbPr connection="Provider=Microsoft.Mashup.OleDb.1;Data Source=$Workbook$;Location=&quot;Arquivo de Amostra (10)&quot;;Extended Properties=&quot;&quot;" command="SELECT * FROM [Arquivo de Amostra (10)]"/>
  </connection>
  <connection id="3" xr16:uid="{06EECA37-6D1B-4820-BC77-F1E01B1F8DEE}" keepAlive="1" name="Consulta - Arquivo de Amostra (11)" description="Conexão com a consulta 'Arquivo de Amostra (11)' na pasta de trabalho." type="5" refreshedVersion="0" background="1">
    <dbPr connection="Provider=Microsoft.Mashup.OleDb.1;Data Source=$Workbook$;Location=&quot;Arquivo de Amostra (11)&quot;;Extended Properties=&quot;&quot;" command="SELECT * FROM [Arquivo de Amostra (11)]"/>
  </connection>
  <connection id="4" xr16:uid="{3292363D-0E27-48A1-86CE-37ADBA9D3E65}" keepAlive="1" name="Consulta - Arquivo de Amostra (12)" description="Conexão com a consulta 'Arquivo de Amostra (12)' na pasta de trabalho." type="5" refreshedVersion="0" background="1">
    <dbPr connection="Provider=Microsoft.Mashup.OleDb.1;Data Source=$Workbook$;Location=&quot;Arquivo de Amostra (12)&quot;;Extended Properties=&quot;&quot;" command="SELECT * FROM [Arquivo de Amostra (12)]"/>
  </connection>
  <connection id="5" xr16:uid="{1371D49C-5118-49EF-B402-DF4A4DB50097}" keepAlive="1" name="Consulta - Arquivo de Amostra (13)" description="Conexão com a consulta 'Arquivo de Amostra (13)' na pasta de trabalho." type="5" refreshedVersion="0" background="1">
    <dbPr connection="Provider=Microsoft.Mashup.OleDb.1;Data Source=$Workbook$;Location=&quot;Arquivo de Amostra (13)&quot;;Extended Properties=&quot;&quot;" command="SELECT * FROM [Arquivo de Amostra (13)]"/>
  </connection>
  <connection id="6" xr16:uid="{A288221C-00B1-4AE7-A499-88855D944CA3}" keepAlive="1" name="Consulta - Arquivo de Amostra (14)" description="Conexão com a consulta 'Arquivo de Amostra (14)' na pasta de trabalho." type="5" refreshedVersion="0" background="1">
    <dbPr connection="Provider=Microsoft.Mashup.OleDb.1;Data Source=$Workbook$;Location=&quot;Arquivo de Amostra (14)&quot;;Extended Properties=&quot;&quot;" command="SELECT * FROM [Arquivo de Amostra (14)]"/>
  </connection>
  <connection id="7" xr16:uid="{5AC37125-DC6F-45C0-B87C-4E2077159129}" keepAlive="1" name="Consulta - Arquivo de Amostra (15)" description="Conexão com a consulta 'Arquivo de Amostra (15)' na pasta de trabalho." type="5" refreshedVersion="0" background="1">
    <dbPr connection="Provider=Microsoft.Mashup.OleDb.1;Data Source=$Workbook$;Location=&quot;Arquivo de Amostra (15)&quot;;Extended Properties=&quot;&quot;" command="SELECT * FROM [Arquivo de Amostra (15)]"/>
  </connection>
  <connection id="8" xr16:uid="{B8A1FDA9-8859-4DD8-8E77-98D9BB5F0D74}" keepAlive="1" name="Consulta - Arquivo de Amostra (16)" description="Conexão com a consulta 'Arquivo de Amostra (16)' na pasta de trabalho." type="5" refreshedVersion="0" background="1">
    <dbPr connection="Provider=Microsoft.Mashup.OleDb.1;Data Source=$Workbook$;Location=&quot;Arquivo de Amostra (16)&quot;;Extended Properties=&quot;&quot;" command="SELECT * FROM [Arquivo de Amostra (16)]"/>
  </connection>
  <connection id="9" xr16:uid="{EBBD3528-5534-4FD9-B869-CC39788B8868}" keepAlive="1" name="Consulta - Arquivo de Amostra (17)" description="Conexão com a consulta 'Arquivo de Amostra (17)' na pasta de trabalho." type="5" refreshedVersion="0" background="1">
    <dbPr connection="Provider=Microsoft.Mashup.OleDb.1;Data Source=$Workbook$;Location=&quot;Arquivo de Amostra (17)&quot;;Extended Properties=&quot;&quot;" command="SELECT * FROM [Arquivo de Amostra (17)]"/>
  </connection>
  <connection id="10" xr16:uid="{63197AFF-DC79-412E-809D-49C51945E2B1}" keepAlive="1" name="Consulta - Arquivo de Amostra (18)" description="Conexão com a consulta 'Arquivo de Amostra (18)' na pasta de trabalho." type="5" refreshedVersion="0" background="1">
    <dbPr connection="Provider=Microsoft.Mashup.OleDb.1;Data Source=$Workbook$;Location=&quot;Arquivo de Amostra (18)&quot;;Extended Properties=&quot;&quot;" command="SELECT * FROM [Arquivo de Amostra (18)]"/>
  </connection>
  <connection id="11" xr16:uid="{7CFC3576-C8FB-41DA-8C28-790AEBB8C3DB}" keepAlive="1" name="Consulta - Arquivo de Amostra (2)" description="Conexão com a consulta 'Arquivo de Amostra (2)' na pasta de trabalho." type="5" refreshedVersion="0" background="1">
    <dbPr connection="Provider=Microsoft.Mashup.OleDb.1;Data Source=$Workbook$;Location=&quot;Arquivo de Amostra (2)&quot;;Extended Properties=&quot;&quot;" command="SELECT * FROM [Arquivo de Amostra (2)]"/>
  </connection>
  <connection id="12" xr16:uid="{1E67951D-9B6B-4E44-9107-65C5E8BBD1BF}" keepAlive="1" name="Consulta - Arquivo de Amostra (3)" description="Conexão com a consulta 'Arquivo de Amostra (3)' na pasta de trabalho." type="5" refreshedVersion="0" background="1">
    <dbPr connection="Provider=Microsoft.Mashup.OleDb.1;Data Source=$Workbook$;Location=&quot;Arquivo de Amostra (3)&quot;;Extended Properties=&quot;&quot;" command="SELECT * FROM [Arquivo de Amostra (3)]"/>
  </connection>
  <connection id="13" xr16:uid="{5BD5F457-831B-47B0-AB15-5343F1E7A90F}" keepAlive="1" name="Consulta - Arquivo de Amostra (4)" description="Conexão com a consulta 'Arquivo de Amostra (4)' na pasta de trabalho." type="5" refreshedVersion="0" background="1">
    <dbPr connection="Provider=Microsoft.Mashup.OleDb.1;Data Source=$Workbook$;Location=&quot;Arquivo de Amostra (4)&quot;;Extended Properties=&quot;&quot;" command="SELECT * FROM [Arquivo de Amostra (4)]"/>
  </connection>
  <connection id="14" xr16:uid="{829951B5-40E5-408E-9BC0-C14C00A6CFCE}" keepAlive="1" name="Consulta - Arquivo de Amostra (5)" description="Conexão com a consulta 'Arquivo de Amostra (5)' na pasta de trabalho." type="5" refreshedVersion="0" background="1">
    <dbPr connection="Provider=Microsoft.Mashup.OleDb.1;Data Source=$Workbook$;Location=&quot;Arquivo de Amostra (5)&quot;;Extended Properties=&quot;&quot;" command="SELECT * FROM [Arquivo de Amostra (5)]"/>
  </connection>
  <connection id="15" xr16:uid="{5E19C3F2-6055-4E67-B4F5-E9B118319539}" keepAlive="1" name="Consulta - Arquivo de Amostra (6)" description="Conexão com a consulta 'Arquivo de Amostra (6)' na pasta de trabalho." type="5" refreshedVersion="0" background="1">
    <dbPr connection="Provider=Microsoft.Mashup.OleDb.1;Data Source=$Workbook$;Location=&quot;Arquivo de Amostra (6)&quot;;Extended Properties=&quot;&quot;" command="SELECT * FROM [Arquivo de Amostra (6)]"/>
  </connection>
  <connection id="16" xr16:uid="{E16F6AE8-1AC6-4B72-A264-6C490ABA5FCD}" keepAlive="1" name="Consulta - Arquivo de Amostra (7)" description="Conexão com a consulta 'Arquivo de Amostra (7)' na pasta de trabalho." type="5" refreshedVersion="0" background="1">
    <dbPr connection="Provider=Microsoft.Mashup.OleDb.1;Data Source=$Workbook$;Location=&quot;Arquivo de Amostra (7)&quot;;Extended Properties=&quot;&quot;" command="SELECT * FROM [Arquivo de Amostra (7)]"/>
  </connection>
  <connection id="17" xr16:uid="{11EDD25C-4F36-4C23-900D-743BB69DA162}" keepAlive="1" name="Consulta - Arquivo de Amostra (8)" description="Conexão com a consulta 'Arquivo de Amostra (8)' na pasta de trabalho." type="5" refreshedVersion="0" background="1">
    <dbPr connection="Provider=Microsoft.Mashup.OleDb.1;Data Source=$Workbook$;Location=&quot;Arquivo de Amostra (8)&quot;;Extended Properties=&quot;&quot;" command="SELECT * FROM [Arquivo de Amostra (8)]"/>
  </connection>
  <connection id="18" xr16:uid="{8CB44966-D688-4CA8-8ACA-ACBD9953C205}" keepAlive="1" name="Consulta - Arquivo de Amostra (9)" description="Conexão com a consulta 'Arquivo de Amostra (9)' na pasta de trabalho." type="5" refreshedVersion="0" background="1">
    <dbPr connection="Provider=Microsoft.Mashup.OleDb.1;Data Source=$Workbook$;Location=&quot;Arquivo de Amostra (9)&quot;;Extended Properties=&quot;&quot;" command="SELECT * FROM [Arquivo de Amostra (9)]"/>
  </connection>
  <connection id="19" xr16:uid="{044697ED-5CDA-48EB-903D-3793E6B4CED7}" keepAlive="1" name="Consulta - Estatísticos Mensais" description="Conexão com a consulta 'Estatísticos Mensais' na pasta de trabalho." type="5" refreshedVersion="8" background="1" saveData="1">
    <dbPr connection="Provider=Microsoft.Mashup.OleDb.1;Data Source=$Workbook$;Location=&quot;Estatísticos Mensais&quot;;Extended Properties=&quot;&quot;" command="SELECT * FROM [Estatísticos Mensais]"/>
  </connection>
  <connection id="20" xr16:uid="{D9215E86-CA11-48F1-9800-35FC3BB0478D}" keepAlive="1" name="Consulta - Facebook" description="Conexão com a consulta 'Facebook' na pasta de trabalho." type="5" refreshedVersion="8" background="1" saveData="1">
    <dbPr connection="Provider=Microsoft.Mashup.OleDb.1;Data Source=$Workbook$;Location=Facebook;Extended Properties=&quot;&quot;" command="SELECT * FROM [Facebook]"/>
  </connection>
  <connection id="21" xr16:uid="{510CAD14-9F2B-42BF-8934-B6755F5A9381}" keepAlive="1" name="Consulta - Google" description="Conexão com a consulta 'Google' na pasta de trabalho." type="5" refreshedVersion="8" background="1" saveData="1">
    <dbPr connection="Provider=Microsoft.Mashup.OleDb.1;Data Source=$Workbook$;Location=Google;Extended Properties=&quot;&quot;" command="SELECT * FROM [Google]"/>
  </connection>
  <connection id="22" xr16:uid="{0A0C296A-30B0-42D9-91DE-A581E8D71CA5}" keepAlive="1" name="Consulta - Linkedin" description="Conexão com a consulta 'Linkedin' na pasta de trabalho." type="5" refreshedVersion="8" background="1" saveData="1">
    <dbPr connection="Provider=Microsoft.Mashup.OleDb.1;Data Source=$Workbook$;Location=Linkedin;Extended Properties=&quot;&quot;" command="SELECT * FROM [Linkedin]"/>
  </connection>
  <connection id="23" xr16:uid="{254A28F7-1B66-4E74-BF4D-766C60D6E283}" keepAlive="1" name="Consulta - Parâmetro1" description="Conexão com a consulta 'Parâmetro1' na pasta de trabalho." type="5" refreshedVersion="0" background="1">
    <dbPr connection="Provider=Microsoft.Mashup.OleDb.1;Data Source=$Workbook$;Location=Parâmetro1;Extended Properties=&quot;&quot;" command="SELECT * FROM [Parâmetro1]"/>
  </connection>
  <connection id="24" xr16:uid="{6A15BEAA-2B94-44FB-AC6F-A1CC30D4F05C}" keepAlive="1" name="Consulta - Parâmetro10" description="Conexão com a consulta 'Parâmetro10' na pasta de trabalho." type="5" refreshedVersion="0" background="1">
    <dbPr connection="Provider=Microsoft.Mashup.OleDb.1;Data Source=$Workbook$;Location=Parâmetro10;Extended Properties=&quot;&quot;" command="SELECT * FROM [Parâmetro10]"/>
  </connection>
  <connection id="25" xr16:uid="{D5C6732E-B23D-4C50-A959-3491AB6B32DC}" keepAlive="1" name="Consulta - Parâmetro11" description="Conexão com a consulta 'Parâmetro11' na pasta de trabalho." type="5" refreshedVersion="0" background="1">
    <dbPr connection="Provider=Microsoft.Mashup.OleDb.1;Data Source=$Workbook$;Location=Parâmetro11;Extended Properties=&quot;&quot;" command="SELECT * FROM [Parâmetro11]"/>
  </connection>
  <connection id="26" xr16:uid="{49729AC7-9E78-4090-AD6C-CEC3D8E2A463}" keepAlive="1" name="Consulta - Parâmetro12" description="Conexão com a consulta 'Parâmetro12' na pasta de trabalho." type="5" refreshedVersion="0" background="1">
    <dbPr connection="Provider=Microsoft.Mashup.OleDb.1;Data Source=$Workbook$;Location=Parâmetro12;Extended Properties=&quot;&quot;" command="SELECT * FROM [Parâmetro12]"/>
  </connection>
  <connection id="27" xr16:uid="{95CAB95A-642C-450F-B9B9-55802EB34DDC}" keepAlive="1" name="Consulta - Parâmetro13" description="Conexão com a consulta 'Parâmetro13' na pasta de trabalho." type="5" refreshedVersion="0" background="1">
    <dbPr connection="Provider=Microsoft.Mashup.OleDb.1;Data Source=$Workbook$;Location=Parâmetro13;Extended Properties=&quot;&quot;" command="SELECT * FROM [Parâmetro13]"/>
  </connection>
  <connection id="28" xr16:uid="{7BD6C0B7-8C65-4FAE-BA97-EE06A1A2B320}" keepAlive="1" name="Consulta - Parâmetro14" description="Conexão com a consulta 'Parâmetro14' na pasta de trabalho." type="5" refreshedVersion="0" background="1">
    <dbPr connection="Provider=Microsoft.Mashup.OleDb.1;Data Source=$Workbook$;Location=Parâmetro14;Extended Properties=&quot;&quot;" command="SELECT * FROM [Parâmetro14]"/>
  </connection>
  <connection id="29" xr16:uid="{11C0A3DB-F1D4-44BE-AD0B-3AA69D3D2B67}" keepAlive="1" name="Consulta - Parâmetro15" description="Conexão com a consulta 'Parâmetro15' na pasta de trabalho." type="5" refreshedVersion="0" background="1">
    <dbPr connection="Provider=Microsoft.Mashup.OleDb.1;Data Source=$Workbook$;Location=Parâmetro15;Extended Properties=&quot;&quot;" command="SELECT * FROM [Parâmetro15]"/>
  </connection>
  <connection id="30" xr16:uid="{6F8B4527-3125-4C0C-9BEA-68864B7EEEAE}" keepAlive="1" name="Consulta - Parâmetro16" description="Conexão com a consulta 'Parâmetro16' na pasta de trabalho." type="5" refreshedVersion="0" background="1">
    <dbPr connection="Provider=Microsoft.Mashup.OleDb.1;Data Source=$Workbook$;Location=Parâmetro16;Extended Properties=&quot;&quot;" command="SELECT * FROM [Parâmetro16]"/>
  </connection>
  <connection id="31" xr16:uid="{18D2B3CB-9F71-4967-934C-FE5B62A1DA78}" keepAlive="1" name="Consulta - Parâmetro17" description="Conexão com a consulta 'Parâmetro17' na pasta de trabalho." type="5" refreshedVersion="0" background="1">
    <dbPr connection="Provider=Microsoft.Mashup.OleDb.1;Data Source=$Workbook$;Location=Parâmetro17;Extended Properties=&quot;&quot;" command="SELECT * FROM [Parâmetro17]"/>
  </connection>
  <connection id="32" xr16:uid="{12AA98D4-7FCD-4CB6-99AB-12B5D07F56D7}" keepAlive="1" name="Consulta - Parâmetro18" description="Conexão com a consulta 'Parâmetro18' na pasta de trabalho." type="5" refreshedVersion="0" background="1">
    <dbPr connection="Provider=Microsoft.Mashup.OleDb.1;Data Source=$Workbook$;Location=Parâmetro18;Extended Properties=&quot;&quot;" command="SELECT * FROM [Parâmetro18]"/>
  </connection>
  <connection id="33" xr16:uid="{5FFD664A-2DB9-402F-A949-46A28D537A11}" keepAlive="1" name="Consulta - Parâmetro2" description="Conexão com a consulta 'Parâmetro2' na pasta de trabalho." type="5" refreshedVersion="0" background="1">
    <dbPr connection="Provider=Microsoft.Mashup.OleDb.1;Data Source=$Workbook$;Location=Parâmetro2;Extended Properties=&quot;&quot;" command="SELECT * FROM [Parâmetro2]"/>
  </connection>
  <connection id="34" xr16:uid="{2E967609-BFC2-42C3-A789-194AF81A175E}" keepAlive="1" name="Consulta - Parâmetro3" description="Conexão com a consulta 'Parâmetro3' na pasta de trabalho." type="5" refreshedVersion="0" background="1">
    <dbPr connection="Provider=Microsoft.Mashup.OleDb.1;Data Source=$Workbook$;Location=Parâmetro3;Extended Properties=&quot;&quot;" command="SELECT * FROM [Parâmetro3]"/>
  </connection>
  <connection id="35" xr16:uid="{94D1B45F-21B2-47E3-900F-B419F531C285}" keepAlive="1" name="Consulta - Parâmetro4" description="Conexão com a consulta 'Parâmetro4' na pasta de trabalho." type="5" refreshedVersion="0" background="1">
    <dbPr connection="Provider=Microsoft.Mashup.OleDb.1;Data Source=$Workbook$;Location=Parâmetro4;Extended Properties=&quot;&quot;" command="SELECT * FROM [Parâmetro4]"/>
  </connection>
  <connection id="36" xr16:uid="{4F740F57-400E-4A8D-BB49-8DDB703FBAA6}" keepAlive="1" name="Consulta - Parâmetro5" description="Conexão com a consulta 'Parâmetro5' na pasta de trabalho." type="5" refreshedVersion="0" background="1">
    <dbPr connection="Provider=Microsoft.Mashup.OleDb.1;Data Source=$Workbook$;Location=Parâmetro5;Extended Properties=&quot;&quot;" command="SELECT * FROM [Parâmetro5]"/>
  </connection>
  <connection id="37" xr16:uid="{6020B34E-A596-460A-864D-00117F9503FE}" keepAlive="1" name="Consulta - Parâmetro6" description="Conexão com a consulta 'Parâmetro6' na pasta de trabalho." type="5" refreshedVersion="0" background="1">
    <dbPr connection="Provider=Microsoft.Mashup.OleDb.1;Data Source=$Workbook$;Location=Parâmetro6;Extended Properties=&quot;&quot;" command="SELECT * FROM [Parâmetro6]"/>
  </connection>
  <connection id="38" xr16:uid="{5D104E97-B272-4913-99E3-7D3561357706}" keepAlive="1" name="Consulta - Parâmetro7" description="Conexão com a consulta 'Parâmetro7' na pasta de trabalho." type="5" refreshedVersion="0" background="1">
    <dbPr connection="Provider=Microsoft.Mashup.OleDb.1;Data Source=$Workbook$;Location=Parâmetro7;Extended Properties=&quot;&quot;" command="SELECT * FROM [Parâmetro7]"/>
  </connection>
  <connection id="39" xr16:uid="{BAD2DB9F-4213-4C81-98AF-F9D150C851FC}" keepAlive="1" name="Consulta - Parâmetro8" description="Conexão com a consulta 'Parâmetro8' na pasta de trabalho." type="5" refreshedVersion="0" background="1">
    <dbPr connection="Provider=Microsoft.Mashup.OleDb.1;Data Source=$Workbook$;Location=Parâmetro8;Extended Properties=&quot;&quot;" command="SELECT * FROM [Parâmetro8]"/>
  </connection>
  <connection id="40" xr16:uid="{E0BD4A28-9641-4F2D-8D77-7E12C6FC7B23}" keepAlive="1" name="Consulta - Parâmetro9" description="Conexão com a consulta 'Parâmetro9' na pasta de trabalho." type="5" refreshedVersion="0" background="1">
    <dbPr connection="Provider=Microsoft.Mashup.OleDb.1;Data Source=$Workbook$;Location=Parâmetro9;Extended Properties=&quot;&quot;" command="SELECT * FROM [Parâmetro9]"/>
  </connection>
  <connection id="41" xr16:uid="{EF3F7F47-E51A-48BB-A1BF-472ACB98B0D5}" keepAlive="1" name="Consulta - Table001 (Page 1)" description="Conexão com a consulta 'Table001 (Page 1)' na pasta de trabalho." type="5" refreshedVersion="0" background="1" saveData="1">
    <dbPr connection="Provider=Microsoft.Mashup.OleDb.1;Data Source=$Workbook$;Location=&quot;Table001 (Page 1)&quot;;Extended Properties=&quot;&quot;" command="SELECT * FROM [Table001 (Page 1)]"/>
  </connection>
  <connection id="42" xr16:uid="{A0430A77-D913-4700-948C-5A88ADBC0B51}" keepAlive="1" name="Consulta - Table001 (Page 1) (2)" description="Conexão com a consulta 'Table001 (Page 1) (2)' na pasta de trabalho." type="5" refreshedVersion="0" background="1" saveData="1">
    <dbPr connection="Provider=Microsoft.Mashup.OleDb.1;Data Source=$Workbook$;Location=&quot;Table001 (Page 1) (2)&quot;;Extended Properties=&quot;&quot;" command="SELECT * FROM [Table001 (Page 1) (2)]"/>
  </connection>
  <connection id="43" xr16:uid="{4D35ECBF-AD7F-4497-98EC-9B455F66D47B}" keepAlive="1" name="Consulta - TikTok (2)" description="Conexão com a consulta 'TikTok (2)' na pasta de trabalho." type="5" refreshedVersion="8" background="1" saveData="1">
    <dbPr connection="Provider=Microsoft.Mashup.OleDb.1;Data Source=$Workbook$;Location=&quot;TikTok (2)&quot;;Extended Properties=&quot;&quot;" command="SELECT * FROM [TikTok (2)]"/>
  </connection>
  <connection id="44" xr16:uid="{AC31264E-62D9-4993-9CD2-37AF87AFBD30}" keepAlive="1" name="Consulta - Transformar Arquivo" description="Conexão com a consulta 'Transformar Arquivo' na pasta de trabalho." type="5" refreshedVersion="0" background="1">
    <dbPr connection="Provider=Microsoft.Mashup.OleDb.1;Data Source=$Workbook$;Location=&quot;Transformar Arquivo&quot;;Extended Properties=&quot;&quot;" command="SELECT * FROM [Transformar Arquivo]"/>
  </connection>
  <connection id="45" xr16:uid="{FF6531B2-FC7F-40CF-A343-26B7CA4E38A5}" keepAlive="1" name="Consulta - Transformar Arquivo (10)" description="Conexão com a consulta 'Transformar Arquivo (10)' na pasta de trabalho." type="5" refreshedVersion="0" background="1">
    <dbPr connection="Provider=Microsoft.Mashup.OleDb.1;Data Source=$Workbook$;Location=&quot;Transformar Arquivo (10)&quot;;Extended Properties=&quot;&quot;" command="SELECT * FROM [Transformar Arquivo (10)]"/>
  </connection>
  <connection id="46" xr16:uid="{B1B41F46-D38A-457B-8FFE-BC1DF2CC7D25}" keepAlive="1" name="Consulta - Transformar Arquivo (11)" description="Conexão com a consulta 'Transformar Arquivo (11)' na pasta de trabalho." type="5" refreshedVersion="0" background="1">
    <dbPr connection="Provider=Microsoft.Mashup.OleDb.1;Data Source=$Workbook$;Location=&quot;Transformar Arquivo (11)&quot;;Extended Properties=&quot;&quot;" command="SELECT * FROM [Transformar Arquivo (11)]"/>
  </connection>
  <connection id="47" xr16:uid="{CAB35362-2008-44D8-9CF8-BBD855624773}" keepAlive="1" name="Consulta - Transformar Arquivo (12)" description="Conexão com a consulta 'Transformar Arquivo (12)' na pasta de trabalho." type="5" refreshedVersion="0" background="1">
    <dbPr connection="Provider=Microsoft.Mashup.OleDb.1;Data Source=$Workbook$;Location=&quot;Transformar Arquivo (12)&quot;;Extended Properties=&quot;&quot;" command="SELECT * FROM [Transformar Arquivo (12)]"/>
  </connection>
  <connection id="48" xr16:uid="{8A3EDCA4-9D95-4C7A-B0E5-F69E860134D2}" keepAlive="1" name="Consulta - Transformar Arquivo (13)" description="Conexão com a consulta 'Transformar Arquivo (13)' na pasta de trabalho." type="5" refreshedVersion="0" background="1">
    <dbPr connection="Provider=Microsoft.Mashup.OleDb.1;Data Source=$Workbook$;Location=&quot;Transformar Arquivo (13)&quot;;Extended Properties=&quot;&quot;" command="SELECT * FROM [Transformar Arquivo (13)]"/>
  </connection>
  <connection id="49" xr16:uid="{AD8837EA-77A0-4ADD-8D05-5C59C7E5DC34}" keepAlive="1" name="Consulta - Transformar Arquivo (14)" description="Conexão com a consulta 'Transformar Arquivo (14)' na pasta de trabalho." type="5" refreshedVersion="0" background="1">
    <dbPr connection="Provider=Microsoft.Mashup.OleDb.1;Data Source=$Workbook$;Location=&quot;Transformar Arquivo (14)&quot;;Extended Properties=&quot;&quot;" command="SELECT * FROM [Transformar Arquivo (14)]"/>
  </connection>
  <connection id="50" xr16:uid="{BB939DC3-A837-480E-9B24-7FF87F5189E0}" keepAlive="1" name="Consulta - Transformar Arquivo (15)" description="Conexão com a consulta 'Transformar Arquivo (15)' na pasta de trabalho." type="5" refreshedVersion="0" background="1">
    <dbPr connection="Provider=Microsoft.Mashup.OleDb.1;Data Source=$Workbook$;Location=&quot;Transformar Arquivo (15)&quot;;Extended Properties=&quot;&quot;" command="SELECT * FROM [Transformar Arquivo (15)]"/>
  </connection>
  <connection id="51" xr16:uid="{1873E076-4FD1-48DC-8966-CEA46EB0EF4F}" keepAlive="1" name="Consulta - Transformar Arquivo (16)" description="Conexão com a consulta 'Transformar Arquivo (16)' na pasta de trabalho." type="5" refreshedVersion="0" background="1">
    <dbPr connection="Provider=Microsoft.Mashup.OleDb.1;Data Source=$Workbook$;Location=&quot;Transformar Arquivo (16)&quot;;Extended Properties=&quot;&quot;" command="SELECT * FROM [Transformar Arquivo (16)]"/>
  </connection>
  <connection id="52" xr16:uid="{95CD5939-9280-4851-B9E4-BA420403D92D}" keepAlive="1" name="Consulta - Transformar Arquivo (17)" description="Conexão com a consulta 'Transformar Arquivo (17)' na pasta de trabalho." type="5" refreshedVersion="0" background="1">
    <dbPr connection="Provider=Microsoft.Mashup.OleDb.1;Data Source=$Workbook$;Location=&quot;Transformar Arquivo (17)&quot;;Extended Properties=&quot;&quot;" command="SELECT * FROM [Transformar Arquivo (17)]"/>
  </connection>
  <connection id="53" xr16:uid="{D06D409B-D5D7-4A59-91D5-D6EA84E0F6B1}" keepAlive="1" name="Consulta - Transformar Arquivo (18)" description="Conexão com a consulta 'Transformar Arquivo (18)' na pasta de trabalho." type="5" refreshedVersion="0" background="1">
    <dbPr connection="Provider=Microsoft.Mashup.OleDb.1;Data Source=$Workbook$;Location=&quot;Transformar Arquivo (18)&quot;;Extended Properties=&quot;&quot;" command="SELECT * FROM [Transformar Arquivo (18)]"/>
  </connection>
  <connection id="54" xr16:uid="{B3F703A9-D32D-4681-B27C-9E0A787C6DA8}" keepAlive="1" name="Consulta - Transformar Arquivo (2)" description="Conexão com a consulta 'Transformar Arquivo (2)' na pasta de trabalho." type="5" refreshedVersion="0" background="1">
    <dbPr connection="Provider=Microsoft.Mashup.OleDb.1;Data Source=$Workbook$;Location=&quot;Transformar Arquivo (2)&quot;;Extended Properties=&quot;&quot;" command="SELECT * FROM [Transformar Arquivo (2)]"/>
  </connection>
  <connection id="55" xr16:uid="{90EFE975-CF32-43D8-972E-0C7C5DF6C08E}" keepAlive="1" name="Consulta - Transformar Arquivo (3)" description="Conexão com a consulta 'Transformar Arquivo (3)' na pasta de trabalho." type="5" refreshedVersion="0" background="1">
    <dbPr connection="Provider=Microsoft.Mashup.OleDb.1;Data Source=$Workbook$;Location=&quot;Transformar Arquivo (3)&quot;;Extended Properties=&quot;&quot;" command="SELECT * FROM [Transformar Arquivo (3)]"/>
  </connection>
  <connection id="56" xr16:uid="{3901C334-F8E5-41C1-A35A-0582C06FF67B}" keepAlive="1" name="Consulta - Transformar Arquivo (4)" description="Conexão com a consulta 'Transformar Arquivo (4)' na pasta de trabalho." type="5" refreshedVersion="0" background="1">
    <dbPr connection="Provider=Microsoft.Mashup.OleDb.1;Data Source=$Workbook$;Location=&quot;Transformar Arquivo (4)&quot;;Extended Properties=&quot;&quot;" command="SELECT * FROM [Transformar Arquivo (4)]"/>
  </connection>
  <connection id="57" xr16:uid="{411F26B3-9A2D-4B23-8DD0-01524E4C4CE6}" keepAlive="1" name="Consulta - Transformar Arquivo (5)" description="Conexão com a consulta 'Transformar Arquivo (5)' na pasta de trabalho." type="5" refreshedVersion="0" background="1">
    <dbPr connection="Provider=Microsoft.Mashup.OleDb.1;Data Source=$Workbook$;Location=&quot;Transformar Arquivo (5)&quot;;Extended Properties=&quot;&quot;" command="SELECT * FROM [Transformar Arquivo (5)]"/>
  </connection>
  <connection id="58" xr16:uid="{61771F98-F28A-4E34-8744-B327BEBE75E5}" keepAlive="1" name="Consulta - Transformar Arquivo (6)" description="Conexão com a consulta 'Transformar Arquivo (6)' na pasta de trabalho." type="5" refreshedVersion="0" background="1">
    <dbPr connection="Provider=Microsoft.Mashup.OleDb.1;Data Source=$Workbook$;Location=&quot;Transformar Arquivo (6)&quot;;Extended Properties=&quot;&quot;" command="SELECT * FROM [Transformar Arquivo (6)]"/>
  </connection>
  <connection id="59" xr16:uid="{782F65B7-50E8-44EB-9C1E-7442FAE5662D}" keepAlive="1" name="Consulta - Transformar Arquivo (7)" description="Conexão com a consulta 'Transformar Arquivo (7)' na pasta de trabalho." type="5" refreshedVersion="0" background="1">
    <dbPr connection="Provider=Microsoft.Mashup.OleDb.1;Data Source=$Workbook$;Location=&quot;Transformar Arquivo (7)&quot;;Extended Properties=&quot;&quot;" command="SELECT * FROM [Transformar Arquivo (7)]"/>
  </connection>
  <connection id="60" xr16:uid="{8C706DAE-8D71-485E-8512-13D211F8866F}" keepAlive="1" name="Consulta - Transformar Arquivo (8)" description="Conexão com a consulta 'Transformar Arquivo (8)' na pasta de trabalho." type="5" refreshedVersion="0" background="1">
    <dbPr connection="Provider=Microsoft.Mashup.OleDb.1;Data Source=$Workbook$;Location=&quot;Transformar Arquivo (8)&quot;;Extended Properties=&quot;&quot;" command="SELECT * FROM [Transformar Arquivo (8)]"/>
  </connection>
  <connection id="61" xr16:uid="{376EB8C4-43A8-47C7-BCD5-8400BAC8E34C}" keepAlive="1" name="Consulta - Transformar Arquivo (9)" description="Conexão com a consulta 'Transformar Arquivo (9)' na pasta de trabalho." type="5" refreshedVersion="0" background="1">
    <dbPr connection="Provider=Microsoft.Mashup.OleDb.1;Data Source=$Workbook$;Location=&quot;Transformar Arquivo (9)&quot;;Extended Properties=&quot;&quot;" command="SELECT * FROM [Transformar Arquivo (9)]"/>
  </connection>
  <connection id="62" xr16:uid="{EF9C9B29-16CE-4426-A75A-08B1F22FB645}" keepAlive="1" name="Consulta - Transformar o Arquivo de Exemplo" description="Conexão com a consulta 'Transformar o Arquivo de Exemplo' na pasta de trabalho." type="5" refreshedVersion="0" background="1">
    <dbPr connection="Provider=Microsoft.Mashup.OleDb.1;Data Source=$Workbook$;Location=&quot;Transformar o Arquivo de Exemplo&quot;;Extended Properties=&quot;&quot;" command="SELECT * FROM [Transformar o Arquivo de Exemplo]"/>
  </connection>
  <connection id="63" xr16:uid="{7A6DD5BD-60E9-4367-9DBD-10F46E424284}" keepAlive="1" name="Consulta - Transformar o Arquivo de Exemplo (13)" description="Conexão com a consulta 'Transformar o Arquivo de Exemplo (13)' na pasta de trabalho." type="5" refreshedVersion="0" background="1">
    <dbPr connection="Provider=Microsoft.Mashup.OleDb.1;Data Source=$Workbook$;Location=&quot;Transformar o Arquivo de Exemplo (13)&quot;;Extended Properties=&quot;&quot;" command="SELECT * FROM [Transformar o Arquivo de Exemplo (13)]"/>
  </connection>
  <connection id="64" xr16:uid="{48DF1AB3-26D1-4266-8E5D-CC3C8E42A8CE}" keepAlive="1" name="Consulta - Transformar o Arquivo de Exemplo (14)" description="Conexão com a consulta 'Transformar o Arquivo de Exemplo (14)' na pasta de trabalho." type="5" refreshedVersion="0" background="1">
    <dbPr connection="Provider=Microsoft.Mashup.OleDb.1;Data Source=$Workbook$;Location=&quot;Transformar o Arquivo de Exemplo (14)&quot;;Extended Properties=&quot;&quot;" command="SELECT * FROM [Transformar o Arquivo de Exemplo (14)]"/>
  </connection>
  <connection id="65" xr16:uid="{B99AC34E-3CD8-47E4-A24B-B4E162A49733}" keepAlive="1" name="Consulta - Transformar o Arquivo de Exemplo (15)" description="Conexão com a consulta 'Transformar o Arquivo de Exemplo (15)' na pasta de trabalho." type="5" refreshedVersion="0" background="1">
    <dbPr connection="Provider=Microsoft.Mashup.OleDb.1;Data Source=$Workbook$;Location=&quot;Transformar o Arquivo de Exemplo (15)&quot;;Extended Properties=&quot;&quot;" command="SELECT * FROM [Transformar o Arquivo de Exemplo (15)]"/>
  </connection>
  <connection id="66" xr16:uid="{E4E52219-E30C-4069-B82C-F77DE21A2E98}" keepAlive="1" name="Consulta - Transformar o Arquivo de Exemplo (16)" description="Conexão com a consulta 'Transformar o Arquivo de Exemplo (16)' na pasta de trabalho." type="5" refreshedVersion="0" background="1">
    <dbPr connection="Provider=Microsoft.Mashup.OleDb.1;Data Source=$Workbook$;Location=&quot;Transformar o Arquivo de Exemplo (16)&quot;;Extended Properties=&quot;&quot;" command="SELECT * FROM [Transformar o Arquivo de Exemplo (16)]"/>
  </connection>
  <connection id="67" xr16:uid="{55F65A87-C089-4F2D-B6A3-91C5A65DFA9A}" keepAlive="1" name="Consulta - Transformar o Arquivo de Exemplo (17)" description="Conexão com a consulta 'Transformar o Arquivo de Exemplo (17)' na pasta de trabalho." type="5" refreshedVersion="0" background="1">
    <dbPr connection="Provider=Microsoft.Mashup.OleDb.1;Data Source=$Workbook$;Location=&quot;Transformar o Arquivo de Exemplo (17)&quot;;Extended Properties=&quot;&quot;" command="SELECT * FROM [Transformar o Arquivo de Exemplo (17)]"/>
  </connection>
  <connection id="68" xr16:uid="{3084D488-0028-4630-9CCB-46E0680F0376}" keepAlive="1" name="Consulta - Transformar o Arquivo de Exemplo (18)" description="Conexão com a consulta 'Transformar o Arquivo de Exemplo (18)' na pasta de trabalho." type="5" refreshedVersion="0" background="1">
    <dbPr connection="Provider=Microsoft.Mashup.OleDb.1;Data Source=$Workbook$;Location=&quot;Transformar o Arquivo de Exemplo (18)&quot;;Extended Properties=&quot;&quot;" command="SELECT * FROM [Transformar o Arquivo de Exemplo (18)]"/>
  </connection>
  <connection id="69" xr16:uid="{102462FC-69DB-4DCC-92C1-5980AE8BD393}" keepAlive="1" name="Consulta - Transformar o Arquivo de Exemplo (2)" description="Conexão com a consulta 'Transformar o Arquivo de Exemplo (2)' na pasta de trabalho." type="5" refreshedVersion="0" background="1">
    <dbPr connection="Provider=Microsoft.Mashup.OleDb.1;Data Source=$Workbook$;Location=&quot;Transformar o Arquivo de Exemplo (2)&quot;;Extended Properties=&quot;&quot;" command="SELECT * FROM [Transformar o Arquivo de Exemplo (2)]"/>
  </connection>
  <connection id="70" xr16:uid="{C5286CB1-9381-4B14-A295-C8511AE561EF}" keepAlive="1" name="Consulta - Transformar o Arquivo de Exemplo (3)" description="Conexão com a consulta 'Transformar o Arquivo de Exemplo (3)' na pasta de trabalho." type="5" refreshedVersion="0" background="1">
    <dbPr connection="Provider=Microsoft.Mashup.OleDb.1;Data Source=$Workbook$;Location=&quot;Transformar o Arquivo de Exemplo (3)&quot;;Extended Properties=&quot;&quot;" command="SELECT * FROM [Transformar o Arquivo de Exemplo (3)]"/>
  </connection>
  <connection id="71" xr16:uid="{0B1F0FE1-3495-497D-9A49-FB4D27AD2394}" keepAlive="1" name="Consulta - Transformar o Arquivo de Exemplo (4)" description="Conexão com a consulta 'Transformar o Arquivo de Exemplo (4)' na pasta de trabalho." type="5" refreshedVersion="0" background="1">
    <dbPr connection="Provider=Microsoft.Mashup.OleDb.1;Data Source=$Workbook$;Location=&quot;Transformar o Arquivo de Exemplo (4)&quot;;Extended Properties=&quot;&quot;" command="SELECT * FROM [Transformar o Arquivo de Exemplo (4)]"/>
  </connection>
  <connection id="72" xr16:uid="{84724D71-F829-433F-A2A0-F73F1A39A80C}" keepAlive="1" name="Consulta - Transformar o Arquivo de Exemplo (5)" description="Conexão com a consulta 'Transformar o Arquivo de Exemplo (5)' na pasta de trabalho." type="5" refreshedVersion="0" background="1">
    <dbPr connection="Provider=Microsoft.Mashup.OleDb.1;Data Source=$Workbook$;Location=&quot;Transformar o Arquivo de Exemplo (5)&quot;;Extended Properties=&quot;&quot;" command="SELECT * FROM [Transformar o Arquivo de Exemplo (5)]"/>
  </connection>
  <connection id="73" xr16:uid="{4DFA0D67-5E3A-4B9D-A66F-56A33C4C1449}" keepAlive="1" name="Consulta - Transformar o Arquivo de Exemplo (6)" description="Conexão com a consulta 'Transformar o Arquivo de Exemplo (6)' na pasta de trabalho." type="5" refreshedVersion="0" background="1">
    <dbPr connection="Provider=Microsoft.Mashup.OleDb.1;Data Source=$Workbook$;Location=&quot;Transformar o Arquivo de Exemplo (6)&quot;;Extended Properties=&quot;&quot;" command="SELECT * FROM [Transformar o Arquivo de Exemplo (6)]"/>
  </connection>
  <connection id="74" xr16:uid="{FF57F0EF-5C6F-422B-AEB0-26948ADFBA88}" keepAlive="1" name="Consulta - Transformar o Arquivo de Exemplo (7)" description="Conexão com a consulta 'Transformar o Arquivo de Exemplo (7)' na pasta de trabalho." type="5" refreshedVersion="0" background="1">
    <dbPr connection="Provider=Microsoft.Mashup.OleDb.1;Data Source=$Workbook$;Location=&quot;Transformar o Arquivo de Exemplo (7)&quot;;Extended Properties=&quot;&quot;" command="SELECT * FROM [Transformar o Arquivo de Exemplo (7)]"/>
  </connection>
  <connection id="75" xr16:uid="{C4E7E4BF-0939-4DDF-A5BF-B9241CBAB503}" keepAlive="1" name="Consulta - Transformar o Arquivo de Exemplo (8)" description="Conexão com a consulta 'Transformar o Arquivo de Exemplo (8)' na pasta de trabalho." type="5" refreshedVersion="0" background="1">
    <dbPr connection="Provider=Microsoft.Mashup.OleDb.1;Data Source=$Workbook$;Location=&quot;Transformar o Arquivo de Exemplo (8)&quot;;Extended Properties=&quot;&quot;" command="SELECT * FROM [Transformar o Arquivo de Exemplo (8)]"/>
  </connection>
  <connection id="76" xr16:uid="{FBF5CD2D-8685-455D-8489-36EBBD7114FA}" keepAlive="1" name="Consulta - Transformar o Arquivo de Exemplo (9)" description="Conexão com a consulta 'Transformar o Arquivo de Exemplo (9)' na pasta de trabalho." type="5" refreshedVersion="0" background="1">
    <dbPr connection="Provider=Microsoft.Mashup.OleDb.1;Data Source=$Workbook$;Location=&quot;Transformar o Arquivo de Exemplo (9)&quot;;Extended Properties=&quot;&quot;" command="SELECT * FROM [Transformar o Arquivo de Exemplo (9)]"/>
  </connection>
  <connection id="77" xr16:uid="{DCD781E5-79A6-4117-830D-5AD5ABB53CA8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8" xr16:uid="{AD928C51-6005-4174-961C-7D14886A0E63}" name="WorksheetConnection_Acompanhamento_Buddha - Junho 2023.xlsb.xlsx!Tabela_Estatísticos_Mensais" type="102" refreshedVersion="8" minRefreshableVersion="5">
    <extLst>
      <ext xmlns:x15="http://schemas.microsoft.com/office/spreadsheetml/2010/11/main" uri="{DE250136-89BD-433C-8126-D09CA5730AF9}">
        <x15:connection id="Tabela_Estatísticos_Mensais" autoDelete="1">
          <x15:rangePr sourceName="_xlcn.WorksheetConnection_Acompanhamento_BuddhaJunho2023.xlsb.xlsxTabela_Estatísticos_Mensais1"/>
        </x15:connection>
      </ext>
    </extLst>
  </connection>
  <connection id="79" xr16:uid="{9B2DB67D-5E53-48CD-B634-9E22FC102CBA}" name="WorksheetConnection_Acompanhamento_Buddha - Junho 2023.xlsb.xlsx!Tabela_Facebook" type="102" refreshedVersion="8" minRefreshableVersion="5">
    <extLst>
      <ext xmlns:x15="http://schemas.microsoft.com/office/spreadsheetml/2010/11/main" uri="{DE250136-89BD-433C-8126-D09CA5730AF9}">
        <x15:connection id="Tabela_Facebook">
          <x15:rangePr sourceName="_xlcn.WorksheetConnection_Acompanhamento_BuddhaJunho2023.xlsb.xlsxTabela_Facebook1"/>
        </x15:connection>
      </ext>
    </extLst>
  </connection>
  <connection id="80" xr16:uid="{85A5ACB6-452B-4C46-A438-41F554FF1BD9}" name="WorksheetConnection_Acompanhamento_Buddha - Junho 2023.xlsb.xlsx!Tabela_Google" type="102" refreshedVersion="8" minRefreshableVersion="5">
    <extLst>
      <ext xmlns:x15="http://schemas.microsoft.com/office/spreadsheetml/2010/11/main" uri="{DE250136-89BD-433C-8126-D09CA5730AF9}">
        <x15:connection id="Tabela_Google">
          <x15:rangePr sourceName="_xlcn.WorksheetConnection_Acompanhamento_BuddhaJunho2023.xlsb.xlsxTabela_Googl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<sst xmlns="http://schemas.openxmlformats.org/spreadsheetml/2006/main" count="2067" uniqueCount="211">
  <si>
    <t>Start Voucher</t>
  </si>
  <si>
    <t>End Voucher</t>
  </si>
  <si>
    <t>Inauguração</t>
  </si>
  <si>
    <t>Status</t>
  </si>
  <si>
    <t>Junho</t>
  </si>
  <si>
    <t>Moema Pássaros: 26-28/6 (inaugura 23/6)</t>
  </si>
  <si>
    <t>Shopping Anália Franco: 28-29/6 (inaugura 27/6)</t>
  </si>
  <si>
    <t>Shopping Santa Úrsula: 29/6-3/7 (inaugura 29/6)</t>
  </si>
  <si>
    <t>Julho</t>
  </si>
  <si>
    <t>Menu Spa Experience (1-31/7)</t>
  </si>
  <si>
    <t>Temporada Day Spa (3 a 16/7)</t>
  </si>
  <si>
    <t>Voucher Experience Shopping Santa Úrsula (6 a 10/7)</t>
  </si>
  <si>
    <t>Quero ser franqueado - Franquias (7/7 a 30/9)</t>
  </si>
  <si>
    <t>Voucher Experience Blue Tree Thermas Lins (10 a 12/7)</t>
  </si>
  <si>
    <t>Indique e Ganhe (18/7 a 30/9)</t>
  </si>
  <si>
    <t>Voucher Experience Ribeirão Shopping (26 a 30/7)</t>
  </si>
  <si>
    <t>Voucher Experience Jardim Marajoara (24 a 26/7)</t>
  </si>
  <si>
    <t>Agosto</t>
  </si>
  <si>
    <t>14-16: VE Parque Aclimação (inauguração: 10/8)</t>
  </si>
  <si>
    <t>21-23: VE Alto de Santana (inauguração: 21/8)</t>
  </si>
  <si>
    <t>Data</t>
  </si>
  <si>
    <t>Mês</t>
  </si>
  <si>
    <t>Valor</t>
  </si>
  <si>
    <t>Janeiro</t>
  </si>
  <si>
    <t>Fevereiro</t>
  </si>
  <si>
    <t>Março</t>
  </si>
  <si>
    <t>Abril</t>
  </si>
  <si>
    <t>Maio</t>
  </si>
  <si>
    <t>Setembro</t>
  </si>
  <si>
    <t>Outubro</t>
  </si>
  <si>
    <t>Novembro</t>
  </si>
  <si>
    <t>Dezembro</t>
  </si>
  <si>
    <t>Cost</t>
  </si>
  <si>
    <t>Login</t>
  </si>
  <si>
    <t>https://ads.tiktok.com/i18n/login/?redirect=https%3A%2F%2Fads.tiktok.com%2Fi18n%2Faccount%2Fpayment%3Faadvid%3D7218164748234293249</t>
  </si>
  <si>
    <t>Report</t>
  </si>
  <si>
    <t>https://ads.tiktok.com/i18n/reporting/pivot/table/edit?reportId=7254671041543274497&amp;aadvid=7218164748234293249</t>
  </si>
  <si>
    <t>Dia</t>
  </si>
  <si>
    <t>Valor usado (BRL)</t>
  </si>
  <si>
    <t>Alcance</t>
  </si>
  <si>
    <t>Usuários</t>
  </si>
  <si>
    <t>Custo</t>
  </si>
  <si>
    <t>Data de início (em UTC)</t>
  </si>
  <si>
    <t>Total investido</t>
  </si>
  <si>
    <t>Rótulos de Linha</t>
  </si>
  <si>
    <t>Soma de Faturamento</t>
  </si>
  <si>
    <t>Soma de Liquido</t>
  </si>
  <si>
    <t>Soma de Frete</t>
  </si>
  <si>
    <t>Soma de Pedidos</t>
  </si>
  <si>
    <t>Soma de Itens</t>
  </si>
  <si>
    <t>2022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</si>
  <si>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</si>
  <si>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</si>
  <si>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</si>
  <si>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</si>
  <si>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</si>
  <si>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</si>
  <si>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</si>
  <si>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</si>
  <si>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</si>
  <si>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</si>
  <si>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</si>
  <si>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</si>
  <si>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2023</t>
  </si>
  <si>
    <t>Total Geral</t>
  </si>
  <si>
    <t>Rótulos de Coluna</t>
  </si>
  <si>
    <t>Total Rec. Bruta</t>
  </si>
  <si>
    <t>Total Soma de Pedidos</t>
  </si>
  <si>
    <t>Rec. Bruta</t>
  </si>
  <si>
    <t>Buddha Spa | Performance do Site</t>
  </si>
  <si>
    <t>Digital</t>
  </si>
  <si>
    <t>Investimento Digital</t>
  </si>
  <si>
    <t>Parceiros</t>
  </si>
  <si>
    <t>Diário de Bordo</t>
  </si>
  <si>
    <t>Semana</t>
  </si>
  <si>
    <t>Faturamento</t>
  </si>
  <si>
    <t>Liquido</t>
  </si>
  <si>
    <t>Frete</t>
  </si>
  <si>
    <t>Pedidos</t>
  </si>
  <si>
    <t>Itens</t>
  </si>
  <si>
    <t>TKT Médio</t>
  </si>
  <si>
    <t>Investimento</t>
  </si>
  <si>
    <t>ROAS</t>
  </si>
  <si>
    <t>Conversão</t>
  </si>
  <si>
    <t>espaço</t>
  </si>
  <si>
    <t>Google</t>
  </si>
  <si>
    <t>Facebooks</t>
  </si>
  <si>
    <t>Bing</t>
  </si>
  <si>
    <t>E-mail</t>
  </si>
  <si>
    <t>Linkedin</t>
  </si>
  <si>
    <t>TikTok</t>
  </si>
  <si>
    <t>Afiliados</t>
  </si>
  <si>
    <t>Livelo</t>
  </si>
  <si>
    <t>Ações do dia</t>
  </si>
  <si>
    <t>sábado</t>
  </si>
  <si>
    <t>domingo</t>
  </si>
  <si>
    <t>segunda-feira</t>
  </si>
  <si>
    <t>terça-feira</t>
  </si>
  <si>
    <t>quarta-feira</t>
  </si>
  <si>
    <t>quinta-feira</t>
  </si>
  <si>
    <t>sexta-feira</t>
  </si>
  <si>
    <t>.</t>
  </si>
  <si>
    <t>Voucher Experience Paraído - Inicio</t>
  </si>
  <si>
    <t>Voucher Experience Paraído - Fim</t>
  </si>
  <si>
    <t xml:space="preserve">Ativou Gif dos pacotes (Adicionando ao Carrinho) </t>
  </si>
  <si>
    <t>Ativou os Gifs de sacola e pagamento</t>
  </si>
  <si>
    <t xml:space="preserve">Filipe ativou plugin de limite de compra por Cliente </t>
  </si>
  <si>
    <t>Ativação Voucher Experiencie Rio Design Leblon (R$206,00 por R$105,00)</t>
  </si>
  <si>
    <t>Encerramento - Voucher Experiencie Rio Design Leblon  |  Inicio Campanha Linkdin Corporativo</t>
  </si>
  <si>
    <t>Encerramento Buddha Spa Week</t>
  </si>
  <si>
    <t xml:space="preserve">Ajustou o PIx com checkout transparente - Paga Leve( feito 18h da tarde) </t>
  </si>
  <si>
    <t xml:space="preserve">Ativou a página Dia das Mães e alguns anúncios (Google e Face)  |  Atualizou Carrinho deixando responsivel (quantidade de produtos). </t>
  </si>
  <si>
    <t>Ativou Banner Dia das Mães na Home do site</t>
  </si>
  <si>
    <t xml:space="preserve">Reativou a campanha de franquias no google Ads </t>
  </si>
  <si>
    <t>Ativou as melhorias de Mães: Menu mães, filtro na página, banner nas categorias</t>
  </si>
  <si>
    <t>Site ficou fora do ar: 21:23h até 00:34h</t>
  </si>
  <si>
    <t xml:space="preserve">Disparo de SMS Especial Mães </t>
  </si>
  <si>
    <t>Dia das Mães 2023</t>
  </si>
  <si>
    <t xml:space="preserve">Ativou Voucher Experience Shopping Ibirapuera </t>
  </si>
  <si>
    <t>Encerrou Voucher Experience Shopping Ibirapuera</t>
  </si>
  <si>
    <t xml:space="preserve">Ativou novos banners na Home (Teste genético / Spa e Mães) </t>
  </si>
  <si>
    <t xml:space="preserve">Inicio Sorteio de 50 Indian Head no instagram (Ativou banner na Home, e-mail e Insta). </t>
  </si>
  <si>
    <t>Inicio Voucher Experience Mogi das Cruzes</t>
  </si>
  <si>
    <t>Deploy: Selos Footer, Imagens no checkout e Validador de Voucher para 5 dias</t>
  </si>
  <si>
    <t xml:space="preserve">Fim Sorteio de 50 Indian Head no insta (Desativou os banners do site). </t>
  </si>
  <si>
    <t xml:space="preserve">Ativou anúnicos e campanha Namorados no Site </t>
  </si>
  <si>
    <t>Disparo e-mail Dia dos Namorados</t>
  </si>
  <si>
    <t>Dia dos Namorados | Problema de gerar voucher com cartão de crédito</t>
  </si>
  <si>
    <t xml:space="preserve">Inicio VE Goiania Oeste  | às 16h forma de pagamento PIx caiu e voltou 20h </t>
  </si>
  <si>
    <t>Final VE Goiania Oeste</t>
  </si>
  <si>
    <t xml:space="preserve">Fez disparo de e-mail sobre franqueas - disparo dinamico. </t>
  </si>
  <si>
    <t>Inicio VE Moema Pássaros</t>
  </si>
  <si>
    <t>Encerramento VE Moema Pássaros</t>
  </si>
  <si>
    <t>Nenhum VE ativo, o Tkt Médio subiu expressivamente</t>
  </si>
  <si>
    <t>Início VE Anália Franco</t>
  </si>
  <si>
    <t xml:space="preserve">Inicio Menu Spa Experience </t>
  </si>
  <si>
    <t>Instabilidade no pagamento Paypal | Ativou a prorrogação de voucher |  Inicio Voucher Experience Shopping Santa Úrsula</t>
  </si>
  <si>
    <t>Pagamentos estável | ativou Pix na prorrogação de voucher/Campanha Quero ser Franqueado-Franquias</t>
  </si>
  <si>
    <t>Ativou VE Blue Tree Thermas Lins | Fim Voucher Experience Shopping Santa Úrsula</t>
  </si>
  <si>
    <t>Fim VE Blue Tree Thermas Lins</t>
  </si>
  <si>
    <t>Fim do VE Anália Franco | Fim Temporada Day Spa</t>
  </si>
  <si>
    <t>Lançamento do Indique &amp; Ganhe</t>
  </si>
  <si>
    <t>Início VE Jardim Marajoara</t>
  </si>
  <si>
    <t>Fim VE Jardim Marajoara| Início VE Ribeirão Shopping |Instabilidade no site</t>
  </si>
  <si>
    <t>Instabilidade no site</t>
  </si>
  <si>
    <t xml:space="preserve">Site ficou caiu 3x no dia ficando fora por aproximanete 30min cada vez que caiu. </t>
  </si>
  <si>
    <t>Site parou de processar pagamento às 17:40 - Foi ativado a ferramenta Cloudflare</t>
  </si>
  <si>
    <t xml:space="preserve">Pedidos voltaram a entrar depois das 11:15, antes não entrou receita (Problema tecnologia) </t>
  </si>
  <si>
    <t xml:space="preserve">Site caiu perto das 20h e volto logo em seguida. </t>
  </si>
  <si>
    <t>Receita Bruta</t>
  </si>
  <si>
    <t>Receita Líquida</t>
  </si>
  <si>
    <t>Cupom</t>
  </si>
  <si>
    <t>Reembolsado</t>
  </si>
  <si>
    <t>Período</t>
  </si>
  <si>
    <t>Líquido</t>
  </si>
  <si>
    <t>Facebook</t>
  </si>
  <si>
    <t>Jan</t>
  </si>
  <si>
    <t>Jan%</t>
  </si>
  <si>
    <t>Fev</t>
  </si>
  <si>
    <t>Fev%</t>
  </si>
  <si>
    <t>Mar</t>
  </si>
  <si>
    <t>Mar%</t>
  </si>
  <si>
    <t>Abr</t>
  </si>
  <si>
    <t>Abr%</t>
  </si>
  <si>
    <t>Mai</t>
  </si>
  <si>
    <t>Mai%</t>
  </si>
  <si>
    <t>Jun</t>
  </si>
  <si>
    <t>Jun%</t>
  </si>
  <si>
    <t>Jul</t>
  </si>
  <si>
    <t>Jul%</t>
  </si>
  <si>
    <t>Acumulado 2023</t>
  </si>
  <si>
    <t>Acumulado 2022</t>
  </si>
  <si>
    <t>Proporcional 2022</t>
  </si>
  <si>
    <t>Receita Líquida+ Frete</t>
  </si>
  <si>
    <t>Soma diário</t>
  </si>
  <si>
    <t>Linha total Bruta</t>
  </si>
  <si>
    <t>Tabela dinamica check</t>
  </si>
  <si>
    <t>Check 1</t>
  </si>
  <si>
    <t>Check 2</t>
  </si>
  <si>
    <t>Check 3</t>
  </si>
  <si>
    <t>Soma intervalo</t>
  </si>
  <si>
    <t>Aba 2023</t>
  </si>
  <si>
    <t>Soma tabela dinamica</t>
  </si>
  <si>
    <t>Totais</t>
  </si>
  <si>
    <t>DIGITAL</t>
  </si>
  <si>
    <t>PARCEIROS</t>
  </si>
  <si>
    <t>Geral</t>
  </si>
  <si>
    <t>Pegar Dez 22</t>
  </si>
  <si>
    <t>Análise Comparativa YoY</t>
  </si>
  <si>
    <t xml:space="preserve">Análise Comparativa MoM </t>
  </si>
  <si>
    <t>DEZ/2022</t>
  </si>
  <si>
    <t>Análise Comparativa MoM - Proporcional</t>
  </si>
  <si>
    <t xml:space="preserve">Análise Comparativa YoY e MoM </t>
  </si>
  <si>
    <t>Invest. DIGITAL</t>
  </si>
  <si>
    <t>Lançamento Indique e Ganhe</t>
  </si>
  <si>
    <t>Análise Comparativa MoM - Acumulado</t>
  </si>
  <si>
    <t xml:space="preserve"> </t>
  </si>
  <si>
    <t>JAN</t>
  </si>
  <si>
    <t>FEV</t>
  </si>
  <si>
    <t>MAR</t>
  </si>
  <si>
    <t>ABR</t>
  </si>
  <si>
    <t>MAI</t>
  </si>
  <si>
    <t>JUL</t>
  </si>
  <si>
    <t>JUN</t>
  </si>
  <si>
    <t>AGO</t>
  </si>
  <si>
    <t>SET</t>
  </si>
  <si>
    <t>OUT</t>
  </si>
  <si>
    <t>NOV</t>
  </si>
  <si>
    <t>DEZ</t>
  </si>
  <si>
    <t>Inicio campanha Menu Spa Experience</t>
  </si>
  <si>
    <t>Pagamentos estável | ativou Pix na prorrogação de voucher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</si>
</sst>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[$R$ -416]#,##0.00"/>
    <numFmt numFmtId="165" formatCode="dd/mm"/>
    <numFmt numFmtId="166" formatCode="_-* #,##0_-;\-* #,##0_-;_-* &quot;-&quot;??_-;_-@_-"/>
  </numFmts>
  <fonts count="68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24"/>
      <color rgb="FFFFFFFF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rgb="FF000000"/>
      <name val="Calibri"/>
      <family val="2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b/>
      <sz val="10"/>
      <color theme="6" tint="0.39997558519241921"/>
      <name val="Arial"/>
      <family val="2"/>
    </font>
    <font>
      <sz val="8"/>
      <name val="Arial"/>
      <family val="2"/>
      <scheme val="minor"/>
    </font>
    <font>
      <b/>
      <sz val="10"/>
      <color theme="1" tint="0.34998626667073579"/>
      <name val="Calibri"/>
      <family val="2"/>
    </font>
    <font>
      <sz val="11"/>
      <color rgb="FF000000"/>
      <name val="Arial"/>
      <family val="2"/>
      <scheme val="minor"/>
    </font>
    <font>
      <b/>
      <sz val="24"/>
      <color rgb="FFFFFFFF"/>
      <name val="Bahnschrift Light Condensed"/>
      <family val="2"/>
    </font>
    <font>
      <sz val="28"/>
      <color rgb="FFFFFFFF"/>
      <name val="Arial"/>
      <family val="2"/>
      <scheme val="minor"/>
    </font>
    <font>
      <sz val="48"/>
      <color theme="1"/>
      <name val="Arial"/>
      <family val="2"/>
      <scheme val="minor"/>
    </font>
    <font>
      <sz val="48"/>
      <color rgb="FF000000"/>
      <name val="Arial"/>
      <family val="2"/>
      <scheme val="minor"/>
    </font>
    <font>
      <b/>
      <sz val="11"/>
      <color theme="5" tint="-0.499984740745262"/>
      <name val="Aparajita"/>
      <family val="1"/>
    </font>
    <font>
      <sz val="18"/>
      <color theme="5" tint="-0.499984740745262"/>
      <name val="Avenir Next LT Pro Demi"/>
      <family val="2"/>
    </font>
    <font>
      <sz val="11"/>
      <color theme="1" tint="0.34998626667073579"/>
      <name val="Calibri"/>
      <family val="2"/>
    </font>
    <font>
      <b/>
      <sz val="10"/>
      <color rgb="FF000000"/>
      <name val="Calibri"/>
      <family val="2"/>
    </font>
    <font>
      <sz val="10"/>
      <color rgb="FF7D170F"/>
      <name val="Arial"/>
      <family val="2"/>
      <scheme val="minor"/>
    </font>
    <font>
      <sz val="11"/>
      <color rgb="FF000000"/>
      <name val="Calibri"/>
      <family val="2"/>
    </font>
    <font>
      <b/>
      <sz val="16"/>
      <color theme="0"/>
      <name val="Calibri"/>
      <family val="2"/>
    </font>
    <font>
      <sz val="22"/>
      <color rgb="FF000000"/>
      <name val="Calibri"/>
      <family val="2"/>
    </font>
    <font>
      <b/>
      <sz val="14"/>
      <color rgb="FF7D170F"/>
      <name val="Calibri"/>
      <family val="2"/>
    </font>
    <font>
      <sz val="14"/>
      <color rgb="FF7D170F"/>
      <name val="Calibri"/>
      <family val="2"/>
    </font>
    <font>
      <sz val="11"/>
      <color theme="1"/>
      <name val="Calibri"/>
      <family val="2"/>
    </font>
    <font>
      <sz val="14"/>
      <color rgb="FFFFFFFF"/>
      <name val="Calibri"/>
      <family val="2"/>
    </font>
    <font>
      <sz val="11"/>
      <color rgb="FF000000"/>
      <name val="Amasis MT Pro Black"/>
      <family val="1"/>
    </font>
    <font>
      <sz val="48"/>
      <color rgb="FF7D170F"/>
      <name val="Arial"/>
      <family val="2"/>
      <scheme val="minor"/>
    </font>
    <font>
      <b/>
      <sz val="16"/>
      <color rgb="FF7D170F"/>
      <name val="Calibri"/>
      <family val="2"/>
    </font>
    <font>
      <sz val="22"/>
      <color rgb="FF7D170F"/>
      <name val="Calibri"/>
      <family val="2"/>
    </font>
    <font>
      <sz val="9"/>
      <color rgb="FF7D170F"/>
      <name val="Calibri"/>
      <family val="2"/>
    </font>
    <font>
      <sz val="10"/>
      <color rgb="FF7D170F"/>
      <name val="Calibri"/>
      <family val="2"/>
    </font>
    <font>
      <b/>
      <sz val="11"/>
      <color theme="5" tint="-0.499984740745262"/>
      <name val="Avenir Next LT Pro Demi"/>
      <family val="2"/>
    </font>
    <font>
      <sz val="11"/>
      <color theme="5" tint="-0.499984740745262"/>
      <name val="Avenir Next LT Pro Demi"/>
      <family val="2"/>
    </font>
    <font>
      <b/>
      <sz val="11"/>
      <color rgb="FF000000"/>
      <name val="Calibri"/>
      <family val="2"/>
    </font>
    <font>
      <b/>
      <sz val="10"/>
      <color rgb="FF000000"/>
      <name val="Arial"/>
      <family val="2"/>
      <scheme val="minor"/>
    </font>
    <font>
      <b/>
      <sz val="10"/>
      <color rgb="FF00B050"/>
      <name val="Arial"/>
      <family val="2"/>
      <scheme val="minor"/>
    </font>
    <font>
      <sz val="9"/>
      <color rgb="FF000000"/>
      <name val="Arial"/>
      <family val="2"/>
      <scheme val="minor"/>
    </font>
    <font>
      <sz val="10"/>
      <color rgb="FFFFFFFF"/>
      <name val="Calibri"/>
      <family val="2"/>
    </font>
    <font>
      <b/>
      <sz val="8"/>
      <color theme="3" tint="0.499984740745262"/>
      <name val="Arial"/>
      <family val="2"/>
      <scheme val="minor"/>
    </font>
    <font>
      <b/>
      <sz val="8"/>
      <color theme="1"/>
      <name val="Arial"/>
      <family val="2"/>
      <scheme val="minor"/>
    </font>
    <font>
      <b/>
      <sz val="8"/>
      <color theme="1" tint="0.249977111117893"/>
      <name val="Arial"/>
      <family val="2"/>
      <scheme val="minor"/>
    </font>
    <font>
      <b/>
      <sz val="8"/>
      <color theme="1" tint="0.249977111117893"/>
      <name val="Arial"/>
      <family val="2"/>
    </font>
    <font>
      <sz val="8"/>
      <color rgb="FF000000"/>
      <name val="Arial"/>
      <family val="2"/>
      <scheme val="minor"/>
    </font>
    <font>
      <b/>
      <sz val="8"/>
      <color rgb="FF00B050"/>
      <name val="Arial"/>
      <family val="2"/>
      <scheme val="minor"/>
    </font>
    <font>
      <b/>
      <sz val="8"/>
      <color rgb="FFFFFFFF"/>
      <name val="Arial"/>
      <family val="2"/>
      <scheme val="minor"/>
    </font>
    <font>
      <b/>
      <sz val="8"/>
      <color rgb="FF00B050"/>
      <name val="Arial"/>
      <family val="2"/>
    </font>
    <font>
      <b/>
      <sz val="9"/>
      <color theme="6" tint="0.39997558519241921"/>
      <name val="Arial"/>
      <family val="2"/>
    </font>
    <font>
      <sz val="9"/>
      <color rgb="FF000000"/>
      <name val="Calibri"/>
      <family val="2"/>
    </font>
    <font>
      <b/>
      <sz val="9"/>
      <color indexed="16"/>
      <name val="Arial"/>
      <family val="2"/>
    </font>
    <font>
      <b/>
      <sz val="9"/>
      <color indexed="16"/>
      <name val="Amasis MT Pro Black"/>
      <family val="1"/>
    </font>
    <font>
      <b/>
      <sz val="9"/>
      <color indexed="16"/>
      <name val="Calibri"/>
      <family val="2"/>
    </font>
    <font>
      <b/>
      <sz val="10"/>
      <color theme="1" tint="4.9989318521683403E-2"/>
      <name val="Calibri"/>
      <family val="2"/>
    </font>
    <font>
      <u/>
      <sz val="10"/>
      <color theme="10"/>
      <name val="Arial"/>
      <family val="2"/>
      <scheme val="minor"/>
    </font>
    <font>
      <sz val="11"/>
      <color theme="0" tint="-0.249977111117893"/>
      <name val="Arial"/>
      <family val="2"/>
      <scheme val="minor"/>
    </font>
    <font>
      <sz val="10"/>
      <color theme="0" tint="-0.249977111117893"/>
      <name val="Arial"/>
      <family val="2"/>
      <scheme val="minor"/>
    </font>
    <font>
      <b/>
      <sz val="8"/>
      <color theme="0" tint="-0.499984740745262"/>
      <name val="Arial"/>
      <family val="2"/>
    </font>
    <font>
      <b/>
      <sz val="8"/>
      <color theme="0" tint="-0.499984740745262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0"/>
      <color theme="0" tint="-0.499984740745262"/>
      <name val="Arial"/>
      <family val="2"/>
      <scheme val="minor"/>
    </font>
    <font>
      <sz val="11"/>
      <color theme="0" tint="-0.499984740745262"/>
      <name val="Arial"/>
      <family val="2"/>
      <scheme val="minor"/>
    </font>
    <font>
      <b/>
      <sz val="10"/>
      <color theme="0" tint="-0.499984740745262"/>
      <name val="Arial"/>
      <family val="2"/>
      <scheme val="minor"/>
    </font>
    <font>
      <sz val="10"/>
      <color theme="0"/>
      <name val="Calibri"/>
      <family val="2"/>
    </font>
    <font>
      <sz val="11"/>
      <color rgb="FF000000"/>
      <name val="Calibri"/>
    </font>
    <font>
      <b/>
      <sz val="8"/>
      <color theme="0"/>
      <name val="Arial"/>
      <family val="2"/>
      <scheme val="minor"/>
    </font>
    <font>
      <sz val="8"/>
      <name val="Arial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7D170F"/>
        <bgColor rgb="FF7D170F"/>
      </patternFill>
    </fill>
    <fill>
      <patternFill patternType="solid">
        <fgColor rgb="FFFFFFFF"/>
        <bgColor rgb="FFFFFFFF"/>
      </patternFill>
    </fill>
    <fill>
      <patternFill patternType="solid">
        <fgColor theme="5" tint="-0.499984740745262"/>
        <bgColor rgb="FFF3F3F3"/>
      </patternFill>
    </fill>
    <fill>
      <patternFill patternType="solid">
        <fgColor theme="6" tint="0.39997558519241921"/>
        <bgColor rgb="FFD69826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/>
        <bgColor rgb="FFCCCCCC"/>
      </patternFill>
    </fill>
    <fill>
      <patternFill patternType="solid">
        <fgColor theme="2"/>
        <bgColor indexed="64"/>
      </patternFill>
    </fill>
    <fill>
      <patternFill patternType="solid">
        <fgColor theme="6" tint="0.39997558519241921"/>
        <bgColor rgb="FFF3F3F3"/>
      </patternFill>
    </fill>
    <fill>
      <patternFill patternType="solid">
        <fgColor theme="6" tint="0.39997558519241921"/>
        <bgColor rgb="FFFFFFFF"/>
      </patternFill>
    </fill>
    <fill>
      <patternFill patternType="solid">
        <fgColor rgb="FF7D170F"/>
        <bgColor indexed="64"/>
      </patternFill>
    </fill>
    <fill>
      <patternFill patternType="solid">
        <fgColor rgb="FF7D170F"/>
        <bgColor rgb="FFFFFFFF"/>
      </patternFill>
    </fill>
    <fill>
      <patternFill patternType="solid">
        <fgColor rgb="FF7D170F"/>
        <bgColor rgb="FFF3F3F3"/>
      </patternFill>
    </fill>
    <fill>
      <patternFill patternType="solid">
        <fgColor rgb="FFFFFFCC"/>
        <bgColor indexed="64"/>
      </patternFill>
    </fill>
    <fill>
      <patternFill patternType="solid">
        <fgColor rgb="FFFFE89F"/>
        <bgColor indexed="64"/>
      </patternFill>
    </fill>
    <fill>
      <patternFill patternType="solid">
        <fgColor theme="0" tint="-4.9989318521683403E-2"/>
        <bgColor rgb="FFFFFFFF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79998168889431442"/>
        <bgColor rgb="FFFFFFFF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FFFFFF"/>
      </patternFill>
    </fill>
    <fill>
      <patternFill patternType="solid">
        <fgColor rgb="FFFFFFFF"/>
      </patternFill>
    </fill>
  </fills>
  <borders count="30">
    <border>
      <left/>
      <right/>
      <top/>
      <bottom/>
      <diagonal/>
    </border>
    <border>
      <left/>
      <right/>
      <top/>
      <bottom style="medium">
        <color rgb="FF666666"/>
      </bottom>
      <diagonal/>
    </border>
    <border>
      <left/>
      <right/>
      <top style="medium">
        <color theme="6" tint="-0.249977111117893"/>
      </top>
      <bottom/>
      <diagonal/>
    </border>
    <border>
      <left/>
      <right style="medium">
        <color theme="6" tint="-0.249977111117893"/>
      </right>
      <top style="medium">
        <color theme="6" tint="-0.249977111117893"/>
      </top>
      <bottom/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medium">
        <color theme="6" tint="-0.249977111117893"/>
      </left>
      <right/>
      <top style="medium">
        <color theme="6" tint="-0.249977111117893"/>
      </top>
      <bottom/>
      <diagonal/>
    </border>
    <border>
      <left/>
      <right/>
      <top style="medium">
        <color theme="0"/>
      </top>
      <bottom/>
      <diagonal/>
    </border>
    <border>
      <left/>
      <right/>
      <top/>
      <bottom style="medium">
        <color theme="0"/>
      </bottom>
      <diagonal/>
    </border>
    <border>
      <left style="hair">
        <color theme="0" tint="-0.499984740745262"/>
      </left>
      <right/>
      <top style="hair">
        <color theme="0" tint="-0.499984740745262"/>
      </top>
      <bottom style="hair">
        <color theme="0" tint="-0.499984740745262"/>
      </bottom>
      <diagonal/>
    </border>
    <border>
      <left/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medium">
        <color rgb="FFFFFFCC"/>
      </left>
      <right style="medium">
        <color rgb="FFFFFFCC"/>
      </right>
      <top style="medium">
        <color rgb="FFFFFFCC"/>
      </top>
      <bottom style="medium">
        <color rgb="FFFFFFCC"/>
      </bottom>
      <diagonal/>
    </border>
    <border>
      <left style="medium">
        <color rgb="FFFFFFCC"/>
      </left>
      <right style="medium">
        <color rgb="FFFFFFCC"/>
      </right>
      <top style="medium">
        <color rgb="FFFFFFCC"/>
      </top>
      <bottom/>
      <diagonal/>
    </border>
    <border>
      <left style="medium">
        <color rgb="FFFFFFCC"/>
      </left>
      <right style="medium">
        <color rgb="FFFFFFCC"/>
      </right>
      <top/>
      <bottom/>
      <diagonal/>
    </border>
    <border>
      <left/>
      <right style="medium">
        <color rgb="FFFFFFCC"/>
      </right>
      <top style="medium">
        <color rgb="FFFFFFCC"/>
      </top>
      <bottom/>
      <diagonal/>
    </border>
    <border>
      <left/>
      <right style="medium">
        <color rgb="FFFFFFCC"/>
      </right>
      <top/>
      <bottom/>
      <diagonal/>
    </border>
    <border>
      <left style="medium">
        <color rgb="FFFFFFCC"/>
      </left>
      <right style="medium">
        <color rgb="FFFFFFCC"/>
      </right>
      <top/>
      <bottom style="medium">
        <color rgb="FFFFFFCC"/>
      </bottom>
      <diagonal/>
    </border>
    <border>
      <left/>
      <right/>
      <top/>
      <bottom style="thick">
        <color rgb="FF666666"/>
      </bottom>
      <diagonal/>
    </border>
    <border>
      <left/>
      <right/>
      <top style="medium">
        <color theme="6" tint="-0.249977111117893"/>
      </top>
      <bottom style="medium">
        <color theme="6" tint="-0.249977111117893"/>
      </bottom>
      <diagonal/>
    </border>
    <border>
      <left/>
      <right style="medium">
        <color theme="6" tint="-0.249977111117893"/>
      </right>
      <top style="medium">
        <color theme="6" tint="-0.249977111117893"/>
      </top>
      <bottom style="medium">
        <color theme="6" tint="-0.249977111117893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 style="medium">
        <color rgb="FFFFFFCC"/>
      </right>
      <top style="medium">
        <color theme="0"/>
      </top>
      <bottom/>
      <diagonal/>
    </border>
    <border>
      <left style="medium">
        <color theme="0"/>
      </left>
      <right/>
      <top/>
      <bottom/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 style="medium">
        <color rgb="FFFFFFCC"/>
      </right>
      <top style="medium">
        <color rgb="FFFFFFCC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/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/>
      <bottom style="medium">
        <color theme="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6">
    <xf numFmtId="0" fontId="0" fillId="0" borderId="0"/>
    <xf numFmtId="0" fontId="60" fillId="0" borderId="0" applyNumberForma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55" fillId="0" borderId="0" applyNumberFormat="0" applyFill="0" applyBorder="0" applyAlignment="0" applyProtection="0"/>
  </cellStyleXfs>
  <cellXfs count="224">
    <xf numFmtId="0" fontId="0" fillId="0" borderId="0" xfId="0"/>
    <xf numFmtId="0" fontId="30" fillId="0" borderId="19" xfId="0" applyFont="1" applyBorder="1" applyAlignment="1">
      <alignment horizontal="center" vertical="center" textRotation="90"/>
    </xf>
    <xf numFmtId="0" fontId="5" fillId="0" borderId="0" xfId="0" applyFont="1"/>
    <xf numFmtId="0" fontId="3" fillId="2" borderId="0" xfId="0" applyFont="1" applyFill="1" applyAlignment="1">
      <alignment vertical="center"/>
    </xf>
    <xf numFmtId="0" fontId="12" fillId="2" borderId="0" xfId="0" applyFont="1" applyFill="1" applyAlignment="1">
      <alignment vertical="center"/>
    </xf>
    <xf numFmtId="14" fontId="2" fillId="2" borderId="0" xfId="0" applyNumberFormat="1" applyFont="1" applyFill="1"/>
    <xf numFmtId="0" fontId="14" fillId="2" borderId="0" xfId="0" applyFont="1" applyFill="1"/>
    <xf numFmtId="0" fontId="13" fillId="2" borderId="0" xfId="0" applyFont="1" applyFill="1" applyAlignment="1">
      <alignment horizontal="left"/>
    </xf>
    <xf numFmtId="0" fontId="15" fillId="0" borderId="0" xfId="0" applyFont="1"/>
    <xf numFmtId="0" fontId="16" fillId="6" borderId="0" xfId="0" applyFont="1" applyFill="1"/>
    <xf numFmtId="0" fontId="17" fillId="8" borderId="0" xfId="0" applyFont="1" applyFill="1" applyAlignment="1">
      <alignment vertical="top"/>
    </xf>
    <xf numFmtId="0" fontId="17" fillId="8" borderId="0" xfId="0" applyFont="1" applyFill="1" applyAlignment="1">
      <alignment horizontal="left" vertical="top"/>
    </xf>
    <xf numFmtId="0" fontId="6" fillId="0" borderId="0" xfId="0" applyFont="1"/>
    <xf numFmtId="0" fontId="16" fillId="5" borderId="2" xfId="0" applyFont="1" applyFill="1" applyBorder="1" applyAlignment="1">
      <alignment horizontal="center"/>
    </xf>
    <xf numFmtId="0" fontId="16" fillId="5" borderId="3" xfId="0" applyFont="1" applyFill="1" applyBorder="1" applyAlignment="1">
      <alignment horizontal="center"/>
    </xf>
    <xf numFmtId="0" fontId="16" fillId="5" borderId="5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/>
    </xf>
    <xf numFmtId="14" fontId="5" fillId="0" borderId="4" xfId="0" applyNumberFormat="1" applyFont="1" applyBorder="1" applyAlignment="1">
      <alignment horizontal="left"/>
    </xf>
    <xf numFmtId="3" fontId="5" fillId="0" borderId="4" xfId="0" applyNumberFormat="1" applyFont="1" applyBorder="1" applyAlignment="1">
      <alignment horizontal="center"/>
    </xf>
    <xf numFmtId="44" fontId="5" fillId="0" borderId="4" xfId="4" applyFont="1" applyFill="1" applyBorder="1" applyAlignment="1">
      <alignment horizontal="left"/>
    </xf>
    <xf numFmtId="0" fontId="11" fillId="0" borderId="0" xfId="0" applyFont="1"/>
    <xf numFmtId="164" fontId="1" fillId="0" borderId="0" xfId="0" applyNumberFormat="1" applyFont="1"/>
    <xf numFmtId="14" fontId="22" fillId="0" borderId="0" xfId="0" applyNumberFormat="1" applyFont="1"/>
    <xf numFmtId="0" fontId="24" fillId="0" borderId="0" xfId="0" applyFont="1"/>
    <xf numFmtId="0" fontId="24" fillId="0" borderId="0" xfId="0" applyFont="1" applyAlignment="1">
      <alignment horizontal="center"/>
    </xf>
    <xf numFmtId="0" fontId="25" fillId="0" borderId="0" xfId="0" applyFont="1"/>
    <xf numFmtId="0" fontId="5" fillId="12" borderId="0" xfId="0" applyFont="1" applyFill="1" applyAlignment="1">
      <alignment horizontal="left"/>
    </xf>
    <xf numFmtId="0" fontId="6" fillId="11" borderId="0" xfId="0" applyFont="1" applyFill="1" applyAlignment="1">
      <alignment horizontal="left"/>
    </xf>
    <xf numFmtId="0" fontId="19" fillId="11" borderId="0" xfId="0" applyFont="1" applyFill="1"/>
    <xf numFmtId="0" fontId="5" fillId="11" borderId="0" xfId="0" applyFont="1" applyFill="1"/>
    <xf numFmtId="0" fontId="6" fillId="0" borderId="6" xfId="0" applyFont="1" applyBorder="1"/>
    <xf numFmtId="0" fontId="5" fillId="0" borderId="6" xfId="0" applyFont="1" applyBorder="1"/>
    <xf numFmtId="0" fontId="6" fillId="0" borderId="7" xfId="0" applyFont="1" applyBorder="1"/>
    <xf numFmtId="0" fontId="5" fillId="0" borderId="7" xfId="0" applyFont="1" applyBorder="1"/>
    <xf numFmtId="0" fontId="28" fillId="0" borderId="0" xfId="0" applyFont="1"/>
    <xf numFmtId="44" fontId="5" fillId="0" borderId="4" xfId="4" applyFont="1" applyFill="1" applyBorder="1" applyAlignment="1">
      <alignment horizontal="center"/>
    </xf>
    <xf numFmtId="0" fontId="29" fillId="2" borderId="0" xfId="0" applyFont="1" applyFill="1"/>
    <xf numFmtId="0" fontId="16" fillId="11" borderId="0" xfId="0" applyFont="1" applyFill="1"/>
    <xf numFmtId="3" fontId="5" fillId="11" borderId="0" xfId="0" applyNumberFormat="1" applyFont="1" applyFill="1" applyAlignment="1">
      <alignment horizontal="center"/>
    </xf>
    <xf numFmtId="0" fontId="0" fillId="11" borderId="0" xfId="0" applyFill="1"/>
    <xf numFmtId="3" fontId="5" fillId="0" borderId="4" xfId="0" applyNumberFormat="1" applyFont="1" applyBorder="1" applyAlignment="1">
      <alignment horizontal="left"/>
    </xf>
    <xf numFmtId="0" fontId="31" fillId="11" borderId="0" xfId="0" applyFont="1" applyFill="1" applyAlignment="1">
      <alignment vertical="center"/>
    </xf>
    <xf numFmtId="0" fontId="33" fillId="12" borderId="0" xfId="0" applyFont="1" applyFill="1" applyAlignment="1">
      <alignment horizontal="left"/>
    </xf>
    <xf numFmtId="0" fontId="34" fillId="7" borderId="0" xfId="0" applyFont="1" applyFill="1" applyAlignment="1">
      <alignment horizontal="center" vertical="top"/>
    </xf>
    <xf numFmtId="0" fontId="35" fillId="8" borderId="0" xfId="0" applyFont="1" applyFill="1" applyAlignment="1">
      <alignment vertical="top"/>
    </xf>
    <xf numFmtId="0" fontId="21" fillId="12" borderId="0" xfId="0" applyFont="1" applyFill="1" applyAlignment="1">
      <alignment horizontal="left"/>
    </xf>
    <xf numFmtId="0" fontId="26" fillId="11" borderId="0" xfId="0" applyFont="1" applyFill="1" applyAlignment="1">
      <alignment horizontal="left"/>
    </xf>
    <xf numFmtId="0" fontId="36" fillId="11" borderId="0" xfId="0" applyFont="1" applyFill="1"/>
    <xf numFmtId="0" fontId="21" fillId="11" borderId="0" xfId="0" applyFont="1" applyFill="1"/>
    <xf numFmtId="14" fontId="20" fillId="2" borderId="0" xfId="0" applyNumberFormat="1" applyFont="1" applyFill="1"/>
    <xf numFmtId="166" fontId="20" fillId="2" borderId="0" xfId="2" applyNumberFormat="1" applyFont="1" applyFill="1" applyBorder="1" applyAlignment="1"/>
    <xf numFmtId="0" fontId="12" fillId="2" borderId="0" xfId="0" applyFont="1" applyFill="1" applyAlignment="1">
      <alignment horizontal="center"/>
    </xf>
    <xf numFmtId="44" fontId="5" fillId="14" borderId="4" xfId="4" applyFont="1" applyFill="1" applyBorder="1" applyAlignment="1">
      <alignment horizontal="center"/>
    </xf>
    <xf numFmtId="3" fontId="5" fillId="14" borderId="4" xfId="0" applyNumberFormat="1" applyFont="1" applyFill="1" applyBorder="1" applyAlignment="1">
      <alignment horizontal="center"/>
    </xf>
    <xf numFmtId="10" fontId="5" fillId="0" borderId="8" xfId="0" applyNumberFormat="1" applyFont="1" applyBorder="1" applyAlignment="1">
      <alignment horizontal="center"/>
    </xf>
    <xf numFmtId="0" fontId="27" fillId="2" borderId="11" xfId="0" applyFont="1" applyFill="1" applyBorder="1" applyAlignment="1">
      <alignment textRotation="90"/>
    </xf>
    <xf numFmtId="0" fontId="16" fillId="11" borderId="12" xfId="0" applyFont="1" applyFill="1" applyBorder="1"/>
    <xf numFmtId="3" fontId="5" fillId="11" borderId="12" xfId="0" applyNumberFormat="1" applyFont="1" applyFill="1" applyBorder="1" applyAlignment="1">
      <alignment horizontal="center"/>
    </xf>
    <xf numFmtId="44" fontId="8" fillId="13" borderId="12" xfId="4" applyFont="1" applyFill="1" applyBorder="1" applyAlignment="1">
      <alignment horizontal="left"/>
    </xf>
    <xf numFmtId="0" fontId="0" fillId="11" borderId="12" xfId="0" applyFill="1" applyBorder="1"/>
    <xf numFmtId="0" fontId="11" fillId="11" borderId="12" xfId="0" applyFont="1" applyFill="1" applyBorder="1"/>
    <xf numFmtId="0" fontId="39" fillId="0" borderId="0" xfId="0" applyFont="1"/>
    <xf numFmtId="0" fontId="7" fillId="0" borderId="13" xfId="0" applyFont="1" applyBorder="1"/>
    <xf numFmtId="0" fontId="7" fillId="0" borderId="14" xfId="0" applyFont="1" applyBorder="1"/>
    <xf numFmtId="0" fontId="23" fillId="0" borderId="0" xfId="0" applyFont="1"/>
    <xf numFmtId="0" fontId="18" fillId="11" borderId="0" xfId="0" applyFont="1" applyFill="1"/>
    <xf numFmtId="0" fontId="31" fillId="11" borderId="0" xfId="0" applyFont="1" applyFill="1"/>
    <xf numFmtId="0" fontId="12" fillId="2" borderId="0" xfId="0" applyFont="1" applyFill="1" applyAlignment="1">
      <alignment horizontal="left" vertical="center"/>
    </xf>
    <xf numFmtId="0" fontId="16" fillId="5" borderId="3" xfId="0" applyFont="1" applyFill="1" applyBorder="1" applyAlignment="1">
      <alignment horizontal="left"/>
    </xf>
    <xf numFmtId="44" fontId="33" fillId="0" borderId="9" xfId="4" applyFont="1" applyBorder="1" applyAlignment="1">
      <alignment horizontal="center"/>
    </xf>
    <xf numFmtId="44" fontId="33" fillId="0" borderId="4" xfId="4" applyFont="1" applyBorder="1" applyAlignment="1">
      <alignment horizontal="center"/>
    </xf>
    <xf numFmtId="44" fontId="33" fillId="0" borderId="8" xfId="4" applyFont="1" applyBorder="1" applyAlignment="1">
      <alignment horizontal="center"/>
    </xf>
    <xf numFmtId="0" fontId="0" fillId="11" borderId="11" xfId="0" applyFill="1" applyBorder="1"/>
    <xf numFmtId="0" fontId="0" fillId="11" borderId="15" xfId="0" applyFill="1" applyBorder="1"/>
    <xf numFmtId="0" fontId="0" fillId="0" borderId="12" xfId="0" applyBorder="1"/>
    <xf numFmtId="0" fontId="40" fillId="2" borderId="0" xfId="0" applyFont="1" applyFill="1" applyAlignment="1">
      <alignment textRotation="90"/>
    </xf>
    <xf numFmtId="0" fontId="0" fillId="0" borderId="0" xfId="0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14" fontId="43" fillId="0" borderId="0" xfId="0" applyNumberFormat="1" applyFont="1" applyAlignment="1">
      <alignment horizontal="center" vertical="center"/>
    </xf>
    <xf numFmtId="44" fontId="44" fillId="0" borderId="0" xfId="4" applyFont="1" applyFill="1" applyAlignment="1">
      <alignment horizontal="center" vertical="center"/>
    </xf>
    <xf numFmtId="166" fontId="44" fillId="0" borderId="0" xfId="2" applyNumberFormat="1" applyFont="1" applyFill="1" applyAlignment="1">
      <alignment horizontal="center" vertical="center"/>
    </xf>
    <xf numFmtId="10" fontId="44" fillId="0" borderId="0" xfId="0" applyNumberFormat="1" applyFont="1" applyAlignment="1">
      <alignment horizontal="center" vertical="center"/>
    </xf>
    <xf numFmtId="14" fontId="41" fillId="0" borderId="0" xfId="0" applyNumberFormat="1" applyFont="1" applyAlignment="1">
      <alignment horizontal="center" vertical="center"/>
    </xf>
    <xf numFmtId="0" fontId="45" fillId="0" borderId="0" xfId="0" applyFont="1" applyAlignment="1">
      <alignment horizontal="center" vertical="center"/>
    </xf>
    <xf numFmtId="9" fontId="46" fillId="3" borderId="0" xfId="0" applyNumberFormat="1" applyFont="1" applyFill="1" applyAlignment="1">
      <alignment horizontal="center" vertical="center"/>
    </xf>
    <xf numFmtId="0" fontId="37" fillId="0" borderId="16" xfId="0" applyFont="1" applyBorder="1" applyAlignment="1">
      <alignment horizontal="center"/>
    </xf>
    <xf numFmtId="44" fontId="48" fillId="0" borderId="0" xfId="4" applyFont="1" applyFill="1" applyAlignment="1">
      <alignment horizontal="center" vertical="center"/>
    </xf>
    <xf numFmtId="166" fontId="48" fillId="0" borderId="0" xfId="2" applyNumberFormat="1" applyFont="1" applyFill="1" applyAlignment="1">
      <alignment horizontal="center" vertical="center"/>
    </xf>
    <xf numFmtId="10" fontId="48" fillId="0" borderId="0" xfId="0" applyNumberFormat="1" applyFont="1" applyAlignment="1">
      <alignment horizontal="center" vertical="center"/>
    </xf>
    <xf numFmtId="49" fontId="49" fillId="4" borderId="4" xfId="0" applyNumberFormat="1" applyFont="1" applyFill="1" applyBorder="1" applyAlignment="1">
      <alignment horizontal="left"/>
    </xf>
    <xf numFmtId="166" fontId="49" fillId="4" borderId="4" xfId="2" applyNumberFormat="1" applyFont="1" applyFill="1" applyBorder="1" applyAlignment="1">
      <alignment horizontal="center"/>
    </xf>
    <xf numFmtId="44" fontId="49" fillId="4" borderId="4" xfId="4" applyFont="1" applyFill="1" applyBorder="1" applyAlignment="1">
      <alignment horizontal="left"/>
    </xf>
    <xf numFmtId="3" fontId="49" fillId="4" borderId="4" xfId="0" applyNumberFormat="1" applyFont="1" applyFill="1" applyBorder="1" applyAlignment="1">
      <alignment horizontal="center"/>
    </xf>
    <xf numFmtId="10" fontId="49" fillId="4" borderId="8" xfId="0" applyNumberFormat="1" applyFont="1" applyFill="1" applyBorder="1" applyAlignment="1">
      <alignment horizontal="center"/>
    </xf>
    <xf numFmtId="44" fontId="49" fillId="13" borderId="0" xfId="4" applyFont="1" applyFill="1" applyBorder="1" applyAlignment="1">
      <alignment horizontal="left"/>
    </xf>
    <xf numFmtId="44" fontId="49" fillId="4" borderId="9" xfId="4" applyFont="1" applyFill="1" applyBorder="1" applyAlignment="1">
      <alignment horizontal="left"/>
    </xf>
    <xf numFmtId="44" fontId="49" fillId="13" borderId="12" xfId="4" applyFont="1" applyFill="1" applyBorder="1" applyAlignment="1">
      <alignment horizontal="left"/>
    </xf>
    <xf numFmtId="3" fontId="50" fillId="0" borderId="4" xfId="0" applyNumberFormat="1" applyFont="1" applyBorder="1" applyAlignment="1">
      <alignment horizontal="left"/>
    </xf>
    <xf numFmtId="49" fontId="51" fillId="9" borderId="0" xfId="0" applyNumberFormat="1" applyFont="1" applyFill="1" applyAlignment="1">
      <alignment horizontal="left"/>
    </xf>
    <xf numFmtId="0" fontId="52" fillId="6" borderId="0" xfId="0" applyFont="1" applyFill="1" applyAlignment="1">
      <alignment horizontal="center"/>
    </xf>
    <xf numFmtId="44" fontId="53" fillId="10" borderId="0" xfId="4" applyFont="1" applyFill="1" applyBorder="1" applyAlignment="1">
      <alignment vertical="center"/>
    </xf>
    <xf numFmtId="1" fontId="53" fillId="10" borderId="0" xfId="2" applyNumberFormat="1" applyFont="1" applyFill="1" applyBorder="1" applyAlignment="1">
      <alignment horizontal="center" vertical="center"/>
    </xf>
    <xf numFmtId="44" fontId="53" fillId="9" borderId="0" xfId="4" applyFont="1" applyFill="1" applyBorder="1" applyAlignment="1">
      <alignment vertical="center"/>
    </xf>
    <xf numFmtId="44" fontId="53" fillId="10" borderId="0" xfId="4" applyFont="1" applyFill="1" applyAlignment="1">
      <alignment vertical="center"/>
    </xf>
    <xf numFmtId="9" fontId="53" fillId="10" borderId="0" xfId="3" applyFont="1" applyFill="1" applyAlignment="1">
      <alignment horizontal="center" vertical="center"/>
    </xf>
    <xf numFmtId="44" fontId="5" fillId="0" borderId="4" xfId="4" applyFont="1" applyBorder="1" applyAlignment="1">
      <alignment horizontal="center"/>
    </xf>
    <xf numFmtId="49" fontId="5" fillId="0" borderId="4" xfId="4" applyNumberFormat="1" applyFont="1" applyBorder="1" applyAlignment="1">
      <alignment horizontal="left"/>
    </xf>
    <xf numFmtId="0" fontId="4" fillId="11" borderId="12" xfId="0" applyFont="1" applyFill="1" applyBorder="1"/>
    <xf numFmtId="43" fontId="4" fillId="0" borderId="0" xfId="0" applyNumberFormat="1" applyFont="1"/>
    <xf numFmtId="0" fontId="4" fillId="0" borderId="0" xfId="0" applyFont="1"/>
    <xf numFmtId="2" fontId="5" fillId="0" borderId="4" xfId="2" applyNumberFormat="1" applyFont="1" applyFill="1" applyBorder="1" applyAlignment="1">
      <alignment horizontal="center"/>
    </xf>
    <xf numFmtId="17" fontId="54" fillId="0" borderId="0" xfId="0" applyNumberFormat="1" applyFont="1" applyAlignment="1">
      <alignment horizontal="left"/>
    </xf>
    <xf numFmtId="44" fontId="54" fillId="0" borderId="0" xfId="4" applyFont="1" applyFill="1" applyAlignment="1">
      <alignment horizontal="center" vertical="center"/>
    </xf>
    <xf numFmtId="166" fontId="54" fillId="0" borderId="0" xfId="2" applyNumberFormat="1" applyFont="1" applyFill="1" applyAlignment="1">
      <alignment horizontal="center" vertical="center"/>
    </xf>
    <xf numFmtId="10" fontId="54" fillId="0" borderId="0" xfId="0" applyNumberFormat="1" applyFont="1" applyAlignment="1">
      <alignment horizontal="center" vertical="center"/>
    </xf>
    <xf numFmtId="2" fontId="54" fillId="0" borderId="0" xfId="2" applyNumberFormat="1" applyFont="1" applyFill="1" applyAlignment="1">
      <alignment horizontal="center" vertical="center"/>
    </xf>
    <xf numFmtId="0" fontId="5" fillId="0" borderId="4" xfId="4" applyNumberFormat="1" applyFont="1" applyFill="1" applyBorder="1" applyAlignment="1">
      <alignment horizontal="center"/>
    </xf>
    <xf numFmtId="2" fontId="44" fillId="0" borderId="0" xfId="4" applyNumberFormat="1" applyFont="1" applyFill="1" applyAlignment="1">
      <alignment horizontal="center" vertical="center"/>
    </xf>
    <xf numFmtId="0" fontId="53" fillId="10" borderId="0" xfId="4" applyNumberFormat="1" applyFont="1" applyFill="1" applyBorder="1" applyAlignment="1">
      <alignment horizontal="center" vertical="center"/>
    </xf>
    <xf numFmtId="0" fontId="55" fillId="0" borderId="0" xfId="5" applyAlignment="1">
      <alignment vertical="center"/>
    </xf>
    <xf numFmtId="0" fontId="0" fillId="0" borderId="0" xfId="0" applyAlignment="1">
      <alignment vertical="center"/>
    </xf>
    <xf numFmtId="2" fontId="5" fillId="0" borderId="4" xfId="4" applyNumberFormat="1" applyFont="1" applyFill="1" applyBorder="1" applyAlignment="1">
      <alignment horizontal="center"/>
    </xf>
    <xf numFmtId="2" fontId="49" fillId="4" borderId="4" xfId="4" applyNumberFormat="1" applyFont="1" applyFill="1" applyBorder="1" applyAlignment="1">
      <alignment horizontal="center"/>
    </xf>
    <xf numFmtId="2" fontId="53" fillId="10" borderId="0" xfId="4" applyNumberFormat="1" applyFont="1" applyFill="1" applyBorder="1" applyAlignment="1">
      <alignment horizontal="center" vertical="center"/>
    </xf>
    <xf numFmtId="2" fontId="48" fillId="0" borderId="0" xfId="4" applyNumberFormat="1" applyFont="1" applyFill="1" applyAlignment="1">
      <alignment horizontal="center" vertical="center"/>
    </xf>
    <xf numFmtId="0" fontId="56" fillId="0" borderId="0" xfId="0" applyFont="1"/>
    <xf numFmtId="0" fontId="57" fillId="0" borderId="0" xfId="0" applyFont="1"/>
    <xf numFmtId="14" fontId="0" fillId="0" borderId="0" xfId="0" applyNumberFormat="1"/>
    <xf numFmtId="44" fontId="0" fillId="0" borderId="0" xfId="4" applyFont="1"/>
    <xf numFmtId="0" fontId="37" fillId="0" borderId="0" xfId="0" applyFont="1" applyAlignment="1">
      <alignment horizontal="center"/>
    </xf>
    <xf numFmtId="43" fontId="37" fillId="0" borderId="0" xfId="0" applyNumberFormat="1" applyFont="1"/>
    <xf numFmtId="43" fontId="0" fillId="0" borderId="0" xfId="2" applyFont="1" applyAlignment="1">
      <alignment horizontal="center" vertical="center"/>
    </xf>
    <xf numFmtId="43" fontId="38" fillId="0" borderId="0" xfId="2" applyFont="1" applyAlignment="1">
      <alignment horizontal="center" vertical="center"/>
    </xf>
    <xf numFmtId="44" fontId="58" fillId="0" borderId="0" xfId="4" applyFont="1" applyFill="1" applyAlignment="1">
      <alignment horizontal="center" vertical="center"/>
    </xf>
    <xf numFmtId="166" fontId="58" fillId="0" borderId="0" xfId="2" applyNumberFormat="1" applyFont="1" applyFill="1" applyAlignment="1">
      <alignment horizontal="center" vertical="center"/>
    </xf>
    <xf numFmtId="2" fontId="58" fillId="0" borderId="0" xfId="4" applyNumberFormat="1" applyFont="1" applyFill="1" applyAlignment="1">
      <alignment horizontal="center" vertical="center"/>
    </xf>
    <xf numFmtId="10" fontId="58" fillId="0" borderId="0" xfId="0" applyNumberFormat="1" applyFont="1" applyAlignment="1">
      <alignment horizontal="center" vertical="center"/>
    </xf>
    <xf numFmtId="14" fontId="59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14" fontId="41" fillId="0" borderId="0" xfId="0" applyNumberFormat="1" applyFont="1" applyAlignment="1">
      <alignment horizontal="left" vertical="center"/>
    </xf>
    <xf numFmtId="0" fontId="45" fillId="0" borderId="0" xfId="0" applyFont="1" applyAlignment="1">
      <alignment horizontal="left" vertical="center"/>
    </xf>
    <xf numFmtId="17" fontId="43" fillId="0" borderId="0" xfId="0" applyNumberFormat="1" applyFont="1" applyAlignment="1">
      <alignment horizontal="left" vertical="center"/>
    </xf>
    <xf numFmtId="0" fontId="0" fillId="0" borderId="0" xfId="0" pivotButton="1"/>
    <xf numFmtId="44" fontId="4" fillId="0" borderId="0" xfId="4" applyFont="1"/>
    <xf numFmtId="0" fontId="60" fillId="2" borderId="0" xfId="1" applyFill="1" applyAlignment="1">
      <alignment textRotation="90"/>
    </xf>
    <xf numFmtId="0" fontId="60" fillId="8" borderId="0" xfId="1" applyFill="1" applyAlignment="1">
      <alignment vertical="top"/>
    </xf>
    <xf numFmtId="0" fontId="60" fillId="11" borderId="0" xfId="1" applyFill="1"/>
    <xf numFmtId="3" fontId="60" fillId="11" borderId="0" xfId="1" applyNumberFormat="1" applyFill="1" applyAlignment="1">
      <alignment horizontal="center"/>
    </xf>
    <xf numFmtId="164" fontId="60" fillId="0" borderId="0" xfId="1" applyNumberFormat="1"/>
    <xf numFmtId="0" fontId="16" fillId="5" borderId="4" xfId="0" applyFont="1" applyFill="1" applyBorder="1" applyAlignment="1">
      <alignment horizontal="center"/>
    </xf>
    <xf numFmtId="0" fontId="16" fillId="5" borderId="8" xfId="0" applyFont="1" applyFill="1" applyBorder="1" applyAlignment="1">
      <alignment horizontal="center"/>
    </xf>
    <xf numFmtId="0" fontId="27" fillId="2" borderId="10" xfId="0" applyFont="1" applyFill="1" applyBorder="1" applyAlignment="1">
      <alignment horizontal="center" vertical="center" textRotation="90"/>
    </xf>
    <xf numFmtId="43" fontId="0" fillId="0" borderId="0" xfId="2" applyFont="1"/>
    <xf numFmtId="0" fontId="0" fillId="0" borderId="0" xfId="0" applyAlignment="1">
      <alignment horizontal="left" indent="1"/>
    </xf>
    <xf numFmtId="166" fontId="0" fillId="0" borderId="0" xfId="0" applyNumberFormat="1"/>
    <xf numFmtId="0" fontId="5" fillId="14" borderId="4" xfId="4" applyNumberFormat="1" applyFont="1" applyFill="1" applyBorder="1" applyAlignment="1">
      <alignment horizontal="center"/>
    </xf>
    <xf numFmtId="166" fontId="0" fillId="0" borderId="0" xfId="2" applyNumberFormat="1" applyFont="1"/>
    <xf numFmtId="44" fontId="0" fillId="0" borderId="0" xfId="0" applyNumberFormat="1"/>
    <xf numFmtId="9" fontId="46" fillId="16" borderId="0" xfId="0" applyNumberFormat="1" applyFont="1" applyFill="1" applyAlignment="1">
      <alignment horizontal="center" vertical="center"/>
    </xf>
    <xf numFmtId="44" fontId="58" fillId="17" borderId="0" xfId="4" applyFont="1" applyFill="1" applyAlignment="1">
      <alignment horizontal="center" vertical="center"/>
    </xf>
    <xf numFmtId="2" fontId="58" fillId="17" borderId="0" xfId="4" applyNumberFormat="1" applyFont="1" applyFill="1" applyAlignment="1">
      <alignment horizontal="center" vertical="center"/>
    </xf>
    <xf numFmtId="166" fontId="58" fillId="17" borderId="0" xfId="2" applyNumberFormat="1" applyFont="1" applyFill="1" applyAlignment="1">
      <alignment horizontal="center" vertical="center"/>
    </xf>
    <xf numFmtId="10" fontId="58" fillId="17" borderId="0" xfId="0" applyNumberFormat="1" applyFont="1" applyFill="1" applyAlignment="1">
      <alignment horizontal="center" vertical="center"/>
    </xf>
    <xf numFmtId="0" fontId="0" fillId="17" borderId="0" xfId="0" applyFill="1"/>
    <xf numFmtId="44" fontId="48" fillId="17" borderId="0" xfId="4" applyFont="1" applyFill="1" applyAlignment="1">
      <alignment horizontal="center" vertical="center"/>
    </xf>
    <xf numFmtId="9" fontId="46" fillId="18" borderId="0" xfId="0" applyNumberFormat="1" applyFont="1" applyFill="1" applyAlignment="1">
      <alignment horizontal="center" vertical="center"/>
    </xf>
    <xf numFmtId="44" fontId="58" fillId="19" borderId="0" xfId="4" applyFont="1" applyFill="1" applyAlignment="1">
      <alignment horizontal="center" vertical="center"/>
    </xf>
    <xf numFmtId="166" fontId="58" fillId="19" borderId="0" xfId="2" applyNumberFormat="1" applyFont="1" applyFill="1" applyAlignment="1">
      <alignment horizontal="center" vertical="center"/>
    </xf>
    <xf numFmtId="2" fontId="58" fillId="19" borderId="0" xfId="4" applyNumberFormat="1" applyFont="1" applyFill="1" applyAlignment="1">
      <alignment horizontal="center" vertical="center"/>
    </xf>
    <xf numFmtId="10" fontId="58" fillId="19" borderId="0" xfId="0" applyNumberFormat="1" applyFont="1" applyFill="1" applyAlignment="1">
      <alignment horizontal="center" vertical="center"/>
    </xf>
    <xf numFmtId="0" fontId="0" fillId="19" borderId="0" xfId="0" applyFill="1"/>
    <xf numFmtId="44" fontId="48" fillId="19" borderId="0" xfId="4" applyFont="1" applyFill="1" applyAlignment="1">
      <alignment horizontal="center" vertical="center"/>
    </xf>
    <xf numFmtId="166" fontId="48" fillId="19" borderId="0" xfId="2" applyNumberFormat="1" applyFont="1" applyFill="1" applyAlignment="1">
      <alignment horizontal="center" vertical="center"/>
    </xf>
    <xf numFmtId="2" fontId="48" fillId="19" borderId="0" xfId="4" applyNumberFormat="1" applyFont="1" applyFill="1" applyAlignment="1">
      <alignment horizontal="center" vertical="center"/>
    </xf>
    <xf numFmtId="10" fontId="48" fillId="19" borderId="0" xfId="0" applyNumberFormat="1" applyFont="1" applyFill="1" applyAlignment="1">
      <alignment horizontal="center" vertical="center"/>
    </xf>
    <xf numFmtId="9" fontId="46" fillId="20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4" fillId="0" borderId="0" xfId="0" applyFont="1" applyAlignment="1">
      <alignment horizontal="center" vertical="center"/>
    </xf>
    <xf numFmtId="14" fontId="5" fillId="0" borderId="4" xfId="0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43" fontId="0" fillId="0" borderId="0" xfId="0" applyNumberFormat="1"/>
    <xf numFmtId="0" fontId="5" fillId="0" borderId="4" xfId="4" applyNumberFormat="1" applyFont="1" applyBorder="1" applyAlignment="1">
      <alignment horizontal="left"/>
    </xf>
    <xf numFmtId="0" fontId="42" fillId="15" borderId="17" xfId="0" applyFont="1" applyFill="1" applyBorder="1" applyAlignment="1">
      <alignment horizontal="left" vertical="center"/>
    </xf>
    <xf numFmtId="0" fontId="42" fillId="15" borderId="18" xfId="0" applyFont="1" applyFill="1" applyBorder="1" applyAlignment="1">
      <alignment horizontal="left" vertical="center"/>
    </xf>
    <xf numFmtId="0" fontId="0" fillId="0" borderId="0" xfId="0" applyAlignment="1">
      <alignment horizontal="center"/>
    </xf>
    <xf numFmtId="0" fontId="55" fillId="0" borderId="0" xfId="5"/>
    <xf numFmtId="0" fontId="32" fillId="3" borderId="6" xfId="0" applyFont="1" applyFill="1" applyBorder="1" applyAlignment="1">
      <alignment horizontal="left"/>
    </xf>
    <xf numFmtId="165" fontId="10" fillId="0" borderId="6" xfId="0" applyNumberFormat="1" applyFont="1" applyBorder="1" applyAlignment="1">
      <alignment horizontal="center"/>
    </xf>
    <xf numFmtId="0" fontId="7" fillId="0" borderId="20" xfId="0" applyFont="1" applyBorder="1"/>
    <xf numFmtId="165" fontId="10" fillId="0" borderId="0" xfId="0" applyNumberFormat="1" applyFont="1" applyAlignment="1">
      <alignment horizontal="center"/>
    </xf>
    <xf numFmtId="165" fontId="10" fillId="0" borderId="7" xfId="0" applyNumberFormat="1" applyFont="1" applyBorder="1" applyAlignment="1">
      <alignment horizontal="center"/>
    </xf>
    <xf numFmtId="0" fontId="7" fillId="0" borderId="23" xfId="0" applyFont="1" applyBorder="1"/>
    <xf numFmtId="0" fontId="7" fillId="0" borderId="24" xfId="0" applyFont="1" applyBorder="1"/>
    <xf numFmtId="0" fontId="32" fillId="3" borderId="0" xfId="0" applyFont="1" applyFill="1" applyAlignment="1">
      <alignment horizontal="left"/>
    </xf>
    <xf numFmtId="0" fontId="7" fillId="0" borderId="25" xfId="0" applyFont="1" applyBorder="1"/>
    <xf numFmtId="0" fontId="32" fillId="3" borderId="7" xfId="0" applyFont="1" applyFill="1" applyBorder="1" applyAlignment="1">
      <alignment horizontal="left"/>
    </xf>
    <xf numFmtId="0" fontId="7" fillId="0" borderId="26" xfId="0" applyFont="1" applyBorder="1"/>
    <xf numFmtId="0" fontId="5" fillId="0" borderId="4" xfId="0" applyFont="1" applyBorder="1" applyAlignment="1">
      <alignment horizontal="center" vertical="center"/>
    </xf>
    <xf numFmtId="44" fontId="33" fillId="0" borderId="4" xfId="4" applyFont="1" applyBorder="1" applyAlignment="1">
      <alignment horizontal="left"/>
    </xf>
    <xf numFmtId="0" fontId="0" fillId="0" borderId="0" xfId="4" applyNumberFormat="1" applyFont="1" applyAlignment="1">
      <alignment horizontal="center"/>
    </xf>
    <xf numFmtId="0" fontId="61" fillId="0" borderId="0" xfId="0" applyFont="1"/>
    <xf numFmtId="164" fontId="62" fillId="0" borderId="0" xfId="0" applyNumberFormat="1" applyFont="1"/>
    <xf numFmtId="0" fontId="62" fillId="0" borderId="0" xfId="0" applyFont="1"/>
    <xf numFmtId="164" fontId="63" fillId="0" borderId="0" xfId="1" applyNumberFormat="1" applyFont="1"/>
    <xf numFmtId="14" fontId="64" fillId="0" borderId="4" xfId="0" applyNumberFormat="1" applyFont="1" applyBorder="1" applyAlignment="1">
      <alignment horizontal="left"/>
    </xf>
    <xf numFmtId="0" fontId="48" fillId="17" borderId="0" xfId="4" applyNumberFormat="1" applyFont="1" applyFill="1" applyAlignment="1">
      <alignment horizontal="center" vertical="center"/>
    </xf>
    <xf numFmtId="17" fontId="66" fillId="0" borderId="0" xfId="0" applyNumberFormat="1" applyFont="1" applyAlignment="1">
      <alignment horizontal="left" vertical="center"/>
    </xf>
    <xf numFmtId="2" fontId="48" fillId="17" borderId="0" xfId="4" applyNumberFormat="1" applyFont="1" applyFill="1" applyAlignment="1">
      <alignment horizontal="center" vertical="center"/>
    </xf>
    <xf numFmtId="43" fontId="48" fillId="17" borderId="0" xfId="2" applyFont="1" applyFill="1" applyAlignment="1">
      <alignment horizontal="center" vertical="center"/>
    </xf>
    <xf numFmtId="9" fontId="48" fillId="17" borderId="0" xfId="3" applyFont="1" applyFill="1" applyAlignment="1">
      <alignment horizontal="center" vertical="center"/>
    </xf>
    <xf numFmtId="2" fontId="65" fillId="21" borderId="0" xfId="0" applyNumberFormat="1" applyFont="1" applyFill="1" applyAlignment="1">
      <alignment horizontal="left" vertical="center"/>
    </xf>
    <xf numFmtId="2" fontId="65" fillId="21" borderId="27" xfId="0" applyNumberFormat="1" applyFont="1" applyFill="1" applyBorder="1" applyAlignment="1">
      <alignment horizontal="left" vertical="center"/>
    </xf>
    <xf numFmtId="1" fontId="65" fillId="21" borderId="0" xfId="0" applyNumberFormat="1" applyFont="1" applyFill="1" applyAlignment="1">
      <alignment horizontal="left" vertical="center"/>
    </xf>
    <xf numFmtId="1" fontId="65" fillId="21" borderId="27" xfId="0" applyNumberFormat="1" applyFont="1" applyFill="1" applyBorder="1" applyAlignment="1">
      <alignment horizontal="left" vertical="center"/>
    </xf>
    <xf numFmtId="14" fontId="65" fillId="21" borderId="28" xfId="0" applyNumberFormat="1" applyFont="1" applyFill="1" applyBorder="1" applyAlignment="1">
      <alignment horizontal="left" vertical="center"/>
    </xf>
    <xf numFmtId="14" fontId="65" fillId="21" borderId="29" xfId="0" applyNumberFormat="1" applyFont="1" applyFill="1" applyBorder="1" applyAlignment="1">
      <alignment horizontal="left" vertical="center"/>
    </xf>
    <xf numFmtId="0" fontId="58" fillId="17" borderId="0" xfId="4" applyNumberFormat="1" applyFont="1" applyFill="1" applyAlignment="1">
      <alignment horizontal="center" vertical="center"/>
    </xf>
    <xf numFmtId="0" fontId="30" fillId="0" borderId="21" xfId="0" applyFont="1" applyBorder="1" applyAlignment="1">
      <alignment horizontal="center" vertical="center" textRotation="90"/>
    </xf>
    <xf numFmtId="0" fontId="30" fillId="0" borderId="22" xfId="0" applyFont="1" applyBorder="1" applyAlignment="1">
      <alignment horizontal="center" vertical="center" textRotation="90"/>
    </xf>
    <xf numFmtId="0" fontId="47" fillId="2" borderId="0" xfId="0" applyFont="1" applyFill="1" applyAlignment="1">
      <alignment horizontal="center" vertical="center"/>
    </xf>
  </cellXfs>
  <cellStyles count="6">
    <cellStyle name="Hiperlink" xfId="5" builtinId="8"/>
    <cellStyle name="Moeda" xfId="4" builtinId="4"/>
    <cellStyle name="NívelCol_1" xfId="1" builtinId="2" iLevel="0"/>
    <cellStyle name="Normal" xfId="0" builtinId="0"/>
    <cellStyle name="Porcentagem" xfId="3" builtinId="5"/>
    <cellStyle name="Vírgula" xfId="2" builtinId="3"/>
  </cellStyles>
  <dxfs count="404"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>
          <bgColor theme="6" tint="0.39994506668294322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b/>
        <i val="0"/>
        <color rgb="FFC00000"/>
      </font>
      <fill>
        <patternFill>
          <bgColor theme="6" tint="0.39994506668294322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>
          <bgColor theme="6" tint="0.39994506668294322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theme="5" tint="0.39994506668294322"/>
      </font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theme="5" tint="0.39994506668294322"/>
      </font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b/>
        <i val="0"/>
        <color rgb="FFC00000"/>
      </font>
      <fill>
        <patternFill>
          <bgColor theme="6" tint="0.39994506668294322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>
          <bgColor theme="6" tint="0.39994506668294322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theme="5" tint="0.39994506668294322"/>
      </font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theme="5" tint="0.39994506668294322"/>
      </font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b/>
        <i val="0"/>
        <color rgb="FFC00000"/>
      </font>
      <fill>
        <patternFill>
          <bgColor theme="6" tint="0.39994506668294322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>
          <bgColor theme="6" tint="0.39994506668294322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theme="5" tint="0.39994506668294322"/>
      </font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theme="5" tint="0.39994506668294322"/>
      </font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b/>
        <i val="0"/>
        <color rgb="FFC00000"/>
      </font>
      <fill>
        <patternFill>
          <bgColor theme="6" tint="0.39994506668294322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>
          <bgColor theme="6" tint="0.39994506668294322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theme="5" tint="0.39994506668294322"/>
      </font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theme="5" tint="0.39994506668294322"/>
      </font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b/>
        <i val="0"/>
        <color rgb="FFC00000"/>
      </font>
      <fill>
        <patternFill>
          <bgColor theme="6" tint="0.39994506668294322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>
          <bgColor theme="6" tint="0.39994506668294322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theme="5" tint="0.39994506668294322"/>
      </font>
    </dxf>
    <dxf>
      <font>
        <b/>
        <i val="0"/>
        <color theme="5" tint="0.39994506668294322"/>
      </font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b/>
        <i val="0"/>
        <color rgb="FFC00000"/>
      </font>
      <fill>
        <patternFill>
          <bgColor theme="6" tint="0.39994506668294322"/>
        </patternFill>
      </fill>
    </dxf>
    <dxf>
      <font>
        <b/>
        <i val="0"/>
        <color rgb="FFC00000"/>
      </font>
      <fill>
        <patternFill>
          <bgColor theme="6" tint="0.39994506668294322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>
          <bgColor theme="6" tint="0.39994506668294322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theme="5" tint="0.39994506668294322"/>
      </font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theme="5" tint="0.39994506668294322"/>
      </font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b/>
        <i val="0"/>
        <color rgb="FFC00000"/>
      </font>
      <fill>
        <patternFill>
          <bgColor theme="6" tint="0.39994506668294322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>
          <bgColor theme="6" tint="0.39994506668294322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theme="5" tint="0.39994506668294322"/>
      </font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theme="5" tint="0.39994506668294322"/>
      </font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b/>
        <i val="0"/>
        <color rgb="FFC00000"/>
      </font>
      <fill>
        <patternFill>
          <bgColor theme="6" tint="0.39994506668294322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>
          <bgColor theme="6" tint="0.39994506668294322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theme="5" tint="0.39994506668294322"/>
      </font>
    </dxf>
    <dxf>
      <font>
        <b/>
        <i val="0"/>
        <color theme="5" tint="0.39994506668294322"/>
      </font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b/>
        <i val="0"/>
        <color rgb="FFC00000"/>
      </font>
      <fill>
        <patternFill>
          <bgColor theme="6" tint="0.39994506668294322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>
          <bgColor theme="6" tint="0.39994506668294322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theme="5" tint="0.39994506668294322"/>
      </font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theme="5" tint="0.39994506668294322"/>
      </font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b/>
        <i val="0"/>
        <color rgb="FFC00000"/>
      </font>
      <fill>
        <patternFill>
          <bgColor theme="6" tint="0.39994506668294322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>
          <bgColor theme="6" tint="0.39994506668294322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theme="5" tint="0.39994506668294322"/>
      </font>
    </dxf>
    <dxf>
      <font>
        <b/>
        <i val="0"/>
        <color theme="5" tint="0.39994506668294322"/>
      </font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b/>
        <i val="0"/>
        <color rgb="FFC00000"/>
      </font>
      <fill>
        <patternFill>
          <bgColor theme="6" tint="0.39994506668294322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>
          <bgColor theme="6" tint="0.39994506668294322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theme="5" tint="0.39994506668294322"/>
      </font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theme="5" tint="0.39994506668294322"/>
      </font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b/>
        <i val="0"/>
        <color rgb="FFC00000"/>
      </font>
      <fill>
        <patternFill>
          <bgColor theme="6" tint="0.39994506668294322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>
          <bgColor theme="6" tint="0.39994506668294322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theme="5" tint="0.39994506668294322"/>
      </font>
    </dxf>
    <dxf>
      <font>
        <b/>
        <i val="0"/>
        <color theme="5" tint="0.39994506668294322"/>
      </font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color rgb="FFFF0000"/>
      </font>
      <fill>
        <patternFill patternType="solid">
          <fgColor rgb="FFFFFFFF"/>
          <bgColor rgb="FFFFFFFF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b/>
        <i val="0"/>
        <color rgb="FFC00000"/>
      </font>
      <fill>
        <patternFill>
          <bgColor theme="6" tint="0.39994506668294322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  <fill>
        <patternFill>
          <bgColor theme="6" tint="0.39994506668294322"/>
        </patternFill>
      </fill>
    </dxf>
    <dxf>
      <font>
        <b/>
        <i val="0"/>
        <color rgb="FFC00000"/>
      </font>
      <fill>
        <patternFill patternType="solid">
          <fgColor rgb="FF980000"/>
          <bgColor theme="6" tint="0.59996337778862885"/>
        </patternFill>
      </fill>
    </dxf>
    <dxf>
      <font>
        <color theme="5"/>
      </font>
    </dxf>
    <dxf>
      <font>
        <color rgb="FF00B050"/>
      </font>
    </dxf>
    <dxf>
      <font>
        <color theme="4" tint="-0.2499465926084170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</dxf>
    <dxf>
      <numFmt numFmtId="19" formatCode="dd/mm/yyyy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0" formatCode="General"/>
    </dxf>
    <dxf>
      <numFmt numFmtId="0" formatCode="General"/>
    </dxf>
    <dxf>
      <numFmt numFmtId="166" formatCode="_-* #,##0_-;\-* #,##0_-;_-* &quot;-&quot;??_-;_-@_-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" formatCode="0"/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</dxf>
    <dxf>
      <font>
        <sz val="11"/>
        <name val="Calibri"/>
        <scheme val="none"/>
      </font>
      <numFmt numFmtId="19" formatCode="dd/mm/yyyy"/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/>
        <top/>
        <bottom/>
        <vertical/>
        <horizontal/>
      </border>
    </dxf>
    <dxf>
      <numFmt numFmtId="19" formatCode="dd/mm/yyyy"/>
    </dxf>
  </dxfs>
  <tableStyles count="0" defaultTableStyle="TableStyleMedium2" defaultPivotStyle="PivotStyleLight16"/>
  <colors>
    <mruColors>
      <color rgb="FFFFE89F"/>
      <color rgb="FF7D170F"/>
      <color rgb="FFF5F5F5"/>
      <color rgb="FFFFFFCC"/>
      <color rgb="FFE6F8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1.xml"/><Relationship Id="rId34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1.xml"/><Relationship Id="rId36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35" Type="http://schemas.openxmlformats.org/officeDocument/2006/relationships/powerPivotData" Target="model/item.data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[Acompanhamento_Buddha - Junho 2023.xlsb.xlsx]gRAPH!Tabela dinâmica3</c:name>
    <c:fmtId val="0"/>
  </c:pivotSource>
  <c:chart>
    <c:autoTitleDeleted val="0"/>
    <c:pivotFmts>
      <c:pivotFmt>
        <c:idx val="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rgbClr val="FFC000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gRAPH!$B$3:$B$5</c:f>
              <c:strCache>
                <c:ptCount val="1"/>
                <c:pt idx="0">
                  <c:v>2022 - Rec. Bruta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gRAPH!$A$6:$A$18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gRAPH!$B$6:$B$18</c:f>
              <c:numCache>
                <c:formatCode>General</c:formatCode>
                <c:ptCount val="12"/>
                <c:pt idx="0">
                  <c:v>734495.29000000015</c:v>
                </c:pt>
                <c:pt idx="1">
                  <c:v>932931.16999999981</c:v>
                </c:pt>
                <c:pt idx="2">
                  <c:v>1077514.7199999997</c:v>
                </c:pt>
                <c:pt idx="3">
                  <c:v>1192462.82</c:v>
                </c:pt>
                <c:pt idx="4">
                  <c:v>2504733.5500000003</c:v>
                </c:pt>
                <c:pt idx="5">
                  <c:v>1505467.4300000004</c:v>
                </c:pt>
                <c:pt idx="6">
                  <c:v>1090274.3299999998</c:v>
                </c:pt>
                <c:pt idx="7">
                  <c:v>1423209.8800000001</c:v>
                </c:pt>
                <c:pt idx="8">
                  <c:v>1500212.96</c:v>
                </c:pt>
                <c:pt idx="9">
                  <c:v>1430837.0399999998</c:v>
                </c:pt>
                <c:pt idx="10">
                  <c:v>1836530.5</c:v>
                </c:pt>
                <c:pt idx="11">
                  <c:v>3470256.77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13-444B-B7EF-D2355C62DA9E}"/>
            </c:ext>
          </c:extLst>
        </c:ser>
        <c:ser>
          <c:idx val="2"/>
          <c:order val="2"/>
          <c:tx>
            <c:strRef>
              <c:f>gRAPH!$D$3:$D$5</c:f>
              <c:strCache>
                <c:ptCount val="1"/>
                <c:pt idx="0">
                  <c:v>2023 - Rec. Bruta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gRAPH!$A$6:$A$18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gRAPH!$D$6:$D$18</c:f>
              <c:numCache>
                <c:formatCode>General</c:formatCode>
                <c:ptCount val="12"/>
                <c:pt idx="0">
                  <c:v>1253345.8</c:v>
                </c:pt>
                <c:pt idx="1">
                  <c:v>1351868.6099999999</c:v>
                </c:pt>
                <c:pt idx="2">
                  <c:v>2017380.1000000008</c:v>
                </c:pt>
                <c:pt idx="3">
                  <c:v>2016692.72</c:v>
                </c:pt>
                <c:pt idx="4">
                  <c:v>4675512.3699999982</c:v>
                </c:pt>
                <c:pt idx="5">
                  <c:v>2527259.56</c:v>
                </c:pt>
                <c:pt idx="6">
                  <c:v>1540566.8000000003</c:v>
                </c:pt>
                <c:pt idx="7">
                  <c:v>167070.52000000002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13-444B-B7EF-D2355C62DA9E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269"/>
        <c:axId val="1959842480"/>
        <c:axId val="1729010272"/>
      </c:barChart>
      <c:lineChart>
        <c:grouping val="standard"/>
        <c:varyColors val="0"/>
        <c:ser>
          <c:idx val="1"/>
          <c:order val="1"/>
          <c:tx>
            <c:strRef>
              <c:f>gRAPH!$C$3:$C$5</c:f>
              <c:strCache>
                <c:ptCount val="1"/>
                <c:pt idx="0">
                  <c:v>2022 - Soma de Pedidos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gRAPH!$A$6:$A$18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gRAPH!$C$6:$C$18</c:f>
              <c:numCache>
                <c:formatCode>General</c:formatCode>
                <c:ptCount val="12"/>
                <c:pt idx="0">
                  <c:v>2545</c:v>
                </c:pt>
                <c:pt idx="1">
                  <c:v>3110</c:v>
                </c:pt>
                <c:pt idx="2">
                  <c:v>3901</c:v>
                </c:pt>
                <c:pt idx="3">
                  <c:v>4346</c:v>
                </c:pt>
                <c:pt idx="4">
                  <c:v>8271</c:v>
                </c:pt>
                <c:pt idx="5">
                  <c:v>4940</c:v>
                </c:pt>
                <c:pt idx="6">
                  <c:v>3930</c:v>
                </c:pt>
                <c:pt idx="7">
                  <c:v>5306</c:v>
                </c:pt>
                <c:pt idx="8">
                  <c:v>5790</c:v>
                </c:pt>
                <c:pt idx="9">
                  <c:v>4869</c:v>
                </c:pt>
                <c:pt idx="10">
                  <c:v>6556</c:v>
                </c:pt>
                <c:pt idx="11">
                  <c:v>10887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13-444B-B7EF-D2355C62DA9E}"/>
            </c:ext>
          </c:extLst>
        </c:ser>
        <c:ser>
          <c:idx val="3"/>
          <c:order val="3"/>
          <c:tx>
            <c:strRef>
              <c:f>gRAPH!$E$3:$E$5</c:f>
              <c:strCache>
                <c:ptCount val="1"/>
                <c:pt idx="0">
                  <c:v>2023 - Soma de Pedidos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gRAPH!$A$6:$A$18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gRAPH!$E$6:$E$18</c:f>
              <c:numCache>
                <c:formatCode>General</c:formatCode>
                <c:ptCount val="12"/>
                <c:pt idx="0">
                  <c:v>4374</c:v>
                </c:pt>
                <c:pt idx="1">
                  <c:v>4526</c:v>
                </c:pt>
                <c:pt idx="2">
                  <c:v>6471</c:v>
                </c:pt>
                <c:pt idx="3">
                  <c:v>6949</c:v>
                </c:pt>
                <c:pt idx="4">
                  <c:v>15193</c:v>
                </c:pt>
                <c:pt idx="5">
                  <c:v>8766</c:v>
                </c:pt>
                <c:pt idx="6">
                  <c:v>5662</c:v>
                </c:pt>
                <c:pt idx="7">
                  <c:v>609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213-444B-B7EF-D2355C62DA9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919280"/>
        <c:axId val="1728989152"/>
      </c:lineChart>
      <c:catAx>
        <c:axId val="1959842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010272"/>
        <c:crosses val="autoZero"/>
        <c:auto val="1"/>
        <c:lblAlgn val="ctr"/>
        <c:lblOffset val="100"/>
        <c:noMultiLvlLbl val="0"/>
      </c:catAx>
      <c:valAx>
        <c:axId val="172901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842480"/>
        <c:crosses val="autoZero"/>
        <c:crossBetween val="between"/>
      </c:valAx>
      <c:valAx>
        <c:axId val="1728989152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19280"/>
        <c:crosses val="max"/>
        <c:crossBetween val="between"/>
      </c:valAx>
      <c:catAx>
        <c:axId val="8429192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89891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32</xdr:col>
      <xdr:colOff>47625</xdr:colOff>
      <xdr:row>0</xdr:row>
      <xdr:rowOff>0</xdr:rowOff>
    </xdr:from>
    <xdr:ext cx="1200150" cy="571500"/>
    <xdr:pic>
      <xdr:nvPicPr>
        <xdr:cNvPr id="4" name="image1.png" title="Imagem">
          <a:extLst>
            <a:ext uri="{FF2B5EF4-FFF2-40B4-BE49-F238E27FC236}">
              <a16:creationId xmlns:a16="http://schemas.microsoft.com/office/drawing/2014/main" id="{3563C161-DD69-4442-80AB-331223877A6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64</xdr:col>
      <xdr:colOff>47625</xdr:colOff>
      <xdr:row>0</xdr:row>
      <xdr:rowOff>0</xdr:rowOff>
    </xdr:from>
    <xdr:ext cx="1200150" cy="571500"/>
    <xdr:pic>
      <xdr:nvPicPr>
        <xdr:cNvPr id="6" name="image1.png" title="Imagem">
          <a:extLst>
            <a:ext uri="{FF2B5EF4-FFF2-40B4-BE49-F238E27FC236}">
              <a16:creationId xmlns:a16="http://schemas.microsoft.com/office/drawing/2014/main" id="{EABA612D-F14E-4227-8353-A741F9F6DCB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80</xdr:col>
      <xdr:colOff>47625</xdr:colOff>
      <xdr:row>0</xdr:row>
      <xdr:rowOff>0</xdr:rowOff>
    </xdr:from>
    <xdr:ext cx="1200150" cy="571500"/>
    <xdr:pic>
      <xdr:nvPicPr>
        <xdr:cNvPr id="7" name="image1.png" title="Imagem">
          <a:extLst>
            <a:ext uri="{FF2B5EF4-FFF2-40B4-BE49-F238E27FC236}">
              <a16:creationId xmlns:a16="http://schemas.microsoft.com/office/drawing/2014/main" id="{362EF90C-D816-477B-8840-24695DB4969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96</xdr:col>
      <xdr:colOff>47625</xdr:colOff>
      <xdr:row>0</xdr:row>
      <xdr:rowOff>0</xdr:rowOff>
    </xdr:from>
    <xdr:ext cx="1200150" cy="571500"/>
    <xdr:pic>
      <xdr:nvPicPr>
        <xdr:cNvPr id="8" name="image1.png" title="Imagem">
          <a:extLst>
            <a:ext uri="{FF2B5EF4-FFF2-40B4-BE49-F238E27FC236}">
              <a16:creationId xmlns:a16="http://schemas.microsoft.com/office/drawing/2014/main" id="{3C38E4C3-229C-418A-BDB5-5F0122CCDDA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112</xdr:col>
      <xdr:colOff>47625</xdr:colOff>
      <xdr:row>0</xdr:row>
      <xdr:rowOff>0</xdr:rowOff>
    </xdr:from>
    <xdr:ext cx="1200150" cy="571500"/>
    <xdr:pic>
      <xdr:nvPicPr>
        <xdr:cNvPr id="9" name="image1.png" title="Imagem">
          <a:extLst>
            <a:ext uri="{FF2B5EF4-FFF2-40B4-BE49-F238E27FC236}">
              <a16:creationId xmlns:a16="http://schemas.microsoft.com/office/drawing/2014/main" id="{6FCD96DD-F03B-4DBD-8BDF-BDD2DAC9588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128</xdr:col>
      <xdr:colOff>47625</xdr:colOff>
      <xdr:row>0</xdr:row>
      <xdr:rowOff>0</xdr:rowOff>
    </xdr:from>
    <xdr:ext cx="1200150" cy="571500"/>
    <xdr:pic>
      <xdr:nvPicPr>
        <xdr:cNvPr id="10" name="image1.png" title="Imagem">
          <a:extLst>
            <a:ext uri="{FF2B5EF4-FFF2-40B4-BE49-F238E27FC236}">
              <a16:creationId xmlns:a16="http://schemas.microsoft.com/office/drawing/2014/main" id="{7BC64BFE-665C-4CAF-BD6D-CF9A9532609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144</xdr:col>
      <xdr:colOff>47625</xdr:colOff>
      <xdr:row>0</xdr:row>
      <xdr:rowOff>0</xdr:rowOff>
    </xdr:from>
    <xdr:ext cx="1200150" cy="571500"/>
    <xdr:pic>
      <xdr:nvPicPr>
        <xdr:cNvPr id="11" name="image1.png" title="Imagem">
          <a:extLst>
            <a:ext uri="{FF2B5EF4-FFF2-40B4-BE49-F238E27FC236}">
              <a16:creationId xmlns:a16="http://schemas.microsoft.com/office/drawing/2014/main" id="{F03A49F4-7437-4130-90A1-B32ACA4042C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160</xdr:col>
      <xdr:colOff>47625</xdr:colOff>
      <xdr:row>0</xdr:row>
      <xdr:rowOff>0</xdr:rowOff>
    </xdr:from>
    <xdr:ext cx="1200150" cy="571500"/>
    <xdr:pic>
      <xdr:nvPicPr>
        <xdr:cNvPr id="12" name="image1.png" title="Imagem">
          <a:extLst>
            <a:ext uri="{FF2B5EF4-FFF2-40B4-BE49-F238E27FC236}">
              <a16:creationId xmlns:a16="http://schemas.microsoft.com/office/drawing/2014/main" id="{E1713796-C18D-44E4-A324-AC03A74CBF2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176</xdr:col>
      <xdr:colOff>47625</xdr:colOff>
      <xdr:row>0</xdr:row>
      <xdr:rowOff>0</xdr:rowOff>
    </xdr:from>
    <xdr:ext cx="1200150" cy="571500"/>
    <xdr:pic>
      <xdr:nvPicPr>
        <xdr:cNvPr id="13" name="image1.png" title="Imagem">
          <a:extLst>
            <a:ext uri="{FF2B5EF4-FFF2-40B4-BE49-F238E27FC236}">
              <a16:creationId xmlns:a16="http://schemas.microsoft.com/office/drawing/2014/main" id="{879C36EE-6E8E-4095-B6B3-B5C437A610F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192</xdr:col>
      <xdr:colOff>47625</xdr:colOff>
      <xdr:row>0</xdr:row>
      <xdr:rowOff>0</xdr:rowOff>
    </xdr:from>
    <xdr:ext cx="1200150" cy="571500"/>
    <xdr:pic>
      <xdr:nvPicPr>
        <xdr:cNvPr id="14" name="image1.png" title="Imagem">
          <a:extLst>
            <a:ext uri="{FF2B5EF4-FFF2-40B4-BE49-F238E27FC236}">
              <a16:creationId xmlns:a16="http://schemas.microsoft.com/office/drawing/2014/main" id="{2F3D384E-14CB-4A61-9002-7D5C1B32B51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208</xdr:col>
      <xdr:colOff>47625</xdr:colOff>
      <xdr:row>0</xdr:row>
      <xdr:rowOff>0</xdr:rowOff>
    </xdr:from>
    <xdr:ext cx="1200150" cy="571500"/>
    <xdr:pic>
      <xdr:nvPicPr>
        <xdr:cNvPr id="15" name="image1.png" title="Imagem">
          <a:extLst>
            <a:ext uri="{FF2B5EF4-FFF2-40B4-BE49-F238E27FC236}">
              <a16:creationId xmlns:a16="http://schemas.microsoft.com/office/drawing/2014/main" id="{DB126F80-EB9F-4CC1-9174-99C67D07196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224</xdr:col>
      <xdr:colOff>47625</xdr:colOff>
      <xdr:row>0</xdr:row>
      <xdr:rowOff>0</xdr:rowOff>
    </xdr:from>
    <xdr:ext cx="1200150" cy="571500"/>
    <xdr:pic>
      <xdr:nvPicPr>
        <xdr:cNvPr id="16" name="image1.png" title="Imagem">
          <a:extLst>
            <a:ext uri="{FF2B5EF4-FFF2-40B4-BE49-F238E27FC236}">
              <a16:creationId xmlns:a16="http://schemas.microsoft.com/office/drawing/2014/main" id="{15F4D0E6-0BD1-424A-ACA6-0693929985B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240</xdr:col>
      <xdr:colOff>47625</xdr:colOff>
      <xdr:row>0</xdr:row>
      <xdr:rowOff>0</xdr:rowOff>
    </xdr:from>
    <xdr:ext cx="1200150" cy="571500"/>
    <xdr:pic>
      <xdr:nvPicPr>
        <xdr:cNvPr id="17" name="image1.png" title="Imagem">
          <a:extLst>
            <a:ext uri="{FF2B5EF4-FFF2-40B4-BE49-F238E27FC236}">
              <a16:creationId xmlns:a16="http://schemas.microsoft.com/office/drawing/2014/main" id="{DF3C8D25-C149-4F58-89E0-DA9743D779F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256</xdr:col>
      <xdr:colOff>47625</xdr:colOff>
      <xdr:row>0</xdr:row>
      <xdr:rowOff>0</xdr:rowOff>
    </xdr:from>
    <xdr:ext cx="1200150" cy="571500"/>
    <xdr:pic>
      <xdr:nvPicPr>
        <xdr:cNvPr id="18" name="image1.png" title="Imagem">
          <a:extLst>
            <a:ext uri="{FF2B5EF4-FFF2-40B4-BE49-F238E27FC236}">
              <a16:creationId xmlns:a16="http://schemas.microsoft.com/office/drawing/2014/main" id="{3293D852-3ACB-4E61-BA80-DCE27ABB95D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272</xdr:col>
      <xdr:colOff>47625</xdr:colOff>
      <xdr:row>0</xdr:row>
      <xdr:rowOff>0</xdr:rowOff>
    </xdr:from>
    <xdr:ext cx="1200150" cy="571500"/>
    <xdr:pic>
      <xdr:nvPicPr>
        <xdr:cNvPr id="19" name="image1.png" title="Imagem">
          <a:extLst>
            <a:ext uri="{FF2B5EF4-FFF2-40B4-BE49-F238E27FC236}">
              <a16:creationId xmlns:a16="http://schemas.microsoft.com/office/drawing/2014/main" id="{CF2CB869-F0B5-468F-9C89-7F37008B582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288</xdr:col>
      <xdr:colOff>47625</xdr:colOff>
      <xdr:row>0</xdr:row>
      <xdr:rowOff>0</xdr:rowOff>
    </xdr:from>
    <xdr:ext cx="1200150" cy="571500"/>
    <xdr:pic>
      <xdr:nvPicPr>
        <xdr:cNvPr id="20" name="image1.png" title="Imagem">
          <a:extLst>
            <a:ext uri="{FF2B5EF4-FFF2-40B4-BE49-F238E27FC236}">
              <a16:creationId xmlns:a16="http://schemas.microsoft.com/office/drawing/2014/main" id="{6E4391A5-EFCF-48B7-8F93-405C345B9B8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304</xdr:col>
      <xdr:colOff>47625</xdr:colOff>
      <xdr:row>0</xdr:row>
      <xdr:rowOff>0</xdr:rowOff>
    </xdr:from>
    <xdr:ext cx="1200150" cy="571500"/>
    <xdr:pic>
      <xdr:nvPicPr>
        <xdr:cNvPr id="21" name="image1.png" title="Imagem">
          <a:extLst>
            <a:ext uri="{FF2B5EF4-FFF2-40B4-BE49-F238E27FC236}">
              <a16:creationId xmlns:a16="http://schemas.microsoft.com/office/drawing/2014/main" id="{82273348-8319-4DE9-B99B-14B19932B85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320</xdr:col>
      <xdr:colOff>47625</xdr:colOff>
      <xdr:row>0</xdr:row>
      <xdr:rowOff>0</xdr:rowOff>
    </xdr:from>
    <xdr:ext cx="1200150" cy="571500"/>
    <xdr:pic>
      <xdr:nvPicPr>
        <xdr:cNvPr id="22" name="image1.png" title="Imagem">
          <a:extLst>
            <a:ext uri="{FF2B5EF4-FFF2-40B4-BE49-F238E27FC236}">
              <a16:creationId xmlns:a16="http://schemas.microsoft.com/office/drawing/2014/main" id="{A219B94F-D569-4035-8C8F-065816825B0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336</xdr:col>
      <xdr:colOff>47625</xdr:colOff>
      <xdr:row>0</xdr:row>
      <xdr:rowOff>0</xdr:rowOff>
    </xdr:from>
    <xdr:ext cx="1200150" cy="571500"/>
    <xdr:pic>
      <xdr:nvPicPr>
        <xdr:cNvPr id="23" name="image1.png" title="Imagem">
          <a:extLst>
            <a:ext uri="{FF2B5EF4-FFF2-40B4-BE49-F238E27FC236}">
              <a16:creationId xmlns:a16="http://schemas.microsoft.com/office/drawing/2014/main" id="{3DA38C9E-210D-4F8F-B428-4D33A2878D5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352</xdr:col>
      <xdr:colOff>47625</xdr:colOff>
      <xdr:row>0</xdr:row>
      <xdr:rowOff>0</xdr:rowOff>
    </xdr:from>
    <xdr:ext cx="1200150" cy="571500"/>
    <xdr:pic>
      <xdr:nvPicPr>
        <xdr:cNvPr id="24" name="image1.png" title="Imagem">
          <a:extLst>
            <a:ext uri="{FF2B5EF4-FFF2-40B4-BE49-F238E27FC236}">
              <a16:creationId xmlns:a16="http://schemas.microsoft.com/office/drawing/2014/main" id="{8FE8C079-FE8D-4296-9775-74C51C10614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368</xdr:col>
      <xdr:colOff>47625</xdr:colOff>
      <xdr:row>0</xdr:row>
      <xdr:rowOff>0</xdr:rowOff>
    </xdr:from>
    <xdr:ext cx="1200150" cy="571500"/>
    <xdr:pic>
      <xdr:nvPicPr>
        <xdr:cNvPr id="25" name="image1.png" title="Imagem">
          <a:extLst>
            <a:ext uri="{FF2B5EF4-FFF2-40B4-BE49-F238E27FC236}">
              <a16:creationId xmlns:a16="http://schemas.microsoft.com/office/drawing/2014/main" id="{4BCCCD03-F5C7-42B8-8409-30942153FA5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384</xdr:col>
      <xdr:colOff>47625</xdr:colOff>
      <xdr:row>0</xdr:row>
      <xdr:rowOff>0</xdr:rowOff>
    </xdr:from>
    <xdr:ext cx="1200150" cy="571500"/>
    <xdr:pic>
      <xdr:nvPicPr>
        <xdr:cNvPr id="26" name="image1.png" title="Imagem">
          <a:extLst>
            <a:ext uri="{FF2B5EF4-FFF2-40B4-BE49-F238E27FC236}">
              <a16:creationId xmlns:a16="http://schemas.microsoft.com/office/drawing/2014/main" id="{17A2F68B-D91B-45E3-81CC-BB18CDAA150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400</xdr:col>
      <xdr:colOff>47625</xdr:colOff>
      <xdr:row>0</xdr:row>
      <xdr:rowOff>0</xdr:rowOff>
    </xdr:from>
    <xdr:ext cx="1200150" cy="571500"/>
    <xdr:pic>
      <xdr:nvPicPr>
        <xdr:cNvPr id="27" name="image1.png" title="Imagem">
          <a:extLst>
            <a:ext uri="{FF2B5EF4-FFF2-40B4-BE49-F238E27FC236}">
              <a16:creationId xmlns:a16="http://schemas.microsoft.com/office/drawing/2014/main" id="{C18F36E9-DF08-4878-9F3A-BC8147F41EA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416</xdr:col>
      <xdr:colOff>47625</xdr:colOff>
      <xdr:row>0</xdr:row>
      <xdr:rowOff>0</xdr:rowOff>
    </xdr:from>
    <xdr:ext cx="1200150" cy="571500"/>
    <xdr:pic>
      <xdr:nvPicPr>
        <xdr:cNvPr id="28" name="image1.png" title="Imagem">
          <a:extLst>
            <a:ext uri="{FF2B5EF4-FFF2-40B4-BE49-F238E27FC236}">
              <a16:creationId xmlns:a16="http://schemas.microsoft.com/office/drawing/2014/main" id="{022BA1FF-229C-42D7-8F91-4E5D7D10A1C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432</xdr:col>
      <xdr:colOff>47625</xdr:colOff>
      <xdr:row>0</xdr:row>
      <xdr:rowOff>0</xdr:rowOff>
    </xdr:from>
    <xdr:ext cx="1200150" cy="571500"/>
    <xdr:pic>
      <xdr:nvPicPr>
        <xdr:cNvPr id="29" name="image1.png" title="Imagem">
          <a:extLst>
            <a:ext uri="{FF2B5EF4-FFF2-40B4-BE49-F238E27FC236}">
              <a16:creationId xmlns:a16="http://schemas.microsoft.com/office/drawing/2014/main" id="{818CA904-D189-4ACF-A4FA-727A1FBB270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448</xdr:col>
      <xdr:colOff>47625</xdr:colOff>
      <xdr:row>0</xdr:row>
      <xdr:rowOff>0</xdr:rowOff>
    </xdr:from>
    <xdr:ext cx="1200150" cy="571500"/>
    <xdr:pic>
      <xdr:nvPicPr>
        <xdr:cNvPr id="30" name="image1.png" title="Imagem">
          <a:extLst>
            <a:ext uri="{FF2B5EF4-FFF2-40B4-BE49-F238E27FC236}">
              <a16:creationId xmlns:a16="http://schemas.microsoft.com/office/drawing/2014/main" id="{07E32436-AE22-4206-98C8-D214BC2C417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464</xdr:col>
      <xdr:colOff>47625</xdr:colOff>
      <xdr:row>0</xdr:row>
      <xdr:rowOff>0</xdr:rowOff>
    </xdr:from>
    <xdr:ext cx="1200150" cy="571500"/>
    <xdr:pic>
      <xdr:nvPicPr>
        <xdr:cNvPr id="31" name="image1.png" title="Imagem">
          <a:extLst>
            <a:ext uri="{FF2B5EF4-FFF2-40B4-BE49-F238E27FC236}">
              <a16:creationId xmlns:a16="http://schemas.microsoft.com/office/drawing/2014/main" id="{249C6E02-56BF-4D6D-86CC-60FADAC0AAF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480</xdr:col>
      <xdr:colOff>47625</xdr:colOff>
      <xdr:row>0</xdr:row>
      <xdr:rowOff>0</xdr:rowOff>
    </xdr:from>
    <xdr:ext cx="1200150" cy="571500"/>
    <xdr:pic>
      <xdr:nvPicPr>
        <xdr:cNvPr id="32" name="image1.png" title="Imagem">
          <a:extLst>
            <a:ext uri="{FF2B5EF4-FFF2-40B4-BE49-F238E27FC236}">
              <a16:creationId xmlns:a16="http://schemas.microsoft.com/office/drawing/2014/main" id="{2DE9F4E0-90D1-4D7D-AE3F-E913C79FA62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496</xdr:col>
      <xdr:colOff>47625</xdr:colOff>
      <xdr:row>0</xdr:row>
      <xdr:rowOff>0</xdr:rowOff>
    </xdr:from>
    <xdr:ext cx="1200150" cy="571500"/>
    <xdr:pic>
      <xdr:nvPicPr>
        <xdr:cNvPr id="33" name="image1.png" title="Imagem">
          <a:extLst>
            <a:ext uri="{FF2B5EF4-FFF2-40B4-BE49-F238E27FC236}">
              <a16:creationId xmlns:a16="http://schemas.microsoft.com/office/drawing/2014/main" id="{82EEBF57-9339-493C-8337-42FF78B36BA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512</xdr:col>
      <xdr:colOff>47625</xdr:colOff>
      <xdr:row>0</xdr:row>
      <xdr:rowOff>0</xdr:rowOff>
    </xdr:from>
    <xdr:ext cx="1200150" cy="571500"/>
    <xdr:pic>
      <xdr:nvPicPr>
        <xdr:cNvPr id="34" name="image1.png" title="Imagem">
          <a:extLst>
            <a:ext uri="{FF2B5EF4-FFF2-40B4-BE49-F238E27FC236}">
              <a16:creationId xmlns:a16="http://schemas.microsoft.com/office/drawing/2014/main" id="{4DE808FE-5250-4866-A68E-AD49E41734B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528</xdr:col>
      <xdr:colOff>47625</xdr:colOff>
      <xdr:row>0</xdr:row>
      <xdr:rowOff>0</xdr:rowOff>
    </xdr:from>
    <xdr:ext cx="1200150" cy="571500"/>
    <xdr:pic>
      <xdr:nvPicPr>
        <xdr:cNvPr id="35" name="image1.png" title="Imagem">
          <a:extLst>
            <a:ext uri="{FF2B5EF4-FFF2-40B4-BE49-F238E27FC236}">
              <a16:creationId xmlns:a16="http://schemas.microsoft.com/office/drawing/2014/main" id="{B3B1F519-7BC4-4C95-BC6D-045FDB80FFC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544</xdr:col>
      <xdr:colOff>47625</xdr:colOff>
      <xdr:row>0</xdr:row>
      <xdr:rowOff>0</xdr:rowOff>
    </xdr:from>
    <xdr:ext cx="1200150" cy="571500"/>
    <xdr:pic>
      <xdr:nvPicPr>
        <xdr:cNvPr id="36" name="image1.png" title="Imagem">
          <a:extLst>
            <a:ext uri="{FF2B5EF4-FFF2-40B4-BE49-F238E27FC236}">
              <a16:creationId xmlns:a16="http://schemas.microsoft.com/office/drawing/2014/main" id="{2DB62FE8-02D3-447E-B111-BD5D1C30C0B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560</xdr:col>
      <xdr:colOff>47625</xdr:colOff>
      <xdr:row>0</xdr:row>
      <xdr:rowOff>0</xdr:rowOff>
    </xdr:from>
    <xdr:ext cx="1200150" cy="571500"/>
    <xdr:pic>
      <xdr:nvPicPr>
        <xdr:cNvPr id="37" name="image1.png" title="Imagem">
          <a:extLst>
            <a:ext uri="{FF2B5EF4-FFF2-40B4-BE49-F238E27FC236}">
              <a16:creationId xmlns:a16="http://schemas.microsoft.com/office/drawing/2014/main" id="{C59F19D3-D0F0-4387-9DEF-1B7E5860CD5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576</xdr:col>
      <xdr:colOff>47625</xdr:colOff>
      <xdr:row>0</xdr:row>
      <xdr:rowOff>0</xdr:rowOff>
    </xdr:from>
    <xdr:ext cx="1200150" cy="571500"/>
    <xdr:pic>
      <xdr:nvPicPr>
        <xdr:cNvPr id="38" name="image1.png" title="Imagem">
          <a:extLst>
            <a:ext uri="{FF2B5EF4-FFF2-40B4-BE49-F238E27FC236}">
              <a16:creationId xmlns:a16="http://schemas.microsoft.com/office/drawing/2014/main" id="{AF1B83C4-0758-4AD6-A038-F3F3B5C474C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592</xdr:col>
      <xdr:colOff>47625</xdr:colOff>
      <xdr:row>0</xdr:row>
      <xdr:rowOff>0</xdr:rowOff>
    </xdr:from>
    <xdr:ext cx="1200150" cy="571500"/>
    <xdr:pic>
      <xdr:nvPicPr>
        <xdr:cNvPr id="39" name="image1.png" title="Imagem">
          <a:extLst>
            <a:ext uri="{FF2B5EF4-FFF2-40B4-BE49-F238E27FC236}">
              <a16:creationId xmlns:a16="http://schemas.microsoft.com/office/drawing/2014/main" id="{39794AD8-06D5-44C4-9DD1-25186A080DB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608</xdr:col>
      <xdr:colOff>47625</xdr:colOff>
      <xdr:row>0</xdr:row>
      <xdr:rowOff>0</xdr:rowOff>
    </xdr:from>
    <xdr:ext cx="1200150" cy="571500"/>
    <xdr:pic>
      <xdr:nvPicPr>
        <xdr:cNvPr id="40" name="image1.png" title="Imagem">
          <a:extLst>
            <a:ext uri="{FF2B5EF4-FFF2-40B4-BE49-F238E27FC236}">
              <a16:creationId xmlns:a16="http://schemas.microsoft.com/office/drawing/2014/main" id="{2C9BB77F-EF2C-4E8F-BCA6-8F6E5EEFA9B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624</xdr:col>
      <xdr:colOff>47625</xdr:colOff>
      <xdr:row>0</xdr:row>
      <xdr:rowOff>0</xdr:rowOff>
    </xdr:from>
    <xdr:ext cx="1200150" cy="571500"/>
    <xdr:pic>
      <xdr:nvPicPr>
        <xdr:cNvPr id="41" name="image1.png" title="Imagem">
          <a:extLst>
            <a:ext uri="{FF2B5EF4-FFF2-40B4-BE49-F238E27FC236}">
              <a16:creationId xmlns:a16="http://schemas.microsoft.com/office/drawing/2014/main" id="{320A6E77-1BE1-4153-9CBA-823E7237486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640</xdr:col>
      <xdr:colOff>47625</xdr:colOff>
      <xdr:row>0</xdr:row>
      <xdr:rowOff>0</xdr:rowOff>
    </xdr:from>
    <xdr:ext cx="1200150" cy="571500"/>
    <xdr:pic>
      <xdr:nvPicPr>
        <xdr:cNvPr id="42" name="image1.png" title="Imagem">
          <a:extLst>
            <a:ext uri="{FF2B5EF4-FFF2-40B4-BE49-F238E27FC236}">
              <a16:creationId xmlns:a16="http://schemas.microsoft.com/office/drawing/2014/main" id="{7BC9AE84-565F-4985-8612-6BF81FFC214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656</xdr:col>
      <xdr:colOff>47625</xdr:colOff>
      <xdr:row>0</xdr:row>
      <xdr:rowOff>0</xdr:rowOff>
    </xdr:from>
    <xdr:ext cx="1200150" cy="571500"/>
    <xdr:pic>
      <xdr:nvPicPr>
        <xdr:cNvPr id="43" name="image1.png" title="Imagem">
          <a:extLst>
            <a:ext uri="{FF2B5EF4-FFF2-40B4-BE49-F238E27FC236}">
              <a16:creationId xmlns:a16="http://schemas.microsoft.com/office/drawing/2014/main" id="{CD03EF80-02A7-4CAF-B043-CE9186C8732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672</xdr:col>
      <xdr:colOff>47625</xdr:colOff>
      <xdr:row>0</xdr:row>
      <xdr:rowOff>0</xdr:rowOff>
    </xdr:from>
    <xdr:ext cx="1200150" cy="571500"/>
    <xdr:pic>
      <xdr:nvPicPr>
        <xdr:cNvPr id="44" name="image1.png" title="Imagem">
          <a:extLst>
            <a:ext uri="{FF2B5EF4-FFF2-40B4-BE49-F238E27FC236}">
              <a16:creationId xmlns:a16="http://schemas.microsoft.com/office/drawing/2014/main" id="{AD58CBA9-0A08-4E3A-B225-2D5B28F4949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688</xdr:col>
      <xdr:colOff>47625</xdr:colOff>
      <xdr:row>0</xdr:row>
      <xdr:rowOff>0</xdr:rowOff>
    </xdr:from>
    <xdr:ext cx="1200150" cy="571500"/>
    <xdr:pic>
      <xdr:nvPicPr>
        <xdr:cNvPr id="45" name="image1.png" title="Imagem">
          <a:extLst>
            <a:ext uri="{FF2B5EF4-FFF2-40B4-BE49-F238E27FC236}">
              <a16:creationId xmlns:a16="http://schemas.microsoft.com/office/drawing/2014/main" id="{AF05F0AA-CA44-4699-BAC9-9D318CCE2C5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704</xdr:col>
      <xdr:colOff>47625</xdr:colOff>
      <xdr:row>0</xdr:row>
      <xdr:rowOff>0</xdr:rowOff>
    </xdr:from>
    <xdr:ext cx="1200150" cy="571500"/>
    <xdr:pic>
      <xdr:nvPicPr>
        <xdr:cNvPr id="46" name="image1.png" title="Imagem">
          <a:extLst>
            <a:ext uri="{FF2B5EF4-FFF2-40B4-BE49-F238E27FC236}">
              <a16:creationId xmlns:a16="http://schemas.microsoft.com/office/drawing/2014/main" id="{0C7F6CA8-C19A-4DE2-9EA8-4B27789ABA9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720</xdr:col>
      <xdr:colOff>47625</xdr:colOff>
      <xdr:row>0</xdr:row>
      <xdr:rowOff>0</xdr:rowOff>
    </xdr:from>
    <xdr:ext cx="1200150" cy="571500"/>
    <xdr:pic>
      <xdr:nvPicPr>
        <xdr:cNvPr id="47" name="image1.png" title="Imagem">
          <a:extLst>
            <a:ext uri="{FF2B5EF4-FFF2-40B4-BE49-F238E27FC236}">
              <a16:creationId xmlns:a16="http://schemas.microsoft.com/office/drawing/2014/main" id="{3A366900-1878-4B8A-87FC-7B601F88DE5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736</xdr:col>
      <xdr:colOff>47625</xdr:colOff>
      <xdr:row>0</xdr:row>
      <xdr:rowOff>0</xdr:rowOff>
    </xdr:from>
    <xdr:ext cx="1200150" cy="571500"/>
    <xdr:pic>
      <xdr:nvPicPr>
        <xdr:cNvPr id="48" name="image1.png" title="Imagem">
          <a:extLst>
            <a:ext uri="{FF2B5EF4-FFF2-40B4-BE49-F238E27FC236}">
              <a16:creationId xmlns:a16="http://schemas.microsoft.com/office/drawing/2014/main" id="{DE8AAE31-E90F-4AC8-9ABB-2C48D31773F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752</xdr:col>
      <xdr:colOff>47625</xdr:colOff>
      <xdr:row>0</xdr:row>
      <xdr:rowOff>0</xdr:rowOff>
    </xdr:from>
    <xdr:ext cx="1200150" cy="571500"/>
    <xdr:pic>
      <xdr:nvPicPr>
        <xdr:cNvPr id="49" name="image1.png" title="Imagem">
          <a:extLst>
            <a:ext uri="{FF2B5EF4-FFF2-40B4-BE49-F238E27FC236}">
              <a16:creationId xmlns:a16="http://schemas.microsoft.com/office/drawing/2014/main" id="{97AE46B6-C7AF-455A-9B3E-744726ABDEE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768</xdr:col>
      <xdr:colOff>47625</xdr:colOff>
      <xdr:row>0</xdr:row>
      <xdr:rowOff>0</xdr:rowOff>
    </xdr:from>
    <xdr:ext cx="1200150" cy="571500"/>
    <xdr:pic>
      <xdr:nvPicPr>
        <xdr:cNvPr id="50" name="image1.png" title="Imagem">
          <a:extLst>
            <a:ext uri="{FF2B5EF4-FFF2-40B4-BE49-F238E27FC236}">
              <a16:creationId xmlns:a16="http://schemas.microsoft.com/office/drawing/2014/main" id="{75B2C58C-3791-4F09-A784-107CC1A05DB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784</xdr:col>
      <xdr:colOff>47625</xdr:colOff>
      <xdr:row>0</xdr:row>
      <xdr:rowOff>0</xdr:rowOff>
    </xdr:from>
    <xdr:ext cx="1200150" cy="571500"/>
    <xdr:pic>
      <xdr:nvPicPr>
        <xdr:cNvPr id="51" name="image1.png" title="Imagem">
          <a:extLst>
            <a:ext uri="{FF2B5EF4-FFF2-40B4-BE49-F238E27FC236}">
              <a16:creationId xmlns:a16="http://schemas.microsoft.com/office/drawing/2014/main" id="{586D5FCC-404D-4FC3-9028-CDC36D9C77D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800</xdr:col>
      <xdr:colOff>47625</xdr:colOff>
      <xdr:row>0</xdr:row>
      <xdr:rowOff>0</xdr:rowOff>
    </xdr:from>
    <xdr:ext cx="1200150" cy="571500"/>
    <xdr:pic>
      <xdr:nvPicPr>
        <xdr:cNvPr id="52" name="image1.png" title="Imagem">
          <a:extLst>
            <a:ext uri="{FF2B5EF4-FFF2-40B4-BE49-F238E27FC236}">
              <a16:creationId xmlns:a16="http://schemas.microsoft.com/office/drawing/2014/main" id="{DF65A9C2-460D-4880-82E1-BFCB75844DD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816</xdr:col>
      <xdr:colOff>47625</xdr:colOff>
      <xdr:row>0</xdr:row>
      <xdr:rowOff>0</xdr:rowOff>
    </xdr:from>
    <xdr:ext cx="1200150" cy="571500"/>
    <xdr:pic>
      <xdr:nvPicPr>
        <xdr:cNvPr id="53" name="image1.png" title="Imagem">
          <a:extLst>
            <a:ext uri="{FF2B5EF4-FFF2-40B4-BE49-F238E27FC236}">
              <a16:creationId xmlns:a16="http://schemas.microsoft.com/office/drawing/2014/main" id="{737303A3-9CCE-499F-A142-1327E2C8ACE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832</xdr:col>
      <xdr:colOff>47625</xdr:colOff>
      <xdr:row>0</xdr:row>
      <xdr:rowOff>0</xdr:rowOff>
    </xdr:from>
    <xdr:ext cx="1200150" cy="571500"/>
    <xdr:pic>
      <xdr:nvPicPr>
        <xdr:cNvPr id="54" name="image1.png" title="Imagem">
          <a:extLst>
            <a:ext uri="{FF2B5EF4-FFF2-40B4-BE49-F238E27FC236}">
              <a16:creationId xmlns:a16="http://schemas.microsoft.com/office/drawing/2014/main" id="{497DE767-BE5B-4EA6-B3AC-A6EE1439D6D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848</xdr:col>
      <xdr:colOff>47625</xdr:colOff>
      <xdr:row>0</xdr:row>
      <xdr:rowOff>0</xdr:rowOff>
    </xdr:from>
    <xdr:ext cx="1200150" cy="571500"/>
    <xdr:pic>
      <xdr:nvPicPr>
        <xdr:cNvPr id="55" name="image1.png" title="Imagem">
          <a:extLst>
            <a:ext uri="{FF2B5EF4-FFF2-40B4-BE49-F238E27FC236}">
              <a16:creationId xmlns:a16="http://schemas.microsoft.com/office/drawing/2014/main" id="{52D21F54-9D15-4FCE-9CDC-1FF74DAF757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864</xdr:col>
      <xdr:colOff>47625</xdr:colOff>
      <xdr:row>0</xdr:row>
      <xdr:rowOff>0</xdr:rowOff>
    </xdr:from>
    <xdr:ext cx="1200150" cy="571500"/>
    <xdr:pic>
      <xdr:nvPicPr>
        <xdr:cNvPr id="56" name="image1.png" title="Imagem">
          <a:extLst>
            <a:ext uri="{FF2B5EF4-FFF2-40B4-BE49-F238E27FC236}">
              <a16:creationId xmlns:a16="http://schemas.microsoft.com/office/drawing/2014/main" id="{F9D2BFEC-ECBC-442B-A107-D8F6F08AC75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880</xdr:col>
      <xdr:colOff>47625</xdr:colOff>
      <xdr:row>0</xdr:row>
      <xdr:rowOff>0</xdr:rowOff>
    </xdr:from>
    <xdr:ext cx="1200150" cy="571500"/>
    <xdr:pic>
      <xdr:nvPicPr>
        <xdr:cNvPr id="57" name="image1.png" title="Imagem">
          <a:extLst>
            <a:ext uri="{FF2B5EF4-FFF2-40B4-BE49-F238E27FC236}">
              <a16:creationId xmlns:a16="http://schemas.microsoft.com/office/drawing/2014/main" id="{C64E2AD1-2FC2-47BB-B93C-669290DFA7E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896</xdr:col>
      <xdr:colOff>47625</xdr:colOff>
      <xdr:row>0</xdr:row>
      <xdr:rowOff>0</xdr:rowOff>
    </xdr:from>
    <xdr:ext cx="1200150" cy="571500"/>
    <xdr:pic>
      <xdr:nvPicPr>
        <xdr:cNvPr id="58" name="image1.png" title="Imagem">
          <a:extLst>
            <a:ext uri="{FF2B5EF4-FFF2-40B4-BE49-F238E27FC236}">
              <a16:creationId xmlns:a16="http://schemas.microsoft.com/office/drawing/2014/main" id="{C6F73D38-2B20-4E10-BF70-BB26D390B5A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912</xdr:col>
      <xdr:colOff>47625</xdr:colOff>
      <xdr:row>0</xdr:row>
      <xdr:rowOff>0</xdr:rowOff>
    </xdr:from>
    <xdr:ext cx="1200150" cy="571500"/>
    <xdr:pic>
      <xdr:nvPicPr>
        <xdr:cNvPr id="59" name="image1.png" title="Imagem">
          <a:extLst>
            <a:ext uri="{FF2B5EF4-FFF2-40B4-BE49-F238E27FC236}">
              <a16:creationId xmlns:a16="http://schemas.microsoft.com/office/drawing/2014/main" id="{C4B21C4D-28DC-4BD9-8697-89BDD9F7F82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928</xdr:col>
      <xdr:colOff>47625</xdr:colOff>
      <xdr:row>0</xdr:row>
      <xdr:rowOff>0</xdr:rowOff>
    </xdr:from>
    <xdr:ext cx="1200150" cy="571500"/>
    <xdr:pic>
      <xdr:nvPicPr>
        <xdr:cNvPr id="60" name="image1.png" title="Imagem">
          <a:extLst>
            <a:ext uri="{FF2B5EF4-FFF2-40B4-BE49-F238E27FC236}">
              <a16:creationId xmlns:a16="http://schemas.microsoft.com/office/drawing/2014/main" id="{383D20F5-7162-4E9E-8E63-1824CB170F6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944</xdr:col>
      <xdr:colOff>47625</xdr:colOff>
      <xdr:row>0</xdr:row>
      <xdr:rowOff>0</xdr:rowOff>
    </xdr:from>
    <xdr:ext cx="1200150" cy="571500"/>
    <xdr:pic>
      <xdr:nvPicPr>
        <xdr:cNvPr id="61" name="image1.png" title="Imagem">
          <a:extLst>
            <a:ext uri="{FF2B5EF4-FFF2-40B4-BE49-F238E27FC236}">
              <a16:creationId xmlns:a16="http://schemas.microsoft.com/office/drawing/2014/main" id="{F9AF2FE9-9631-4C43-81D4-761430FAE9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960</xdr:col>
      <xdr:colOff>47625</xdr:colOff>
      <xdr:row>0</xdr:row>
      <xdr:rowOff>0</xdr:rowOff>
    </xdr:from>
    <xdr:ext cx="1200150" cy="571500"/>
    <xdr:pic>
      <xdr:nvPicPr>
        <xdr:cNvPr id="62" name="image1.png" title="Imagem">
          <a:extLst>
            <a:ext uri="{FF2B5EF4-FFF2-40B4-BE49-F238E27FC236}">
              <a16:creationId xmlns:a16="http://schemas.microsoft.com/office/drawing/2014/main" id="{8689EA2D-C95A-4C7D-92E9-802D34ED3BF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976</xdr:col>
      <xdr:colOff>47625</xdr:colOff>
      <xdr:row>0</xdr:row>
      <xdr:rowOff>0</xdr:rowOff>
    </xdr:from>
    <xdr:ext cx="1200150" cy="571500"/>
    <xdr:pic>
      <xdr:nvPicPr>
        <xdr:cNvPr id="63" name="image1.png" title="Imagem">
          <a:extLst>
            <a:ext uri="{FF2B5EF4-FFF2-40B4-BE49-F238E27FC236}">
              <a16:creationId xmlns:a16="http://schemas.microsoft.com/office/drawing/2014/main" id="{964623C6-FD7D-4BC5-93B9-1C04EFEF91F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992</xdr:col>
      <xdr:colOff>47625</xdr:colOff>
      <xdr:row>0</xdr:row>
      <xdr:rowOff>0</xdr:rowOff>
    </xdr:from>
    <xdr:ext cx="1200150" cy="571500"/>
    <xdr:pic>
      <xdr:nvPicPr>
        <xdr:cNvPr id="64" name="image1.png" title="Imagem">
          <a:extLst>
            <a:ext uri="{FF2B5EF4-FFF2-40B4-BE49-F238E27FC236}">
              <a16:creationId xmlns:a16="http://schemas.microsoft.com/office/drawing/2014/main" id="{ED4F63F3-7588-4CF2-AF08-86586AEBAA9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1008</xdr:col>
      <xdr:colOff>47625</xdr:colOff>
      <xdr:row>0</xdr:row>
      <xdr:rowOff>0</xdr:rowOff>
    </xdr:from>
    <xdr:ext cx="1200150" cy="571500"/>
    <xdr:pic>
      <xdr:nvPicPr>
        <xdr:cNvPr id="65" name="image1.png" title="Imagem">
          <a:extLst>
            <a:ext uri="{FF2B5EF4-FFF2-40B4-BE49-F238E27FC236}">
              <a16:creationId xmlns:a16="http://schemas.microsoft.com/office/drawing/2014/main" id="{D53FCE62-551C-4F24-A4E2-E06FE750E7E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1024</xdr:col>
      <xdr:colOff>47625</xdr:colOff>
      <xdr:row>0</xdr:row>
      <xdr:rowOff>0</xdr:rowOff>
    </xdr:from>
    <xdr:ext cx="1200150" cy="571500"/>
    <xdr:pic>
      <xdr:nvPicPr>
        <xdr:cNvPr id="66" name="image1.png" title="Imagem">
          <a:extLst>
            <a:ext uri="{FF2B5EF4-FFF2-40B4-BE49-F238E27FC236}">
              <a16:creationId xmlns:a16="http://schemas.microsoft.com/office/drawing/2014/main" id="{5F13109C-FE27-4976-AD1E-4217D51932B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1040</xdr:col>
      <xdr:colOff>47625</xdr:colOff>
      <xdr:row>0</xdr:row>
      <xdr:rowOff>0</xdr:rowOff>
    </xdr:from>
    <xdr:ext cx="1200150" cy="571500"/>
    <xdr:pic>
      <xdr:nvPicPr>
        <xdr:cNvPr id="67" name="image1.png" title="Imagem">
          <a:extLst>
            <a:ext uri="{FF2B5EF4-FFF2-40B4-BE49-F238E27FC236}">
              <a16:creationId xmlns:a16="http://schemas.microsoft.com/office/drawing/2014/main" id="{1765C3B1-68AC-4153-83A6-17148C8352F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1056</xdr:col>
      <xdr:colOff>47625</xdr:colOff>
      <xdr:row>0</xdr:row>
      <xdr:rowOff>0</xdr:rowOff>
    </xdr:from>
    <xdr:ext cx="1200150" cy="571500"/>
    <xdr:pic>
      <xdr:nvPicPr>
        <xdr:cNvPr id="68" name="image1.png" title="Imagem">
          <a:extLst>
            <a:ext uri="{FF2B5EF4-FFF2-40B4-BE49-F238E27FC236}">
              <a16:creationId xmlns:a16="http://schemas.microsoft.com/office/drawing/2014/main" id="{52C743C8-8240-4731-B1C4-D9E8A0E48E1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1072</xdr:col>
      <xdr:colOff>47625</xdr:colOff>
      <xdr:row>0</xdr:row>
      <xdr:rowOff>0</xdr:rowOff>
    </xdr:from>
    <xdr:ext cx="1200150" cy="571500"/>
    <xdr:pic>
      <xdr:nvPicPr>
        <xdr:cNvPr id="69" name="image1.png" title="Imagem">
          <a:extLst>
            <a:ext uri="{FF2B5EF4-FFF2-40B4-BE49-F238E27FC236}">
              <a16:creationId xmlns:a16="http://schemas.microsoft.com/office/drawing/2014/main" id="{A5875A3C-B429-4C66-9ACD-11F60D47FD1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1088</xdr:col>
      <xdr:colOff>47625</xdr:colOff>
      <xdr:row>0</xdr:row>
      <xdr:rowOff>0</xdr:rowOff>
    </xdr:from>
    <xdr:ext cx="1200150" cy="571500"/>
    <xdr:pic>
      <xdr:nvPicPr>
        <xdr:cNvPr id="70" name="image1.png" title="Imagem">
          <a:extLst>
            <a:ext uri="{FF2B5EF4-FFF2-40B4-BE49-F238E27FC236}">
              <a16:creationId xmlns:a16="http://schemas.microsoft.com/office/drawing/2014/main" id="{4DC8540D-1895-4FE8-989D-D92C7FBC101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1104</xdr:col>
      <xdr:colOff>47625</xdr:colOff>
      <xdr:row>0</xdr:row>
      <xdr:rowOff>0</xdr:rowOff>
    </xdr:from>
    <xdr:ext cx="1200150" cy="571500"/>
    <xdr:pic>
      <xdr:nvPicPr>
        <xdr:cNvPr id="71" name="image1.png" title="Imagem">
          <a:extLst>
            <a:ext uri="{FF2B5EF4-FFF2-40B4-BE49-F238E27FC236}">
              <a16:creationId xmlns:a16="http://schemas.microsoft.com/office/drawing/2014/main" id="{4860631B-8542-4700-8D5A-F036DF33EFA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1120</xdr:col>
      <xdr:colOff>47625</xdr:colOff>
      <xdr:row>0</xdr:row>
      <xdr:rowOff>0</xdr:rowOff>
    </xdr:from>
    <xdr:ext cx="1200150" cy="571500"/>
    <xdr:pic>
      <xdr:nvPicPr>
        <xdr:cNvPr id="72" name="image1.png" title="Imagem">
          <a:extLst>
            <a:ext uri="{FF2B5EF4-FFF2-40B4-BE49-F238E27FC236}">
              <a16:creationId xmlns:a16="http://schemas.microsoft.com/office/drawing/2014/main" id="{5E68A764-9287-47BC-8074-6C1459C4CB9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1136</xdr:col>
      <xdr:colOff>47625</xdr:colOff>
      <xdr:row>0</xdr:row>
      <xdr:rowOff>0</xdr:rowOff>
    </xdr:from>
    <xdr:ext cx="1200150" cy="571500"/>
    <xdr:pic>
      <xdr:nvPicPr>
        <xdr:cNvPr id="73" name="image1.png" title="Imagem">
          <a:extLst>
            <a:ext uri="{FF2B5EF4-FFF2-40B4-BE49-F238E27FC236}">
              <a16:creationId xmlns:a16="http://schemas.microsoft.com/office/drawing/2014/main" id="{1E8EECDE-54E0-40EC-A9BB-47B3C757BEA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1152</xdr:col>
      <xdr:colOff>47625</xdr:colOff>
      <xdr:row>0</xdr:row>
      <xdr:rowOff>0</xdr:rowOff>
    </xdr:from>
    <xdr:ext cx="1200150" cy="571500"/>
    <xdr:pic>
      <xdr:nvPicPr>
        <xdr:cNvPr id="74" name="image1.png" title="Imagem">
          <a:extLst>
            <a:ext uri="{FF2B5EF4-FFF2-40B4-BE49-F238E27FC236}">
              <a16:creationId xmlns:a16="http://schemas.microsoft.com/office/drawing/2014/main" id="{E6D208D5-968B-4E66-9536-B0A07DCDFCE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1168</xdr:col>
      <xdr:colOff>47625</xdr:colOff>
      <xdr:row>0</xdr:row>
      <xdr:rowOff>0</xdr:rowOff>
    </xdr:from>
    <xdr:ext cx="1200150" cy="571500"/>
    <xdr:pic>
      <xdr:nvPicPr>
        <xdr:cNvPr id="75" name="image1.png" title="Imagem">
          <a:extLst>
            <a:ext uri="{FF2B5EF4-FFF2-40B4-BE49-F238E27FC236}">
              <a16:creationId xmlns:a16="http://schemas.microsoft.com/office/drawing/2014/main" id="{8B11D2A3-7D1B-45EA-8F67-838AE73B865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1184</xdr:col>
      <xdr:colOff>47625</xdr:colOff>
      <xdr:row>0</xdr:row>
      <xdr:rowOff>0</xdr:rowOff>
    </xdr:from>
    <xdr:ext cx="1200150" cy="571500"/>
    <xdr:pic>
      <xdr:nvPicPr>
        <xdr:cNvPr id="76" name="image1.png" title="Imagem">
          <a:extLst>
            <a:ext uri="{FF2B5EF4-FFF2-40B4-BE49-F238E27FC236}">
              <a16:creationId xmlns:a16="http://schemas.microsoft.com/office/drawing/2014/main" id="{E54DCEA5-0253-4BEF-8794-E1AF0011F7F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1200</xdr:col>
      <xdr:colOff>47625</xdr:colOff>
      <xdr:row>0</xdr:row>
      <xdr:rowOff>0</xdr:rowOff>
    </xdr:from>
    <xdr:ext cx="1200150" cy="571500"/>
    <xdr:pic>
      <xdr:nvPicPr>
        <xdr:cNvPr id="77" name="image1.png" title="Imagem">
          <a:extLst>
            <a:ext uri="{FF2B5EF4-FFF2-40B4-BE49-F238E27FC236}">
              <a16:creationId xmlns:a16="http://schemas.microsoft.com/office/drawing/2014/main" id="{237A7A7D-6205-4C16-85DE-4F157912A8D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1216</xdr:col>
      <xdr:colOff>47625</xdr:colOff>
      <xdr:row>0</xdr:row>
      <xdr:rowOff>0</xdr:rowOff>
    </xdr:from>
    <xdr:ext cx="1200150" cy="571500"/>
    <xdr:pic>
      <xdr:nvPicPr>
        <xdr:cNvPr id="78" name="image1.png" title="Imagem">
          <a:extLst>
            <a:ext uri="{FF2B5EF4-FFF2-40B4-BE49-F238E27FC236}">
              <a16:creationId xmlns:a16="http://schemas.microsoft.com/office/drawing/2014/main" id="{F2ECC754-3F35-4C13-A619-FBAAC55430D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1232</xdr:col>
      <xdr:colOff>47625</xdr:colOff>
      <xdr:row>0</xdr:row>
      <xdr:rowOff>0</xdr:rowOff>
    </xdr:from>
    <xdr:ext cx="1200150" cy="571500"/>
    <xdr:pic>
      <xdr:nvPicPr>
        <xdr:cNvPr id="79" name="image1.png" title="Imagem">
          <a:extLst>
            <a:ext uri="{FF2B5EF4-FFF2-40B4-BE49-F238E27FC236}">
              <a16:creationId xmlns:a16="http://schemas.microsoft.com/office/drawing/2014/main" id="{B609983A-D51B-433F-88FC-197D44C2AFE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1248</xdr:col>
      <xdr:colOff>47625</xdr:colOff>
      <xdr:row>0</xdr:row>
      <xdr:rowOff>0</xdr:rowOff>
    </xdr:from>
    <xdr:ext cx="1200150" cy="571500"/>
    <xdr:pic>
      <xdr:nvPicPr>
        <xdr:cNvPr id="80" name="image1.png" title="Imagem">
          <a:extLst>
            <a:ext uri="{FF2B5EF4-FFF2-40B4-BE49-F238E27FC236}">
              <a16:creationId xmlns:a16="http://schemas.microsoft.com/office/drawing/2014/main" id="{3B365577-3907-4732-8C94-5EB3A2D0C2E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1264</xdr:col>
      <xdr:colOff>47625</xdr:colOff>
      <xdr:row>0</xdr:row>
      <xdr:rowOff>0</xdr:rowOff>
    </xdr:from>
    <xdr:ext cx="1200150" cy="571500"/>
    <xdr:pic>
      <xdr:nvPicPr>
        <xdr:cNvPr id="81" name="image1.png" title="Imagem">
          <a:extLst>
            <a:ext uri="{FF2B5EF4-FFF2-40B4-BE49-F238E27FC236}">
              <a16:creationId xmlns:a16="http://schemas.microsoft.com/office/drawing/2014/main" id="{A4C0EA5D-EFF6-49A8-8706-471BC800820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1280</xdr:col>
      <xdr:colOff>47625</xdr:colOff>
      <xdr:row>0</xdr:row>
      <xdr:rowOff>0</xdr:rowOff>
    </xdr:from>
    <xdr:ext cx="1200150" cy="571500"/>
    <xdr:pic>
      <xdr:nvPicPr>
        <xdr:cNvPr id="82" name="image1.png" title="Imagem">
          <a:extLst>
            <a:ext uri="{FF2B5EF4-FFF2-40B4-BE49-F238E27FC236}">
              <a16:creationId xmlns:a16="http://schemas.microsoft.com/office/drawing/2014/main" id="{69111FAF-C2C4-4028-92CF-44E9F4D28E8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1296</xdr:col>
      <xdr:colOff>47625</xdr:colOff>
      <xdr:row>0</xdr:row>
      <xdr:rowOff>0</xdr:rowOff>
    </xdr:from>
    <xdr:ext cx="1200150" cy="571500"/>
    <xdr:pic>
      <xdr:nvPicPr>
        <xdr:cNvPr id="83" name="image1.png" title="Imagem">
          <a:extLst>
            <a:ext uri="{FF2B5EF4-FFF2-40B4-BE49-F238E27FC236}">
              <a16:creationId xmlns:a16="http://schemas.microsoft.com/office/drawing/2014/main" id="{E285DAAB-9AB1-4312-B0EE-001DD4BDDC7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1312</xdr:col>
      <xdr:colOff>47625</xdr:colOff>
      <xdr:row>0</xdr:row>
      <xdr:rowOff>0</xdr:rowOff>
    </xdr:from>
    <xdr:ext cx="1200150" cy="571500"/>
    <xdr:pic>
      <xdr:nvPicPr>
        <xdr:cNvPr id="84" name="image1.png" title="Imagem">
          <a:extLst>
            <a:ext uri="{FF2B5EF4-FFF2-40B4-BE49-F238E27FC236}">
              <a16:creationId xmlns:a16="http://schemas.microsoft.com/office/drawing/2014/main" id="{D443F66F-C1AD-46D1-BAD6-CB58D695C43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1328</xdr:col>
      <xdr:colOff>47625</xdr:colOff>
      <xdr:row>0</xdr:row>
      <xdr:rowOff>0</xdr:rowOff>
    </xdr:from>
    <xdr:ext cx="1200150" cy="571500"/>
    <xdr:pic>
      <xdr:nvPicPr>
        <xdr:cNvPr id="85" name="image1.png" title="Imagem">
          <a:extLst>
            <a:ext uri="{FF2B5EF4-FFF2-40B4-BE49-F238E27FC236}">
              <a16:creationId xmlns:a16="http://schemas.microsoft.com/office/drawing/2014/main" id="{9493532F-0DD4-4EFD-83AC-5F637685F23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1344</xdr:col>
      <xdr:colOff>47625</xdr:colOff>
      <xdr:row>0</xdr:row>
      <xdr:rowOff>0</xdr:rowOff>
    </xdr:from>
    <xdr:ext cx="1200150" cy="571500"/>
    <xdr:pic>
      <xdr:nvPicPr>
        <xdr:cNvPr id="86" name="image1.png" title="Imagem">
          <a:extLst>
            <a:ext uri="{FF2B5EF4-FFF2-40B4-BE49-F238E27FC236}">
              <a16:creationId xmlns:a16="http://schemas.microsoft.com/office/drawing/2014/main" id="{9C063E99-BD10-4F6C-8C13-23948A636DD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1360</xdr:col>
      <xdr:colOff>47625</xdr:colOff>
      <xdr:row>0</xdr:row>
      <xdr:rowOff>0</xdr:rowOff>
    </xdr:from>
    <xdr:ext cx="1200150" cy="571500"/>
    <xdr:pic>
      <xdr:nvPicPr>
        <xdr:cNvPr id="87" name="image1.png" title="Imagem">
          <a:extLst>
            <a:ext uri="{FF2B5EF4-FFF2-40B4-BE49-F238E27FC236}">
              <a16:creationId xmlns:a16="http://schemas.microsoft.com/office/drawing/2014/main" id="{E29C0E00-72A3-41EC-AA25-CE4646F574B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1376</xdr:col>
      <xdr:colOff>47625</xdr:colOff>
      <xdr:row>0</xdr:row>
      <xdr:rowOff>0</xdr:rowOff>
    </xdr:from>
    <xdr:ext cx="1200150" cy="571500"/>
    <xdr:pic>
      <xdr:nvPicPr>
        <xdr:cNvPr id="88" name="image1.png" title="Imagem">
          <a:extLst>
            <a:ext uri="{FF2B5EF4-FFF2-40B4-BE49-F238E27FC236}">
              <a16:creationId xmlns:a16="http://schemas.microsoft.com/office/drawing/2014/main" id="{2293BEBB-5D26-424F-B7F4-C4A6AEAC23C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1392</xdr:col>
      <xdr:colOff>47625</xdr:colOff>
      <xdr:row>0</xdr:row>
      <xdr:rowOff>0</xdr:rowOff>
    </xdr:from>
    <xdr:ext cx="1200150" cy="571500"/>
    <xdr:pic>
      <xdr:nvPicPr>
        <xdr:cNvPr id="89" name="image1.png" title="Imagem">
          <a:extLst>
            <a:ext uri="{FF2B5EF4-FFF2-40B4-BE49-F238E27FC236}">
              <a16:creationId xmlns:a16="http://schemas.microsoft.com/office/drawing/2014/main" id="{C52F7D2B-1780-4777-BAAE-B22AE462DD8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1408</xdr:col>
      <xdr:colOff>47625</xdr:colOff>
      <xdr:row>0</xdr:row>
      <xdr:rowOff>0</xdr:rowOff>
    </xdr:from>
    <xdr:ext cx="1200150" cy="571500"/>
    <xdr:pic>
      <xdr:nvPicPr>
        <xdr:cNvPr id="90" name="image1.png" title="Imagem">
          <a:extLst>
            <a:ext uri="{FF2B5EF4-FFF2-40B4-BE49-F238E27FC236}">
              <a16:creationId xmlns:a16="http://schemas.microsoft.com/office/drawing/2014/main" id="{831DA525-CF5C-4523-A438-5FE94CC580B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1424</xdr:col>
      <xdr:colOff>47625</xdr:colOff>
      <xdr:row>0</xdr:row>
      <xdr:rowOff>0</xdr:rowOff>
    </xdr:from>
    <xdr:ext cx="1200150" cy="571500"/>
    <xdr:pic>
      <xdr:nvPicPr>
        <xdr:cNvPr id="91" name="image1.png" title="Imagem">
          <a:extLst>
            <a:ext uri="{FF2B5EF4-FFF2-40B4-BE49-F238E27FC236}">
              <a16:creationId xmlns:a16="http://schemas.microsoft.com/office/drawing/2014/main" id="{3EC68CD4-C20D-4C84-BC6A-5A1F7A2C2B4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1440</xdr:col>
      <xdr:colOff>47625</xdr:colOff>
      <xdr:row>0</xdr:row>
      <xdr:rowOff>0</xdr:rowOff>
    </xdr:from>
    <xdr:ext cx="1200150" cy="571500"/>
    <xdr:pic>
      <xdr:nvPicPr>
        <xdr:cNvPr id="92" name="image1.png" title="Imagem">
          <a:extLst>
            <a:ext uri="{FF2B5EF4-FFF2-40B4-BE49-F238E27FC236}">
              <a16:creationId xmlns:a16="http://schemas.microsoft.com/office/drawing/2014/main" id="{3BFED85A-AEFA-4D0A-B6C0-E5B12245067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1456</xdr:col>
      <xdr:colOff>47625</xdr:colOff>
      <xdr:row>0</xdr:row>
      <xdr:rowOff>0</xdr:rowOff>
    </xdr:from>
    <xdr:ext cx="1200150" cy="571500"/>
    <xdr:pic>
      <xdr:nvPicPr>
        <xdr:cNvPr id="93" name="image1.png" title="Imagem">
          <a:extLst>
            <a:ext uri="{FF2B5EF4-FFF2-40B4-BE49-F238E27FC236}">
              <a16:creationId xmlns:a16="http://schemas.microsoft.com/office/drawing/2014/main" id="{DB80A0E0-4AED-49F4-9F7E-42288FCE490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1472</xdr:col>
      <xdr:colOff>47625</xdr:colOff>
      <xdr:row>0</xdr:row>
      <xdr:rowOff>0</xdr:rowOff>
    </xdr:from>
    <xdr:ext cx="1200150" cy="571500"/>
    <xdr:pic>
      <xdr:nvPicPr>
        <xdr:cNvPr id="94" name="image1.png" title="Imagem">
          <a:extLst>
            <a:ext uri="{FF2B5EF4-FFF2-40B4-BE49-F238E27FC236}">
              <a16:creationId xmlns:a16="http://schemas.microsoft.com/office/drawing/2014/main" id="{706562F8-F172-45B6-87FA-020167550E8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1488</xdr:col>
      <xdr:colOff>47625</xdr:colOff>
      <xdr:row>0</xdr:row>
      <xdr:rowOff>0</xdr:rowOff>
    </xdr:from>
    <xdr:ext cx="1200150" cy="571500"/>
    <xdr:pic>
      <xdr:nvPicPr>
        <xdr:cNvPr id="95" name="image1.png" title="Imagem">
          <a:extLst>
            <a:ext uri="{FF2B5EF4-FFF2-40B4-BE49-F238E27FC236}">
              <a16:creationId xmlns:a16="http://schemas.microsoft.com/office/drawing/2014/main" id="{15B73BCE-F67A-48EE-A18E-1D80A53F6AF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1504</xdr:col>
      <xdr:colOff>47625</xdr:colOff>
      <xdr:row>0</xdr:row>
      <xdr:rowOff>0</xdr:rowOff>
    </xdr:from>
    <xdr:ext cx="1200150" cy="571500"/>
    <xdr:pic>
      <xdr:nvPicPr>
        <xdr:cNvPr id="96" name="image1.png" title="Imagem">
          <a:extLst>
            <a:ext uri="{FF2B5EF4-FFF2-40B4-BE49-F238E27FC236}">
              <a16:creationId xmlns:a16="http://schemas.microsoft.com/office/drawing/2014/main" id="{1C22AFD4-D338-4ADE-BE43-889F3160F23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1520</xdr:col>
      <xdr:colOff>47625</xdr:colOff>
      <xdr:row>0</xdr:row>
      <xdr:rowOff>0</xdr:rowOff>
    </xdr:from>
    <xdr:ext cx="1200150" cy="571500"/>
    <xdr:pic>
      <xdr:nvPicPr>
        <xdr:cNvPr id="97" name="image1.png" title="Imagem">
          <a:extLst>
            <a:ext uri="{FF2B5EF4-FFF2-40B4-BE49-F238E27FC236}">
              <a16:creationId xmlns:a16="http://schemas.microsoft.com/office/drawing/2014/main" id="{7BA5AD67-9BA3-41DF-AFA2-FB7B780241D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1536</xdr:col>
      <xdr:colOff>47625</xdr:colOff>
      <xdr:row>0</xdr:row>
      <xdr:rowOff>0</xdr:rowOff>
    </xdr:from>
    <xdr:ext cx="1200150" cy="571500"/>
    <xdr:pic>
      <xdr:nvPicPr>
        <xdr:cNvPr id="98" name="image1.png" title="Imagem">
          <a:extLst>
            <a:ext uri="{FF2B5EF4-FFF2-40B4-BE49-F238E27FC236}">
              <a16:creationId xmlns:a16="http://schemas.microsoft.com/office/drawing/2014/main" id="{59C0BDAF-577D-48B2-B2E3-5450A59AB7E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1552</xdr:col>
      <xdr:colOff>47625</xdr:colOff>
      <xdr:row>0</xdr:row>
      <xdr:rowOff>0</xdr:rowOff>
    </xdr:from>
    <xdr:ext cx="1200150" cy="571500"/>
    <xdr:pic>
      <xdr:nvPicPr>
        <xdr:cNvPr id="99" name="image1.png" title="Imagem">
          <a:extLst>
            <a:ext uri="{FF2B5EF4-FFF2-40B4-BE49-F238E27FC236}">
              <a16:creationId xmlns:a16="http://schemas.microsoft.com/office/drawing/2014/main" id="{5427308C-CC55-4B19-B401-C0FB572DFB7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1568</xdr:col>
      <xdr:colOff>47625</xdr:colOff>
      <xdr:row>0</xdr:row>
      <xdr:rowOff>0</xdr:rowOff>
    </xdr:from>
    <xdr:ext cx="1200150" cy="571500"/>
    <xdr:pic>
      <xdr:nvPicPr>
        <xdr:cNvPr id="100" name="image1.png" title="Imagem">
          <a:extLst>
            <a:ext uri="{FF2B5EF4-FFF2-40B4-BE49-F238E27FC236}">
              <a16:creationId xmlns:a16="http://schemas.microsoft.com/office/drawing/2014/main" id="{F24EED63-2D0D-4982-9A1C-D91739061CC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1584</xdr:col>
      <xdr:colOff>47625</xdr:colOff>
      <xdr:row>0</xdr:row>
      <xdr:rowOff>0</xdr:rowOff>
    </xdr:from>
    <xdr:ext cx="1200150" cy="571500"/>
    <xdr:pic>
      <xdr:nvPicPr>
        <xdr:cNvPr id="101" name="image1.png" title="Imagem">
          <a:extLst>
            <a:ext uri="{FF2B5EF4-FFF2-40B4-BE49-F238E27FC236}">
              <a16:creationId xmlns:a16="http://schemas.microsoft.com/office/drawing/2014/main" id="{EA95040C-C6A1-404F-804B-9A55ED76A0C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1600</xdr:col>
      <xdr:colOff>47625</xdr:colOff>
      <xdr:row>0</xdr:row>
      <xdr:rowOff>0</xdr:rowOff>
    </xdr:from>
    <xdr:ext cx="1200150" cy="571500"/>
    <xdr:pic>
      <xdr:nvPicPr>
        <xdr:cNvPr id="102" name="image1.png" title="Imagem">
          <a:extLst>
            <a:ext uri="{FF2B5EF4-FFF2-40B4-BE49-F238E27FC236}">
              <a16:creationId xmlns:a16="http://schemas.microsoft.com/office/drawing/2014/main" id="{243A0B43-FA33-466C-80B1-3B61FCB080C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1616</xdr:col>
      <xdr:colOff>47625</xdr:colOff>
      <xdr:row>0</xdr:row>
      <xdr:rowOff>0</xdr:rowOff>
    </xdr:from>
    <xdr:ext cx="1200150" cy="571500"/>
    <xdr:pic>
      <xdr:nvPicPr>
        <xdr:cNvPr id="103" name="image1.png" title="Imagem">
          <a:extLst>
            <a:ext uri="{FF2B5EF4-FFF2-40B4-BE49-F238E27FC236}">
              <a16:creationId xmlns:a16="http://schemas.microsoft.com/office/drawing/2014/main" id="{72570575-129C-4873-B588-C933BC8EEC8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1632</xdr:col>
      <xdr:colOff>47625</xdr:colOff>
      <xdr:row>0</xdr:row>
      <xdr:rowOff>0</xdr:rowOff>
    </xdr:from>
    <xdr:ext cx="1200150" cy="571500"/>
    <xdr:pic>
      <xdr:nvPicPr>
        <xdr:cNvPr id="104" name="image1.png" title="Imagem">
          <a:extLst>
            <a:ext uri="{FF2B5EF4-FFF2-40B4-BE49-F238E27FC236}">
              <a16:creationId xmlns:a16="http://schemas.microsoft.com/office/drawing/2014/main" id="{92B48433-D8AC-4C20-835A-EE6BFAF9B14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1648</xdr:col>
      <xdr:colOff>47625</xdr:colOff>
      <xdr:row>0</xdr:row>
      <xdr:rowOff>0</xdr:rowOff>
    </xdr:from>
    <xdr:ext cx="1200150" cy="571500"/>
    <xdr:pic>
      <xdr:nvPicPr>
        <xdr:cNvPr id="105" name="image1.png" title="Imagem">
          <a:extLst>
            <a:ext uri="{FF2B5EF4-FFF2-40B4-BE49-F238E27FC236}">
              <a16:creationId xmlns:a16="http://schemas.microsoft.com/office/drawing/2014/main" id="{C0EEA74E-FAEC-47DB-9D8D-439CA4E3EFF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1664</xdr:col>
      <xdr:colOff>47625</xdr:colOff>
      <xdr:row>0</xdr:row>
      <xdr:rowOff>0</xdr:rowOff>
    </xdr:from>
    <xdr:ext cx="1200150" cy="571500"/>
    <xdr:pic>
      <xdr:nvPicPr>
        <xdr:cNvPr id="106" name="image1.png" title="Imagem">
          <a:extLst>
            <a:ext uri="{FF2B5EF4-FFF2-40B4-BE49-F238E27FC236}">
              <a16:creationId xmlns:a16="http://schemas.microsoft.com/office/drawing/2014/main" id="{ACFE5704-B821-4CB2-8129-214D4767F41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1680</xdr:col>
      <xdr:colOff>47625</xdr:colOff>
      <xdr:row>0</xdr:row>
      <xdr:rowOff>0</xdr:rowOff>
    </xdr:from>
    <xdr:ext cx="1200150" cy="571500"/>
    <xdr:pic>
      <xdr:nvPicPr>
        <xdr:cNvPr id="107" name="image1.png" title="Imagem">
          <a:extLst>
            <a:ext uri="{FF2B5EF4-FFF2-40B4-BE49-F238E27FC236}">
              <a16:creationId xmlns:a16="http://schemas.microsoft.com/office/drawing/2014/main" id="{2257EB6F-0AE1-4977-B20D-44236CE8DEF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1696</xdr:col>
      <xdr:colOff>47625</xdr:colOff>
      <xdr:row>0</xdr:row>
      <xdr:rowOff>0</xdr:rowOff>
    </xdr:from>
    <xdr:ext cx="1200150" cy="571500"/>
    <xdr:pic>
      <xdr:nvPicPr>
        <xdr:cNvPr id="108" name="image1.png" title="Imagem">
          <a:extLst>
            <a:ext uri="{FF2B5EF4-FFF2-40B4-BE49-F238E27FC236}">
              <a16:creationId xmlns:a16="http://schemas.microsoft.com/office/drawing/2014/main" id="{FD0ECA8C-8D7E-40B3-8B06-958C00C3511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1712</xdr:col>
      <xdr:colOff>47625</xdr:colOff>
      <xdr:row>0</xdr:row>
      <xdr:rowOff>0</xdr:rowOff>
    </xdr:from>
    <xdr:ext cx="1200150" cy="571500"/>
    <xdr:pic>
      <xdr:nvPicPr>
        <xdr:cNvPr id="109" name="image1.png" title="Imagem">
          <a:extLst>
            <a:ext uri="{FF2B5EF4-FFF2-40B4-BE49-F238E27FC236}">
              <a16:creationId xmlns:a16="http://schemas.microsoft.com/office/drawing/2014/main" id="{ACA2E4D0-7895-42F6-A8DB-A9F91DD0A44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1728</xdr:col>
      <xdr:colOff>47625</xdr:colOff>
      <xdr:row>0</xdr:row>
      <xdr:rowOff>0</xdr:rowOff>
    </xdr:from>
    <xdr:ext cx="1200150" cy="571500"/>
    <xdr:pic>
      <xdr:nvPicPr>
        <xdr:cNvPr id="110" name="image1.png" title="Imagem">
          <a:extLst>
            <a:ext uri="{FF2B5EF4-FFF2-40B4-BE49-F238E27FC236}">
              <a16:creationId xmlns:a16="http://schemas.microsoft.com/office/drawing/2014/main" id="{80E54FEB-CEB0-4926-8B6D-49DF61CA0F4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1744</xdr:col>
      <xdr:colOff>47625</xdr:colOff>
      <xdr:row>0</xdr:row>
      <xdr:rowOff>0</xdr:rowOff>
    </xdr:from>
    <xdr:ext cx="1200150" cy="571500"/>
    <xdr:pic>
      <xdr:nvPicPr>
        <xdr:cNvPr id="111" name="image1.png" title="Imagem">
          <a:extLst>
            <a:ext uri="{FF2B5EF4-FFF2-40B4-BE49-F238E27FC236}">
              <a16:creationId xmlns:a16="http://schemas.microsoft.com/office/drawing/2014/main" id="{DD25518E-BC19-4771-BB7A-5CBF11F081D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1760</xdr:col>
      <xdr:colOff>47625</xdr:colOff>
      <xdr:row>0</xdr:row>
      <xdr:rowOff>0</xdr:rowOff>
    </xdr:from>
    <xdr:ext cx="1200150" cy="571500"/>
    <xdr:pic>
      <xdr:nvPicPr>
        <xdr:cNvPr id="112" name="image1.png" title="Imagem">
          <a:extLst>
            <a:ext uri="{FF2B5EF4-FFF2-40B4-BE49-F238E27FC236}">
              <a16:creationId xmlns:a16="http://schemas.microsoft.com/office/drawing/2014/main" id="{3E34ADC5-237C-4642-802B-DEE230B64C5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1776</xdr:col>
      <xdr:colOff>47625</xdr:colOff>
      <xdr:row>0</xdr:row>
      <xdr:rowOff>0</xdr:rowOff>
    </xdr:from>
    <xdr:ext cx="1200150" cy="571500"/>
    <xdr:pic>
      <xdr:nvPicPr>
        <xdr:cNvPr id="113" name="image1.png" title="Imagem">
          <a:extLst>
            <a:ext uri="{FF2B5EF4-FFF2-40B4-BE49-F238E27FC236}">
              <a16:creationId xmlns:a16="http://schemas.microsoft.com/office/drawing/2014/main" id="{DBC608DC-85FB-41B4-BD23-945AF5F5443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1792</xdr:col>
      <xdr:colOff>47625</xdr:colOff>
      <xdr:row>0</xdr:row>
      <xdr:rowOff>0</xdr:rowOff>
    </xdr:from>
    <xdr:ext cx="1200150" cy="571500"/>
    <xdr:pic>
      <xdr:nvPicPr>
        <xdr:cNvPr id="114" name="image1.png" title="Imagem">
          <a:extLst>
            <a:ext uri="{FF2B5EF4-FFF2-40B4-BE49-F238E27FC236}">
              <a16:creationId xmlns:a16="http://schemas.microsoft.com/office/drawing/2014/main" id="{137DF88C-2CDE-470B-BDF7-E70C2D6EB31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1808</xdr:col>
      <xdr:colOff>47625</xdr:colOff>
      <xdr:row>0</xdr:row>
      <xdr:rowOff>0</xdr:rowOff>
    </xdr:from>
    <xdr:ext cx="1200150" cy="571500"/>
    <xdr:pic>
      <xdr:nvPicPr>
        <xdr:cNvPr id="115" name="image1.png" title="Imagem">
          <a:extLst>
            <a:ext uri="{FF2B5EF4-FFF2-40B4-BE49-F238E27FC236}">
              <a16:creationId xmlns:a16="http://schemas.microsoft.com/office/drawing/2014/main" id="{BEBF64FD-7DFE-4433-A495-0FC7A696B02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1824</xdr:col>
      <xdr:colOff>47625</xdr:colOff>
      <xdr:row>0</xdr:row>
      <xdr:rowOff>0</xdr:rowOff>
    </xdr:from>
    <xdr:ext cx="1200150" cy="571500"/>
    <xdr:pic>
      <xdr:nvPicPr>
        <xdr:cNvPr id="116" name="image1.png" title="Imagem">
          <a:extLst>
            <a:ext uri="{FF2B5EF4-FFF2-40B4-BE49-F238E27FC236}">
              <a16:creationId xmlns:a16="http://schemas.microsoft.com/office/drawing/2014/main" id="{ADFF3A78-919C-4DA3-B778-CCDC99DBCA4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1840</xdr:col>
      <xdr:colOff>47625</xdr:colOff>
      <xdr:row>0</xdr:row>
      <xdr:rowOff>0</xdr:rowOff>
    </xdr:from>
    <xdr:ext cx="1200150" cy="571500"/>
    <xdr:pic>
      <xdr:nvPicPr>
        <xdr:cNvPr id="117" name="image1.png" title="Imagem">
          <a:extLst>
            <a:ext uri="{FF2B5EF4-FFF2-40B4-BE49-F238E27FC236}">
              <a16:creationId xmlns:a16="http://schemas.microsoft.com/office/drawing/2014/main" id="{435127B9-3C11-4FC5-A1B6-BCC527101EE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1856</xdr:col>
      <xdr:colOff>47625</xdr:colOff>
      <xdr:row>0</xdr:row>
      <xdr:rowOff>0</xdr:rowOff>
    </xdr:from>
    <xdr:ext cx="1200150" cy="571500"/>
    <xdr:pic>
      <xdr:nvPicPr>
        <xdr:cNvPr id="118" name="image1.png" title="Imagem">
          <a:extLst>
            <a:ext uri="{FF2B5EF4-FFF2-40B4-BE49-F238E27FC236}">
              <a16:creationId xmlns:a16="http://schemas.microsoft.com/office/drawing/2014/main" id="{695B1033-E213-48AB-988A-4AADF226674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1872</xdr:col>
      <xdr:colOff>47625</xdr:colOff>
      <xdr:row>0</xdr:row>
      <xdr:rowOff>0</xdr:rowOff>
    </xdr:from>
    <xdr:ext cx="1200150" cy="571500"/>
    <xdr:pic>
      <xdr:nvPicPr>
        <xdr:cNvPr id="119" name="image1.png" title="Imagem">
          <a:extLst>
            <a:ext uri="{FF2B5EF4-FFF2-40B4-BE49-F238E27FC236}">
              <a16:creationId xmlns:a16="http://schemas.microsoft.com/office/drawing/2014/main" id="{7CCB4E18-588C-45BD-83CB-912071C2F89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1888</xdr:col>
      <xdr:colOff>47625</xdr:colOff>
      <xdr:row>0</xdr:row>
      <xdr:rowOff>0</xdr:rowOff>
    </xdr:from>
    <xdr:ext cx="1200150" cy="571500"/>
    <xdr:pic>
      <xdr:nvPicPr>
        <xdr:cNvPr id="120" name="image1.png" title="Imagem">
          <a:extLst>
            <a:ext uri="{FF2B5EF4-FFF2-40B4-BE49-F238E27FC236}">
              <a16:creationId xmlns:a16="http://schemas.microsoft.com/office/drawing/2014/main" id="{C30B7840-BCD8-400F-9A30-0D992EC61E2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1904</xdr:col>
      <xdr:colOff>47625</xdr:colOff>
      <xdr:row>0</xdr:row>
      <xdr:rowOff>0</xdr:rowOff>
    </xdr:from>
    <xdr:ext cx="1200150" cy="571500"/>
    <xdr:pic>
      <xdr:nvPicPr>
        <xdr:cNvPr id="121" name="image1.png" title="Imagem">
          <a:extLst>
            <a:ext uri="{FF2B5EF4-FFF2-40B4-BE49-F238E27FC236}">
              <a16:creationId xmlns:a16="http://schemas.microsoft.com/office/drawing/2014/main" id="{E23B81A8-EABF-4534-8016-CB7681A8FC3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1920</xdr:col>
      <xdr:colOff>47625</xdr:colOff>
      <xdr:row>0</xdr:row>
      <xdr:rowOff>0</xdr:rowOff>
    </xdr:from>
    <xdr:ext cx="1200150" cy="571500"/>
    <xdr:pic>
      <xdr:nvPicPr>
        <xdr:cNvPr id="122" name="image1.png" title="Imagem">
          <a:extLst>
            <a:ext uri="{FF2B5EF4-FFF2-40B4-BE49-F238E27FC236}">
              <a16:creationId xmlns:a16="http://schemas.microsoft.com/office/drawing/2014/main" id="{911B496A-BEF0-4B26-81C9-35B01B88EB0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1936</xdr:col>
      <xdr:colOff>47625</xdr:colOff>
      <xdr:row>0</xdr:row>
      <xdr:rowOff>0</xdr:rowOff>
    </xdr:from>
    <xdr:ext cx="1200150" cy="571500"/>
    <xdr:pic>
      <xdr:nvPicPr>
        <xdr:cNvPr id="123" name="image1.png" title="Imagem">
          <a:extLst>
            <a:ext uri="{FF2B5EF4-FFF2-40B4-BE49-F238E27FC236}">
              <a16:creationId xmlns:a16="http://schemas.microsoft.com/office/drawing/2014/main" id="{863CF382-523D-4AF7-9F08-62E3BDBC79B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1952</xdr:col>
      <xdr:colOff>47625</xdr:colOff>
      <xdr:row>0</xdr:row>
      <xdr:rowOff>0</xdr:rowOff>
    </xdr:from>
    <xdr:ext cx="1200150" cy="571500"/>
    <xdr:pic>
      <xdr:nvPicPr>
        <xdr:cNvPr id="124" name="image1.png" title="Imagem">
          <a:extLst>
            <a:ext uri="{FF2B5EF4-FFF2-40B4-BE49-F238E27FC236}">
              <a16:creationId xmlns:a16="http://schemas.microsoft.com/office/drawing/2014/main" id="{8B240375-AA2B-4AAB-8FB1-15D45ECB90A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1968</xdr:col>
      <xdr:colOff>47625</xdr:colOff>
      <xdr:row>0</xdr:row>
      <xdr:rowOff>0</xdr:rowOff>
    </xdr:from>
    <xdr:ext cx="1200150" cy="571500"/>
    <xdr:pic>
      <xdr:nvPicPr>
        <xdr:cNvPr id="125" name="image1.png" title="Imagem">
          <a:extLst>
            <a:ext uri="{FF2B5EF4-FFF2-40B4-BE49-F238E27FC236}">
              <a16:creationId xmlns:a16="http://schemas.microsoft.com/office/drawing/2014/main" id="{8F1B422E-A0B6-4386-9989-8F6475218B5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1984</xdr:col>
      <xdr:colOff>47625</xdr:colOff>
      <xdr:row>0</xdr:row>
      <xdr:rowOff>0</xdr:rowOff>
    </xdr:from>
    <xdr:ext cx="1200150" cy="571500"/>
    <xdr:pic>
      <xdr:nvPicPr>
        <xdr:cNvPr id="126" name="image1.png" title="Imagem">
          <a:extLst>
            <a:ext uri="{FF2B5EF4-FFF2-40B4-BE49-F238E27FC236}">
              <a16:creationId xmlns:a16="http://schemas.microsoft.com/office/drawing/2014/main" id="{3156B1FE-AA68-4E2A-8A6E-CCDE5878A37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2000</xdr:col>
      <xdr:colOff>47625</xdr:colOff>
      <xdr:row>0</xdr:row>
      <xdr:rowOff>0</xdr:rowOff>
    </xdr:from>
    <xdr:ext cx="1200150" cy="571500"/>
    <xdr:pic>
      <xdr:nvPicPr>
        <xdr:cNvPr id="127" name="image1.png" title="Imagem">
          <a:extLst>
            <a:ext uri="{FF2B5EF4-FFF2-40B4-BE49-F238E27FC236}">
              <a16:creationId xmlns:a16="http://schemas.microsoft.com/office/drawing/2014/main" id="{78E95E54-D76B-4FBE-90C4-838D159E5EA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2016</xdr:col>
      <xdr:colOff>47625</xdr:colOff>
      <xdr:row>0</xdr:row>
      <xdr:rowOff>0</xdr:rowOff>
    </xdr:from>
    <xdr:ext cx="1200150" cy="571500"/>
    <xdr:pic>
      <xdr:nvPicPr>
        <xdr:cNvPr id="128" name="image1.png" title="Imagem">
          <a:extLst>
            <a:ext uri="{FF2B5EF4-FFF2-40B4-BE49-F238E27FC236}">
              <a16:creationId xmlns:a16="http://schemas.microsoft.com/office/drawing/2014/main" id="{599DFDC5-6E48-4099-9CC8-CBA66699D2D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2032</xdr:col>
      <xdr:colOff>47625</xdr:colOff>
      <xdr:row>0</xdr:row>
      <xdr:rowOff>0</xdr:rowOff>
    </xdr:from>
    <xdr:ext cx="1200150" cy="571500"/>
    <xdr:pic>
      <xdr:nvPicPr>
        <xdr:cNvPr id="129" name="image1.png" title="Imagem">
          <a:extLst>
            <a:ext uri="{FF2B5EF4-FFF2-40B4-BE49-F238E27FC236}">
              <a16:creationId xmlns:a16="http://schemas.microsoft.com/office/drawing/2014/main" id="{9E1995A1-8C49-4DCE-8E9B-6557C89FE4D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2048</xdr:col>
      <xdr:colOff>47625</xdr:colOff>
      <xdr:row>0</xdr:row>
      <xdr:rowOff>0</xdr:rowOff>
    </xdr:from>
    <xdr:ext cx="1200150" cy="571500"/>
    <xdr:pic>
      <xdr:nvPicPr>
        <xdr:cNvPr id="130" name="image1.png" title="Imagem">
          <a:extLst>
            <a:ext uri="{FF2B5EF4-FFF2-40B4-BE49-F238E27FC236}">
              <a16:creationId xmlns:a16="http://schemas.microsoft.com/office/drawing/2014/main" id="{5EC03D26-1F9A-4DE0-AE07-895D2EF8B84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2064</xdr:col>
      <xdr:colOff>47625</xdr:colOff>
      <xdr:row>0</xdr:row>
      <xdr:rowOff>0</xdr:rowOff>
    </xdr:from>
    <xdr:ext cx="1200150" cy="571500"/>
    <xdr:pic>
      <xdr:nvPicPr>
        <xdr:cNvPr id="131" name="image1.png" title="Imagem">
          <a:extLst>
            <a:ext uri="{FF2B5EF4-FFF2-40B4-BE49-F238E27FC236}">
              <a16:creationId xmlns:a16="http://schemas.microsoft.com/office/drawing/2014/main" id="{45CAFCAE-5F68-48F1-9CA4-3564AC4E989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2080</xdr:col>
      <xdr:colOff>47625</xdr:colOff>
      <xdr:row>0</xdr:row>
      <xdr:rowOff>0</xdr:rowOff>
    </xdr:from>
    <xdr:ext cx="1200150" cy="571500"/>
    <xdr:pic>
      <xdr:nvPicPr>
        <xdr:cNvPr id="132" name="image1.png" title="Imagem">
          <a:extLst>
            <a:ext uri="{FF2B5EF4-FFF2-40B4-BE49-F238E27FC236}">
              <a16:creationId xmlns:a16="http://schemas.microsoft.com/office/drawing/2014/main" id="{7245F631-8607-4880-84B9-C1E66E21DB9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2096</xdr:col>
      <xdr:colOff>47625</xdr:colOff>
      <xdr:row>0</xdr:row>
      <xdr:rowOff>0</xdr:rowOff>
    </xdr:from>
    <xdr:ext cx="1200150" cy="571500"/>
    <xdr:pic>
      <xdr:nvPicPr>
        <xdr:cNvPr id="133" name="image1.png" title="Imagem">
          <a:extLst>
            <a:ext uri="{FF2B5EF4-FFF2-40B4-BE49-F238E27FC236}">
              <a16:creationId xmlns:a16="http://schemas.microsoft.com/office/drawing/2014/main" id="{91ABF237-A910-4821-B192-8404FE1DA15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2112</xdr:col>
      <xdr:colOff>47625</xdr:colOff>
      <xdr:row>0</xdr:row>
      <xdr:rowOff>0</xdr:rowOff>
    </xdr:from>
    <xdr:ext cx="1200150" cy="571500"/>
    <xdr:pic>
      <xdr:nvPicPr>
        <xdr:cNvPr id="134" name="image1.png" title="Imagem">
          <a:extLst>
            <a:ext uri="{FF2B5EF4-FFF2-40B4-BE49-F238E27FC236}">
              <a16:creationId xmlns:a16="http://schemas.microsoft.com/office/drawing/2014/main" id="{91657D46-712A-45E9-97F0-0712697603A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2128</xdr:col>
      <xdr:colOff>47625</xdr:colOff>
      <xdr:row>0</xdr:row>
      <xdr:rowOff>0</xdr:rowOff>
    </xdr:from>
    <xdr:ext cx="1200150" cy="571500"/>
    <xdr:pic>
      <xdr:nvPicPr>
        <xdr:cNvPr id="135" name="image1.png" title="Imagem">
          <a:extLst>
            <a:ext uri="{FF2B5EF4-FFF2-40B4-BE49-F238E27FC236}">
              <a16:creationId xmlns:a16="http://schemas.microsoft.com/office/drawing/2014/main" id="{0A0CBD4C-7453-4791-B571-6BF8A27607A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2144</xdr:col>
      <xdr:colOff>47625</xdr:colOff>
      <xdr:row>0</xdr:row>
      <xdr:rowOff>0</xdr:rowOff>
    </xdr:from>
    <xdr:ext cx="1200150" cy="571500"/>
    <xdr:pic>
      <xdr:nvPicPr>
        <xdr:cNvPr id="136" name="image1.png" title="Imagem">
          <a:extLst>
            <a:ext uri="{FF2B5EF4-FFF2-40B4-BE49-F238E27FC236}">
              <a16:creationId xmlns:a16="http://schemas.microsoft.com/office/drawing/2014/main" id="{3A9D37A9-8491-464D-827B-F7EC9EC3689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2160</xdr:col>
      <xdr:colOff>47625</xdr:colOff>
      <xdr:row>0</xdr:row>
      <xdr:rowOff>0</xdr:rowOff>
    </xdr:from>
    <xdr:ext cx="1200150" cy="571500"/>
    <xdr:pic>
      <xdr:nvPicPr>
        <xdr:cNvPr id="137" name="image1.png" title="Imagem">
          <a:extLst>
            <a:ext uri="{FF2B5EF4-FFF2-40B4-BE49-F238E27FC236}">
              <a16:creationId xmlns:a16="http://schemas.microsoft.com/office/drawing/2014/main" id="{C6936AA4-9CD2-4A11-B05E-80C70CEF1B9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2176</xdr:col>
      <xdr:colOff>47625</xdr:colOff>
      <xdr:row>0</xdr:row>
      <xdr:rowOff>0</xdr:rowOff>
    </xdr:from>
    <xdr:ext cx="1200150" cy="571500"/>
    <xdr:pic>
      <xdr:nvPicPr>
        <xdr:cNvPr id="138" name="image1.png" title="Imagem">
          <a:extLst>
            <a:ext uri="{FF2B5EF4-FFF2-40B4-BE49-F238E27FC236}">
              <a16:creationId xmlns:a16="http://schemas.microsoft.com/office/drawing/2014/main" id="{11E1BC3E-A8B8-4DCC-B02B-3F4CFFB1EB7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2192</xdr:col>
      <xdr:colOff>47625</xdr:colOff>
      <xdr:row>0</xdr:row>
      <xdr:rowOff>0</xdr:rowOff>
    </xdr:from>
    <xdr:ext cx="1200150" cy="571500"/>
    <xdr:pic>
      <xdr:nvPicPr>
        <xdr:cNvPr id="139" name="image1.png" title="Imagem">
          <a:extLst>
            <a:ext uri="{FF2B5EF4-FFF2-40B4-BE49-F238E27FC236}">
              <a16:creationId xmlns:a16="http://schemas.microsoft.com/office/drawing/2014/main" id="{D2329B21-4370-4543-8E4D-DA4B397E6C5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2208</xdr:col>
      <xdr:colOff>47625</xdr:colOff>
      <xdr:row>0</xdr:row>
      <xdr:rowOff>0</xdr:rowOff>
    </xdr:from>
    <xdr:ext cx="1200150" cy="571500"/>
    <xdr:pic>
      <xdr:nvPicPr>
        <xdr:cNvPr id="140" name="image1.png" title="Imagem">
          <a:extLst>
            <a:ext uri="{FF2B5EF4-FFF2-40B4-BE49-F238E27FC236}">
              <a16:creationId xmlns:a16="http://schemas.microsoft.com/office/drawing/2014/main" id="{F8417B13-C987-4F4E-9E9D-1B004C2F323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2224</xdr:col>
      <xdr:colOff>47625</xdr:colOff>
      <xdr:row>0</xdr:row>
      <xdr:rowOff>0</xdr:rowOff>
    </xdr:from>
    <xdr:ext cx="1200150" cy="571500"/>
    <xdr:pic>
      <xdr:nvPicPr>
        <xdr:cNvPr id="141" name="image1.png" title="Imagem">
          <a:extLst>
            <a:ext uri="{FF2B5EF4-FFF2-40B4-BE49-F238E27FC236}">
              <a16:creationId xmlns:a16="http://schemas.microsoft.com/office/drawing/2014/main" id="{7372EDA0-7C2F-495E-A543-A4A9D200E6E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2240</xdr:col>
      <xdr:colOff>47625</xdr:colOff>
      <xdr:row>0</xdr:row>
      <xdr:rowOff>0</xdr:rowOff>
    </xdr:from>
    <xdr:ext cx="1200150" cy="571500"/>
    <xdr:pic>
      <xdr:nvPicPr>
        <xdr:cNvPr id="142" name="image1.png" title="Imagem">
          <a:extLst>
            <a:ext uri="{FF2B5EF4-FFF2-40B4-BE49-F238E27FC236}">
              <a16:creationId xmlns:a16="http://schemas.microsoft.com/office/drawing/2014/main" id="{8F76D559-14C1-4190-8869-B695AD0CA56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2256</xdr:col>
      <xdr:colOff>47625</xdr:colOff>
      <xdr:row>0</xdr:row>
      <xdr:rowOff>0</xdr:rowOff>
    </xdr:from>
    <xdr:ext cx="1200150" cy="571500"/>
    <xdr:pic>
      <xdr:nvPicPr>
        <xdr:cNvPr id="143" name="image1.png" title="Imagem">
          <a:extLst>
            <a:ext uri="{FF2B5EF4-FFF2-40B4-BE49-F238E27FC236}">
              <a16:creationId xmlns:a16="http://schemas.microsoft.com/office/drawing/2014/main" id="{43B33FDD-A940-4038-85B2-9AB62F06D51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2272</xdr:col>
      <xdr:colOff>47625</xdr:colOff>
      <xdr:row>0</xdr:row>
      <xdr:rowOff>0</xdr:rowOff>
    </xdr:from>
    <xdr:ext cx="1200150" cy="571500"/>
    <xdr:pic>
      <xdr:nvPicPr>
        <xdr:cNvPr id="144" name="image1.png" title="Imagem">
          <a:extLst>
            <a:ext uri="{FF2B5EF4-FFF2-40B4-BE49-F238E27FC236}">
              <a16:creationId xmlns:a16="http://schemas.microsoft.com/office/drawing/2014/main" id="{D7C53EBD-37FB-467D-87E4-B6731E03E98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2288</xdr:col>
      <xdr:colOff>47625</xdr:colOff>
      <xdr:row>0</xdr:row>
      <xdr:rowOff>0</xdr:rowOff>
    </xdr:from>
    <xdr:ext cx="1200150" cy="571500"/>
    <xdr:pic>
      <xdr:nvPicPr>
        <xdr:cNvPr id="145" name="image1.png" title="Imagem">
          <a:extLst>
            <a:ext uri="{FF2B5EF4-FFF2-40B4-BE49-F238E27FC236}">
              <a16:creationId xmlns:a16="http://schemas.microsoft.com/office/drawing/2014/main" id="{BE52D451-49B2-45AD-A17A-4EB592D0C8B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2304</xdr:col>
      <xdr:colOff>47625</xdr:colOff>
      <xdr:row>0</xdr:row>
      <xdr:rowOff>0</xdr:rowOff>
    </xdr:from>
    <xdr:ext cx="1200150" cy="571500"/>
    <xdr:pic>
      <xdr:nvPicPr>
        <xdr:cNvPr id="146" name="image1.png" title="Imagem">
          <a:extLst>
            <a:ext uri="{FF2B5EF4-FFF2-40B4-BE49-F238E27FC236}">
              <a16:creationId xmlns:a16="http://schemas.microsoft.com/office/drawing/2014/main" id="{0288F22D-5032-4593-8579-1FE15BC4DBE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2320</xdr:col>
      <xdr:colOff>47625</xdr:colOff>
      <xdr:row>0</xdr:row>
      <xdr:rowOff>0</xdr:rowOff>
    </xdr:from>
    <xdr:ext cx="1200150" cy="571500"/>
    <xdr:pic>
      <xdr:nvPicPr>
        <xdr:cNvPr id="147" name="image1.png" title="Imagem">
          <a:extLst>
            <a:ext uri="{FF2B5EF4-FFF2-40B4-BE49-F238E27FC236}">
              <a16:creationId xmlns:a16="http://schemas.microsoft.com/office/drawing/2014/main" id="{DCE8EC1E-EA64-4066-94DA-5E1D466E730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2336</xdr:col>
      <xdr:colOff>47625</xdr:colOff>
      <xdr:row>0</xdr:row>
      <xdr:rowOff>0</xdr:rowOff>
    </xdr:from>
    <xdr:ext cx="1200150" cy="571500"/>
    <xdr:pic>
      <xdr:nvPicPr>
        <xdr:cNvPr id="148" name="image1.png" title="Imagem">
          <a:extLst>
            <a:ext uri="{FF2B5EF4-FFF2-40B4-BE49-F238E27FC236}">
              <a16:creationId xmlns:a16="http://schemas.microsoft.com/office/drawing/2014/main" id="{FD95903D-8131-4AD6-928F-8553F7B883F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2352</xdr:col>
      <xdr:colOff>47625</xdr:colOff>
      <xdr:row>0</xdr:row>
      <xdr:rowOff>0</xdr:rowOff>
    </xdr:from>
    <xdr:ext cx="1200150" cy="571500"/>
    <xdr:pic>
      <xdr:nvPicPr>
        <xdr:cNvPr id="149" name="image1.png" title="Imagem">
          <a:extLst>
            <a:ext uri="{FF2B5EF4-FFF2-40B4-BE49-F238E27FC236}">
              <a16:creationId xmlns:a16="http://schemas.microsoft.com/office/drawing/2014/main" id="{AEAB0F75-BF35-47EF-8612-81772B4245C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2368</xdr:col>
      <xdr:colOff>47625</xdr:colOff>
      <xdr:row>0</xdr:row>
      <xdr:rowOff>0</xdr:rowOff>
    </xdr:from>
    <xdr:ext cx="1200150" cy="571500"/>
    <xdr:pic>
      <xdr:nvPicPr>
        <xdr:cNvPr id="150" name="image1.png" title="Imagem">
          <a:extLst>
            <a:ext uri="{FF2B5EF4-FFF2-40B4-BE49-F238E27FC236}">
              <a16:creationId xmlns:a16="http://schemas.microsoft.com/office/drawing/2014/main" id="{48219F60-E715-46A3-9680-B7759E049A1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2384</xdr:col>
      <xdr:colOff>47625</xdr:colOff>
      <xdr:row>0</xdr:row>
      <xdr:rowOff>0</xdr:rowOff>
    </xdr:from>
    <xdr:ext cx="1200150" cy="571500"/>
    <xdr:pic>
      <xdr:nvPicPr>
        <xdr:cNvPr id="151" name="image1.png" title="Imagem">
          <a:extLst>
            <a:ext uri="{FF2B5EF4-FFF2-40B4-BE49-F238E27FC236}">
              <a16:creationId xmlns:a16="http://schemas.microsoft.com/office/drawing/2014/main" id="{C208492A-6F72-45C9-8029-58C8B6A6690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2400</xdr:col>
      <xdr:colOff>47625</xdr:colOff>
      <xdr:row>0</xdr:row>
      <xdr:rowOff>0</xdr:rowOff>
    </xdr:from>
    <xdr:ext cx="1200150" cy="571500"/>
    <xdr:pic>
      <xdr:nvPicPr>
        <xdr:cNvPr id="152" name="image1.png" title="Imagem">
          <a:extLst>
            <a:ext uri="{FF2B5EF4-FFF2-40B4-BE49-F238E27FC236}">
              <a16:creationId xmlns:a16="http://schemas.microsoft.com/office/drawing/2014/main" id="{3506E5E8-A209-409C-9F8F-D6BF8732033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2416</xdr:col>
      <xdr:colOff>47625</xdr:colOff>
      <xdr:row>0</xdr:row>
      <xdr:rowOff>0</xdr:rowOff>
    </xdr:from>
    <xdr:ext cx="1200150" cy="571500"/>
    <xdr:pic>
      <xdr:nvPicPr>
        <xdr:cNvPr id="153" name="image1.png" title="Imagem">
          <a:extLst>
            <a:ext uri="{FF2B5EF4-FFF2-40B4-BE49-F238E27FC236}">
              <a16:creationId xmlns:a16="http://schemas.microsoft.com/office/drawing/2014/main" id="{38357E2D-8A1C-4B9A-8BC8-D4726A89B87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2432</xdr:col>
      <xdr:colOff>47625</xdr:colOff>
      <xdr:row>0</xdr:row>
      <xdr:rowOff>0</xdr:rowOff>
    </xdr:from>
    <xdr:ext cx="1200150" cy="571500"/>
    <xdr:pic>
      <xdr:nvPicPr>
        <xdr:cNvPr id="154" name="image1.png" title="Imagem">
          <a:extLst>
            <a:ext uri="{FF2B5EF4-FFF2-40B4-BE49-F238E27FC236}">
              <a16:creationId xmlns:a16="http://schemas.microsoft.com/office/drawing/2014/main" id="{AA607886-8B6A-4836-AA79-3DAD4B7B3C5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2448</xdr:col>
      <xdr:colOff>47625</xdr:colOff>
      <xdr:row>0</xdr:row>
      <xdr:rowOff>0</xdr:rowOff>
    </xdr:from>
    <xdr:ext cx="1200150" cy="571500"/>
    <xdr:pic>
      <xdr:nvPicPr>
        <xdr:cNvPr id="155" name="image1.png" title="Imagem">
          <a:extLst>
            <a:ext uri="{FF2B5EF4-FFF2-40B4-BE49-F238E27FC236}">
              <a16:creationId xmlns:a16="http://schemas.microsoft.com/office/drawing/2014/main" id="{658254C2-38CA-4DA6-A542-1414D29A056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2464</xdr:col>
      <xdr:colOff>47625</xdr:colOff>
      <xdr:row>0</xdr:row>
      <xdr:rowOff>0</xdr:rowOff>
    </xdr:from>
    <xdr:ext cx="1200150" cy="571500"/>
    <xdr:pic>
      <xdr:nvPicPr>
        <xdr:cNvPr id="156" name="image1.png" title="Imagem">
          <a:extLst>
            <a:ext uri="{FF2B5EF4-FFF2-40B4-BE49-F238E27FC236}">
              <a16:creationId xmlns:a16="http://schemas.microsoft.com/office/drawing/2014/main" id="{AB642B61-50A8-4ABD-B2E1-14D0C014310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2480</xdr:col>
      <xdr:colOff>47625</xdr:colOff>
      <xdr:row>0</xdr:row>
      <xdr:rowOff>0</xdr:rowOff>
    </xdr:from>
    <xdr:ext cx="1200150" cy="571500"/>
    <xdr:pic>
      <xdr:nvPicPr>
        <xdr:cNvPr id="157" name="image1.png" title="Imagem">
          <a:extLst>
            <a:ext uri="{FF2B5EF4-FFF2-40B4-BE49-F238E27FC236}">
              <a16:creationId xmlns:a16="http://schemas.microsoft.com/office/drawing/2014/main" id="{7AD0C1FA-591A-4D85-8A7D-5F5CB6AAB70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2496</xdr:col>
      <xdr:colOff>47625</xdr:colOff>
      <xdr:row>0</xdr:row>
      <xdr:rowOff>0</xdr:rowOff>
    </xdr:from>
    <xdr:ext cx="1200150" cy="571500"/>
    <xdr:pic>
      <xdr:nvPicPr>
        <xdr:cNvPr id="158" name="image1.png" title="Imagem">
          <a:extLst>
            <a:ext uri="{FF2B5EF4-FFF2-40B4-BE49-F238E27FC236}">
              <a16:creationId xmlns:a16="http://schemas.microsoft.com/office/drawing/2014/main" id="{D613A092-B967-4AE3-8DF6-07DB6D4F8B0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2512</xdr:col>
      <xdr:colOff>47625</xdr:colOff>
      <xdr:row>0</xdr:row>
      <xdr:rowOff>0</xdr:rowOff>
    </xdr:from>
    <xdr:ext cx="1200150" cy="571500"/>
    <xdr:pic>
      <xdr:nvPicPr>
        <xdr:cNvPr id="159" name="image1.png" title="Imagem">
          <a:extLst>
            <a:ext uri="{FF2B5EF4-FFF2-40B4-BE49-F238E27FC236}">
              <a16:creationId xmlns:a16="http://schemas.microsoft.com/office/drawing/2014/main" id="{DA54A29A-CA0B-4806-AB0D-A9FA42A0C47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2528</xdr:col>
      <xdr:colOff>47625</xdr:colOff>
      <xdr:row>0</xdr:row>
      <xdr:rowOff>0</xdr:rowOff>
    </xdr:from>
    <xdr:ext cx="1200150" cy="571500"/>
    <xdr:pic>
      <xdr:nvPicPr>
        <xdr:cNvPr id="160" name="image1.png" title="Imagem">
          <a:extLst>
            <a:ext uri="{FF2B5EF4-FFF2-40B4-BE49-F238E27FC236}">
              <a16:creationId xmlns:a16="http://schemas.microsoft.com/office/drawing/2014/main" id="{8247963D-A44C-4866-8A58-E037FEF5206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2544</xdr:col>
      <xdr:colOff>47625</xdr:colOff>
      <xdr:row>0</xdr:row>
      <xdr:rowOff>0</xdr:rowOff>
    </xdr:from>
    <xdr:ext cx="1200150" cy="571500"/>
    <xdr:pic>
      <xdr:nvPicPr>
        <xdr:cNvPr id="161" name="image1.png" title="Imagem">
          <a:extLst>
            <a:ext uri="{FF2B5EF4-FFF2-40B4-BE49-F238E27FC236}">
              <a16:creationId xmlns:a16="http://schemas.microsoft.com/office/drawing/2014/main" id="{B5A85CAB-0859-4187-A0C3-C756357FB6D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2560</xdr:col>
      <xdr:colOff>47625</xdr:colOff>
      <xdr:row>0</xdr:row>
      <xdr:rowOff>0</xdr:rowOff>
    </xdr:from>
    <xdr:ext cx="1200150" cy="571500"/>
    <xdr:pic>
      <xdr:nvPicPr>
        <xdr:cNvPr id="162" name="image1.png" title="Imagem">
          <a:extLst>
            <a:ext uri="{FF2B5EF4-FFF2-40B4-BE49-F238E27FC236}">
              <a16:creationId xmlns:a16="http://schemas.microsoft.com/office/drawing/2014/main" id="{027CFCE2-3062-4134-9797-88CDDA4A1D5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2576</xdr:col>
      <xdr:colOff>47625</xdr:colOff>
      <xdr:row>0</xdr:row>
      <xdr:rowOff>0</xdr:rowOff>
    </xdr:from>
    <xdr:ext cx="1200150" cy="571500"/>
    <xdr:pic>
      <xdr:nvPicPr>
        <xdr:cNvPr id="163" name="image1.png" title="Imagem">
          <a:extLst>
            <a:ext uri="{FF2B5EF4-FFF2-40B4-BE49-F238E27FC236}">
              <a16:creationId xmlns:a16="http://schemas.microsoft.com/office/drawing/2014/main" id="{8323B023-CFB1-4807-BF6D-B2051ED2FA0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2592</xdr:col>
      <xdr:colOff>47625</xdr:colOff>
      <xdr:row>0</xdr:row>
      <xdr:rowOff>0</xdr:rowOff>
    </xdr:from>
    <xdr:ext cx="1200150" cy="571500"/>
    <xdr:pic>
      <xdr:nvPicPr>
        <xdr:cNvPr id="164" name="image1.png" title="Imagem">
          <a:extLst>
            <a:ext uri="{FF2B5EF4-FFF2-40B4-BE49-F238E27FC236}">
              <a16:creationId xmlns:a16="http://schemas.microsoft.com/office/drawing/2014/main" id="{5CA5F256-73A3-40AE-886E-358D46439F0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2608</xdr:col>
      <xdr:colOff>47625</xdr:colOff>
      <xdr:row>0</xdr:row>
      <xdr:rowOff>0</xdr:rowOff>
    </xdr:from>
    <xdr:ext cx="1200150" cy="571500"/>
    <xdr:pic>
      <xdr:nvPicPr>
        <xdr:cNvPr id="165" name="image1.png" title="Imagem">
          <a:extLst>
            <a:ext uri="{FF2B5EF4-FFF2-40B4-BE49-F238E27FC236}">
              <a16:creationId xmlns:a16="http://schemas.microsoft.com/office/drawing/2014/main" id="{501904D0-2BD6-4252-A54A-DF41F7B9FF8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2624</xdr:col>
      <xdr:colOff>47625</xdr:colOff>
      <xdr:row>0</xdr:row>
      <xdr:rowOff>0</xdr:rowOff>
    </xdr:from>
    <xdr:ext cx="1200150" cy="571500"/>
    <xdr:pic>
      <xdr:nvPicPr>
        <xdr:cNvPr id="166" name="image1.png" title="Imagem">
          <a:extLst>
            <a:ext uri="{FF2B5EF4-FFF2-40B4-BE49-F238E27FC236}">
              <a16:creationId xmlns:a16="http://schemas.microsoft.com/office/drawing/2014/main" id="{B9100E72-F12A-4C15-BECF-394CDFB75B5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2640</xdr:col>
      <xdr:colOff>47625</xdr:colOff>
      <xdr:row>0</xdr:row>
      <xdr:rowOff>0</xdr:rowOff>
    </xdr:from>
    <xdr:ext cx="1200150" cy="571500"/>
    <xdr:pic>
      <xdr:nvPicPr>
        <xdr:cNvPr id="167" name="image1.png" title="Imagem">
          <a:extLst>
            <a:ext uri="{FF2B5EF4-FFF2-40B4-BE49-F238E27FC236}">
              <a16:creationId xmlns:a16="http://schemas.microsoft.com/office/drawing/2014/main" id="{270B189F-ABBD-4DA0-BF76-31E57571A20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2656</xdr:col>
      <xdr:colOff>47625</xdr:colOff>
      <xdr:row>0</xdr:row>
      <xdr:rowOff>0</xdr:rowOff>
    </xdr:from>
    <xdr:ext cx="1200150" cy="571500"/>
    <xdr:pic>
      <xdr:nvPicPr>
        <xdr:cNvPr id="168" name="image1.png" title="Imagem">
          <a:extLst>
            <a:ext uri="{FF2B5EF4-FFF2-40B4-BE49-F238E27FC236}">
              <a16:creationId xmlns:a16="http://schemas.microsoft.com/office/drawing/2014/main" id="{1ECA1E92-E93E-4EB3-9EFF-2E10D22B4FD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2672</xdr:col>
      <xdr:colOff>47625</xdr:colOff>
      <xdr:row>0</xdr:row>
      <xdr:rowOff>0</xdr:rowOff>
    </xdr:from>
    <xdr:ext cx="1200150" cy="571500"/>
    <xdr:pic>
      <xdr:nvPicPr>
        <xdr:cNvPr id="169" name="image1.png" title="Imagem">
          <a:extLst>
            <a:ext uri="{FF2B5EF4-FFF2-40B4-BE49-F238E27FC236}">
              <a16:creationId xmlns:a16="http://schemas.microsoft.com/office/drawing/2014/main" id="{33C004AC-9193-4900-AC14-65C111157FA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2688</xdr:col>
      <xdr:colOff>47625</xdr:colOff>
      <xdr:row>0</xdr:row>
      <xdr:rowOff>0</xdr:rowOff>
    </xdr:from>
    <xdr:ext cx="1200150" cy="571500"/>
    <xdr:pic>
      <xdr:nvPicPr>
        <xdr:cNvPr id="170" name="image1.png" title="Imagem">
          <a:extLst>
            <a:ext uri="{FF2B5EF4-FFF2-40B4-BE49-F238E27FC236}">
              <a16:creationId xmlns:a16="http://schemas.microsoft.com/office/drawing/2014/main" id="{45CD6820-2936-4818-8F9F-800103030B8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2704</xdr:col>
      <xdr:colOff>47625</xdr:colOff>
      <xdr:row>0</xdr:row>
      <xdr:rowOff>0</xdr:rowOff>
    </xdr:from>
    <xdr:ext cx="1200150" cy="571500"/>
    <xdr:pic>
      <xdr:nvPicPr>
        <xdr:cNvPr id="171" name="image1.png" title="Imagem">
          <a:extLst>
            <a:ext uri="{FF2B5EF4-FFF2-40B4-BE49-F238E27FC236}">
              <a16:creationId xmlns:a16="http://schemas.microsoft.com/office/drawing/2014/main" id="{E268470F-0FC4-4D87-943F-044415D0857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2720</xdr:col>
      <xdr:colOff>47625</xdr:colOff>
      <xdr:row>0</xdr:row>
      <xdr:rowOff>0</xdr:rowOff>
    </xdr:from>
    <xdr:ext cx="1200150" cy="571500"/>
    <xdr:pic>
      <xdr:nvPicPr>
        <xdr:cNvPr id="172" name="image1.png" title="Imagem">
          <a:extLst>
            <a:ext uri="{FF2B5EF4-FFF2-40B4-BE49-F238E27FC236}">
              <a16:creationId xmlns:a16="http://schemas.microsoft.com/office/drawing/2014/main" id="{84F9093A-F750-4D70-8E5A-2E9E4F5B9DB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2736</xdr:col>
      <xdr:colOff>47625</xdr:colOff>
      <xdr:row>0</xdr:row>
      <xdr:rowOff>0</xdr:rowOff>
    </xdr:from>
    <xdr:ext cx="1200150" cy="571500"/>
    <xdr:pic>
      <xdr:nvPicPr>
        <xdr:cNvPr id="173" name="image1.png" title="Imagem">
          <a:extLst>
            <a:ext uri="{FF2B5EF4-FFF2-40B4-BE49-F238E27FC236}">
              <a16:creationId xmlns:a16="http://schemas.microsoft.com/office/drawing/2014/main" id="{80DF75A9-BBE8-47F0-8932-41355B7A66A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2752</xdr:col>
      <xdr:colOff>47625</xdr:colOff>
      <xdr:row>0</xdr:row>
      <xdr:rowOff>0</xdr:rowOff>
    </xdr:from>
    <xdr:ext cx="1200150" cy="571500"/>
    <xdr:pic>
      <xdr:nvPicPr>
        <xdr:cNvPr id="174" name="image1.png" title="Imagem">
          <a:extLst>
            <a:ext uri="{FF2B5EF4-FFF2-40B4-BE49-F238E27FC236}">
              <a16:creationId xmlns:a16="http://schemas.microsoft.com/office/drawing/2014/main" id="{27EE4C7E-5484-4FE2-9BC9-5FE4D452F86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2768</xdr:col>
      <xdr:colOff>47625</xdr:colOff>
      <xdr:row>0</xdr:row>
      <xdr:rowOff>0</xdr:rowOff>
    </xdr:from>
    <xdr:ext cx="1200150" cy="571500"/>
    <xdr:pic>
      <xdr:nvPicPr>
        <xdr:cNvPr id="175" name="image1.png" title="Imagem">
          <a:extLst>
            <a:ext uri="{FF2B5EF4-FFF2-40B4-BE49-F238E27FC236}">
              <a16:creationId xmlns:a16="http://schemas.microsoft.com/office/drawing/2014/main" id="{06EA9F40-3C22-4EAF-8BEA-F1E3DD57615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2784</xdr:col>
      <xdr:colOff>47625</xdr:colOff>
      <xdr:row>0</xdr:row>
      <xdr:rowOff>0</xdr:rowOff>
    </xdr:from>
    <xdr:ext cx="1200150" cy="571500"/>
    <xdr:pic>
      <xdr:nvPicPr>
        <xdr:cNvPr id="176" name="image1.png" title="Imagem">
          <a:extLst>
            <a:ext uri="{FF2B5EF4-FFF2-40B4-BE49-F238E27FC236}">
              <a16:creationId xmlns:a16="http://schemas.microsoft.com/office/drawing/2014/main" id="{D7A8B764-62F5-4BA1-8A08-1C0DC509A9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2800</xdr:col>
      <xdr:colOff>47625</xdr:colOff>
      <xdr:row>0</xdr:row>
      <xdr:rowOff>0</xdr:rowOff>
    </xdr:from>
    <xdr:ext cx="1200150" cy="571500"/>
    <xdr:pic>
      <xdr:nvPicPr>
        <xdr:cNvPr id="177" name="image1.png" title="Imagem">
          <a:extLst>
            <a:ext uri="{FF2B5EF4-FFF2-40B4-BE49-F238E27FC236}">
              <a16:creationId xmlns:a16="http://schemas.microsoft.com/office/drawing/2014/main" id="{A039C501-CB32-484B-84B7-99E16221637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2816</xdr:col>
      <xdr:colOff>47625</xdr:colOff>
      <xdr:row>0</xdr:row>
      <xdr:rowOff>0</xdr:rowOff>
    </xdr:from>
    <xdr:ext cx="1200150" cy="571500"/>
    <xdr:pic>
      <xdr:nvPicPr>
        <xdr:cNvPr id="178" name="image1.png" title="Imagem">
          <a:extLst>
            <a:ext uri="{FF2B5EF4-FFF2-40B4-BE49-F238E27FC236}">
              <a16:creationId xmlns:a16="http://schemas.microsoft.com/office/drawing/2014/main" id="{A512E9DC-7528-4310-9287-BFF995EC086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2832</xdr:col>
      <xdr:colOff>47625</xdr:colOff>
      <xdr:row>0</xdr:row>
      <xdr:rowOff>0</xdr:rowOff>
    </xdr:from>
    <xdr:ext cx="1200150" cy="571500"/>
    <xdr:pic>
      <xdr:nvPicPr>
        <xdr:cNvPr id="179" name="image1.png" title="Imagem">
          <a:extLst>
            <a:ext uri="{FF2B5EF4-FFF2-40B4-BE49-F238E27FC236}">
              <a16:creationId xmlns:a16="http://schemas.microsoft.com/office/drawing/2014/main" id="{5369CB63-307A-4D18-BB9E-0C9F820061C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2848</xdr:col>
      <xdr:colOff>47625</xdr:colOff>
      <xdr:row>0</xdr:row>
      <xdr:rowOff>0</xdr:rowOff>
    </xdr:from>
    <xdr:ext cx="1200150" cy="571500"/>
    <xdr:pic>
      <xdr:nvPicPr>
        <xdr:cNvPr id="180" name="image1.png" title="Imagem">
          <a:extLst>
            <a:ext uri="{FF2B5EF4-FFF2-40B4-BE49-F238E27FC236}">
              <a16:creationId xmlns:a16="http://schemas.microsoft.com/office/drawing/2014/main" id="{B4041C98-9880-4B62-8217-F7461027D15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2864</xdr:col>
      <xdr:colOff>47625</xdr:colOff>
      <xdr:row>0</xdr:row>
      <xdr:rowOff>0</xdr:rowOff>
    </xdr:from>
    <xdr:ext cx="1200150" cy="571500"/>
    <xdr:pic>
      <xdr:nvPicPr>
        <xdr:cNvPr id="181" name="image1.png" title="Imagem">
          <a:extLst>
            <a:ext uri="{FF2B5EF4-FFF2-40B4-BE49-F238E27FC236}">
              <a16:creationId xmlns:a16="http://schemas.microsoft.com/office/drawing/2014/main" id="{FA698F02-D528-42E6-A70D-BF8156A7EB5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2880</xdr:col>
      <xdr:colOff>47625</xdr:colOff>
      <xdr:row>0</xdr:row>
      <xdr:rowOff>0</xdr:rowOff>
    </xdr:from>
    <xdr:ext cx="1200150" cy="571500"/>
    <xdr:pic>
      <xdr:nvPicPr>
        <xdr:cNvPr id="182" name="image1.png" title="Imagem">
          <a:extLst>
            <a:ext uri="{FF2B5EF4-FFF2-40B4-BE49-F238E27FC236}">
              <a16:creationId xmlns:a16="http://schemas.microsoft.com/office/drawing/2014/main" id="{0E1C1319-AB79-454D-998A-B61A5D8049E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2896</xdr:col>
      <xdr:colOff>47625</xdr:colOff>
      <xdr:row>0</xdr:row>
      <xdr:rowOff>0</xdr:rowOff>
    </xdr:from>
    <xdr:ext cx="1200150" cy="571500"/>
    <xdr:pic>
      <xdr:nvPicPr>
        <xdr:cNvPr id="183" name="image1.png" title="Imagem">
          <a:extLst>
            <a:ext uri="{FF2B5EF4-FFF2-40B4-BE49-F238E27FC236}">
              <a16:creationId xmlns:a16="http://schemas.microsoft.com/office/drawing/2014/main" id="{18F071F0-27D4-4954-8CCF-B6BC456A11C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2912</xdr:col>
      <xdr:colOff>47625</xdr:colOff>
      <xdr:row>0</xdr:row>
      <xdr:rowOff>0</xdr:rowOff>
    </xdr:from>
    <xdr:ext cx="1200150" cy="571500"/>
    <xdr:pic>
      <xdr:nvPicPr>
        <xdr:cNvPr id="184" name="image1.png" title="Imagem">
          <a:extLst>
            <a:ext uri="{FF2B5EF4-FFF2-40B4-BE49-F238E27FC236}">
              <a16:creationId xmlns:a16="http://schemas.microsoft.com/office/drawing/2014/main" id="{C5F311A0-0F9B-4759-A395-73E347F0B20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2928</xdr:col>
      <xdr:colOff>47625</xdr:colOff>
      <xdr:row>0</xdr:row>
      <xdr:rowOff>0</xdr:rowOff>
    </xdr:from>
    <xdr:ext cx="1200150" cy="571500"/>
    <xdr:pic>
      <xdr:nvPicPr>
        <xdr:cNvPr id="185" name="image1.png" title="Imagem">
          <a:extLst>
            <a:ext uri="{FF2B5EF4-FFF2-40B4-BE49-F238E27FC236}">
              <a16:creationId xmlns:a16="http://schemas.microsoft.com/office/drawing/2014/main" id="{121E1D83-191A-4FFC-BA9D-D1A70150BD3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2944</xdr:col>
      <xdr:colOff>47625</xdr:colOff>
      <xdr:row>0</xdr:row>
      <xdr:rowOff>0</xdr:rowOff>
    </xdr:from>
    <xdr:ext cx="1200150" cy="571500"/>
    <xdr:pic>
      <xdr:nvPicPr>
        <xdr:cNvPr id="186" name="image1.png" title="Imagem">
          <a:extLst>
            <a:ext uri="{FF2B5EF4-FFF2-40B4-BE49-F238E27FC236}">
              <a16:creationId xmlns:a16="http://schemas.microsoft.com/office/drawing/2014/main" id="{3B4D0586-1240-43FE-90BA-5FAF17F099A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2960</xdr:col>
      <xdr:colOff>47625</xdr:colOff>
      <xdr:row>0</xdr:row>
      <xdr:rowOff>0</xdr:rowOff>
    </xdr:from>
    <xdr:ext cx="1200150" cy="571500"/>
    <xdr:pic>
      <xdr:nvPicPr>
        <xdr:cNvPr id="187" name="image1.png" title="Imagem">
          <a:extLst>
            <a:ext uri="{FF2B5EF4-FFF2-40B4-BE49-F238E27FC236}">
              <a16:creationId xmlns:a16="http://schemas.microsoft.com/office/drawing/2014/main" id="{BD6388FB-4A4F-4A57-A63E-F320DC6D18C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2976</xdr:col>
      <xdr:colOff>47625</xdr:colOff>
      <xdr:row>0</xdr:row>
      <xdr:rowOff>0</xdr:rowOff>
    </xdr:from>
    <xdr:ext cx="1200150" cy="571500"/>
    <xdr:pic>
      <xdr:nvPicPr>
        <xdr:cNvPr id="188" name="image1.png" title="Imagem">
          <a:extLst>
            <a:ext uri="{FF2B5EF4-FFF2-40B4-BE49-F238E27FC236}">
              <a16:creationId xmlns:a16="http://schemas.microsoft.com/office/drawing/2014/main" id="{F1E045E2-81A3-49BD-9CB3-2E2C4A5697D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2992</xdr:col>
      <xdr:colOff>47625</xdr:colOff>
      <xdr:row>0</xdr:row>
      <xdr:rowOff>0</xdr:rowOff>
    </xdr:from>
    <xdr:ext cx="1200150" cy="571500"/>
    <xdr:pic>
      <xdr:nvPicPr>
        <xdr:cNvPr id="189" name="image1.png" title="Imagem">
          <a:extLst>
            <a:ext uri="{FF2B5EF4-FFF2-40B4-BE49-F238E27FC236}">
              <a16:creationId xmlns:a16="http://schemas.microsoft.com/office/drawing/2014/main" id="{DFCA317B-C2F3-4103-BBE6-55BB8BF6A42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3008</xdr:col>
      <xdr:colOff>47625</xdr:colOff>
      <xdr:row>0</xdr:row>
      <xdr:rowOff>0</xdr:rowOff>
    </xdr:from>
    <xdr:ext cx="1200150" cy="571500"/>
    <xdr:pic>
      <xdr:nvPicPr>
        <xdr:cNvPr id="190" name="image1.png" title="Imagem">
          <a:extLst>
            <a:ext uri="{FF2B5EF4-FFF2-40B4-BE49-F238E27FC236}">
              <a16:creationId xmlns:a16="http://schemas.microsoft.com/office/drawing/2014/main" id="{DBA81A69-064F-4F6C-ADED-367400EC339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3024</xdr:col>
      <xdr:colOff>47625</xdr:colOff>
      <xdr:row>0</xdr:row>
      <xdr:rowOff>0</xdr:rowOff>
    </xdr:from>
    <xdr:ext cx="1200150" cy="571500"/>
    <xdr:pic>
      <xdr:nvPicPr>
        <xdr:cNvPr id="191" name="image1.png" title="Imagem">
          <a:extLst>
            <a:ext uri="{FF2B5EF4-FFF2-40B4-BE49-F238E27FC236}">
              <a16:creationId xmlns:a16="http://schemas.microsoft.com/office/drawing/2014/main" id="{D95689B6-B267-4D0F-B767-5ECCE36D295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3040</xdr:col>
      <xdr:colOff>47625</xdr:colOff>
      <xdr:row>0</xdr:row>
      <xdr:rowOff>0</xdr:rowOff>
    </xdr:from>
    <xdr:ext cx="1200150" cy="571500"/>
    <xdr:pic>
      <xdr:nvPicPr>
        <xdr:cNvPr id="192" name="image1.png" title="Imagem">
          <a:extLst>
            <a:ext uri="{FF2B5EF4-FFF2-40B4-BE49-F238E27FC236}">
              <a16:creationId xmlns:a16="http://schemas.microsoft.com/office/drawing/2014/main" id="{0B12E147-07F9-4F36-9168-5478B7CBEBC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3056</xdr:col>
      <xdr:colOff>47625</xdr:colOff>
      <xdr:row>0</xdr:row>
      <xdr:rowOff>0</xdr:rowOff>
    </xdr:from>
    <xdr:ext cx="1200150" cy="571500"/>
    <xdr:pic>
      <xdr:nvPicPr>
        <xdr:cNvPr id="193" name="image1.png" title="Imagem">
          <a:extLst>
            <a:ext uri="{FF2B5EF4-FFF2-40B4-BE49-F238E27FC236}">
              <a16:creationId xmlns:a16="http://schemas.microsoft.com/office/drawing/2014/main" id="{5D3DFCCF-E1A0-4CC9-B8C3-286D46E23BD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3072</xdr:col>
      <xdr:colOff>47625</xdr:colOff>
      <xdr:row>0</xdr:row>
      <xdr:rowOff>0</xdr:rowOff>
    </xdr:from>
    <xdr:ext cx="1200150" cy="571500"/>
    <xdr:pic>
      <xdr:nvPicPr>
        <xdr:cNvPr id="194" name="image1.png" title="Imagem">
          <a:extLst>
            <a:ext uri="{FF2B5EF4-FFF2-40B4-BE49-F238E27FC236}">
              <a16:creationId xmlns:a16="http://schemas.microsoft.com/office/drawing/2014/main" id="{4E8A7069-CE25-470D-A73C-461F2EFE281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3088</xdr:col>
      <xdr:colOff>47625</xdr:colOff>
      <xdr:row>0</xdr:row>
      <xdr:rowOff>0</xdr:rowOff>
    </xdr:from>
    <xdr:ext cx="1200150" cy="571500"/>
    <xdr:pic>
      <xdr:nvPicPr>
        <xdr:cNvPr id="195" name="image1.png" title="Imagem">
          <a:extLst>
            <a:ext uri="{FF2B5EF4-FFF2-40B4-BE49-F238E27FC236}">
              <a16:creationId xmlns:a16="http://schemas.microsoft.com/office/drawing/2014/main" id="{952EF7AA-BC2A-499E-969A-759052AC331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3104</xdr:col>
      <xdr:colOff>47625</xdr:colOff>
      <xdr:row>0</xdr:row>
      <xdr:rowOff>0</xdr:rowOff>
    </xdr:from>
    <xdr:ext cx="1200150" cy="571500"/>
    <xdr:pic>
      <xdr:nvPicPr>
        <xdr:cNvPr id="196" name="image1.png" title="Imagem">
          <a:extLst>
            <a:ext uri="{FF2B5EF4-FFF2-40B4-BE49-F238E27FC236}">
              <a16:creationId xmlns:a16="http://schemas.microsoft.com/office/drawing/2014/main" id="{CBA1FACB-6F16-4071-8CF1-F067008F795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3120</xdr:col>
      <xdr:colOff>47625</xdr:colOff>
      <xdr:row>0</xdr:row>
      <xdr:rowOff>0</xdr:rowOff>
    </xdr:from>
    <xdr:ext cx="1200150" cy="571500"/>
    <xdr:pic>
      <xdr:nvPicPr>
        <xdr:cNvPr id="197" name="image1.png" title="Imagem">
          <a:extLst>
            <a:ext uri="{FF2B5EF4-FFF2-40B4-BE49-F238E27FC236}">
              <a16:creationId xmlns:a16="http://schemas.microsoft.com/office/drawing/2014/main" id="{C16B75E4-44C3-467F-8258-E29C00A9D7C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3136</xdr:col>
      <xdr:colOff>47625</xdr:colOff>
      <xdr:row>0</xdr:row>
      <xdr:rowOff>0</xdr:rowOff>
    </xdr:from>
    <xdr:ext cx="1200150" cy="571500"/>
    <xdr:pic>
      <xdr:nvPicPr>
        <xdr:cNvPr id="198" name="image1.png" title="Imagem">
          <a:extLst>
            <a:ext uri="{FF2B5EF4-FFF2-40B4-BE49-F238E27FC236}">
              <a16:creationId xmlns:a16="http://schemas.microsoft.com/office/drawing/2014/main" id="{B8EB535D-4241-46D8-A438-D71020AD4EB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3152</xdr:col>
      <xdr:colOff>47625</xdr:colOff>
      <xdr:row>0</xdr:row>
      <xdr:rowOff>0</xdr:rowOff>
    </xdr:from>
    <xdr:ext cx="1200150" cy="571500"/>
    <xdr:pic>
      <xdr:nvPicPr>
        <xdr:cNvPr id="199" name="image1.png" title="Imagem">
          <a:extLst>
            <a:ext uri="{FF2B5EF4-FFF2-40B4-BE49-F238E27FC236}">
              <a16:creationId xmlns:a16="http://schemas.microsoft.com/office/drawing/2014/main" id="{8D7E4454-A25F-423F-AD18-0D9AABE40DF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3168</xdr:col>
      <xdr:colOff>47625</xdr:colOff>
      <xdr:row>0</xdr:row>
      <xdr:rowOff>0</xdr:rowOff>
    </xdr:from>
    <xdr:ext cx="1200150" cy="571500"/>
    <xdr:pic>
      <xdr:nvPicPr>
        <xdr:cNvPr id="200" name="image1.png" title="Imagem">
          <a:extLst>
            <a:ext uri="{FF2B5EF4-FFF2-40B4-BE49-F238E27FC236}">
              <a16:creationId xmlns:a16="http://schemas.microsoft.com/office/drawing/2014/main" id="{3E0AA929-0C71-47F5-B3C8-9144F2034FD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3184</xdr:col>
      <xdr:colOff>47625</xdr:colOff>
      <xdr:row>0</xdr:row>
      <xdr:rowOff>0</xdr:rowOff>
    </xdr:from>
    <xdr:ext cx="1200150" cy="571500"/>
    <xdr:pic>
      <xdr:nvPicPr>
        <xdr:cNvPr id="201" name="image1.png" title="Imagem">
          <a:extLst>
            <a:ext uri="{FF2B5EF4-FFF2-40B4-BE49-F238E27FC236}">
              <a16:creationId xmlns:a16="http://schemas.microsoft.com/office/drawing/2014/main" id="{92C146C5-CB96-4711-8BE4-9C0AEB9C752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3200</xdr:col>
      <xdr:colOff>47625</xdr:colOff>
      <xdr:row>0</xdr:row>
      <xdr:rowOff>0</xdr:rowOff>
    </xdr:from>
    <xdr:ext cx="1200150" cy="571500"/>
    <xdr:pic>
      <xdr:nvPicPr>
        <xdr:cNvPr id="202" name="image1.png" title="Imagem">
          <a:extLst>
            <a:ext uri="{FF2B5EF4-FFF2-40B4-BE49-F238E27FC236}">
              <a16:creationId xmlns:a16="http://schemas.microsoft.com/office/drawing/2014/main" id="{5466FB5D-9096-4170-8CDB-891F4ED768D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3216</xdr:col>
      <xdr:colOff>47625</xdr:colOff>
      <xdr:row>0</xdr:row>
      <xdr:rowOff>0</xdr:rowOff>
    </xdr:from>
    <xdr:ext cx="1200150" cy="571500"/>
    <xdr:pic>
      <xdr:nvPicPr>
        <xdr:cNvPr id="203" name="image1.png" title="Imagem">
          <a:extLst>
            <a:ext uri="{FF2B5EF4-FFF2-40B4-BE49-F238E27FC236}">
              <a16:creationId xmlns:a16="http://schemas.microsoft.com/office/drawing/2014/main" id="{19A9F226-B1B7-44E0-BF45-828C885F50A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3232</xdr:col>
      <xdr:colOff>47625</xdr:colOff>
      <xdr:row>0</xdr:row>
      <xdr:rowOff>0</xdr:rowOff>
    </xdr:from>
    <xdr:ext cx="1200150" cy="571500"/>
    <xdr:pic>
      <xdr:nvPicPr>
        <xdr:cNvPr id="204" name="image1.png" title="Imagem">
          <a:extLst>
            <a:ext uri="{FF2B5EF4-FFF2-40B4-BE49-F238E27FC236}">
              <a16:creationId xmlns:a16="http://schemas.microsoft.com/office/drawing/2014/main" id="{26D37135-DC64-4735-82C4-FB9FFF0C01B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3248</xdr:col>
      <xdr:colOff>47625</xdr:colOff>
      <xdr:row>0</xdr:row>
      <xdr:rowOff>0</xdr:rowOff>
    </xdr:from>
    <xdr:ext cx="1200150" cy="571500"/>
    <xdr:pic>
      <xdr:nvPicPr>
        <xdr:cNvPr id="205" name="image1.png" title="Imagem">
          <a:extLst>
            <a:ext uri="{FF2B5EF4-FFF2-40B4-BE49-F238E27FC236}">
              <a16:creationId xmlns:a16="http://schemas.microsoft.com/office/drawing/2014/main" id="{3EE1E5EB-5EF4-435E-ABA6-8197B51CD4F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3264</xdr:col>
      <xdr:colOff>47625</xdr:colOff>
      <xdr:row>0</xdr:row>
      <xdr:rowOff>0</xdr:rowOff>
    </xdr:from>
    <xdr:ext cx="1200150" cy="571500"/>
    <xdr:pic>
      <xdr:nvPicPr>
        <xdr:cNvPr id="206" name="image1.png" title="Imagem">
          <a:extLst>
            <a:ext uri="{FF2B5EF4-FFF2-40B4-BE49-F238E27FC236}">
              <a16:creationId xmlns:a16="http://schemas.microsoft.com/office/drawing/2014/main" id="{B4B5E3E6-5D49-4A27-B497-FE5B38F108A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3280</xdr:col>
      <xdr:colOff>47625</xdr:colOff>
      <xdr:row>0</xdr:row>
      <xdr:rowOff>0</xdr:rowOff>
    </xdr:from>
    <xdr:ext cx="1200150" cy="571500"/>
    <xdr:pic>
      <xdr:nvPicPr>
        <xdr:cNvPr id="207" name="image1.png" title="Imagem">
          <a:extLst>
            <a:ext uri="{FF2B5EF4-FFF2-40B4-BE49-F238E27FC236}">
              <a16:creationId xmlns:a16="http://schemas.microsoft.com/office/drawing/2014/main" id="{BE165A7F-7ED3-40BB-B859-917D973F928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3296</xdr:col>
      <xdr:colOff>47625</xdr:colOff>
      <xdr:row>0</xdr:row>
      <xdr:rowOff>0</xdr:rowOff>
    </xdr:from>
    <xdr:ext cx="1200150" cy="571500"/>
    <xdr:pic>
      <xdr:nvPicPr>
        <xdr:cNvPr id="208" name="image1.png" title="Imagem">
          <a:extLst>
            <a:ext uri="{FF2B5EF4-FFF2-40B4-BE49-F238E27FC236}">
              <a16:creationId xmlns:a16="http://schemas.microsoft.com/office/drawing/2014/main" id="{D0BFFCAF-E065-4410-9C0C-FB9B9900977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3312</xdr:col>
      <xdr:colOff>47625</xdr:colOff>
      <xdr:row>0</xdr:row>
      <xdr:rowOff>0</xdr:rowOff>
    </xdr:from>
    <xdr:ext cx="1200150" cy="571500"/>
    <xdr:pic>
      <xdr:nvPicPr>
        <xdr:cNvPr id="209" name="image1.png" title="Imagem">
          <a:extLst>
            <a:ext uri="{FF2B5EF4-FFF2-40B4-BE49-F238E27FC236}">
              <a16:creationId xmlns:a16="http://schemas.microsoft.com/office/drawing/2014/main" id="{DABAD246-3FCB-48A7-A62A-BD76DF5610D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3328</xdr:col>
      <xdr:colOff>47625</xdr:colOff>
      <xdr:row>0</xdr:row>
      <xdr:rowOff>0</xdr:rowOff>
    </xdr:from>
    <xdr:ext cx="1200150" cy="571500"/>
    <xdr:pic>
      <xdr:nvPicPr>
        <xdr:cNvPr id="210" name="image1.png" title="Imagem">
          <a:extLst>
            <a:ext uri="{FF2B5EF4-FFF2-40B4-BE49-F238E27FC236}">
              <a16:creationId xmlns:a16="http://schemas.microsoft.com/office/drawing/2014/main" id="{F531A6F1-3B56-4895-8925-F649879D753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3344</xdr:col>
      <xdr:colOff>47625</xdr:colOff>
      <xdr:row>0</xdr:row>
      <xdr:rowOff>0</xdr:rowOff>
    </xdr:from>
    <xdr:ext cx="1200150" cy="571500"/>
    <xdr:pic>
      <xdr:nvPicPr>
        <xdr:cNvPr id="211" name="image1.png" title="Imagem">
          <a:extLst>
            <a:ext uri="{FF2B5EF4-FFF2-40B4-BE49-F238E27FC236}">
              <a16:creationId xmlns:a16="http://schemas.microsoft.com/office/drawing/2014/main" id="{2E4B72BF-FEE0-4CB8-B2F0-E7FD7657733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3360</xdr:col>
      <xdr:colOff>47625</xdr:colOff>
      <xdr:row>0</xdr:row>
      <xdr:rowOff>0</xdr:rowOff>
    </xdr:from>
    <xdr:ext cx="1200150" cy="571500"/>
    <xdr:pic>
      <xdr:nvPicPr>
        <xdr:cNvPr id="212" name="image1.png" title="Imagem">
          <a:extLst>
            <a:ext uri="{FF2B5EF4-FFF2-40B4-BE49-F238E27FC236}">
              <a16:creationId xmlns:a16="http://schemas.microsoft.com/office/drawing/2014/main" id="{941E015B-8F57-4C82-A4E1-932EBFAAECE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3376</xdr:col>
      <xdr:colOff>47625</xdr:colOff>
      <xdr:row>0</xdr:row>
      <xdr:rowOff>0</xdr:rowOff>
    </xdr:from>
    <xdr:ext cx="1200150" cy="571500"/>
    <xdr:pic>
      <xdr:nvPicPr>
        <xdr:cNvPr id="213" name="image1.png" title="Imagem">
          <a:extLst>
            <a:ext uri="{FF2B5EF4-FFF2-40B4-BE49-F238E27FC236}">
              <a16:creationId xmlns:a16="http://schemas.microsoft.com/office/drawing/2014/main" id="{76465366-E2CF-498C-B96A-29A068B56A9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3392</xdr:col>
      <xdr:colOff>47625</xdr:colOff>
      <xdr:row>0</xdr:row>
      <xdr:rowOff>0</xdr:rowOff>
    </xdr:from>
    <xdr:ext cx="1200150" cy="571500"/>
    <xdr:pic>
      <xdr:nvPicPr>
        <xdr:cNvPr id="214" name="image1.png" title="Imagem">
          <a:extLst>
            <a:ext uri="{FF2B5EF4-FFF2-40B4-BE49-F238E27FC236}">
              <a16:creationId xmlns:a16="http://schemas.microsoft.com/office/drawing/2014/main" id="{AD7E0877-ED7B-41FD-B757-48D58D9E9A9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3408</xdr:col>
      <xdr:colOff>47625</xdr:colOff>
      <xdr:row>0</xdr:row>
      <xdr:rowOff>0</xdr:rowOff>
    </xdr:from>
    <xdr:ext cx="1200150" cy="571500"/>
    <xdr:pic>
      <xdr:nvPicPr>
        <xdr:cNvPr id="215" name="image1.png" title="Imagem">
          <a:extLst>
            <a:ext uri="{FF2B5EF4-FFF2-40B4-BE49-F238E27FC236}">
              <a16:creationId xmlns:a16="http://schemas.microsoft.com/office/drawing/2014/main" id="{7B2519EF-997F-4C10-B12B-C89B21B12DA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3424</xdr:col>
      <xdr:colOff>47625</xdr:colOff>
      <xdr:row>0</xdr:row>
      <xdr:rowOff>0</xdr:rowOff>
    </xdr:from>
    <xdr:ext cx="1200150" cy="571500"/>
    <xdr:pic>
      <xdr:nvPicPr>
        <xdr:cNvPr id="216" name="image1.png" title="Imagem">
          <a:extLst>
            <a:ext uri="{FF2B5EF4-FFF2-40B4-BE49-F238E27FC236}">
              <a16:creationId xmlns:a16="http://schemas.microsoft.com/office/drawing/2014/main" id="{CB38E277-65C3-4E48-9760-E58312801BE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3440</xdr:col>
      <xdr:colOff>47625</xdr:colOff>
      <xdr:row>0</xdr:row>
      <xdr:rowOff>0</xdr:rowOff>
    </xdr:from>
    <xdr:ext cx="1200150" cy="571500"/>
    <xdr:pic>
      <xdr:nvPicPr>
        <xdr:cNvPr id="217" name="image1.png" title="Imagem">
          <a:extLst>
            <a:ext uri="{FF2B5EF4-FFF2-40B4-BE49-F238E27FC236}">
              <a16:creationId xmlns:a16="http://schemas.microsoft.com/office/drawing/2014/main" id="{02DE4FC3-6065-4294-9694-486E3D7FB6D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3456</xdr:col>
      <xdr:colOff>47625</xdr:colOff>
      <xdr:row>0</xdr:row>
      <xdr:rowOff>0</xdr:rowOff>
    </xdr:from>
    <xdr:ext cx="1200150" cy="571500"/>
    <xdr:pic>
      <xdr:nvPicPr>
        <xdr:cNvPr id="218" name="image1.png" title="Imagem">
          <a:extLst>
            <a:ext uri="{FF2B5EF4-FFF2-40B4-BE49-F238E27FC236}">
              <a16:creationId xmlns:a16="http://schemas.microsoft.com/office/drawing/2014/main" id="{AB00F371-384B-41A0-83FA-876B7412EAF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3472</xdr:col>
      <xdr:colOff>47625</xdr:colOff>
      <xdr:row>0</xdr:row>
      <xdr:rowOff>0</xdr:rowOff>
    </xdr:from>
    <xdr:ext cx="1200150" cy="571500"/>
    <xdr:pic>
      <xdr:nvPicPr>
        <xdr:cNvPr id="219" name="image1.png" title="Imagem">
          <a:extLst>
            <a:ext uri="{FF2B5EF4-FFF2-40B4-BE49-F238E27FC236}">
              <a16:creationId xmlns:a16="http://schemas.microsoft.com/office/drawing/2014/main" id="{1A46E5AD-96CA-484E-BB53-0E73B6F743A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3488</xdr:col>
      <xdr:colOff>47625</xdr:colOff>
      <xdr:row>0</xdr:row>
      <xdr:rowOff>0</xdr:rowOff>
    </xdr:from>
    <xdr:ext cx="1200150" cy="571500"/>
    <xdr:pic>
      <xdr:nvPicPr>
        <xdr:cNvPr id="220" name="image1.png" title="Imagem">
          <a:extLst>
            <a:ext uri="{FF2B5EF4-FFF2-40B4-BE49-F238E27FC236}">
              <a16:creationId xmlns:a16="http://schemas.microsoft.com/office/drawing/2014/main" id="{C0ECB245-B41F-4DBA-8DC3-ACE8D54869C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3504</xdr:col>
      <xdr:colOff>47625</xdr:colOff>
      <xdr:row>0</xdr:row>
      <xdr:rowOff>0</xdr:rowOff>
    </xdr:from>
    <xdr:ext cx="1200150" cy="571500"/>
    <xdr:pic>
      <xdr:nvPicPr>
        <xdr:cNvPr id="221" name="image1.png" title="Imagem">
          <a:extLst>
            <a:ext uri="{FF2B5EF4-FFF2-40B4-BE49-F238E27FC236}">
              <a16:creationId xmlns:a16="http://schemas.microsoft.com/office/drawing/2014/main" id="{D302B5F8-3BBA-44B4-B3C0-134013BDA60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3520</xdr:col>
      <xdr:colOff>47625</xdr:colOff>
      <xdr:row>0</xdr:row>
      <xdr:rowOff>0</xdr:rowOff>
    </xdr:from>
    <xdr:ext cx="1200150" cy="571500"/>
    <xdr:pic>
      <xdr:nvPicPr>
        <xdr:cNvPr id="222" name="image1.png" title="Imagem">
          <a:extLst>
            <a:ext uri="{FF2B5EF4-FFF2-40B4-BE49-F238E27FC236}">
              <a16:creationId xmlns:a16="http://schemas.microsoft.com/office/drawing/2014/main" id="{F855102C-AF24-4404-97C3-62DB27CEA6E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3536</xdr:col>
      <xdr:colOff>47625</xdr:colOff>
      <xdr:row>0</xdr:row>
      <xdr:rowOff>0</xdr:rowOff>
    </xdr:from>
    <xdr:ext cx="1200150" cy="571500"/>
    <xdr:pic>
      <xdr:nvPicPr>
        <xdr:cNvPr id="223" name="image1.png" title="Imagem">
          <a:extLst>
            <a:ext uri="{FF2B5EF4-FFF2-40B4-BE49-F238E27FC236}">
              <a16:creationId xmlns:a16="http://schemas.microsoft.com/office/drawing/2014/main" id="{B58526E4-A637-429F-A80A-B4764413A37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3552</xdr:col>
      <xdr:colOff>47625</xdr:colOff>
      <xdr:row>0</xdr:row>
      <xdr:rowOff>0</xdr:rowOff>
    </xdr:from>
    <xdr:ext cx="1200150" cy="571500"/>
    <xdr:pic>
      <xdr:nvPicPr>
        <xdr:cNvPr id="224" name="image1.png" title="Imagem">
          <a:extLst>
            <a:ext uri="{FF2B5EF4-FFF2-40B4-BE49-F238E27FC236}">
              <a16:creationId xmlns:a16="http://schemas.microsoft.com/office/drawing/2014/main" id="{BAEFCBA7-6281-4721-AAAE-05B7E644C27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3568</xdr:col>
      <xdr:colOff>47625</xdr:colOff>
      <xdr:row>0</xdr:row>
      <xdr:rowOff>0</xdr:rowOff>
    </xdr:from>
    <xdr:ext cx="1200150" cy="571500"/>
    <xdr:pic>
      <xdr:nvPicPr>
        <xdr:cNvPr id="225" name="image1.png" title="Imagem">
          <a:extLst>
            <a:ext uri="{FF2B5EF4-FFF2-40B4-BE49-F238E27FC236}">
              <a16:creationId xmlns:a16="http://schemas.microsoft.com/office/drawing/2014/main" id="{B45CA33A-2FE1-435E-A66B-F9ED1F43CFF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3584</xdr:col>
      <xdr:colOff>47625</xdr:colOff>
      <xdr:row>0</xdr:row>
      <xdr:rowOff>0</xdr:rowOff>
    </xdr:from>
    <xdr:ext cx="1200150" cy="571500"/>
    <xdr:pic>
      <xdr:nvPicPr>
        <xdr:cNvPr id="226" name="image1.png" title="Imagem">
          <a:extLst>
            <a:ext uri="{FF2B5EF4-FFF2-40B4-BE49-F238E27FC236}">
              <a16:creationId xmlns:a16="http://schemas.microsoft.com/office/drawing/2014/main" id="{BEA28B65-1AA5-4043-BC76-DCBC5453A44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3600</xdr:col>
      <xdr:colOff>47625</xdr:colOff>
      <xdr:row>0</xdr:row>
      <xdr:rowOff>0</xdr:rowOff>
    </xdr:from>
    <xdr:ext cx="1200150" cy="571500"/>
    <xdr:pic>
      <xdr:nvPicPr>
        <xdr:cNvPr id="227" name="image1.png" title="Imagem">
          <a:extLst>
            <a:ext uri="{FF2B5EF4-FFF2-40B4-BE49-F238E27FC236}">
              <a16:creationId xmlns:a16="http://schemas.microsoft.com/office/drawing/2014/main" id="{E2AF248E-6EDB-4ED8-99C1-1F5D34C394B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3616</xdr:col>
      <xdr:colOff>47625</xdr:colOff>
      <xdr:row>0</xdr:row>
      <xdr:rowOff>0</xdr:rowOff>
    </xdr:from>
    <xdr:ext cx="1200150" cy="571500"/>
    <xdr:pic>
      <xdr:nvPicPr>
        <xdr:cNvPr id="228" name="image1.png" title="Imagem">
          <a:extLst>
            <a:ext uri="{FF2B5EF4-FFF2-40B4-BE49-F238E27FC236}">
              <a16:creationId xmlns:a16="http://schemas.microsoft.com/office/drawing/2014/main" id="{D58F18C8-A0CE-41C5-8AE7-7F55D6BE4DA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3632</xdr:col>
      <xdr:colOff>47625</xdr:colOff>
      <xdr:row>0</xdr:row>
      <xdr:rowOff>0</xdr:rowOff>
    </xdr:from>
    <xdr:ext cx="1200150" cy="571500"/>
    <xdr:pic>
      <xdr:nvPicPr>
        <xdr:cNvPr id="229" name="image1.png" title="Imagem">
          <a:extLst>
            <a:ext uri="{FF2B5EF4-FFF2-40B4-BE49-F238E27FC236}">
              <a16:creationId xmlns:a16="http://schemas.microsoft.com/office/drawing/2014/main" id="{908FF4F1-CB96-448B-805B-67DD562AABA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3648</xdr:col>
      <xdr:colOff>47625</xdr:colOff>
      <xdr:row>0</xdr:row>
      <xdr:rowOff>0</xdr:rowOff>
    </xdr:from>
    <xdr:ext cx="1200150" cy="571500"/>
    <xdr:pic>
      <xdr:nvPicPr>
        <xdr:cNvPr id="230" name="image1.png" title="Imagem">
          <a:extLst>
            <a:ext uri="{FF2B5EF4-FFF2-40B4-BE49-F238E27FC236}">
              <a16:creationId xmlns:a16="http://schemas.microsoft.com/office/drawing/2014/main" id="{B749AE45-AE35-4913-A674-8438730944A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3664</xdr:col>
      <xdr:colOff>47625</xdr:colOff>
      <xdr:row>0</xdr:row>
      <xdr:rowOff>0</xdr:rowOff>
    </xdr:from>
    <xdr:ext cx="1200150" cy="571500"/>
    <xdr:pic>
      <xdr:nvPicPr>
        <xdr:cNvPr id="231" name="image1.png" title="Imagem">
          <a:extLst>
            <a:ext uri="{FF2B5EF4-FFF2-40B4-BE49-F238E27FC236}">
              <a16:creationId xmlns:a16="http://schemas.microsoft.com/office/drawing/2014/main" id="{5FD585AF-43E1-49EB-A6CB-B2F098FD03C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3680</xdr:col>
      <xdr:colOff>47625</xdr:colOff>
      <xdr:row>0</xdr:row>
      <xdr:rowOff>0</xdr:rowOff>
    </xdr:from>
    <xdr:ext cx="1200150" cy="571500"/>
    <xdr:pic>
      <xdr:nvPicPr>
        <xdr:cNvPr id="232" name="image1.png" title="Imagem">
          <a:extLst>
            <a:ext uri="{FF2B5EF4-FFF2-40B4-BE49-F238E27FC236}">
              <a16:creationId xmlns:a16="http://schemas.microsoft.com/office/drawing/2014/main" id="{9837AAED-4F7B-4910-AF07-4944F7F7B69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3696</xdr:col>
      <xdr:colOff>47625</xdr:colOff>
      <xdr:row>0</xdr:row>
      <xdr:rowOff>0</xdr:rowOff>
    </xdr:from>
    <xdr:ext cx="1200150" cy="571500"/>
    <xdr:pic>
      <xdr:nvPicPr>
        <xdr:cNvPr id="233" name="image1.png" title="Imagem">
          <a:extLst>
            <a:ext uri="{FF2B5EF4-FFF2-40B4-BE49-F238E27FC236}">
              <a16:creationId xmlns:a16="http://schemas.microsoft.com/office/drawing/2014/main" id="{34672877-3F2A-4691-93D0-FC272A9755F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3712</xdr:col>
      <xdr:colOff>47625</xdr:colOff>
      <xdr:row>0</xdr:row>
      <xdr:rowOff>0</xdr:rowOff>
    </xdr:from>
    <xdr:ext cx="1200150" cy="571500"/>
    <xdr:pic>
      <xdr:nvPicPr>
        <xdr:cNvPr id="234" name="image1.png" title="Imagem">
          <a:extLst>
            <a:ext uri="{FF2B5EF4-FFF2-40B4-BE49-F238E27FC236}">
              <a16:creationId xmlns:a16="http://schemas.microsoft.com/office/drawing/2014/main" id="{982B9AAA-29F4-4793-8ACA-ADA51E69047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3728</xdr:col>
      <xdr:colOff>47625</xdr:colOff>
      <xdr:row>0</xdr:row>
      <xdr:rowOff>0</xdr:rowOff>
    </xdr:from>
    <xdr:ext cx="1200150" cy="571500"/>
    <xdr:pic>
      <xdr:nvPicPr>
        <xdr:cNvPr id="235" name="image1.png" title="Imagem">
          <a:extLst>
            <a:ext uri="{FF2B5EF4-FFF2-40B4-BE49-F238E27FC236}">
              <a16:creationId xmlns:a16="http://schemas.microsoft.com/office/drawing/2014/main" id="{EE36C50C-6449-400C-87C8-07ED7BF0B37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3744</xdr:col>
      <xdr:colOff>47625</xdr:colOff>
      <xdr:row>0</xdr:row>
      <xdr:rowOff>0</xdr:rowOff>
    </xdr:from>
    <xdr:ext cx="1200150" cy="571500"/>
    <xdr:pic>
      <xdr:nvPicPr>
        <xdr:cNvPr id="236" name="image1.png" title="Imagem">
          <a:extLst>
            <a:ext uri="{FF2B5EF4-FFF2-40B4-BE49-F238E27FC236}">
              <a16:creationId xmlns:a16="http://schemas.microsoft.com/office/drawing/2014/main" id="{C192423B-944C-4B5D-A938-9ED1ED4F4A1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3760</xdr:col>
      <xdr:colOff>47625</xdr:colOff>
      <xdr:row>0</xdr:row>
      <xdr:rowOff>0</xdr:rowOff>
    </xdr:from>
    <xdr:ext cx="1200150" cy="571500"/>
    <xdr:pic>
      <xdr:nvPicPr>
        <xdr:cNvPr id="237" name="image1.png" title="Imagem">
          <a:extLst>
            <a:ext uri="{FF2B5EF4-FFF2-40B4-BE49-F238E27FC236}">
              <a16:creationId xmlns:a16="http://schemas.microsoft.com/office/drawing/2014/main" id="{F682DAC5-33E3-4BBA-9249-BA3C3C0CA29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3776</xdr:col>
      <xdr:colOff>47625</xdr:colOff>
      <xdr:row>0</xdr:row>
      <xdr:rowOff>0</xdr:rowOff>
    </xdr:from>
    <xdr:ext cx="1200150" cy="571500"/>
    <xdr:pic>
      <xdr:nvPicPr>
        <xdr:cNvPr id="238" name="image1.png" title="Imagem">
          <a:extLst>
            <a:ext uri="{FF2B5EF4-FFF2-40B4-BE49-F238E27FC236}">
              <a16:creationId xmlns:a16="http://schemas.microsoft.com/office/drawing/2014/main" id="{CC8C76C8-4C58-4AF8-A11C-082AB6C074E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3792</xdr:col>
      <xdr:colOff>47625</xdr:colOff>
      <xdr:row>0</xdr:row>
      <xdr:rowOff>0</xdr:rowOff>
    </xdr:from>
    <xdr:ext cx="1200150" cy="571500"/>
    <xdr:pic>
      <xdr:nvPicPr>
        <xdr:cNvPr id="239" name="image1.png" title="Imagem">
          <a:extLst>
            <a:ext uri="{FF2B5EF4-FFF2-40B4-BE49-F238E27FC236}">
              <a16:creationId xmlns:a16="http://schemas.microsoft.com/office/drawing/2014/main" id="{62CD6753-E5E8-43A5-860F-25921B500E2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3808</xdr:col>
      <xdr:colOff>47625</xdr:colOff>
      <xdr:row>0</xdr:row>
      <xdr:rowOff>0</xdr:rowOff>
    </xdr:from>
    <xdr:ext cx="1200150" cy="571500"/>
    <xdr:pic>
      <xdr:nvPicPr>
        <xdr:cNvPr id="240" name="image1.png" title="Imagem">
          <a:extLst>
            <a:ext uri="{FF2B5EF4-FFF2-40B4-BE49-F238E27FC236}">
              <a16:creationId xmlns:a16="http://schemas.microsoft.com/office/drawing/2014/main" id="{B99F9CA4-EAA6-4F6F-9E08-51F1C38E0B5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3824</xdr:col>
      <xdr:colOff>47625</xdr:colOff>
      <xdr:row>0</xdr:row>
      <xdr:rowOff>0</xdr:rowOff>
    </xdr:from>
    <xdr:ext cx="1200150" cy="571500"/>
    <xdr:pic>
      <xdr:nvPicPr>
        <xdr:cNvPr id="241" name="image1.png" title="Imagem">
          <a:extLst>
            <a:ext uri="{FF2B5EF4-FFF2-40B4-BE49-F238E27FC236}">
              <a16:creationId xmlns:a16="http://schemas.microsoft.com/office/drawing/2014/main" id="{AB132012-5679-4FA8-BB03-4314C215F2F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3840</xdr:col>
      <xdr:colOff>47625</xdr:colOff>
      <xdr:row>0</xdr:row>
      <xdr:rowOff>0</xdr:rowOff>
    </xdr:from>
    <xdr:ext cx="1200150" cy="571500"/>
    <xdr:pic>
      <xdr:nvPicPr>
        <xdr:cNvPr id="242" name="image1.png" title="Imagem">
          <a:extLst>
            <a:ext uri="{FF2B5EF4-FFF2-40B4-BE49-F238E27FC236}">
              <a16:creationId xmlns:a16="http://schemas.microsoft.com/office/drawing/2014/main" id="{A469A9C1-92A1-4155-A6A8-63364ED8098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3856</xdr:col>
      <xdr:colOff>47625</xdr:colOff>
      <xdr:row>0</xdr:row>
      <xdr:rowOff>0</xdr:rowOff>
    </xdr:from>
    <xdr:ext cx="1200150" cy="571500"/>
    <xdr:pic>
      <xdr:nvPicPr>
        <xdr:cNvPr id="243" name="image1.png" title="Imagem">
          <a:extLst>
            <a:ext uri="{FF2B5EF4-FFF2-40B4-BE49-F238E27FC236}">
              <a16:creationId xmlns:a16="http://schemas.microsoft.com/office/drawing/2014/main" id="{BCDDFABE-B3AB-484E-A129-B76F2A0C8C8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3872</xdr:col>
      <xdr:colOff>47625</xdr:colOff>
      <xdr:row>0</xdr:row>
      <xdr:rowOff>0</xdr:rowOff>
    </xdr:from>
    <xdr:ext cx="1200150" cy="571500"/>
    <xdr:pic>
      <xdr:nvPicPr>
        <xdr:cNvPr id="244" name="image1.png" title="Imagem">
          <a:extLst>
            <a:ext uri="{FF2B5EF4-FFF2-40B4-BE49-F238E27FC236}">
              <a16:creationId xmlns:a16="http://schemas.microsoft.com/office/drawing/2014/main" id="{BDD2664E-2F53-418A-A5D1-81B28D96646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3888</xdr:col>
      <xdr:colOff>47625</xdr:colOff>
      <xdr:row>0</xdr:row>
      <xdr:rowOff>0</xdr:rowOff>
    </xdr:from>
    <xdr:ext cx="1200150" cy="571500"/>
    <xdr:pic>
      <xdr:nvPicPr>
        <xdr:cNvPr id="245" name="image1.png" title="Imagem">
          <a:extLst>
            <a:ext uri="{FF2B5EF4-FFF2-40B4-BE49-F238E27FC236}">
              <a16:creationId xmlns:a16="http://schemas.microsoft.com/office/drawing/2014/main" id="{53CBE842-D875-4F4E-B801-BEEEDE47273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3904</xdr:col>
      <xdr:colOff>47625</xdr:colOff>
      <xdr:row>0</xdr:row>
      <xdr:rowOff>0</xdr:rowOff>
    </xdr:from>
    <xdr:ext cx="1200150" cy="571500"/>
    <xdr:pic>
      <xdr:nvPicPr>
        <xdr:cNvPr id="246" name="image1.png" title="Imagem">
          <a:extLst>
            <a:ext uri="{FF2B5EF4-FFF2-40B4-BE49-F238E27FC236}">
              <a16:creationId xmlns:a16="http://schemas.microsoft.com/office/drawing/2014/main" id="{A814C654-3E73-4888-B1D7-ABF151025DA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3920</xdr:col>
      <xdr:colOff>47625</xdr:colOff>
      <xdr:row>0</xdr:row>
      <xdr:rowOff>0</xdr:rowOff>
    </xdr:from>
    <xdr:ext cx="1200150" cy="571500"/>
    <xdr:pic>
      <xdr:nvPicPr>
        <xdr:cNvPr id="247" name="image1.png" title="Imagem">
          <a:extLst>
            <a:ext uri="{FF2B5EF4-FFF2-40B4-BE49-F238E27FC236}">
              <a16:creationId xmlns:a16="http://schemas.microsoft.com/office/drawing/2014/main" id="{944EAD8B-AD51-4133-B22C-5956474C046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3936</xdr:col>
      <xdr:colOff>47625</xdr:colOff>
      <xdr:row>0</xdr:row>
      <xdr:rowOff>0</xdr:rowOff>
    </xdr:from>
    <xdr:ext cx="1200150" cy="571500"/>
    <xdr:pic>
      <xdr:nvPicPr>
        <xdr:cNvPr id="248" name="image1.png" title="Imagem">
          <a:extLst>
            <a:ext uri="{FF2B5EF4-FFF2-40B4-BE49-F238E27FC236}">
              <a16:creationId xmlns:a16="http://schemas.microsoft.com/office/drawing/2014/main" id="{D04809C0-21CF-4890-9DC5-53B7B9EA03A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3952</xdr:col>
      <xdr:colOff>47625</xdr:colOff>
      <xdr:row>0</xdr:row>
      <xdr:rowOff>0</xdr:rowOff>
    </xdr:from>
    <xdr:ext cx="1200150" cy="571500"/>
    <xdr:pic>
      <xdr:nvPicPr>
        <xdr:cNvPr id="249" name="image1.png" title="Imagem">
          <a:extLst>
            <a:ext uri="{FF2B5EF4-FFF2-40B4-BE49-F238E27FC236}">
              <a16:creationId xmlns:a16="http://schemas.microsoft.com/office/drawing/2014/main" id="{1D875D27-4152-4558-A522-F366E6F7FF0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3968</xdr:col>
      <xdr:colOff>47625</xdr:colOff>
      <xdr:row>0</xdr:row>
      <xdr:rowOff>0</xdr:rowOff>
    </xdr:from>
    <xdr:ext cx="1200150" cy="571500"/>
    <xdr:pic>
      <xdr:nvPicPr>
        <xdr:cNvPr id="250" name="image1.png" title="Imagem">
          <a:extLst>
            <a:ext uri="{FF2B5EF4-FFF2-40B4-BE49-F238E27FC236}">
              <a16:creationId xmlns:a16="http://schemas.microsoft.com/office/drawing/2014/main" id="{88B60C13-180A-49D1-A57D-BC64A6618DC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3984</xdr:col>
      <xdr:colOff>47625</xdr:colOff>
      <xdr:row>0</xdr:row>
      <xdr:rowOff>0</xdr:rowOff>
    </xdr:from>
    <xdr:ext cx="1200150" cy="571500"/>
    <xdr:pic>
      <xdr:nvPicPr>
        <xdr:cNvPr id="251" name="image1.png" title="Imagem">
          <a:extLst>
            <a:ext uri="{FF2B5EF4-FFF2-40B4-BE49-F238E27FC236}">
              <a16:creationId xmlns:a16="http://schemas.microsoft.com/office/drawing/2014/main" id="{BC9B731B-2773-4D8A-8080-598C5BED65A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4000</xdr:col>
      <xdr:colOff>47625</xdr:colOff>
      <xdr:row>0</xdr:row>
      <xdr:rowOff>0</xdr:rowOff>
    </xdr:from>
    <xdr:ext cx="1200150" cy="571500"/>
    <xdr:pic>
      <xdr:nvPicPr>
        <xdr:cNvPr id="252" name="image1.png" title="Imagem">
          <a:extLst>
            <a:ext uri="{FF2B5EF4-FFF2-40B4-BE49-F238E27FC236}">
              <a16:creationId xmlns:a16="http://schemas.microsoft.com/office/drawing/2014/main" id="{1154615F-E23C-4D5D-887B-89361B01159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4016</xdr:col>
      <xdr:colOff>47625</xdr:colOff>
      <xdr:row>0</xdr:row>
      <xdr:rowOff>0</xdr:rowOff>
    </xdr:from>
    <xdr:ext cx="1200150" cy="571500"/>
    <xdr:pic>
      <xdr:nvPicPr>
        <xdr:cNvPr id="253" name="image1.png" title="Imagem">
          <a:extLst>
            <a:ext uri="{FF2B5EF4-FFF2-40B4-BE49-F238E27FC236}">
              <a16:creationId xmlns:a16="http://schemas.microsoft.com/office/drawing/2014/main" id="{B94D8099-9C9E-4B6A-B4D4-E0ECFBD4B58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4032</xdr:col>
      <xdr:colOff>47625</xdr:colOff>
      <xdr:row>0</xdr:row>
      <xdr:rowOff>0</xdr:rowOff>
    </xdr:from>
    <xdr:ext cx="1200150" cy="571500"/>
    <xdr:pic>
      <xdr:nvPicPr>
        <xdr:cNvPr id="254" name="image1.png" title="Imagem">
          <a:extLst>
            <a:ext uri="{FF2B5EF4-FFF2-40B4-BE49-F238E27FC236}">
              <a16:creationId xmlns:a16="http://schemas.microsoft.com/office/drawing/2014/main" id="{5AA0C937-3822-45DD-894C-BACF8C77C2C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4048</xdr:col>
      <xdr:colOff>47625</xdr:colOff>
      <xdr:row>0</xdr:row>
      <xdr:rowOff>0</xdr:rowOff>
    </xdr:from>
    <xdr:ext cx="1200150" cy="571500"/>
    <xdr:pic>
      <xdr:nvPicPr>
        <xdr:cNvPr id="255" name="image1.png" title="Imagem">
          <a:extLst>
            <a:ext uri="{FF2B5EF4-FFF2-40B4-BE49-F238E27FC236}">
              <a16:creationId xmlns:a16="http://schemas.microsoft.com/office/drawing/2014/main" id="{8209885E-0394-4E77-904A-2F16D56C959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4064</xdr:col>
      <xdr:colOff>47625</xdr:colOff>
      <xdr:row>0</xdr:row>
      <xdr:rowOff>0</xdr:rowOff>
    </xdr:from>
    <xdr:ext cx="1200150" cy="571500"/>
    <xdr:pic>
      <xdr:nvPicPr>
        <xdr:cNvPr id="256" name="image1.png" title="Imagem">
          <a:extLst>
            <a:ext uri="{FF2B5EF4-FFF2-40B4-BE49-F238E27FC236}">
              <a16:creationId xmlns:a16="http://schemas.microsoft.com/office/drawing/2014/main" id="{BA06AE28-2138-4A47-A414-45A1FCDB195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4080</xdr:col>
      <xdr:colOff>47625</xdr:colOff>
      <xdr:row>0</xdr:row>
      <xdr:rowOff>0</xdr:rowOff>
    </xdr:from>
    <xdr:ext cx="1200150" cy="571500"/>
    <xdr:pic>
      <xdr:nvPicPr>
        <xdr:cNvPr id="257" name="image1.png" title="Imagem">
          <a:extLst>
            <a:ext uri="{FF2B5EF4-FFF2-40B4-BE49-F238E27FC236}">
              <a16:creationId xmlns:a16="http://schemas.microsoft.com/office/drawing/2014/main" id="{369F3432-A816-45B8-BF52-F8FC2768528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4096</xdr:col>
      <xdr:colOff>47625</xdr:colOff>
      <xdr:row>0</xdr:row>
      <xdr:rowOff>0</xdr:rowOff>
    </xdr:from>
    <xdr:ext cx="1200150" cy="571500"/>
    <xdr:pic>
      <xdr:nvPicPr>
        <xdr:cNvPr id="258" name="image1.png" title="Imagem">
          <a:extLst>
            <a:ext uri="{FF2B5EF4-FFF2-40B4-BE49-F238E27FC236}">
              <a16:creationId xmlns:a16="http://schemas.microsoft.com/office/drawing/2014/main" id="{D4CA2393-F649-4F5F-AD90-FBF558E2062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4112</xdr:col>
      <xdr:colOff>47625</xdr:colOff>
      <xdr:row>0</xdr:row>
      <xdr:rowOff>0</xdr:rowOff>
    </xdr:from>
    <xdr:ext cx="1200150" cy="571500"/>
    <xdr:pic>
      <xdr:nvPicPr>
        <xdr:cNvPr id="259" name="image1.png" title="Imagem">
          <a:extLst>
            <a:ext uri="{FF2B5EF4-FFF2-40B4-BE49-F238E27FC236}">
              <a16:creationId xmlns:a16="http://schemas.microsoft.com/office/drawing/2014/main" id="{E8BF75A3-16FC-4C20-83D6-9E63901F99C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4128</xdr:col>
      <xdr:colOff>47625</xdr:colOff>
      <xdr:row>0</xdr:row>
      <xdr:rowOff>0</xdr:rowOff>
    </xdr:from>
    <xdr:ext cx="1200150" cy="571500"/>
    <xdr:pic>
      <xdr:nvPicPr>
        <xdr:cNvPr id="260" name="image1.png" title="Imagem">
          <a:extLst>
            <a:ext uri="{FF2B5EF4-FFF2-40B4-BE49-F238E27FC236}">
              <a16:creationId xmlns:a16="http://schemas.microsoft.com/office/drawing/2014/main" id="{1B2B1F5B-2952-4C31-ADEC-C4C8A5BD19E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4144</xdr:col>
      <xdr:colOff>47625</xdr:colOff>
      <xdr:row>0</xdr:row>
      <xdr:rowOff>0</xdr:rowOff>
    </xdr:from>
    <xdr:ext cx="1200150" cy="571500"/>
    <xdr:pic>
      <xdr:nvPicPr>
        <xdr:cNvPr id="261" name="image1.png" title="Imagem">
          <a:extLst>
            <a:ext uri="{FF2B5EF4-FFF2-40B4-BE49-F238E27FC236}">
              <a16:creationId xmlns:a16="http://schemas.microsoft.com/office/drawing/2014/main" id="{3F3E2B14-166D-4026-BC4E-01B49777CDA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4160</xdr:col>
      <xdr:colOff>47625</xdr:colOff>
      <xdr:row>0</xdr:row>
      <xdr:rowOff>0</xdr:rowOff>
    </xdr:from>
    <xdr:ext cx="1200150" cy="571500"/>
    <xdr:pic>
      <xdr:nvPicPr>
        <xdr:cNvPr id="262" name="image1.png" title="Imagem">
          <a:extLst>
            <a:ext uri="{FF2B5EF4-FFF2-40B4-BE49-F238E27FC236}">
              <a16:creationId xmlns:a16="http://schemas.microsoft.com/office/drawing/2014/main" id="{374834DB-C158-4267-87B7-92F1B5E4BC7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4176</xdr:col>
      <xdr:colOff>47625</xdr:colOff>
      <xdr:row>0</xdr:row>
      <xdr:rowOff>0</xdr:rowOff>
    </xdr:from>
    <xdr:ext cx="1200150" cy="571500"/>
    <xdr:pic>
      <xdr:nvPicPr>
        <xdr:cNvPr id="263" name="image1.png" title="Imagem">
          <a:extLst>
            <a:ext uri="{FF2B5EF4-FFF2-40B4-BE49-F238E27FC236}">
              <a16:creationId xmlns:a16="http://schemas.microsoft.com/office/drawing/2014/main" id="{A19C3F6F-4A99-4798-BF9E-9FE044EB854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4192</xdr:col>
      <xdr:colOff>47625</xdr:colOff>
      <xdr:row>0</xdr:row>
      <xdr:rowOff>0</xdr:rowOff>
    </xdr:from>
    <xdr:ext cx="1200150" cy="571500"/>
    <xdr:pic>
      <xdr:nvPicPr>
        <xdr:cNvPr id="264" name="image1.png" title="Imagem">
          <a:extLst>
            <a:ext uri="{FF2B5EF4-FFF2-40B4-BE49-F238E27FC236}">
              <a16:creationId xmlns:a16="http://schemas.microsoft.com/office/drawing/2014/main" id="{AB1EF701-7E37-4E35-B074-A46CE79BE8F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4208</xdr:col>
      <xdr:colOff>47625</xdr:colOff>
      <xdr:row>0</xdr:row>
      <xdr:rowOff>0</xdr:rowOff>
    </xdr:from>
    <xdr:ext cx="1200150" cy="571500"/>
    <xdr:pic>
      <xdr:nvPicPr>
        <xdr:cNvPr id="265" name="image1.png" title="Imagem">
          <a:extLst>
            <a:ext uri="{FF2B5EF4-FFF2-40B4-BE49-F238E27FC236}">
              <a16:creationId xmlns:a16="http://schemas.microsoft.com/office/drawing/2014/main" id="{60F09F2F-DC55-4714-94E2-031A4AB50CB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4224</xdr:col>
      <xdr:colOff>47625</xdr:colOff>
      <xdr:row>0</xdr:row>
      <xdr:rowOff>0</xdr:rowOff>
    </xdr:from>
    <xdr:ext cx="1200150" cy="571500"/>
    <xdr:pic>
      <xdr:nvPicPr>
        <xdr:cNvPr id="266" name="image1.png" title="Imagem">
          <a:extLst>
            <a:ext uri="{FF2B5EF4-FFF2-40B4-BE49-F238E27FC236}">
              <a16:creationId xmlns:a16="http://schemas.microsoft.com/office/drawing/2014/main" id="{43D6C382-2EA2-4412-8EC0-4419C80AD3D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4240</xdr:col>
      <xdr:colOff>47625</xdr:colOff>
      <xdr:row>0</xdr:row>
      <xdr:rowOff>0</xdr:rowOff>
    </xdr:from>
    <xdr:ext cx="1200150" cy="571500"/>
    <xdr:pic>
      <xdr:nvPicPr>
        <xdr:cNvPr id="267" name="image1.png" title="Imagem">
          <a:extLst>
            <a:ext uri="{FF2B5EF4-FFF2-40B4-BE49-F238E27FC236}">
              <a16:creationId xmlns:a16="http://schemas.microsoft.com/office/drawing/2014/main" id="{5FDC1BDC-6333-483D-9CE8-AEAF0AAC155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4256</xdr:col>
      <xdr:colOff>47625</xdr:colOff>
      <xdr:row>0</xdr:row>
      <xdr:rowOff>0</xdr:rowOff>
    </xdr:from>
    <xdr:ext cx="1200150" cy="571500"/>
    <xdr:pic>
      <xdr:nvPicPr>
        <xdr:cNvPr id="268" name="image1.png" title="Imagem">
          <a:extLst>
            <a:ext uri="{FF2B5EF4-FFF2-40B4-BE49-F238E27FC236}">
              <a16:creationId xmlns:a16="http://schemas.microsoft.com/office/drawing/2014/main" id="{5C85456D-7AE1-4351-9576-BA250A596DB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4272</xdr:col>
      <xdr:colOff>47625</xdr:colOff>
      <xdr:row>0</xdr:row>
      <xdr:rowOff>0</xdr:rowOff>
    </xdr:from>
    <xdr:ext cx="1200150" cy="571500"/>
    <xdr:pic>
      <xdr:nvPicPr>
        <xdr:cNvPr id="269" name="image1.png" title="Imagem">
          <a:extLst>
            <a:ext uri="{FF2B5EF4-FFF2-40B4-BE49-F238E27FC236}">
              <a16:creationId xmlns:a16="http://schemas.microsoft.com/office/drawing/2014/main" id="{5C634C36-1815-477F-89D4-1387134C185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4288</xdr:col>
      <xdr:colOff>47625</xdr:colOff>
      <xdr:row>0</xdr:row>
      <xdr:rowOff>0</xdr:rowOff>
    </xdr:from>
    <xdr:ext cx="1200150" cy="571500"/>
    <xdr:pic>
      <xdr:nvPicPr>
        <xdr:cNvPr id="270" name="image1.png" title="Imagem">
          <a:extLst>
            <a:ext uri="{FF2B5EF4-FFF2-40B4-BE49-F238E27FC236}">
              <a16:creationId xmlns:a16="http://schemas.microsoft.com/office/drawing/2014/main" id="{03F7DEC5-CEAF-46E3-9998-6DE9E21BD16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4304</xdr:col>
      <xdr:colOff>47625</xdr:colOff>
      <xdr:row>0</xdr:row>
      <xdr:rowOff>0</xdr:rowOff>
    </xdr:from>
    <xdr:ext cx="1200150" cy="571500"/>
    <xdr:pic>
      <xdr:nvPicPr>
        <xdr:cNvPr id="271" name="image1.png" title="Imagem">
          <a:extLst>
            <a:ext uri="{FF2B5EF4-FFF2-40B4-BE49-F238E27FC236}">
              <a16:creationId xmlns:a16="http://schemas.microsoft.com/office/drawing/2014/main" id="{33C5E8A9-8138-4EDB-A64F-26CA9A7C5F2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4320</xdr:col>
      <xdr:colOff>47625</xdr:colOff>
      <xdr:row>0</xdr:row>
      <xdr:rowOff>0</xdr:rowOff>
    </xdr:from>
    <xdr:ext cx="1200150" cy="571500"/>
    <xdr:pic>
      <xdr:nvPicPr>
        <xdr:cNvPr id="272" name="image1.png" title="Imagem">
          <a:extLst>
            <a:ext uri="{FF2B5EF4-FFF2-40B4-BE49-F238E27FC236}">
              <a16:creationId xmlns:a16="http://schemas.microsoft.com/office/drawing/2014/main" id="{FE79DD9E-1AC6-4633-BA02-8181949930C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4336</xdr:col>
      <xdr:colOff>47625</xdr:colOff>
      <xdr:row>0</xdr:row>
      <xdr:rowOff>0</xdr:rowOff>
    </xdr:from>
    <xdr:ext cx="1200150" cy="571500"/>
    <xdr:pic>
      <xdr:nvPicPr>
        <xdr:cNvPr id="273" name="image1.png" title="Imagem">
          <a:extLst>
            <a:ext uri="{FF2B5EF4-FFF2-40B4-BE49-F238E27FC236}">
              <a16:creationId xmlns:a16="http://schemas.microsoft.com/office/drawing/2014/main" id="{681128AC-BD83-4F9A-B4DA-26159587291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4352</xdr:col>
      <xdr:colOff>47625</xdr:colOff>
      <xdr:row>0</xdr:row>
      <xdr:rowOff>0</xdr:rowOff>
    </xdr:from>
    <xdr:ext cx="1200150" cy="571500"/>
    <xdr:pic>
      <xdr:nvPicPr>
        <xdr:cNvPr id="274" name="image1.png" title="Imagem">
          <a:extLst>
            <a:ext uri="{FF2B5EF4-FFF2-40B4-BE49-F238E27FC236}">
              <a16:creationId xmlns:a16="http://schemas.microsoft.com/office/drawing/2014/main" id="{6356B19D-5E51-45BB-9E8C-A06B810B991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4368</xdr:col>
      <xdr:colOff>47625</xdr:colOff>
      <xdr:row>0</xdr:row>
      <xdr:rowOff>0</xdr:rowOff>
    </xdr:from>
    <xdr:ext cx="1200150" cy="571500"/>
    <xdr:pic>
      <xdr:nvPicPr>
        <xdr:cNvPr id="275" name="image1.png" title="Imagem">
          <a:extLst>
            <a:ext uri="{FF2B5EF4-FFF2-40B4-BE49-F238E27FC236}">
              <a16:creationId xmlns:a16="http://schemas.microsoft.com/office/drawing/2014/main" id="{EF6F467D-4BB7-43EC-9717-3C853C60A7E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4384</xdr:col>
      <xdr:colOff>47625</xdr:colOff>
      <xdr:row>0</xdr:row>
      <xdr:rowOff>0</xdr:rowOff>
    </xdr:from>
    <xdr:ext cx="1200150" cy="571500"/>
    <xdr:pic>
      <xdr:nvPicPr>
        <xdr:cNvPr id="276" name="image1.png" title="Imagem">
          <a:extLst>
            <a:ext uri="{FF2B5EF4-FFF2-40B4-BE49-F238E27FC236}">
              <a16:creationId xmlns:a16="http://schemas.microsoft.com/office/drawing/2014/main" id="{FDAF7470-3E1D-4EC8-A8E5-AFF7FE0970A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4400</xdr:col>
      <xdr:colOff>47625</xdr:colOff>
      <xdr:row>0</xdr:row>
      <xdr:rowOff>0</xdr:rowOff>
    </xdr:from>
    <xdr:ext cx="1200150" cy="571500"/>
    <xdr:pic>
      <xdr:nvPicPr>
        <xdr:cNvPr id="277" name="image1.png" title="Imagem">
          <a:extLst>
            <a:ext uri="{FF2B5EF4-FFF2-40B4-BE49-F238E27FC236}">
              <a16:creationId xmlns:a16="http://schemas.microsoft.com/office/drawing/2014/main" id="{CFDF9DBD-6EA4-411E-8299-E5C1BF293E0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4416</xdr:col>
      <xdr:colOff>47625</xdr:colOff>
      <xdr:row>0</xdr:row>
      <xdr:rowOff>0</xdr:rowOff>
    </xdr:from>
    <xdr:ext cx="1200150" cy="571500"/>
    <xdr:pic>
      <xdr:nvPicPr>
        <xdr:cNvPr id="278" name="image1.png" title="Imagem">
          <a:extLst>
            <a:ext uri="{FF2B5EF4-FFF2-40B4-BE49-F238E27FC236}">
              <a16:creationId xmlns:a16="http://schemas.microsoft.com/office/drawing/2014/main" id="{E799A32D-3DDC-42D3-99C8-F840307B590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4432</xdr:col>
      <xdr:colOff>47625</xdr:colOff>
      <xdr:row>0</xdr:row>
      <xdr:rowOff>0</xdr:rowOff>
    </xdr:from>
    <xdr:ext cx="1200150" cy="571500"/>
    <xdr:pic>
      <xdr:nvPicPr>
        <xdr:cNvPr id="279" name="image1.png" title="Imagem">
          <a:extLst>
            <a:ext uri="{FF2B5EF4-FFF2-40B4-BE49-F238E27FC236}">
              <a16:creationId xmlns:a16="http://schemas.microsoft.com/office/drawing/2014/main" id="{1418658A-5F4C-4ECC-B5B0-6C93822BDA2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4448</xdr:col>
      <xdr:colOff>47625</xdr:colOff>
      <xdr:row>0</xdr:row>
      <xdr:rowOff>0</xdr:rowOff>
    </xdr:from>
    <xdr:ext cx="1200150" cy="571500"/>
    <xdr:pic>
      <xdr:nvPicPr>
        <xdr:cNvPr id="280" name="image1.png" title="Imagem">
          <a:extLst>
            <a:ext uri="{FF2B5EF4-FFF2-40B4-BE49-F238E27FC236}">
              <a16:creationId xmlns:a16="http://schemas.microsoft.com/office/drawing/2014/main" id="{10EA12F8-7F86-4A42-AE86-B8844C0D25B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4464</xdr:col>
      <xdr:colOff>47625</xdr:colOff>
      <xdr:row>0</xdr:row>
      <xdr:rowOff>0</xdr:rowOff>
    </xdr:from>
    <xdr:ext cx="1200150" cy="571500"/>
    <xdr:pic>
      <xdr:nvPicPr>
        <xdr:cNvPr id="281" name="image1.png" title="Imagem">
          <a:extLst>
            <a:ext uri="{FF2B5EF4-FFF2-40B4-BE49-F238E27FC236}">
              <a16:creationId xmlns:a16="http://schemas.microsoft.com/office/drawing/2014/main" id="{13E1E4C0-A8F0-4D93-8DE2-CF1962AC2F9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4480</xdr:col>
      <xdr:colOff>47625</xdr:colOff>
      <xdr:row>0</xdr:row>
      <xdr:rowOff>0</xdr:rowOff>
    </xdr:from>
    <xdr:ext cx="1200150" cy="571500"/>
    <xdr:pic>
      <xdr:nvPicPr>
        <xdr:cNvPr id="282" name="image1.png" title="Imagem">
          <a:extLst>
            <a:ext uri="{FF2B5EF4-FFF2-40B4-BE49-F238E27FC236}">
              <a16:creationId xmlns:a16="http://schemas.microsoft.com/office/drawing/2014/main" id="{BF4B49DE-49D0-4265-A3C9-0224262F3D4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4496</xdr:col>
      <xdr:colOff>47625</xdr:colOff>
      <xdr:row>0</xdr:row>
      <xdr:rowOff>0</xdr:rowOff>
    </xdr:from>
    <xdr:ext cx="1200150" cy="571500"/>
    <xdr:pic>
      <xdr:nvPicPr>
        <xdr:cNvPr id="283" name="image1.png" title="Imagem">
          <a:extLst>
            <a:ext uri="{FF2B5EF4-FFF2-40B4-BE49-F238E27FC236}">
              <a16:creationId xmlns:a16="http://schemas.microsoft.com/office/drawing/2014/main" id="{BC7BAD78-A5B8-4452-B599-2339377F2E6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4512</xdr:col>
      <xdr:colOff>47625</xdr:colOff>
      <xdr:row>0</xdr:row>
      <xdr:rowOff>0</xdr:rowOff>
    </xdr:from>
    <xdr:ext cx="1200150" cy="571500"/>
    <xdr:pic>
      <xdr:nvPicPr>
        <xdr:cNvPr id="284" name="image1.png" title="Imagem">
          <a:extLst>
            <a:ext uri="{FF2B5EF4-FFF2-40B4-BE49-F238E27FC236}">
              <a16:creationId xmlns:a16="http://schemas.microsoft.com/office/drawing/2014/main" id="{66550FA3-DA62-4149-A9DB-2974D0DDAAE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4528</xdr:col>
      <xdr:colOff>47625</xdr:colOff>
      <xdr:row>0</xdr:row>
      <xdr:rowOff>0</xdr:rowOff>
    </xdr:from>
    <xdr:ext cx="1200150" cy="571500"/>
    <xdr:pic>
      <xdr:nvPicPr>
        <xdr:cNvPr id="285" name="image1.png" title="Imagem">
          <a:extLst>
            <a:ext uri="{FF2B5EF4-FFF2-40B4-BE49-F238E27FC236}">
              <a16:creationId xmlns:a16="http://schemas.microsoft.com/office/drawing/2014/main" id="{80DC26E5-C01A-42C0-9F8F-2624E1120AA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4544</xdr:col>
      <xdr:colOff>47625</xdr:colOff>
      <xdr:row>0</xdr:row>
      <xdr:rowOff>0</xdr:rowOff>
    </xdr:from>
    <xdr:ext cx="1200150" cy="571500"/>
    <xdr:pic>
      <xdr:nvPicPr>
        <xdr:cNvPr id="286" name="image1.png" title="Imagem">
          <a:extLst>
            <a:ext uri="{FF2B5EF4-FFF2-40B4-BE49-F238E27FC236}">
              <a16:creationId xmlns:a16="http://schemas.microsoft.com/office/drawing/2014/main" id="{BD6C74E3-A67D-410D-8F02-6D43460B162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4560</xdr:col>
      <xdr:colOff>47625</xdr:colOff>
      <xdr:row>0</xdr:row>
      <xdr:rowOff>0</xdr:rowOff>
    </xdr:from>
    <xdr:ext cx="1200150" cy="571500"/>
    <xdr:pic>
      <xdr:nvPicPr>
        <xdr:cNvPr id="287" name="image1.png" title="Imagem">
          <a:extLst>
            <a:ext uri="{FF2B5EF4-FFF2-40B4-BE49-F238E27FC236}">
              <a16:creationId xmlns:a16="http://schemas.microsoft.com/office/drawing/2014/main" id="{BCAB31AC-8E7E-4FF8-AE9A-86193944304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4576</xdr:col>
      <xdr:colOff>47625</xdr:colOff>
      <xdr:row>0</xdr:row>
      <xdr:rowOff>0</xdr:rowOff>
    </xdr:from>
    <xdr:ext cx="1200150" cy="571500"/>
    <xdr:pic>
      <xdr:nvPicPr>
        <xdr:cNvPr id="288" name="image1.png" title="Imagem">
          <a:extLst>
            <a:ext uri="{FF2B5EF4-FFF2-40B4-BE49-F238E27FC236}">
              <a16:creationId xmlns:a16="http://schemas.microsoft.com/office/drawing/2014/main" id="{4FAD2FE7-5C2F-4A02-8B39-074983D407D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4592</xdr:col>
      <xdr:colOff>47625</xdr:colOff>
      <xdr:row>0</xdr:row>
      <xdr:rowOff>0</xdr:rowOff>
    </xdr:from>
    <xdr:ext cx="1200150" cy="571500"/>
    <xdr:pic>
      <xdr:nvPicPr>
        <xdr:cNvPr id="289" name="image1.png" title="Imagem">
          <a:extLst>
            <a:ext uri="{FF2B5EF4-FFF2-40B4-BE49-F238E27FC236}">
              <a16:creationId xmlns:a16="http://schemas.microsoft.com/office/drawing/2014/main" id="{3A244C59-FB0E-4DAB-A2B6-5D13A14CCF9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4608</xdr:col>
      <xdr:colOff>47625</xdr:colOff>
      <xdr:row>0</xdr:row>
      <xdr:rowOff>0</xdr:rowOff>
    </xdr:from>
    <xdr:ext cx="1200150" cy="571500"/>
    <xdr:pic>
      <xdr:nvPicPr>
        <xdr:cNvPr id="290" name="image1.png" title="Imagem">
          <a:extLst>
            <a:ext uri="{FF2B5EF4-FFF2-40B4-BE49-F238E27FC236}">
              <a16:creationId xmlns:a16="http://schemas.microsoft.com/office/drawing/2014/main" id="{10E73D09-9452-4074-B2A0-97E6317149B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4624</xdr:col>
      <xdr:colOff>47625</xdr:colOff>
      <xdr:row>0</xdr:row>
      <xdr:rowOff>0</xdr:rowOff>
    </xdr:from>
    <xdr:ext cx="1200150" cy="571500"/>
    <xdr:pic>
      <xdr:nvPicPr>
        <xdr:cNvPr id="291" name="image1.png" title="Imagem">
          <a:extLst>
            <a:ext uri="{FF2B5EF4-FFF2-40B4-BE49-F238E27FC236}">
              <a16:creationId xmlns:a16="http://schemas.microsoft.com/office/drawing/2014/main" id="{244177E9-AB32-45AE-8753-64B253EB3B6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4640</xdr:col>
      <xdr:colOff>47625</xdr:colOff>
      <xdr:row>0</xdr:row>
      <xdr:rowOff>0</xdr:rowOff>
    </xdr:from>
    <xdr:ext cx="1200150" cy="571500"/>
    <xdr:pic>
      <xdr:nvPicPr>
        <xdr:cNvPr id="292" name="image1.png" title="Imagem">
          <a:extLst>
            <a:ext uri="{FF2B5EF4-FFF2-40B4-BE49-F238E27FC236}">
              <a16:creationId xmlns:a16="http://schemas.microsoft.com/office/drawing/2014/main" id="{C6168EDA-BEED-4667-BA2B-ECB8102CD9F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4656</xdr:col>
      <xdr:colOff>47625</xdr:colOff>
      <xdr:row>0</xdr:row>
      <xdr:rowOff>0</xdr:rowOff>
    </xdr:from>
    <xdr:ext cx="1200150" cy="571500"/>
    <xdr:pic>
      <xdr:nvPicPr>
        <xdr:cNvPr id="293" name="image1.png" title="Imagem">
          <a:extLst>
            <a:ext uri="{FF2B5EF4-FFF2-40B4-BE49-F238E27FC236}">
              <a16:creationId xmlns:a16="http://schemas.microsoft.com/office/drawing/2014/main" id="{737C1413-0A2D-414F-8EB3-9B163E0F999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4672</xdr:col>
      <xdr:colOff>47625</xdr:colOff>
      <xdr:row>0</xdr:row>
      <xdr:rowOff>0</xdr:rowOff>
    </xdr:from>
    <xdr:ext cx="1200150" cy="571500"/>
    <xdr:pic>
      <xdr:nvPicPr>
        <xdr:cNvPr id="294" name="image1.png" title="Imagem">
          <a:extLst>
            <a:ext uri="{FF2B5EF4-FFF2-40B4-BE49-F238E27FC236}">
              <a16:creationId xmlns:a16="http://schemas.microsoft.com/office/drawing/2014/main" id="{54061F70-9138-4D63-BE12-00E9EF1142E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4688</xdr:col>
      <xdr:colOff>47625</xdr:colOff>
      <xdr:row>0</xdr:row>
      <xdr:rowOff>0</xdr:rowOff>
    </xdr:from>
    <xdr:ext cx="1200150" cy="571500"/>
    <xdr:pic>
      <xdr:nvPicPr>
        <xdr:cNvPr id="295" name="image1.png" title="Imagem">
          <a:extLst>
            <a:ext uri="{FF2B5EF4-FFF2-40B4-BE49-F238E27FC236}">
              <a16:creationId xmlns:a16="http://schemas.microsoft.com/office/drawing/2014/main" id="{B00740A9-EBA3-4D5B-B7F0-A177092FC0D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4704</xdr:col>
      <xdr:colOff>47625</xdr:colOff>
      <xdr:row>0</xdr:row>
      <xdr:rowOff>0</xdr:rowOff>
    </xdr:from>
    <xdr:ext cx="1200150" cy="571500"/>
    <xdr:pic>
      <xdr:nvPicPr>
        <xdr:cNvPr id="296" name="image1.png" title="Imagem">
          <a:extLst>
            <a:ext uri="{FF2B5EF4-FFF2-40B4-BE49-F238E27FC236}">
              <a16:creationId xmlns:a16="http://schemas.microsoft.com/office/drawing/2014/main" id="{BD83E7D1-39E2-4919-A5BD-7A0622211C6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4720</xdr:col>
      <xdr:colOff>47625</xdr:colOff>
      <xdr:row>0</xdr:row>
      <xdr:rowOff>0</xdr:rowOff>
    </xdr:from>
    <xdr:ext cx="1200150" cy="571500"/>
    <xdr:pic>
      <xdr:nvPicPr>
        <xdr:cNvPr id="297" name="image1.png" title="Imagem">
          <a:extLst>
            <a:ext uri="{FF2B5EF4-FFF2-40B4-BE49-F238E27FC236}">
              <a16:creationId xmlns:a16="http://schemas.microsoft.com/office/drawing/2014/main" id="{FD89669C-D7B4-44D8-86A1-82FE208EBE7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4736</xdr:col>
      <xdr:colOff>47625</xdr:colOff>
      <xdr:row>0</xdr:row>
      <xdr:rowOff>0</xdr:rowOff>
    </xdr:from>
    <xdr:ext cx="1200150" cy="571500"/>
    <xdr:pic>
      <xdr:nvPicPr>
        <xdr:cNvPr id="298" name="image1.png" title="Imagem">
          <a:extLst>
            <a:ext uri="{FF2B5EF4-FFF2-40B4-BE49-F238E27FC236}">
              <a16:creationId xmlns:a16="http://schemas.microsoft.com/office/drawing/2014/main" id="{5D53AB15-640C-4F03-B65C-6EBCEAD427C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4752</xdr:col>
      <xdr:colOff>47625</xdr:colOff>
      <xdr:row>0</xdr:row>
      <xdr:rowOff>0</xdr:rowOff>
    </xdr:from>
    <xdr:ext cx="1200150" cy="571500"/>
    <xdr:pic>
      <xdr:nvPicPr>
        <xdr:cNvPr id="299" name="image1.png" title="Imagem">
          <a:extLst>
            <a:ext uri="{FF2B5EF4-FFF2-40B4-BE49-F238E27FC236}">
              <a16:creationId xmlns:a16="http://schemas.microsoft.com/office/drawing/2014/main" id="{108F46E5-09EF-4D74-A079-F1912A86896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4768</xdr:col>
      <xdr:colOff>47625</xdr:colOff>
      <xdr:row>0</xdr:row>
      <xdr:rowOff>0</xdr:rowOff>
    </xdr:from>
    <xdr:ext cx="1200150" cy="571500"/>
    <xdr:pic>
      <xdr:nvPicPr>
        <xdr:cNvPr id="300" name="image1.png" title="Imagem">
          <a:extLst>
            <a:ext uri="{FF2B5EF4-FFF2-40B4-BE49-F238E27FC236}">
              <a16:creationId xmlns:a16="http://schemas.microsoft.com/office/drawing/2014/main" id="{CC73524D-90B7-4C23-86B6-526DF88CCA2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4784</xdr:col>
      <xdr:colOff>47625</xdr:colOff>
      <xdr:row>0</xdr:row>
      <xdr:rowOff>0</xdr:rowOff>
    </xdr:from>
    <xdr:ext cx="1200150" cy="571500"/>
    <xdr:pic>
      <xdr:nvPicPr>
        <xdr:cNvPr id="301" name="image1.png" title="Imagem">
          <a:extLst>
            <a:ext uri="{FF2B5EF4-FFF2-40B4-BE49-F238E27FC236}">
              <a16:creationId xmlns:a16="http://schemas.microsoft.com/office/drawing/2014/main" id="{DE4F998D-65A6-4351-8894-460C5E10D1B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4800</xdr:col>
      <xdr:colOff>47625</xdr:colOff>
      <xdr:row>0</xdr:row>
      <xdr:rowOff>0</xdr:rowOff>
    </xdr:from>
    <xdr:ext cx="1200150" cy="571500"/>
    <xdr:pic>
      <xdr:nvPicPr>
        <xdr:cNvPr id="302" name="image1.png" title="Imagem">
          <a:extLst>
            <a:ext uri="{FF2B5EF4-FFF2-40B4-BE49-F238E27FC236}">
              <a16:creationId xmlns:a16="http://schemas.microsoft.com/office/drawing/2014/main" id="{76F9FBEA-833C-4A04-9F36-2B851D4E8CC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4816</xdr:col>
      <xdr:colOff>47625</xdr:colOff>
      <xdr:row>0</xdr:row>
      <xdr:rowOff>0</xdr:rowOff>
    </xdr:from>
    <xdr:ext cx="1200150" cy="571500"/>
    <xdr:pic>
      <xdr:nvPicPr>
        <xdr:cNvPr id="303" name="image1.png" title="Imagem">
          <a:extLst>
            <a:ext uri="{FF2B5EF4-FFF2-40B4-BE49-F238E27FC236}">
              <a16:creationId xmlns:a16="http://schemas.microsoft.com/office/drawing/2014/main" id="{23CBBB47-6D22-45A9-AE5F-148AE29DF5F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4832</xdr:col>
      <xdr:colOff>47625</xdr:colOff>
      <xdr:row>0</xdr:row>
      <xdr:rowOff>0</xdr:rowOff>
    </xdr:from>
    <xdr:ext cx="1200150" cy="571500"/>
    <xdr:pic>
      <xdr:nvPicPr>
        <xdr:cNvPr id="304" name="image1.png" title="Imagem">
          <a:extLst>
            <a:ext uri="{FF2B5EF4-FFF2-40B4-BE49-F238E27FC236}">
              <a16:creationId xmlns:a16="http://schemas.microsoft.com/office/drawing/2014/main" id="{7E2705F9-A127-4A63-861D-68C12D0A4FA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4848</xdr:col>
      <xdr:colOff>47625</xdr:colOff>
      <xdr:row>0</xdr:row>
      <xdr:rowOff>0</xdr:rowOff>
    </xdr:from>
    <xdr:ext cx="1200150" cy="571500"/>
    <xdr:pic>
      <xdr:nvPicPr>
        <xdr:cNvPr id="305" name="image1.png" title="Imagem">
          <a:extLst>
            <a:ext uri="{FF2B5EF4-FFF2-40B4-BE49-F238E27FC236}">
              <a16:creationId xmlns:a16="http://schemas.microsoft.com/office/drawing/2014/main" id="{57437AEE-BCBC-4FF7-8541-22A2CFE67B7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4864</xdr:col>
      <xdr:colOff>47625</xdr:colOff>
      <xdr:row>0</xdr:row>
      <xdr:rowOff>0</xdr:rowOff>
    </xdr:from>
    <xdr:ext cx="1200150" cy="571500"/>
    <xdr:pic>
      <xdr:nvPicPr>
        <xdr:cNvPr id="306" name="image1.png" title="Imagem">
          <a:extLst>
            <a:ext uri="{FF2B5EF4-FFF2-40B4-BE49-F238E27FC236}">
              <a16:creationId xmlns:a16="http://schemas.microsoft.com/office/drawing/2014/main" id="{15259527-4DD0-4A98-9A6B-44326D25116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4880</xdr:col>
      <xdr:colOff>47625</xdr:colOff>
      <xdr:row>0</xdr:row>
      <xdr:rowOff>0</xdr:rowOff>
    </xdr:from>
    <xdr:ext cx="1200150" cy="571500"/>
    <xdr:pic>
      <xdr:nvPicPr>
        <xdr:cNvPr id="307" name="image1.png" title="Imagem">
          <a:extLst>
            <a:ext uri="{FF2B5EF4-FFF2-40B4-BE49-F238E27FC236}">
              <a16:creationId xmlns:a16="http://schemas.microsoft.com/office/drawing/2014/main" id="{13B9DA4D-4C93-47F4-91C7-2E6DA803471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4896</xdr:col>
      <xdr:colOff>47625</xdr:colOff>
      <xdr:row>0</xdr:row>
      <xdr:rowOff>0</xdr:rowOff>
    </xdr:from>
    <xdr:ext cx="1200150" cy="571500"/>
    <xdr:pic>
      <xdr:nvPicPr>
        <xdr:cNvPr id="308" name="image1.png" title="Imagem">
          <a:extLst>
            <a:ext uri="{FF2B5EF4-FFF2-40B4-BE49-F238E27FC236}">
              <a16:creationId xmlns:a16="http://schemas.microsoft.com/office/drawing/2014/main" id="{D5434904-D4F4-4396-9080-773E7F6976B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4912</xdr:col>
      <xdr:colOff>47625</xdr:colOff>
      <xdr:row>0</xdr:row>
      <xdr:rowOff>0</xdr:rowOff>
    </xdr:from>
    <xdr:ext cx="1200150" cy="571500"/>
    <xdr:pic>
      <xdr:nvPicPr>
        <xdr:cNvPr id="309" name="image1.png" title="Imagem">
          <a:extLst>
            <a:ext uri="{FF2B5EF4-FFF2-40B4-BE49-F238E27FC236}">
              <a16:creationId xmlns:a16="http://schemas.microsoft.com/office/drawing/2014/main" id="{90111443-580C-432D-A403-8BA8B07D527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4928</xdr:col>
      <xdr:colOff>47625</xdr:colOff>
      <xdr:row>0</xdr:row>
      <xdr:rowOff>0</xdr:rowOff>
    </xdr:from>
    <xdr:ext cx="1200150" cy="571500"/>
    <xdr:pic>
      <xdr:nvPicPr>
        <xdr:cNvPr id="310" name="image1.png" title="Imagem">
          <a:extLst>
            <a:ext uri="{FF2B5EF4-FFF2-40B4-BE49-F238E27FC236}">
              <a16:creationId xmlns:a16="http://schemas.microsoft.com/office/drawing/2014/main" id="{9687B603-A94B-4362-8CEC-5DC06DBE25F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4944</xdr:col>
      <xdr:colOff>47625</xdr:colOff>
      <xdr:row>0</xdr:row>
      <xdr:rowOff>0</xdr:rowOff>
    </xdr:from>
    <xdr:ext cx="1200150" cy="571500"/>
    <xdr:pic>
      <xdr:nvPicPr>
        <xdr:cNvPr id="311" name="image1.png" title="Imagem">
          <a:extLst>
            <a:ext uri="{FF2B5EF4-FFF2-40B4-BE49-F238E27FC236}">
              <a16:creationId xmlns:a16="http://schemas.microsoft.com/office/drawing/2014/main" id="{1AA613DC-9465-453B-9FC1-CE9F8679945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4960</xdr:col>
      <xdr:colOff>47625</xdr:colOff>
      <xdr:row>0</xdr:row>
      <xdr:rowOff>0</xdr:rowOff>
    </xdr:from>
    <xdr:ext cx="1200150" cy="571500"/>
    <xdr:pic>
      <xdr:nvPicPr>
        <xdr:cNvPr id="312" name="image1.png" title="Imagem">
          <a:extLst>
            <a:ext uri="{FF2B5EF4-FFF2-40B4-BE49-F238E27FC236}">
              <a16:creationId xmlns:a16="http://schemas.microsoft.com/office/drawing/2014/main" id="{F9CAEB33-6B40-4718-A183-525BBA77BE1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4976</xdr:col>
      <xdr:colOff>47625</xdr:colOff>
      <xdr:row>0</xdr:row>
      <xdr:rowOff>0</xdr:rowOff>
    </xdr:from>
    <xdr:ext cx="1200150" cy="571500"/>
    <xdr:pic>
      <xdr:nvPicPr>
        <xdr:cNvPr id="313" name="image1.png" title="Imagem">
          <a:extLst>
            <a:ext uri="{FF2B5EF4-FFF2-40B4-BE49-F238E27FC236}">
              <a16:creationId xmlns:a16="http://schemas.microsoft.com/office/drawing/2014/main" id="{BE451AE7-5C9E-442A-B4A8-47CD97F208B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4992</xdr:col>
      <xdr:colOff>47625</xdr:colOff>
      <xdr:row>0</xdr:row>
      <xdr:rowOff>0</xdr:rowOff>
    </xdr:from>
    <xdr:ext cx="1200150" cy="571500"/>
    <xdr:pic>
      <xdr:nvPicPr>
        <xdr:cNvPr id="314" name="image1.png" title="Imagem">
          <a:extLst>
            <a:ext uri="{FF2B5EF4-FFF2-40B4-BE49-F238E27FC236}">
              <a16:creationId xmlns:a16="http://schemas.microsoft.com/office/drawing/2014/main" id="{652C58D7-6818-461F-8326-374F8EEF178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5008</xdr:col>
      <xdr:colOff>47625</xdr:colOff>
      <xdr:row>0</xdr:row>
      <xdr:rowOff>0</xdr:rowOff>
    </xdr:from>
    <xdr:ext cx="1200150" cy="571500"/>
    <xdr:pic>
      <xdr:nvPicPr>
        <xdr:cNvPr id="315" name="image1.png" title="Imagem">
          <a:extLst>
            <a:ext uri="{FF2B5EF4-FFF2-40B4-BE49-F238E27FC236}">
              <a16:creationId xmlns:a16="http://schemas.microsoft.com/office/drawing/2014/main" id="{BBE4210D-8EB9-4AE3-8E71-30CEC94DBFE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5024</xdr:col>
      <xdr:colOff>47625</xdr:colOff>
      <xdr:row>0</xdr:row>
      <xdr:rowOff>0</xdr:rowOff>
    </xdr:from>
    <xdr:ext cx="1200150" cy="571500"/>
    <xdr:pic>
      <xdr:nvPicPr>
        <xdr:cNvPr id="316" name="image1.png" title="Imagem">
          <a:extLst>
            <a:ext uri="{FF2B5EF4-FFF2-40B4-BE49-F238E27FC236}">
              <a16:creationId xmlns:a16="http://schemas.microsoft.com/office/drawing/2014/main" id="{1AD21188-066A-400F-8006-CF546DDD03D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5040</xdr:col>
      <xdr:colOff>47625</xdr:colOff>
      <xdr:row>0</xdr:row>
      <xdr:rowOff>0</xdr:rowOff>
    </xdr:from>
    <xdr:ext cx="1200150" cy="571500"/>
    <xdr:pic>
      <xdr:nvPicPr>
        <xdr:cNvPr id="317" name="image1.png" title="Imagem">
          <a:extLst>
            <a:ext uri="{FF2B5EF4-FFF2-40B4-BE49-F238E27FC236}">
              <a16:creationId xmlns:a16="http://schemas.microsoft.com/office/drawing/2014/main" id="{6571602C-E22E-44E5-8779-88141AE6DB6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5056</xdr:col>
      <xdr:colOff>47625</xdr:colOff>
      <xdr:row>0</xdr:row>
      <xdr:rowOff>0</xdr:rowOff>
    </xdr:from>
    <xdr:ext cx="1200150" cy="571500"/>
    <xdr:pic>
      <xdr:nvPicPr>
        <xdr:cNvPr id="318" name="image1.png" title="Imagem">
          <a:extLst>
            <a:ext uri="{FF2B5EF4-FFF2-40B4-BE49-F238E27FC236}">
              <a16:creationId xmlns:a16="http://schemas.microsoft.com/office/drawing/2014/main" id="{A5EE125E-7E39-4945-94F2-CB314EE1C32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5072</xdr:col>
      <xdr:colOff>47625</xdr:colOff>
      <xdr:row>0</xdr:row>
      <xdr:rowOff>0</xdr:rowOff>
    </xdr:from>
    <xdr:ext cx="1200150" cy="571500"/>
    <xdr:pic>
      <xdr:nvPicPr>
        <xdr:cNvPr id="319" name="image1.png" title="Imagem">
          <a:extLst>
            <a:ext uri="{FF2B5EF4-FFF2-40B4-BE49-F238E27FC236}">
              <a16:creationId xmlns:a16="http://schemas.microsoft.com/office/drawing/2014/main" id="{56433D6A-09E8-4B31-B76C-D2B0440A991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5088</xdr:col>
      <xdr:colOff>47625</xdr:colOff>
      <xdr:row>0</xdr:row>
      <xdr:rowOff>0</xdr:rowOff>
    </xdr:from>
    <xdr:ext cx="1200150" cy="571500"/>
    <xdr:pic>
      <xdr:nvPicPr>
        <xdr:cNvPr id="320" name="image1.png" title="Imagem">
          <a:extLst>
            <a:ext uri="{FF2B5EF4-FFF2-40B4-BE49-F238E27FC236}">
              <a16:creationId xmlns:a16="http://schemas.microsoft.com/office/drawing/2014/main" id="{401BBC2D-60C6-4CEB-8A68-11F5EDAE7F9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5104</xdr:col>
      <xdr:colOff>47625</xdr:colOff>
      <xdr:row>0</xdr:row>
      <xdr:rowOff>0</xdr:rowOff>
    </xdr:from>
    <xdr:ext cx="1200150" cy="571500"/>
    <xdr:pic>
      <xdr:nvPicPr>
        <xdr:cNvPr id="321" name="image1.png" title="Imagem">
          <a:extLst>
            <a:ext uri="{FF2B5EF4-FFF2-40B4-BE49-F238E27FC236}">
              <a16:creationId xmlns:a16="http://schemas.microsoft.com/office/drawing/2014/main" id="{9178C6A2-F581-4596-B797-1982EBE51B8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5120</xdr:col>
      <xdr:colOff>47625</xdr:colOff>
      <xdr:row>0</xdr:row>
      <xdr:rowOff>0</xdr:rowOff>
    </xdr:from>
    <xdr:ext cx="1200150" cy="571500"/>
    <xdr:pic>
      <xdr:nvPicPr>
        <xdr:cNvPr id="322" name="image1.png" title="Imagem">
          <a:extLst>
            <a:ext uri="{FF2B5EF4-FFF2-40B4-BE49-F238E27FC236}">
              <a16:creationId xmlns:a16="http://schemas.microsoft.com/office/drawing/2014/main" id="{B076C303-49BA-4F99-8E57-577A69D6318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5136</xdr:col>
      <xdr:colOff>47625</xdr:colOff>
      <xdr:row>0</xdr:row>
      <xdr:rowOff>0</xdr:rowOff>
    </xdr:from>
    <xdr:ext cx="1200150" cy="571500"/>
    <xdr:pic>
      <xdr:nvPicPr>
        <xdr:cNvPr id="323" name="image1.png" title="Imagem">
          <a:extLst>
            <a:ext uri="{FF2B5EF4-FFF2-40B4-BE49-F238E27FC236}">
              <a16:creationId xmlns:a16="http://schemas.microsoft.com/office/drawing/2014/main" id="{B135207D-2F14-4507-8BEB-94E0CCEFAA6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5152</xdr:col>
      <xdr:colOff>47625</xdr:colOff>
      <xdr:row>0</xdr:row>
      <xdr:rowOff>0</xdr:rowOff>
    </xdr:from>
    <xdr:ext cx="1200150" cy="571500"/>
    <xdr:pic>
      <xdr:nvPicPr>
        <xdr:cNvPr id="324" name="image1.png" title="Imagem">
          <a:extLst>
            <a:ext uri="{FF2B5EF4-FFF2-40B4-BE49-F238E27FC236}">
              <a16:creationId xmlns:a16="http://schemas.microsoft.com/office/drawing/2014/main" id="{99EA292E-5C72-4F43-A5B1-C4A101F1E79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5168</xdr:col>
      <xdr:colOff>47625</xdr:colOff>
      <xdr:row>0</xdr:row>
      <xdr:rowOff>0</xdr:rowOff>
    </xdr:from>
    <xdr:ext cx="1200150" cy="571500"/>
    <xdr:pic>
      <xdr:nvPicPr>
        <xdr:cNvPr id="325" name="image1.png" title="Imagem">
          <a:extLst>
            <a:ext uri="{FF2B5EF4-FFF2-40B4-BE49-F238E27FC236}">
              <a16:creationId xmlns:a16="http://schemas.microsoft.com/office/drawing/2014/main" id="{AFDD81D2-0191-43E0-BFB6-6717B23AA39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5184</xdr:col>
      <xdr:colOff>47625</xdr:colOff>
      <xdr:row>0</xdr:row>
      <xdr:rowOff>0</xdr:rowOff>
    </xdr:from>
    <xdr:ext cx="1200150" cy="571500"/>
    <xdr:pic>
      <xdr:nvPicPr>
        <xdr:cNvPr id="326" name="image1.png" title="Imagem">
          <a:extLst>
            <a:ext uri="{FF2B5EF4-FFF2-40B4-BE49-F238E27FC236}">
              <a16:creationId xmlns:a16="http://schemas.microsoft.com/office/drawing/2014/main" id="{B45B4A61-5BDD-4C53-8B68-3CE247C6B20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5200</xdr:col>
      <xdr:colOff>47625</xdr:colOff>
      <xdr:row>0</xdr:row>
      <xdr:rowOff>0</xdr:rowOff>
    </xdr:from>
    <xdr:ext cx="1200150" cy="571500"/>
    <xdr:pic>
      <xdr:nvPicPr>
        <xdr:cNvPr id="327" name="image1.png" title="Imagem">
          <a:extLst>
            <a:ext uri="{FF2B5EF4-FFF2-40B4-BE49-F238E27FC236}">
              <a16:creationId xmlns:a16="http://schemas.microsoft.com/office/drawing/2014/main" id="{71B52F8F-DD1B-4C4E-B2BB-F906830FC87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5216</xdr:col>
      <xdr:colOff>47625</xdr:colOff>
      <xdr:row>0</xdr:row>
      <xdr:rowOff>0</xdr:rowOff>
    </xdr:from>
    <xdr:ext cx="1200150" cy="571500"/>
    <xdr:pic>
      <xdr:nvPicPr>
        <xdr:cNvPr id="328" name="image1.png" title="Imagem">
          <a:extLst>
            <a:ext uri="{FF2B5EF4-FFF2-40B4-BE49-F238E27FC236}">
              <a16:creationId xmlns:a16="http://schemas.microsoft.com/office/drawing/2014/main" id="{03847510-5757-48E0-AE77-9B20F3015B6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5232</xdr:col>
      <xdr:colOff>47625</xdr:colOff>
      <xdr:row>0</xdr:row>
      <xdr:rowOff>0</xdr:rowOff>
    </xdr:from>
    <xdr:ext cx="1200150" cy="571500"/>
    <xdr:pic>
      <xdr:nvPicPr>
        <xdr:cNvPr id="329" name="image1.png" title="Imagem">
          <a:extLst>
            <a:ext uri="{FF2B5EF4-FFF2-40B4-BE49-F238E27FC236}">
              <a16:creationId xmlns:a16="http://schemas.microsoft.com/office/drawing/2014/main" id="{4D5A71FF-F72A-4FCD-A55E-D72490C99A6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5248</xdr:col>
      <xdr:colOff>47625</xdr:colOff>
      <xdr:row>0</xdr:row>
      <xdr:rowOff>0</xdr:rowOff>
    </xdr:from>
    <xdr:ext cx="1200150" cy="571500"/>
    <xdr:pic>
      <xdr:nvPicPr>
        <xdr:cNvPr id="330" name="image1.png" title="Imagem">
          <a:extLst>
            <a:ext uri="{FF2B5EF4-FFF2-40B4-BE49-F238E27FC236}">
              <a16:creationId xmlns:a16="http://schemas.microsoft.com/office/drawing/2014/main" id="{6D5554BF-9D8C-4460-A0AB-B1B927898FB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5264</xdr:col>
      <xdr:colOff>47625</xdr:colOff>
      <xdr:row>0</xdr:row>
      <xdr:rowOff>0</xdr:rowOff>
    </xdr:from>
    <xdr:ext cx="1200150" cy="571500"/>
    <xdr:pic>
      <xdr:nvPicPr>
        <xdr:cNvPr id="331" name="image1.png" title="Imagem">
          <a:extLst>
            <a:ext uri="{FF2B5EF4-FFF2-40B4-BE49-F238E27FC236}">
              <a16:creationId xmlns:a16="http://schemas.microsoft.com/office/drawing/2014/main" id="{E9690C74-E175-4FA0-939E-47692ADC8C5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5280</xdr:col>
      <xdr:colOff>47625</xdr:colOff>
      <xdr:row>0</xdr:row>
      <xdr:rowOff>0</xdr:rowOff>
    </xdr:from>
    <xdr:ext cx="1200150" cy="571500"/>
    <xdr:pic>
      <xdr:nvPicPr>
        <xdr:cNvPr id="332" name="image1.png" title="Imagem">
          <a:extLst>
            <a:ext uri="{FF2B5EF4-FFF2-40B4-BE49-F238E27FC236}">
              <a16:creationId xmlns:a16="http://schemas.microsoft.com/office/drawing/2014/main" id="{6BA9AE5C-3966-44B4-B5DD-8BE964E36B5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5296</xdr:col>
      <xdr:colOff>47625</xdr:colOff>
      <xdr:row>0</xdr:row>
      <xdr:rowOff>0</xdr:rowOff>
    </xdr:from>
    <xdr:ext cx="1200150" cy="571500"/>
    <xdr:pic>
      <xdr:nvPicPr>
        <xdr:cNvPr id="333" name="image1.png" title="Imagem">
          <a:extLst>
            <a:ext uri="{FF2B5EF4-FFF2-40B4-BE49-F238E27FC236}">
              <a16:creationId xmlns:a16="http://schemas.microsoft.com/office/drawing/2014/main" id="{932D5F79-BA3C-4CF9-8218-6D5E3058B4E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5312</xdr:col>
      <xdr:colOff>47625</xdr:colOff>
      <xdr:row>0</xdr:row>
      <xdr:rowOff>0</xdr:rowOff>
    </xdr:from>
    <xdr:ext cx="1200150" cy="571500"/>
    <xdr:pic>
      <xdr:nvPicPr>
        <xdr:cNvPr id="334" name="image1.png" title="Imagem">
          <a:extLst>
            <a:ext uri="{FF2B5EF4-FFF2-40B4-BE49-F238E27FC236}">
              <a16:creationId xmlns:a16="http://schemas.microsoft.com/office/drawing/2014/main" id="{A9237C01-F450-4249-88A9-09D08C2E464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5328</xdr:col>
      <xdr:colOff>47625</xdr:colOff>
      <xdr:row>0</xdr:row>
      <xdr:rowOff>0</xdr:rowOff>
    </xdr:from>
    <xdr:ext cx="1200150" cy="571500"/>
    <xdr:pic>
      <xdr:nvPicPr>
        <xdr:cNvPr id="335" name="image1.png" title="Imagem">
          <a:extLst>
            <a:ext uri="{FF2B5EF4-FFF2-40B4-BE49-F238E27FC236}">
              <a16:creationId xmlns:a16="http://schemas.microsoft.com/office/drawing/2014/main" id="{BAE95878-BE8C-47A1-B46D-8A2BACBEB78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5344</xdr:col>
      <xdr:colOff>47625</xdr:colOff>
      <xdr:row>0</xdr:row>
      <xdr:rowOff>0</xdr:rowOff>
    </xdr:from>
    <xdr:ext cx="1200150" cy="571500"/>
    <xdr:pic>
      <xdr:nvPicPr>
        <xdr:cNvPr id="336" name="image1.png" title="Imagem">
          <a:extLst>
            <a:ext uri="{FF2B5EF4-FFF2-40B4-BE49-F238E27FC236}">
              <a16:creationId xmlns:a16="http://schemas.microsoft.com/office/drawing/2014/main" id="{0DCA135D-DB13-4BB2-ACBE-98443794298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5360</xdr:col>
      <xdr:colOff>47625</xdr:colOff>
      <xdr:row>0</xdr:row>
      <xdr:rowOff>0</xdr:rowOff>
    </xdr:from>
    <xdr:ext cx="1200150" cy="571500"/>
    <xdr:pic>
      <xdr:nvPicPr>
        <xdr:cNvPr id="337" name="image1.png" title="Imagem">
          <a:extLst>
            <a:ext uri="{FF2B5EF4-FFF2-40B4-BE49-F238E27FC236}">
              <a16:creationId xmlns:a16="http://schemas.microsoft.com/office/drawing/2014/main" id="{457968BF-D584-437F-847F-55E131A206D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5376</xdr:col>
      <xdr:colOff>47625</xdr:colOff>
      <xdr:row>0</xdr:row>
      <xdr:rowOff>0</xdr:rowOff>
    </xdr:from>
    <xdr:ext cx="1200150" cy="571500"/>
    <xdr:pic>
      <xdr:nvPicPr>
        <xdr:cNvPr id="338" name="image1.png" title="Imagem">
          <a:extLst>
            <a:ext uri="{FF2B5EF4-FFF2-40B4-BE49-F238E27FC236}">
              <a16:creationId xmlns:a16="http://schemas.microsoft.com/office/drawing/2014/main" id="{3AA85F24-F524-41EF-A940-B17E2F48EA4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5392</xdr:col>
      <xdr:colOff>47625</xdr:colOff>
      <xdr:row>0</xdr:row>
      <xdr:rowOff>0</xdr:rowOff>
    </xdr:from>
    <xdr:ext cx="1200150" cy="571500"/>
    <xdr:pic>
      <xdr:nvPicPr>
        <xdr:cNvPr id="339" name="image1.png" title="Imagem">
          <a:extLst>
            <a:ext uri="{FF2B5EF4-FFF2-40B4-BE49-F238E27FC236}">
              <a16:creationId xmlns:a16="http://schemas.microsoft.com/office/drawing/2014/main" id="{FE33971C-40A3-4471-B1D1-649E1FFC1CE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5408</xdr:col>
      <xdr:colOff>47625</xdr:colOff>
      <xdr:row>0</xdr:row>
      <xdr:rowOff>0</xdr:rowOff>
    </xdr:from>
    <xdr:ext cx="1200150" cy="571500"/>
    <xdr:pic>
      <xdr:nvPicPr>
        <xdr:cNvPr id="340" name="image1.png" title="Imagem">
          <a:extLst>
            <a:ext uri="{FF2B5EF4-FFF2-40B4-BE49-F238E27FC236}">
              <a16:creationId xmlns:a16="http://schemas.microsoft.com/office/drawing/2014/main" id="{02272D10-0BC3-4CE4-974D-972CEB67CA1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5424</xdr:col>
      <xdr:colOff>47625</xdr:colOff>
      <xdr:row>0</xdr:row>
      <xdr:rowOff>0</xdr:rowOff>
    </xdr:from>
    <xdr:ext cx="1200150" cy="571500"/>
    <xdr:pic>
      <xdr:nvPicPr>
        <xdr:cNvPr id="341" name="image1.png" title="Imagem">
          <a:extLst>
            <a:ext uri="{FF2B5EF4-FFF2-40B4-BE49-F238E27FC236}">
              <a16:creationId xmlns:a16="http://schemas.microsoft.com/office/drawing/2014/main" id="{F677B200-6AC1-4438-A73D-7C8C4073621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5440</xdr:col>
      <xdr:colOff>47625</xdr:colOff>
      <xdr:row>0</xdr:row>
      <xdr:rowOff>0</xdr:rowOff>
    </xdr:from>
    <xdr:ext cx="1200150" cy="571500"/>
    <xdr:pic>
      <xdr:nvPicPr>
        <xdr:cNvPr id="342" name="image1.png" title="Imagem">
          <a:extLst>
            <a:ext uri="{FF2B5EF4-FFF2-40B4-BE49-F238E27FC236}">
              <a16:creationId xmlns:a16="http://schemas.microsoft.com/office/drawing/2014/main" id="{579F2D5B-20A0-4718-8591-0E1E21E5542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5456</xdr:col>
      <xdr:colOff>47625</xdr:colOff>
      <xdr:row>0</xdr:row>
      <xdr:rowOff>0</xdr:rowOff>
    </xdr:from>
    <xdr:ext cx="1200150" cy="571500"/>
    <xdr:pic>
      <xdr:nvPicPr>
        <xdr:cNvPr id="343" name="image1.png" title="Imagem">
          <a:extLst>
            <a:ext uri="{FF2B5EF4-FFF2-40B4-BE49-F238E27FC236}">
              <a16:creationId xmlns:a16="http://schemas.microsoft.com/office/drawing/2014/main" id="{2018812E-581D-4841-9E1F-D194E177916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5472</xdr:col>
      <xdr:colOff>47625</xdr:colOff>
      <xdr:row>0</xdr:row>
      <xdr:rowOff>0</xdr:rowOff>
    </xdr:from>
    <xdr:ext cx="1200150" cy="571500"/>
    <xdr:pic>
      <xdr:nvPicPr>
        <xdr:cNvPr id="344" name="image1.png" title="Imagem">
          <a:extLst>
            <a:ext uri="{FF2B5EF4-FFF2-40B4-BE49-F238E27FC236}">
              <a16:creationId xmlns:a16="http://schemas.microsoft.com/office/drawing/2014/main" id="{F891919A-60E6-4A2F-9CCA-074C00D3276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5488</xdr:col>
      <xdr:colOff>47625</xdr:colOff>
      <xdr:row>0</xdr:row>
      <xdr:rowOff>0</xdr:rowOff>
    </xdr:from>
    <xdr:ext cx="1200150" cy="571500"/>
    <xdr:pic>
      <xdr:nvPicPr>
        <xdr:cNvPr id="345" name="image1.png" title="Imagem">
          <a:extLst>
            <a:ext uri="{FF2B5EF4-FFF2-40B4-BE49-F238E27FC236}">
              <a16:creationId xmlns:a16="http://schemas.microsoft.com/office/drawing/2014/main" id="{24BA7ED2-D3E5-48D8-BAC2-25A454640B2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5504</xdr:col>
      <xdr:colOff>47625</xdr:colOff>
      <xdr:row>0</xdr:row>
      <xdr:rowOff>0</xdr:rowOff>
    </xdr:from>
    <xdr:ext cx="1200150" cy="571500"/>
    <xdr:pic>
      <xdr:nvPicPr>
        <xdr:cNvPr id="346" name="image1.png" title="Imagem">
          <a:extLst>
            <a:ext uri="{FF2B5EF4-FFF2-40B4-BE49-F238E27FC236}">
              <a16:creationId xmlns:a16="http://schemas.microsoft.com/office/drawing/2014/main" id="{AA86B750-4B9C-4B22-9B49-F107440D024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5520</xdr:col>
      <xdr:colOff>47625</xdr:colOff>
      <xdr:row>0</xdr:row>
      <xdr:rowOff>0</xdr:rowOff>
    </xdr:from>
    <xdr:ext cx="1200150" cy="571500"/>
    <xdr:pic>
      <xdr:nvPicPr>
        <xdr:cNvPr id="347" name="image1.png" title="Imagem">
          <a:extLst>
            <a:ext uri="{FF2B5EF4-FFF2-40B4-BE49-F238E27FC236}">
              <a16:creationId xmlns:a16="http://schemas.microsoft.com/office/drawing/2014/main" id="{BD2FEBC2-F0E5-4B78-8075-843729E2516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5536</xdr:col>
      <xdr:colOff>47625</xdr:colOff>
      <xdr:row>0</xdr:row>
      <xdr:rowOff>0</xdr:rowOff>
    </xdr:from>
    <xdr:ext cx="1200150" cy="571500"/>
    <xdr:pic>
      <xdr:nvPicPr>
        <xdr:cNvPr id="348" name="image1.png" title="Imagem">
          <a:extLst>
            <a:ext uri="{FF2B5EF4-FFF2-40B4-BE49-F238E27FC236}">
              <a16:creationId xmlns:a16="http://schemas.microsoft.com/office/drawing/2014/main" id="{4AC10E2F-8691-4FB8-9DC0-E4045A3CC4E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5552</xdr:col>
      <xdr:colOff>47625</xdr:colOff>
      <xdr:row>0</xdr:row>
      <xdr:rowOff>0</xdr:rowOff>
    </xdr:from>
    <xdr:ext cx="1200150" cy="571500"/>
    <xdr:pic>
      <xdr:nvPicPr>
        <xdr:cNvPr id="349" name="image1.png" title="Imagem">
          <a:extLst>
            <a:ext uri="{FF2B5EF4-FFF2-40B4-BE49-F238E27FC236}">
              <a16:creationId xmlns:a16="http://schemas.microsoft.com/office/drawing/2014/main" id="{FD234F40-D982-4740-819F-5FC366E3F90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5568</xdr:col>
      <xdr:colOff>47625</xdr:colOff>
      <xdr:row>0</xdr:row>
      <xdr:rowOff>0</xdr:rowOff>
    </xdr:from>
    <xdr:ext cx="1200150" cy="571500"/>
    <xdr:pic>
      <xdr:nvPicPr>
        <xdr:cNvPr id="350" name="image1.png" title="Imagem">
          <a:extLst>
            <a:ext uri="{FF2B5EF4-FFF2-40B4-BE49-F238E27FC236}">
              <a16:creationId xmlns:a16="http://schemas.microsoft.com/office/drawing/2014/main" id="{C1464D1D-D84F-42E1-A180-9C3CDC42EFF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5584</xdr:col>
      <xdr:colOff>47625</xdr:colOff>
      <xdr:row>0</xdr:row>
      <xdr:rowOff>0</xdr:rowOff>
    </xdr:from>
    <xdr:ext cx="1200150" cy="571500"/>
    <xdr:pic>
      <xdr:nvPicPr>
        <xdr:cNvPr id="351" name="image1.png" title="Imagem">
          <a:extLst>
            <a:ext uri="{FF2B5EF4-FFF2-40B4-BE49-F238E27FC236}">
              <a16:creationId xmlns:a16="http://schemas.microsoft.com/office/drawing/2014/main" id="{6A2C4EC1-DFD8-4DD1-95B6-9205A3F0FB3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5600</xdr:col>
      <xdr:colOff>47625</xdr:colOff>
      <xdr:row>0</xdr:row>
      <xdr:rowOff>0</xdr:rowOff>
    </xdr:from>
    <xdr:ext cx="1200150" cy="571500"/>
    <xdr:pic>
      <xdr:nvPicPr>
        <xdr:cNvPr id="352" name="image1.png" title="Imagem">
          <a:extLst>
            <a:ext uri="{FF2B5EF4-FFF2-40B4-BE49-F238E27FC236}">
              <a16:creationId xmlns:a16="http://schemas.microsoft.com/office/drawing/2014/main" id="{9DE8CB46-8D7C-4647-8D02-0BA025DC0FC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5616</xdr:col>
      <xdr:colOff>47625</xdr:colOff>
      <xdr:row>0</xdr:row>
      <xdr:rowOff>0</xdr:rowOff>
    </xdr:from>
    <xdr:ext cx="1200150" cy="571500"/>
    <xdr:pic>
      <xdr:nvPicPr>
        <xdr:cNvPr id="353" name="image1.png" title="Imagem">
          <a:extLst>
            <a:ext uri="{FF2B5EF4-FFF2-40B4-BE49-F238E27FC236}">
              <a16:creationId xmlns:a16="http://schemas.microsoft.com/office/drawing/2014/main" id="{C04D773A-A72D-4874-965E-F9F7314418F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5632</xdr:col>
      <xdr:colOff>47625</xdr:colOff>
      <xdr:row>0</xdr:row>
      <xdr:rowOff>0</xdr:rowOff>
    </xdr:from>
    <xdr:ext cx="1200150" cy="571500"/>
    <xdr:pic>
      <xdr:nvPicPr>
        <xdr:cNvPr id="354" name="image1.png" title="Imagem">
          <a:extLst>
            <a:ext uri="{FF2B5EF4-FFF2-40B4-BE49-F238E27FC236}">
              <a16:creationId xmlns:a16="http://schemas.microsoft.com/office/drawing/2014/main" id="{A2881D68-F8BE-4C84-A304-D487A3B2A2A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5648</xdr:col>
      <xdr:colOff>47625</xdr:colOff>
      <xdr:row>0</xdr:row>
      <xdr:rowOff>0</xdr:rowOff>
    </xdr:from>
    <xdr:ext cx="1200150" cy="571500"/>
    <xdr:pic>
      <xdr:nvPicPr>
        <xdr:cNvPr id="355" name="image1.png" title="Imagem">
          <a:extLst>
            <a:ext uri="{FF2B5EF4-FFF2-40B4-BE49-F238E27FC236}">
              <a16:creationId xmlns:a16="http://schemas.microsoft.com/office/drawing/2014/main" id="{1CFC4702-5AB4-4279-922F-348C29314B5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5664</xdr:col>
      <xdr:colOff>47625</xdr:colOff>
      <xdr:row>0</xdr:row>
      <xdr:rowOff>0</xdr:rowOff>
    </xdr:from>
    <xdr:ext cx="1200150" cy="571500"/>
    <xdr:pic>
      <xdr:nvPicPr>
        <xdr:cNvPr id="356" name="image1.png" title="Imagem">
          <a:extLst>
            <a:ext uri="{FF2B5EF4-FFF2-40B4-BE49-F238E27FC236}">
              <a16:creationId xmlns:a16="http://schemas.microsoft.com/office/drawing/2014/main" id="{844A62E4-E26E-4BB3-ABCC-0CB6779E192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5680</xdr:col>
      <xdr:colOff>47625</xdr:colOff>
      <xdr:row>0</xdr:row>
      <xdr:rowOff>0</xdr:rowOff>
    </xdr:from>
    <xdr:ext cx="1200150" cy="571500"/>
    <xdr:pic>
      <xdr:nvPicPr>
        <xdr:cNvPr id="357" name="image1.png" title="Imagem">
          <a:extLst>
            <a:ext uri="{FF2B5EF4-FFF2-40B4-BE49-F238E27FC236}">
              <a16:creationId xmlns:a16="http://schemas.microsoft.com/office/drawing/2014/main" id="{07041FD1-A2D1-40E2-8EC3-752198DD15B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5696</xdr:col>
      <xdr:colOff>47625</xdr:colOff>
      <xdr:row>0</xdr:row>
      <xdr:rowOff>0</xdr:rowOff>
    </xdr:from>
    <xdr:ext cx="1200150" cy="571500"/>
    <xdr:pic>
      <xdr:nvPicPr>
        <xdr:cNvPr id="358" name="image1.png" title="Imagem">
          <a:extLst>
            <a:ext uri="{FF2B5EF4-FFF2-40B4-BE49-F238E27FC236}">
              <a16:creationId xmlns:a16="http://schemas.microsoft.com/office/drawing/2014/main" id="{FB1AD6A8-4EA5-4ACA-81FE-70C7B5A11F8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5712</xdr:col>
      <xdr:colOff>47625</xdr:colOff>
      <xdr:row>0</xdr:row>
      <xdr:rowOff>0</xdr:rowOff>
    </xdr:from>
    <xdr:ext cx="1200150" cy="571500"/>
    <xdr:pic>
      <xdr:nvPicPr>
        <xdr:cNvPr id="359" name="image1.png" title="Imagem">
          <a:extLst>
            <a:ext uri="{FF2B5EF4-FFF2-40B4-BE49-F238E27FC236}">
              <a16:creationId xmlns:a16="http://schemas.microsoft.com/office/drawing/2014/main" id="{CA3B6CE8-C29D-4882-9B44-531C5455905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5728</xdr:col>
      <xdr:colOff>47625</xdr:colOff>
      <xdr:row>0</xdr:row>
      <xdr:rowOff>0</xdr:rowOff>
    </xdr:from>
    <xdr:ext cx="1200150" cy="571500"/>
    <xdr:pic>
      <xdr:nvPicPr>
        <xdr:cNvPr id="360" name="image1.png" title="Imagem">
          <a:extLst>
            <a:ext uri="{FF2B5EF4-FFF2-40B4-BE49-F238E27FC236}">
              <a16:creationId xmlns:a16="http://schemas.microsoft.com/office/drawing/2014/main" id="{D575A162-E42D-45A5-BE39-F6A6A6D7CDA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5744</xdr:col>
      <xdr:colOff>47625</xdr:colOff>
      <xdr:row>0</xdr:row>
      <xdr:rowOff>0</xdr:rowOff>
    </xdr:from>
    <xdr:ext cx="1200150" cy="571500"/>
    <xdr:pic>
      <xdr:nvPicPr>
        <xdr:cNvPr id="361" name="image1.png" title="Imagem">
          <a:extLst>
            <a:ext uri="{FF2B5EF4-FFF2-40B4-BE49-F238E27FC236}">
              <a16:creationId xmlns:a16="http://schemas.microsoft.com/office/drawing/2014/main" id="{B6092574-10C6-4DEE-B37F-6CF0503C434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5760</xdr:col>
      <xdr:colOff>47625</xdr:colOff>
      <xdr:row>0</xdr:row>
      <xdr:rowOff>0</xdr:rowOff>
    </xdr:from>
    <xdr:ext cx="1200150" cy="571500"/>
    <xdr:pic>
      <xdr:nvPicPr>
        <xdr:cNvPr id="362" name="image1.png" title="Imagem">
          <a:extLst>
            <a:ext uri="{FF2B5EF4-FFF2-40B4-BE49-F238E27FC236}">
              <a16:creationId xmlns:a16="http://schemas.microsoft.com/office/drawing/2014/main" id="{72B21C13-2081-4EC3-A910-F8BBB678C99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5776</xdr:col>
      <xdr:colOff>47625</xdr:colOff>
      <xdr:row>0</xdr:row>
      <xdr:rowOff>0</xdr:rowOff>
    </xdr:from>
    <xdr:ext cx="1200150" cy="571500"/>
    <xdr:pic>
      <xdr:nvPicPr>
        <xdr:cNvPr id="363" name="image1.png" title="Imagem">
          <a:extLst>
            <a:ext uri="{FF2B5EF4-FFF2-40B4-BE49-F238E27FC236}">
              <a16:creationId xmlns:a16="http://schemas.microsoft.com/office/drawing/2014/main" id="{5482C82A-7A48-4300-9325-19C0D2533B6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5792</xdr:col>
      <xdr:colOff>47625</xdr:colOff>
      <xdr:row>0</xdr:row>
      <xdr:rowOff>0</xdr:rowOff>
    </xdr:from>
    <xdr:ext cx="1200150" cy="571500"/>
    <xdr:pic>
      <xdr:nvPicPr>
        <xdr:cNvPr id="364" name="image1.png" title="Imagem">
          <a:extLst>
            <a:ext uri="{FF2B5EF4-FFF2-40B4-BE49-F238E27FC236}">
              <a16:creationId xmlns:a16="http://schemas.microsoft.com/office/drawing/2014/main" id="{7B312EB2-E733-4F87-BAE3-40C139BB7E0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5808</xdr:col>
      <xdr:colOff>47625</xdr:colOff>
      <xdr:row>0</xdr:row>
      <xdr:rowOff>0</xdr:rowOff>
    </xdr:from>
    <xdr:ext cx="1200150" cy="571500"/>
    <xdr:pic>
      <xdr:nvPicPr>
        <xdr:cNvPr id="365" name="image1.png" title="Imagem">
          <a:extLst>
            <a:ext uri="{FF2B5EF4-FFF2-40B4-BE49-F238E27FC236}">
              <a16:creationId xmlns:a16="http://schemas.microsoft.com/office/drawing/2014/main" id="{3FE0F579-AE7C-4DCB-82AA-F66DE889AB1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5824</xdr:col>
      <xdr:colOff>47625</xdr:colOff>
      <xdr:row>0</xdr:row>
      <xdr:rowOff>0</xdr:rowOff>
    </xdr:from>
    <xdr:ext cx="1200150" cy="571500"/>
    <xdr:pic>
      <xdr:nvPicPr>
        <xdr:cNvPr id="366" name="image1.png" title="Imagem">
          <a:extLst>
            <a:ext uri="{FF2B5EF4-FFF2-40B4-BE49-F238E27FC236}">
              <a16:creationId xmlns:a16="http://schemas.microsoft.com/office/drawing/2014/main" id="{9CE76A23-C23B-4956-BC66-DE2131B1FF7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5840</xdr:col>
      <xdr:colOff>47625</xdr:colOff>
      <xdr:row>0</xdr:row>
      <xdr:rowOff>0</xdr:rowOff>
    </xdr:from>
    <xdr:ext cx="1200150" cy="571500"/>
    <xdr:pic>
      <xdr:nvPicPr>
        <xdr:cNvPr id="367" name="image1.png" title="Imagem">
          <a:extLst>
            <a:ext uri="{FF2B5EF4-FFF2-40B4-BE49-F238E27FC236}">
              <a16:creationId xmlns:a16="http://schemas.microsoft.com/office/drawing/2014/main" id="{A5AB2B27-1072-42EC-A139-DB8C70FB1B0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5856</xdr:col>
      <xdr:colOff>47625</xdr:colOff>
      <xdr:row>0</xdr:row>
      <xdr:rowOff>0</xdr:rowOff>
    </xdr:from>
    <xdr:ext cx="1200150" cy="571500"/>
    <xdr:pic>
      <xdr:nvPicPr>
        <xdr:cNvPr id="368" name="image1.png" title="Imagem">
          <a:extLst>
            <a:ext uri="{FF2B5EF4-FFF2-40B4-BE49-F238E27FC236}">
              <a16:creationId xmlns:a16="http://schemas.microsoft.com/office/drawing/2014/main" id="{8EB5C2CC-3B71-42B4-A0ED-E46BE7D3529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5872</xdr:col>
      <xdr:colOff>47625</xdr:colOff>
      <xdr:row>0</xdr:row>
      <xdr:rowOff>0</xdr:rowOff>
    </xdr:from>
    <xdr:ext cx="1200150" cy="571500"/>
    <xdr:pic>
      <xdr:nvPicPr>
        <xdr:cNvPr id="369" name="image1.png" title="Imagem">
          <a:extLst>
            <a:ext uri="{FF2B5EF4-FFF2-40B4-BE49-F238E27FC236}">
              <a16:creationId xmlns:a16="http://schemas.microsoft.com/office/drawing/2014/main" id="{F273A78F-7063-4719-98E1-4B727FB5EA5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5888</xdr:col>
      <xdr:colOff>47625</xdr:colOff>
      <xdr:row>0</xdr:row>
      <xdr:rowOff>0</xdr:rowOff>
    </xdr:from>
    <xdr:ext cx="1200150" cy="571500"/>
    <xdr:pic>
      <xdr:nvPicPr>
        <xdr:cNvPr id="370" name="image1.png" title="Imagem">
          <a:extLst>
            <a:ext uri="{FF2B5EF4-FFF2-40B4-BE49-F238E27FC236}">
              <a16:creationId xmlns:a16="http://schemas.microsoft.com/office/drawing/2014/main" id="{833E7814-3617-4CF5-9D28-A0D357E83A8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5904</xdr:col>
      <xdr:colOff>47625</xdr:colOff>
      <xdr:row>0</xdr:row>
      <xdr:rowOff>0</xdr:rowOff>
    </xdr:from>
    <xdr:ext cx="1200150" cy="571500"/>
    <xdr:pic>
      <xdr:nvPicPr>
        <xdr:cNvPr id="371" name="image1.png" title="Imagem">
          <a:extLst>
            <a:ext uri="{FF2B5EF4-FFF2-40B4-BE49-F238E27FC236}">
              <a16:creationId xmlns:a16="http://schemas.microsoft.com/office/drawing/2014/main" id="{A7378005-212B-4C17-AB75-E151006BED6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5920</xdr:col>
      <xdr:colOff>47625</xdr:colOff>
      <xdr:row>0</xdr:row>
      <xdr:rowOff>0</xdr:rowOff>
    </xdr:from>
    <xdr:ext cx="1200150" cy="571500"/>
    <xdr:pic>
      <xdr:nvPicPr>
        <xdr:cNvPr id="372" name="image1.png" title="Imagem">
          <a:extLst>
            <a:ext uri="{FF2B5EF4-FFF2-40B4-BE49-F238E27FC236}">
              <a16:creationId xmlns:a16="http://schemas.microsoft.com/office/drawing/2014/main" id="{1C712124-88E3-4257-A0AD-4E0260F94E8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5936</xdr:col>
      <xdr:colOff>47625</xdr:colOff>
      <xdr:row>0</xdr:row>
      <xdr:rowOff>0</xdr:rowOff>
    </xdr:from>
    <xdr:ext cx="1200150" cy="571500"/>
    <xdr:pic>
      <xdr:nvPicPr>
        <xdr:cNvPr id="373" name="image1.png" title="Imagem">
          <a:extLst>
            <a:ext uri="{FF2B5EF4-FFF2-40B4-BE49-F238E27FC236}">
              <a16:creationId xmlns:a16="http://schemas.microsoft.com/office/drawing/2014/main" id="{945FAFFA-00B9-4774-8644-B8CAACC9FA5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5952</xdr:col>
      <xdr:colOff>47625</xdr:colOff>
      <xdr:row>0</xdr:row>
      <xdr:rowOff>0</xdr:rowOff>
    </xdr:from>
    <xdr:ext cx="1200150" cy="571500"/>
    <xdr:pic>
      <xdr:nvPicPr>
        <xdr:cNvPr id="374" name="image1.png" title="Imagem">
          <a:extLst>
            <a:ext uri="{FF2B5EF4-FFF2-40B4-BE49-F238E27FC236}">
              <a16:creationId xmlns:a16="http://schemas.microsoft.com/office/drawing/2014/main" id="{BE66011F-1F25-40C2-80B1-EA445DDC69E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5968</xdr:col>
      <xdr:colOff>47625</xdr:colOff>
      <xdr:row>0</xdr:row>
      <xdr:rowOff>0</xdr:rowOff>
    </xdr:from>
    <xdr:ext cx="1200150" cy="571500"/>
    <xdr:pic>
      <xdr:nvPicPr>
        <xdr:cNvPr id="375" name="image1.png" title="Imagem">
          <a:extLst>
            <a:ext uri="{FF2B5EF4-FFF2-40B4-BE49-F238E27FC236}">
              <a16:creationId xmlns:a16="http://schemas.microsoft.com/office/drawing/2014/main" id="{D8EE7528-809C-4D0D-B7F8-95844E4DC9C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5984</xdr:col>
      <xdr:colOff>47625</xdr:colOff>
      <xdr:row>0</xdr:row>
      <xdr:rowOff>0</xdr:rowOff>
    </xdr:from>
    <xdr:ext cx="1200150" cy="571500"/>
    <xdr:pic>
      <xdr:nvPicPr>
        <xdr:cNvPr id="376" name="image1.png" title="Imagem">
          <a:extLst>
            <a:ext uri="{FF2B5EF4-FFF2-40B4-BE49-F238E27FC236}">
              <a16:creationId xmlns:a16="http://schemas.microsoft.com/office/drawing/2014/main" id="{38E6B400-82CC-481A-885D-C5E1FC7CD53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6000</xdr:col>
      <xdr:colOff>47625</xdr:colOff>
      <xdr:row>0</xdr:row>
      <xdr:rowOff>0</xdr:rowOff>
    </xdr:from>
    <xdr:ext cx="1200150" cy="571500"/>
    <xdr:pic>
      <xdr:nvPicPr>
        <xdr:cNvPr id="377" name="image1.png" title="Imagem">
          <a:extLst>
            <a:ext uri="{FF2B5EF4-FFF2-40B4-BE49-F238E27FC236}">
              <a16:creationId xmlns:a16="http://schemas.microsoft.com/office/drawing/2014/main" id="{1D0BE04C-3678-49D3-BB9D-B6B0EFC6A14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6016</xdr:col>
      <xdr:colOff>47625</xdr:colOff>
      <xdr:row>0</xdr:row>
      <xdr:rowOff>0</xdr:rowOff>
    </xdr:from>
    <xdr:ext cx="1200150" cy="571500"/>
    <xdr:pic>
      <xdr:nvPicPr>
        <xdr:cNvPr id="378" name="image1.png" title="Imagem">
          <a:extLst>
            <a:ext uri="{FF2B5EF4-FFF2-40B4-BE49-F238E27FC236}">
              <a16:creationId xmlns:a16="http://schemas.microsoft.com/office/drawing/2014/main" id="{FA60722F-6264-4421-B313-B03DBAC4E40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6032</xdr:col>
      <xdr:colOff>47625</xdr:colOff>
      <xdr:row>0</xdr:row>
      <xdr:rowOff>0</xdr:rowOff>
    </xdr:from>
    <xdr:ext cx="1200150" cy="571500"/>
    <xdr:pic>
      <xdr:nvPicPr>
        <xdr:cNvPr id="379" name="image1.png" title="Imagem">
          <a:extLst>
            <a:ext uri="{FF2B5EF4-FFF2-40B4-BE49-F238E27FC236}">
              <a16:creationId xmlns:a16="http://schemas.microsoft.com/office/drawing/2014/main" id="{DF80D713-B454-4C0B-8D8E-8C94F197CDA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6048</xdr:col>
      <xdr:colOff>47625</xdr:colOff>
      <xdr:row>0</xdr:row>
      <xdr:rowOff>0</xdr:rowOff>
    </xdr:from>
    <xdr:ext cx="1200150" cy="571500"/>
    <xdr:pic>
      <xdr:nvPicPr>
        <xdr:cNvPr id="380" name="image1.png" title="Imagem">
          <a:extLst>
            <a:ext uri="{FF2B5EF4-FFF2-40B4-BE49-F238E27FC236}">
              <a16:creationId xmlns:a16="http://schemas.microsoft.com/office/drawing/2014/main" id="{CF8CD4D5-423B-4786-9568-94C4F3E6D4E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6064</xdr:col>
      <xdr:colOff>47625</xdr:colOff>
      <xdr:row>0</xdr:row>
      <xdr:rowOff>0</xdr:rowOff>
    </xdr:from>
    <xdr:ext cx="1200150" cy="571500"/>
    <xdr:pic>
      <xdr:nvPicPr>
        <xdr:cNvPr id="381" name="image1.png" title="Imagem">
          <a:extLst>
            <a:ext uri="{FF2B5EF4-FFF2-40B4-BE49-F238E27FC236}">
              <a16:creationId xmlns:a16="http://schemas.microsoft.com/office/drawing/2014/main" id="{520CC45F-8589-43E9-9A19-F25DF5DCA86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6080</xdr:col>
      <xdr:colOff>47625</xdr:colOff>
      <xdr:row>0</xdr:row>
      <xdr:rowOff>0</xdr:rowOff>
    </xdr:from>
    <xdr:ext cx="1200150" cy="571500"/>
    <xdr:pic>
      <xdr:nvPicPr>
        <xdr:cNvPr id="382" name="image1.png" title="Imagem">
          <a:extLst>
            <a:ext uri="{FF2B5EF4-FFF2-40B4-BE49-F238E27FC236}">
              <a16:creationId xmlns:a16="http://schemas.microsoft.com/office/drawing/2014/main" id="{786EEC43-9E58-4355-85F0-56225EE475A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6096</xdr:col>
      <xdr:colOff>47625</xdr:colOff>
      <xdr:row>0</xdr:row>
      <xdr:rowOff>0</xdr:rowOff>
    </xdr:from>
    <xdr:ext cx="1200150" cy="571500"/>
    <xdr:pic>
      <xdr:nvPicPr>
        <xdr:cNvPr id="383" name="image1.png" title="Imagem">
          <a:extLst>
            <a:ext uri="{FF2B5EF4-FFF2-40B4-BE49-F238E27FC236}">
              <a16:creationId xmlns:a16="http://schemas.microsoft.com/office/drawing/2014/main" id="{3DD6714F-B1A2-411B-8A55-D438CF07329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6112</xdr:col>
      <xdr:colOff>47625</xdr:colOff>
      <xdr:row>0</xdr:row>
      <xdr:rowOff>0</xdr:rowOff>
    </xdr:from>
    <xdr:ext cx="1200150" cy="571500"/>
    <xdr:pic>
      <xdr:nvPicPr>
        <xdr:cNvPr id="384" name="image1.png" title="Imagem">
          <a:extLst>
            <a:ext uri="{FF2B5EF4-FFF2-40B4-BE49-F238E27FC236}">
              <a16:creationId xmlns:a16="http://schemas.microsoft.com/office/drawing/2014/main" id="{4524973D-5543-4F43-BA08-904C291793F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6128</xdr:col>
      <xdr:colOff>47625</xdr:colOff>
      <xdr:row>0</xdr:row>
      <xdr:rowOff>0</xdr:rowOff>
    </xdr:from>
    <xdr:ext cx="1200150" cy="571500"/>
    <xdr:pic>
      <xdr:nvPicPr>
        <xdr:cNvPr id="385" name="image1.png" title="Imagem">
          <a:extLst>
            <a:ext uri="{FF2B5EF4-FFF2-40B4-BE49-F238E27FC236}">
              <a16:creationId xmlns:a16="http://schemas.microsoft.com/office/drawing/2014/main" id="{CE63DE7C-FC40-429F-9A48-09485D9856C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6144</xdr:col>
      <xdr:colOff>47625</xdr:colOff>
      <xdr:row>0</xdr:row>
      <xdr:rowOff>0</xdr:rowOff>
    </xdr:from>
    <xdr:ext cx="1200150" cy="571500"/>
    <xdr:pic>
      <xdr:nvPicPr>
        <xdr:cNvPr id="386" name="image1.png" title="Imagem">
          <a:extLst>
            <a:ext uri="{FF2B5EF4-FFF2-40B4-BE49-F238E27FC236}">
              <a16:creationId xmlns:a16="http://schemas.microsoft.com/office/drawing/2014/main" id="{1C7F5E4F-8BC6-4341-A688-C804714C315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6160</xdr:col>
      <xdr:colOff>47625</xdr:colOff>
      <xdr:row>0</xdr:row>
      <xdr:rowOff>0</xdr:rowOff>
    </xdr:from>
    <xdr:ext cx="1200150" cy="571500"/>
    <xdr:pic>
      <xdr:nvPicPr>
        <xdr:cNvPr id="387" name="image1.png" title="Imagem">
          <a:extLst>
            <a:ext uri="{FF2B5EF4-FFF2-40B4-BE49-F238E27FC236}">
              <a16:creationId xmlns:a16="http://schemas.microsoft.com/office/drawing/2014/main" id="{8850C915-5B56-49BA-9287-DCBCD82B8B5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6176</xdr:col>
      <xdr:colOff>47625</xdr:colOff>
      <xdr:row>0</xdr:row>
      <xdr:rowOff>0</xdr:rowOff>
    </xdr:from>
    <xdr:ext cx="1200150" cy="571500"/>
    <xdr:pic>
      <xdr:nvPicPr>
        <xdr:cNvPr id="388" name="image1.png" title="Imagem">
          <a:extLst>
            <a:ext uri="{FF2B5EF4-FFF2-40B4-BE49-F238E27FC236}">
              <a16:creationId xmlns:a16="http://schemas.microsoft.com/office/drawing/2014/main" id="{1C2D6A73-B967-45B6-9354-8A7A8AF008E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6192</xdr:col>
      <xdr:colOff>47625</xdr:colOff>
      <xdr:row>0</xdr:row>
      <xdr:rowOff>0</xdr:rowOff>
    </xdr:from>
    <xdr:ext cx="1200150" cy="571500"/>
    <xdr:pic>
      <xdr:nvPicPr>
        <xdr:cNvPr id="389" name="image1.png" title="Imagem">
          <a:extLst>
            <a:ext uri="{FF2B5EF4-FFF2-40B4-BE49-F238E27FC236}">
              <a16:creationId xmlns:a16="http://schemas.microsoft.com/office/drawing/2014/main" id="{501403C7-4B91-4BAC-BBB2-1A76F138494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6208</xdr:col>
      <xdr:colOff>47625</xdr:colOff>
      <xdr:row>0</xdr:row>
      <xdr:rowOff>0</xdr:rowOff>
    </xdr:from>
    <xdr:ext cx="1200150" cy="571500"/>
    <xdr:pic>
      <xdr:nvPicPr>
        <xdr:cNvPr id="390" name="image1.png" title="Imagem">
          <a:extLst>
            <a:ext uri="{FF2B5EF4-FFF2-40B4-BE49-F238E27FC236}">
              <a16:creationId xmlns:a16="http://schemas.microsoft.com/office/drawing/2014/main" id="{8A386A01-7B68-4331-A89C-13CF38B2729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6224</xdr:col>
      <xdr:colOff>47625</xdr:colOff>
      <xdr:row>0</xdr:row>
      <xdr:rowOff>0</xdr:rowOff>
    </xdr:from>
    <xdr:ext cx="1200150" cy="571500"/>
    <xdr:pic>
      <xdr:nvPicPr>
        <xdr:cNvPr id="391" name="image1.png" title="Imagem">
          <a:extLst>
            <a:ext uri="{FF2B5EF4-FFF2-40B4-BE49-F238E27FC236}">
              <a16:creationId xmlns:a16="http://schemas.microsoft.com/office/drawing/2014/main" id="{0276C9F1-7D98-4005-9B7E-BEFDAB371DE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6240</xdr:col>
      <xdr:colOff>47625</xdr:colOff>
      <xdr:row>0</xdr:row>
      <xdr:rowOff>0</xdr:rowOff>
    </xdr:from>
    <xdr:ext cx="1200150" cy="571500"/>
    <xdr:pic>
      <xdr:nvPicPr>
        <xdr:cNvPr id="392" name="image1.png" title="Imagem">
          <a:extLst>
            <a:ext uri="{FF2B5EF4-FFF2-40B4-BE49-F238E27FC236}">
              <a16:creationId xmlns:a16="http://schemas.microsoft.com/office/drawing/2014/main" id="{03510A64-F26D-4F2A-92A6-EA901B46262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6256</xdr:col>
      <xdr:colOff>47625</xdr:colOff>
      <xdr:row>0</xdr:row>
      <xdr:rowOff>0</xdr:rowOff>
    </xdr:from>
    <xdr:ext cx="1200150" cy="571500"/>
    <xdr:pic>
      <xdr:nvPicPr>
        <xdr:cNvPr id="393" name="image1.png" title="Imagem">
          <a:extLst>
            <a:ext uri="{FF2B5EF4-FFF2-40B4-BE49-F238E27FC236}">
              <a16:creationId xmlns:a16="http://schemas.microsoft.com/office/drawing/2014/main" id="{9BBBDBC4-B496-4468-90F7-8F7900057B8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6272</xdr:col>
      <xdr:colOff>47625</xdr:colOff>
      <xdr:row>0</xdr:row>
      <xdr:rowOff>0</xdr:rowOff>
    </xdr:from>
    <xdr:ext cx="1200150" cy="571500"/>
    <xdr:pic>
      <xdr:nvPicPr>
        <xdr:cNvPr id="394" name="image1.png" title="Imagem">
          <a:extLst>
            <a:ext uri="{FF2B5EF4-FFF2-40B4-BE49-F238E27FC236}">
              <a16:creationId xmlns:a16="http://schemas.microsoft.com/office/drawing/2014/main" id="{284DDE1C-7DE3-43A4-83BD-A0A4049B7F8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6288</xdr:col>
      <xdr:colOff>47625</xdr:colOff>
      <xdr:row>0</xdr:row>
      <xdr:rowOff>0</xdr:rowOff>
    </xdr:from>
    <xdr:ext cx="1200150" cy="571500"/>
    <xdr:pic>
      <xdr:nvPicPr>
        <xdr:cNvPr id="395" name="image1.png" title="Imagem">
          <a:extLst>
            <a:ext uri="{FF2B5EF4-FFF2-40B4-BE49-F238E27FC236}">
              <a16:creationId xmlns:a16="http://schemas.microsoft.com/office/drawing/2014/main" id="{43D83F2D-F98B-42B9-8811-5D640F216C9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6304</xdr:col>
      <xdr:colOff>47625</xdr:colOff>
      <xdr:row>0</xdr:row>
      <xdr:rowOff>0</xdr:rowOff>
    </xdr:from>
    <xdr:ext cx="1200150" cy="571500"/>
    <xdr:pic>
      <xdr:nvPicPr>
        <xdr:cNvPr id="396" name="image1.png" title="Imagem">
          <a:extLst>
            <a:ext uri="{FF2B5EF4-FFF2-40B4-BE49-F238E27FC236}">
              <a16:creationId xmlns:a16="http://schemas.microsoft.com/office/drawing/2014/main" id="{5730DE41-4169-43CE-8AFF-66CCBDA4469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6320</xdr:col>
      <xdr:colOff>47625</xdr:colOff>
      <xdr:row>0</xdr:row>
      <xdr:rowOff>0</xdr:rowOff>
    </xdr:from>
    <xdr:ext cx="1200150" cy="571500"/>
    <xdr:pic>
      <xdr:nvPicPr>
        <xdr:cNvPr id="397" name="image1.png" title="Imagem">
          <a:extLst>
            <a:ext uri="{FF2B5EF4-FFF2-40B4-BE49-F238E27FC236}">
              <a16:creationId xmlns:a16="http://schemas.microsoft.com/office/drawing/2014/main" id="{752D6B48-DEFB-4B19-B03F-DC356AA9016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6336</xdr:col>
      <xdr:colOff>47625</xdr:colOff>
      <xdr:row>0</xdr:row>
      <xdr:rowOff>0</xdr:rowOff>
    </xdr:from>
    <xdr:ext cx="1200150" cy="571500"/>
    <xdr:pic>
      <xdr:nvPicPr>
        <xdr:cNvPr id="398" name="image1.png" title="Imagem">
          <a:extLst>
            <a:ext uri="{FF2B5EF4-FFF2-40B4-BE49-F238E27FC236}">
              <a16:creationId xmlns:a16="http://schemas.microsoft.com/office/drawing/2014/main" id="{9F094627-4D9A-41F0-B065-477E85BBCA0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6352</xdr:col>
      <xdr:colOff>47625</xdr:colOff>
      <xdr:row>0</xdr:row>
      <xdr:rowOff>0</xdr:rowOff>
    </xdr:from>
    <xdr:ext cx="1200150" cy="571500"/>
    <xdr:pic>
      <xdr:nvPicPr>
        <xdr:cNvPr id="399" name="image1.png" title="Imagem">
          <a:extLst>
            <a:ext uri="{FF2B5EF4-FFF2-40B4-BE49-F238E27FC236}">
              <a16:creationId xmlns:a16="http://schemas.microsoft.com/office/drawing/2014/main" id="{89AA08B9-3E6C-49D0-9F52-696BB045AE1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6368</xdr:col>
      <xdr:colOff>47625</xdr:colOff>
      <xdr:row>0</xdr:row>
      <xdr:rowOff>0</xdr:rowOff>
    </xdr:from>
    <xdr:ext cx="1200150" cy="571500"/>
    <xdr:pic>
      <xdr:nvPicPr>
        <xdr:cNvPr id="400" name="image1.png" title="Imagem">
          <a:extLst>
            <a:ext uri="{FF2B5EF4-FFF2-40B4-BE49-F238E27FC236}">
              <a16:creationId xmlns:a16="http://schemas.microsoft.com/office/drawing/2014/main" id="{5DD8682E-6A8C-4812-87CA-78FB1EC6D6E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6384</xdr:col>
      <xdr:colOff>47625</xdr:colOff>
      <xdr:row>0</xdr:row>
      <xdr:rowOff>0</xdr:rowOff>
    </xdr:from>
    <xdr:ext cx="1200150" cy="571500"/>
    <xdr:pic>
      <xdr:nvPicPr>
        <xdr:cNvPr id="401" name="image1.png" title="Imagem">
          <a:extLst>
            <a:ext uri="{FF2B5EF4-FFF2-40B4-BE49-F238E27FC236}">
              <a16:creationId xmlns:a16="http://schemas.microsoft.com/office/drawing/2014/main" id="{A1B2A13F-6FBC-4989-8B34-2EFE6655294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6400</xdr:col>
      <xdr:colOff>47625</xdr:colOff>
      <xdr:row>0</xdr:row>
      <xdr:rowOff>0</xdr:rowOff>
    </xdr:from>
    <xdr:ext cx="1200150" cy="571500"/>
    <xdr:pic>
      <xdr:nvPicPr>
        <xdr:cNvPr id="402" name="image1.png" title="Imagem">
          <a:extLst>
            <a:ext uri="{FF2B5EF4-FFF2-40B4-BE49-F238E27FC236}">
              <a16:creationId xmlns:a16="http://schemas.microsoft.com/office/drawing/2014/main" id="{EDB95EE2-E3A3-40E2-A55F-65B46E2665E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6416</xdr:col>
      <xdr:colOff>47625</xdr:colOff>
      <xdr:row>0</xdr:row>
      <xdr:rowOff>0</xdr:rowOff>
    </xdr:from>
    <xdr:ext cx="1200150" cy="571500"/>
    <xdr:pic>
      <xdr:nvPicPr>
        <xdr:cNvPr id="403" name="image1.png" title="Imagem">
          <a:extLst>
            <a:ext uri="{FF2B5EF4-FFF2-40B4-BE49-F238E27FC236}">
              <a16:creationId xmlns:a16="http://schemas.microsoft.com/office/drawing/2014/main" id="{E2137AE1-0E3C-451E-B0B8-681C2FD120B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6432</xdr:col>
      <xdr:colOff>47625</xdr:colOff>
      <xdr:row>0</xdr:row>
      <xdr:rowOff>0</xdr:rowOff>
    </xdr:from>
    <xdr:ext cx="1200150" cy="571500"/>
    <xdr:pic>
      <xdr:nvPicPr>
        <xdr:cNvPr id="404" name="image1.png" title="Imagem">
          <a:extLst>
            <a:ext uri="{FF2B5EF4-FFF2-40B4-BE49-F238E27FC236}">
              <a16:creationId xmlns:a16="http://schemas.microsoft.com/office/drawing/2014/main" id="{737143AC-FA97-4161-A8FE-E8EFD991042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6448</xdr:col>
      <xdr:colOff>47625</xdr:colOff>
      <xdr:row>0</xdr:row>
      <xdr:rowOff>0</xdr:rowOff>
    </xdr:from>
    <xdr:ext cx="1200150" cy="571500"/>
    <xdr:pic>
      <xdr:nvPicPr>
        <xdr:cNvPr id="405" name="image1.png" title="Imagem">
          <a:extLst>
            <a:ext uri="{FF2B5EF4-FFF2-40B4-BE49-F238E27FC236}">
              <a16:creationId xmlns:a16="http://schemas.microsoft.com/office/drawing/2014/main" id="{306BE349-616F-440B-A3FC-1DFACB12EE3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6464</xdr:col>
      <xdr:colOff>47625</xdr:colOff>
      <xdr:row>0</xdr:row>
      <xdr:rowOff>0</xdr:rowOff>
    </xdr:from>
    <xdr:ext cx="1200150" cy="571500"/>
    <xdr:pic>
      <xdr:nvPicPr>
        <xdr:cNvPr id="406" name="image1.png" title="Imagem">
          <a:extLst>
            <a:ext uri="{FF2B5EF4-FFF2-40B4-BE49-F238E27FC236}">
              <a16:creationId xmlns:a16="http://schemas.microsoft.com/office/drawing/2014/main" id="{2A105F26-B124-4351-B758-45F2CEFE110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6480</xdr:col>
      <xdr:colOff>47625</xdr:colOff>
      <xdr:row>0</xdr:row>
      <xdr:rowOff>0</xdr:rowOff>
    </xdr:from>
    <xdr:ext cx="1200150" cy="571500"/>
    <xdr:pic>
      <xdr:nvPicPr>
        <xdr:cNvPr id="407" name="image1.png" title="Imagem">
          <a:extLst>
            <a:ext uri="{FF2B5EF4-FFF2-40B4-BE49-F238E27FC236}">
              <a16:creationId xmlns:a16="http://schemas.microsoft.com/office/drawing/2014/main" id="{9F0D40B0-1947-408C-988B-0C13E0D75EA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6496</xdr:col>
      <xdr:colOff>47625</xdr:colOff>
      <xdr:row>0</xdr:row>
      <xdr:rowOff>0</xdr:rowOff>
    </xdr:from>
    <xdr:ext cx="1200150" cy="571500"/>
    <xdr:pic>
      <xdr:nvPicPr>
        <xdr:cNvPr id="408" name="image1.png" title="Imagem">
          <a:extLst>
            <a:ext uri="{FF2B5EF4-FFF2-40B4-BE49-F238E27FC236}">
              <a16:creationId xmlns:a16="http://schemas.microsoft.com/office/drawing/2014/main" id="{7635F249-EA58-48C1-A29A-80FD45644F9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6512</xdr:col>
      <xdr:colOff>47625</xdr:colOff>
      <xdr:row>0</xdr:row>
      <xdr:rowOff>0</xdr:rowOff>
    </xdr:from>
    <xdr:ext cx="1200150" cy="571500"/>
    <xdr:pic>
      <xdr:nvPicPr>
        <xdr:cNvPr id="409" name="image1.png" title="Imagem">
          <a:extLst>
            <a:ext uri="{FF2B5EF4-FFF2-40B4-BE49-F238E27FC236}">
              <a16:creationId xmlns:a16="http://schemas.microsoft.com/office/drawing/2014/main" id="{B9C28B99-7730-43B8-BD69-C21C420B632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6528</xdr:col>
      <xdr:colOff>47625</xdr:colOff>
      <xdr:row>0</xdr:row>
      <xdr:rowOff>0</xdr:rowOff>
    </xdr:from>
    <xdr:ext cx="1200150" cy="571500"/>
    <xdr:pic>
      <xdr:nvPicPr>
        <xdr:cNvPr id="410" name="image1.png" title="Imagem">
          <a:extLst>
            <a:ext uri="{FF2B5EF4-FFF2-40B4-BE49-F238E27FC236}">
              <a16:creationId xmlns:a16="http://schemas.microsoft.com/office/drawing/2014/main" id="{16F9005A-50C8-472A-BCD3-178A148FE31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6544</xdr:col>
      <xdr:colOff>47625</xdr:colOff>
      <xdr:row>0</xdr:row>
      <xdr:rowOff>0</xdr:rowOff>
    </xdr:from>
    <xdr:ext cx="1200150" cy="571500"/>
    <xdr:pic>
      <xdr:nvPicPr>
        <xdr:cNvPr id="411" name="image1.png" title="Imagem">
          <a:extLst>
            <a:ext uri="{FF2B5EF4-FFF2-40B4-BE49-F238E27FC236}">
              <a16:creationId xmlns:a16="http://schemas.microsoft.com/office/drawing/2014/main" id="{50ACE252-FFE1-45A7-98B9-993390FB17B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6560</xdr:col>
      <xdr:colOff>47625</xdr:colOff>
      <xdr:row>0</xdr:row>
      <xdr:rowOff>0</xdr:rowOff>
    </xdr:from>
    <xdr:ext cx="1200150" cy="571500"/>
    <xdr:pic>
      <xdr:nvPicPr>
        <xdr:cNvPr id="412" name="image1.png" title="Imagem">
          <a:extLst>
            <a:ext uri="{FF2B5EF4-FFF2-40B4-BE49-F238E27FC236}">
              <a16:creationId xmlns:a16="http://schemas.microsoft.com/office/drawing/2014/main" id="{9E4B3E56-7CF2-4F5C-B1B6-FBE518D0BA2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6576</xdr:col>
      <xdr:colOff>47625</xdr:colOff>
      <xdr:row>0</xdr:row>
      <xdr:rowOff>0</xdr:rowOff>
    </xdr:from>
    <xdr:ext cx="1200150" cy="571500"/>
    <xdr:pic>
      <xdr:nvPicPr>
        <xdr:cNvPr id="413" name="image1.png" title="Imagem">
          <a:extLst>
            <a:ext uri="{FF2B5EF4-FFF2-40B4-BE49-F238E27FC236}">
              <a16:creationId xmlns:a16="http://schemas.microsoft.com/office/drawing/2014/main" id="{8F04A621-9996-47E8-A778-8EB96088D9B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6592</xdr:col>
      <xdr:colOff>47625</xdr:colOff>
      <xdr:row>0</xdr:row>
      <xdr:rowOff>0</xdr:rowOff>
    </xdr:from>
    <xdr:ext cx="1200150" cy="571500"/>
    <xdr:pic>
      <xdr:nvPicPr>
        <xdr:cNvPr id="414" name="image1.png" title="Imagem">
          <a:extLst>
            <a:ext uri="{FF2B5EF4-FFF2-40B4-BE49-F238E27FC236}">
              <a16:creationId xmlns:a16="http://schemas.microsoft.com/office/drawing/2014/main" id="{4B494563-A420-4A03-9208-AF72FEBF632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6608</xdr:col>
      <xdr:colOff>47625</xdr:colOff>
      <xdr:row>0</xdr:row>
      <xdr:rowOff>0</xdr:rowOff>
    </xdr:from>
    <xdr:ext cx="1200150" cy="571500"/>
    <xdr:pic>
      <xdr:nvPicPr>
        <xdr:cNvPr id="415" name="image1.png" title="Imagem">
          <a:extLst>
            <a:ext uri="{FF2B5EF4-FFF2-40B4-BE49-F238E27FC236}">
              <a16:creationId xmlns:a16="http://schemas.microsoft.com/office/drawing/2014/main" id="{3A3CD4D1-7954-4AE4-A546-8E3419397A7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6624</xdr:col>
      <xdr:colOff>47625</xdr:colOff>
      <xdr:row>0</xdr:row>
      <xdr:rowOff>0</xdr:rowOff>
    </xdr:from>
    <xdr:ext cx="1200150" cy="571500"/>
    <xdr:pic>
      <xdr:nvPicPr>
        <xdr:cNvPr id="416" name="image1.png" title="Imagem">
          <a:extLst>
            <a:ext uri="{FF2B5EF4-FFF2-40B4-BE49-F238E27FC236}">
              <a16:creationId xmlns:a16="http://schemas.microsoft.com/office/drawing/2014/main" id="{0A2B331D-57ED-4449-89A1-AFF3F2A0AEF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6640</xdr:col>
      <xdr:colOff>47625</xdr:colOff>
      <xdr:row>0</xdr:row>
      <xdr:rowOff>0</xdr:rowOff>
    </xdr:from>
    <xdr:ext cx="1200150" cy="571500"/>
    <xdr:pic>
      <xdr:nvPicPr>
        <xdr:cNvPr id="417" name="image1.png" title="Imagem">
          <a:extLst>
            <a:ext uri="{FF2B5EF4-FFF2-40B4-BE49-F238E27FC236}">
              <a16:creationId xmlns:a16="http://schemas.microsoft.com/office/drawing/2014/main" id="{8D48B66D-F749-477D-B451-2C8A6F620A6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6656</xdr:col>
      <xdr:colOff>47625</xdr:colOff>
      <xdr:row>0</xdr:row>
      <xdr:rowOff>0</xdr:rowOff>
    </xdr:from>
    <xdr:ext cx="1200150" cy="571500"/>
    <xdr:pic>
      <xdr:nvPicPr>
        <xdr:cNvPr id="418" name="image1.png" title="Imagem">
          <a:extLst>
            <a:ext uri="{FF2B5EF4-FFF2-40B4-BE49-F238E27FC236}">
              <a16:creationId xmlns:a16="http://schemas.microsoft.com/office/drawing/2014/main" id="{A0BC8B1B-7904-419C-ADEF-47889773319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6672</xdr:col>
      <xdr:colOff>47625</xdr:colOff>
      <xdr:row>0</xdr:row>
      <xdr:rowOff>0</xdr:rowOff>
    </xdr:from>
    <xdr:ext cx="1200150" cy="571500"/>
    <xdr:pic>
      <xdr:nvPicPr>
        <xdr:cNvPr id="419" name="image1.png" title="Imagem">
          <a:extLst>
            <a:ext uri="{FF2B5EF4-FFF2-40B4-BE49-F238E27FC236}">
              <a16:creationId xmlns:a16="http://schemas.microsoft.com/office/drawing/2014/main" id="{52B9249A-0F18-4A2E-B4B3-B37018DDD4F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6688</xdr:col>
      <xdr:colOff>47625</xdr:colOff>
      <xdr:row>0</xdr:row>
      <xdr:rowOff>0</xdr:rowOff>
    </xdr:from>
    <xdr:ext cx="1200150" cy="571500"/>
    <xdr:pic>
      <xdr:nvPicPr>
        <xdr:cNvPr id="420" name="image1.png" title="Imagem">
          <a:extLst>
            <a:ext uri="{FF2B5EF4-FFF2-40B4-BE49-F238E27FC236}">
              <a16:creationId xmlns:a16="http://schemas.microsoft.com/office/drawing/2014/main" id="{AFDA0FD1-71E6-488C-BF07-F557E4593F5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6704</xdr:col>
      <xdr:colOff>47625</xdr:colOff>
      <xdr:row>0</xdr:row>
      <xdr:rowOff>0</xdr:rowOff>
    </xdr:from>
    <xdr:ext cx="1200150" cy="571500"/>
    <xdr:pic>
      <xdr:nvPicPr>
        <xdr:cNvPr id="421" name="image1.png" title="Imagem">
          <a:extLst>
            <a:ext uri="{FF2B5EF4-FFF2-40B4-BE49-F238E27FC236}">
              <a16:creationId xmlns:a16="http://schemas.microsoft.com/office/drawing/2014/main" id="{5BE96E8F-C8D5-48EF-B337-4EFCDD13BCB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6720</xdr:col>
      <xdr:colOff>47625</xdr:colOff>
      <xdr:row>0</xdr:row>
      <xdr:rowOff>0</xdr:rowOff>
    </xdr:from>
    <xdr:ext cx="1200150" cy="571500"/>
    <xdr:pic>
      <xdr:nvPicPr>
        <xdr:cNvPr id="422" name="image1.png" title="Imagem">
          <a:extLst>
            <a:ext uri="{FF2B5EF4-FFF2-40B4-BE49-F238E27FC236}">
              <a16:creationId xmlns:a16="http://schemas.microsoft.com/office/drawing/2014/main" id="{FCAF1521-FE55-4B8F-BB7E-F50BB72D6CB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6736</xdr:col>
      <xdr:colOff>47625</xdr:colOff>
      <xdr:row>0</xdr:row>
      <xdr:rowOff>0</xdr:rowOff>
    </xdr:from>
    <xdr:ext cx="1200150" cy="571500"/>
    <xdr:pic>
      <xdr:nvPicPr>
        <xdr:cNvPr id="423" name="image1.png" title="Imagem">
          <a:extLst>
            <a:ext uri="{FF2B5EF4-FFF2-40B4-BE49-F238E27FC236}">
              <a16:creationId xmlns:a16="http://schemas.microsoft.com/office/drawing/2014/main" id="{B667D15C-7B41-4E1E-9227-B31AF584BD2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6752</xdr:col>
      <xdr:colOff>47625</xdr:colOff>
      <xdr:row>0</xdr:row>
      <xdr:rowOff>0</xdr:rowOff>
    </xdr:from>
    <xdr:ext cx="1200150" cy="571500"/>
    <xdr:pic>
      <xdr:nvPicPr>
        <xdr:cNvPr id="424" name="image1.png" title="Imagem">
          <a:extLst>
            <a:ext uri="{FF2B5EF4-FFF2-40B4-BE49-F238E27FC236}">
              <a16:creationId xmlns:a16="http://schemas.microsoft.com/office/drawing/2014/main" id="{7CC0D8A7-2B41-4C75-83E3-41F3E02E77B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6768</xdr:col>
      <xdr:colOff>47625</xdr:colOff>
      <xdr:row>0</xdr:row>
      <xdr:rowOff>0</xdr:rowOff>
    </xdr:from>
    <xdr:ext cx="1200150" cy="571500"/>
    <xdr:pic>
      <xdr:nvPicPr>
        <xdr:cNvPr id="425" name="image1.png" title="Imagem">
          <a:extLst>
            <a:ext uri="{FF2B5EF4-FFF2-40B4-BE49-F238E27FC236}">
              <a16:creationId xmlns:a16="http://schemas.microsoft.com/office/drawing/2014/main" id="{8D5FD82E-A404-493D-8B21-139C101F88D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6784</xdr:col>
      <xdr:colOff>47625</xdr:colOff>
      <xdr:row>0</xdr:row>
      <xdr:rowOff>0</xdr:rowOff>
    </xdr:from>
    <xdr:ext cx="1200150" cy="571500"/>
    <xdr:pic>
      <xdr:nvPicPr>
        <xdr:cNvPr id="426" name="image1.png" title="Imagem">
          <a:extLst>
            <a:ext uri="{FF2B5EF4-FFF2-40B4-BE49-F238E27FC236}">
              <a16:creationId xmlns:a16="http://schemas.microsoft.com/office/drawing/2014/main" id="{78B597CE-CC01-41C6-8AB0-D964CBF16C4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6800</xdr:col>
      <xdr:colOff>47625</xdr:colOff>
      <xdr:row>0</xdr:row>
      <xdr:rowOff>0</xdr:rowOff>
    </xdr:from>
    <xdr:ext cx="1200150" cy="571500"/>
    <xdr:pic>
      <xdr:nvPicPr>
        <xdr:cNvPr id="427" name="image1.png" title="Imagem">
          <a:extLst>
            <a:ext uri="{FF2B5EF4-FFF2-40B4-BE49-F238E27FC236}">
              <a16:creationId xmlns:a16="http://schemas.microsoft.com/office/drawing/2014/main" id="{F01B0CD8-7CFD-4912-873A-86100756A89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6816</xdr:col>
      <xdr:colOff>47625</xdr:colOff>
      <xdr:row>0</xdr:row>
      <xdr:rowOff>0</xdr:rowOff>
    </xdr:from>
    <xdr:ext cx="1200150" cy="571500"/>
    <xdr:pic>
      <xdr:nvPicPr>
        <xdr:cNvPr id="428" name="image1.png" title="Imagem">
          <a:extLst>
            <a:ext uri="{FF2B5EF4-FFF2-40B4-BE49-F238E27FC236}">
              <a16:creationId xmlns:a16="http://schemas.microsoft.com/office/drawing/2014/main" id="{CFFD6859-D5C8-46C4-9405-2901456030B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6832</xdr:col>
      <xdr:colOff>47625</xdr:colOff>
      <xdr:row>0</xdr:row>
      <xdr:rowOff>0</xdr:rowOff>
    </xdr:from>
    <xdr:ext cx="1200150" cy="571500"/>
    <xdr:pic>
      <xdr:nvPicPr>
        <xdr:cNvPr id="429" name="image1.png" title="Imagem">
          <a:extLst>
            <a:ext uri="{FF2B5EF4-FFF2-40B4-BE49-F238E27FC236}">
              <a16:creationId xmlns:a16="http://schemas.microsoft.com/office/drawing/2014/main" id="{F1CA0C72-B147-49DC-A2CB-2D80BF11FFA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6848</xdr:col>
      <xdr:colOff>47625</xdr:colOff>
      <xdr:row>0</xdr:row>
      <xdr:rowOff>0</xdr:rowOff>
    </xdr:from>
    <xdr:ext cx="1200150" cy="571500"/>
    <xdr:pic>
      <xdr:nvPicPr>
        <xdr:cNvPr id="430" name="image1.png" title="Imagem">
          <a:extLst>
            <a:ext uri="{FF2B5EF4-FFF2-40B4-BE49-F238E27FC236}">
              <a16:creationId xmlns:a16="http://schemas.microsoft.com/office/drawing/2014/main" id="{33D90897-6C00-4835-9F2D-46311C8DFDE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6864</xdr:col>
      <xdr:colOff>47625</xdr:colOff>
      <xdr:row>0</xdr:row>
      <xdr:rowOff>0</xdr:rowOff>
    </xdr:from>
    <xdr:ext cx="1200150" cy="571500"/>
    <xdr:pic>
      <xdr:nvPicPr>
        <xdr:cNvPr id="431" name="image1.png" title="Imagem">
          <a:extLst>
            <a:ext uri="{FF2B5EF4-FFF2-40B4-BE49-F238E27FC236}">
              <a16:creationId xmlns:a16="http://schemas.microsoft.com/office/drawing/2014/main" id="{36D081DF-E4EE-4B22-A7C2-414DD7545ED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6880</xdr:col>
      <xdr:colOff>47625</xdr:colOff>
      <xdr:row>0</xdr:row>
      <xdr:rowOff>0</xdr:rowOff>
    </xdr:from>
    <xdr:ext cx="1200150" cy="571500"/>
    <xdr:pic>
      <xdr:nvPicPr>
        <xdr:cNvPr id="432" name="image1.png" title="Imagem">
          <a:extLst>
            <a:ext uri="{FF2B5EF4-FFF2-40B4-BE49-F238E27FC236}">
              <a16:creationId xmlns:a16="http://schemas.microsoft.com/office/drawing/2014/main" id="{6B655F2F-C633-4CC7-9CEC-DB53145FD0B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6896</xdr:col>
      <xdr:colOff>47625</xdr:colOff>
      <xdr:row>0</xdr:row>
      <xdr:rowOff>0</xdr:rowOff>
    </xdr:from>
    <xdr:ext cx="1200150" cy="571500"/>
    <xdr:pic>
      <xdr:nvPicPr>
        <xdr:cNvPr id="433" name="image1.png" title="Imagem">
          <a:extLst>
            <a:ext uri="{FF2B5EF4-FFF2-40B4-BE49-F238E27FC236}">
              <a16:creationId xmlns:a16="http://schemas.microsoft.com/office/drawing/2014/main" id="{F9C822D2-1CF8-4D8D-B8CE-812F13E3BA8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6912</xdr:col>
      <xdr:colOff>47625</xdr:colOff>
      <xdr:row>0</xdr:row>
      <xdr:rowOff>0</xdr:rowOff>
    </xdr:from>
    <xdr:ext cx="1200150" cy="571500"/>
    <xdr:pic>
      <xdr:nvPicPr>
        <xdr:cNvPr id="434" name="image1.png" title="Imagem">
          <a:extLst>
            <a:ext uri="{FF2B5EF4-FFF2-40B4-BE49-F238E27FC236}">
              <a16:creationId xmlns:a16="http://schemas.microsoft.com/office/drawing/2014/main" id="{9AAC8CB6-B687-4758-8809-6506F154DA8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6928</xdr:col>
      <xdr:colOff>47625</xdr:colOff>
      <xdr:row>0</xdr:row>
      <xdr:rowOff>0</xdr:rowOff>
    </xdr:from>
    <xdr:ext cx="1200150" cy="571500"/>
    <xdr:pic>
      <xdr:nvPicPr>
        <xdr:cNvPr id="435" name="image1.png" title="Imagem">
          <a:extLst>
            <a:ext uri="{FF2B5EF4-FFF2-40B4-BE49-F238E27FC236}">
              <a16:creationId xmlns:a16="http://schemas.microsoft.com/office/drawing/2014/main" id="{10A06774-DA85-43E6-8375-38F7EA1C59B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6944</xdr:col>
      <xdr:colOff>47625</xdr:colOff>
      <xdr:row>0</xdr:row>
      <xdr:rowOff>0</xdr:rowOff>
    </xdr:from>
    <xdr:ext cx="1200150" cy="571500"/>
    <xdr:pic>
      <xdr:nvPicPr>
        <xdr:cNvPr id="436" name="image1.png" title="Imagem">
          <a:extLst>
            <a:ext uri="{FF2B5EF4-FFF2-40B4-BE49-F238E27FC236}">
              <a16:creationId xmlns:a16="http://schemas.microsoft.com/office/drawing/2014/main" id="{7B52F5AB-28C7-447E-A447-5A615ADEB59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6960</xdr:col>
      <xdr:colOff>47625</xdr:colOff>
      <xdr:row>0</xdr:row>
      <xdr:rowOff>0</xdr:rowOff>
    </xdr:from>
    <xdr:ext cx="1200150" cy="571500"/>
    <xdr:pic>
      <xdr:nvPicPr>
        <xdr:cNvPr id="437" name="image1.png" title="Imagem">
          <a:extLst>
            <a:ext uri="{FF2B5EF4-FFF2-40B4-BE49-F238E27FC236}">
              <a16:creationId xmlns:a16="http://schemas.microsoft.com/office/drawing/2014/main" id="{5E36C47F-05B9-48BE-806D-3B90407EF67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6976</xdr:col>
      <xdr:colOff>47625</xdr:colOff>
      <xdr:row>0</xdr:row>
      <xdr:rowOff>0</xdr:rowOff>
    </xdr:from>
    <xdr:ext cx="1200150" cy="571500"/>
    <xdr:pic>
      <xdr:nvPicPr>
        <xdr:cNvPr id="438" name="image1.png" title="Imagem">
          <a:extLst>
            <a:ext uri="{FF2B5EF4-FFF2-40B4-BE49-F238E27FC236}">
              <a16:creationId xmlns:a16="http://schemas.microsoft.com/office/drawing/2014/main" id="{3668704B-B861-456C-A3BB-46A5BF1CFDB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6992</xdr:col>
      <xdr:colOff>47625</xdr:colOff>
      <xdr:row>0</xdr:row>
      <xdr:rowOff>0</xdr:rowOff>
    </xdr:from>
    <xdr:ext cx="1200150" cy="571500"/>
    <xdr:pic>
      <xdr:nvPicPr>
        <xdr:cNvPr id="439" name="image1.png" title="Imagem">
          <a:extLst>
            <a:ext uri="{FF2B5EF4-FFF2-40B4-BE49-F238E27FC236}">
              <a16:creationId xmlns:a16="http://schemas.microsoft.com/office/drawing/2014/main" id="{30B825DF-2281-42D8-AED6-0186DAD9FD0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7008</xdr:col>
      <xdr:colOff>47625</xdr:colOff>
      <xdr:row>0</xdr:row>
      <xdr:rowOff>0</xdr:rowOff>
    </xdr:from>
    <xdr:ext cx="1200150" cy="571500"/>
    <xdr:pic>
      <xdr:nvPicPr>
        <xdr:cNvPr id="440" name="image1.png" title="Imagem">
          <a:extLst>
            <a:ext uri="{FF2B5EF4-FFF2-40B4-BE49-F238E27FC236}">
              <a16:creationId xmlns:a16="http://schemas.microsoft.com/office/drawing/2014/main" id="{1C4F741B-DC2C-4BBF-95CA-CE45A12E9F4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7024</xdr:col>
      <xdr:colOff>47625</xdr:colOff>
      <xdr:row>0</xdr:row>
      <xdr:rowOff>0</xdr:rowOff>
    </xdr:from>
    <xdr:ext cx="1200150" cy="571500"/>
    <xdr:pic>
      <xdr:nvPicPr>
        <xdr:cNvPr id="441" name="image1.png" title="Imagem">
          <a:extLst>
            <a:ext uri="{FF2B5EF4-FFF2-40B4-BE49-F238E27FC236}">
              <a16:creationId xmlns:a16="http://schemas.microsoft.com/office/drawing/2014/main" id="{D97D89F6-FA87-4A3E-A48C-405B2A1BC96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7040</xdr:col>
      <xdr:colOff>47625</xdr:colOff>
      <xdr:row>0</xdr:row>
      <xdr:rowOff>0</xdr:rowOff>
    </xdr:from>
    <xdr:ext cx="1200150" cy="571500"/>
    <xdr:pic>
      <xdr:nvPicPr>
        <xdr:cNvPr id="442" name="image1.png" title="Imagem">
          <a:extLst>
            <a:ext uri="{FF2B5EF4-FFF2-40B4-BE49-F238E27FC236}">
              <a16:creationId xmlns:a16="http://schemas.microsoft.com/office/drawing/2014/main" id="{73956E82-220A-4AB1-8E2F-146FA4806EC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7056</xdr:col>
      <xdr:colOff>47625</xdr:colOff>
      <xdr:row>0</xdr:row>
      <xdr:rowOff>0</xdr:rowOff>
    </xdr:from>
    <xdr:ext cx="1200150" cy="571500"/>
    <xdr:pic>
      <xdr:nvPicPr>
        <xdr:cNvPr id="443" name="image1.png" title="Imagem">
          <a:extLst>
            <a:ext uri="{FF2B5EF4-FFF2-40B4-BE49-F238E27FC236}">
              <a16:creationId xmlns:a16="http://schemas.microsoft.com/office/drawing/2014/main" id="{37935E36-C74E-472A-9740-F7068673086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7072</xdr:col>
      <xdr:colOff>47625</xdr:colOff>
      <xdr:row>0</xdr:row>
      <xdr:rowOff>0</xdr:rowOff>
    </xdr:from>
    <xdr:ext cx="1200150" cy="571500"/>
    <xdr:pic>
      <xdr:nvPicPr>
        <xdr:cNvPr id="444" name="image1.png" title="Imagem">
          <a:extLst>
            <a:ext uri="{FF2B5EF4-FFF2-40B4-BE49-F238E27FC236}">
              <a16:creationId xmlns:a16="http://schemas.microsoft.com/office/drawing/2014/main" id="{53994570-9E38-48CF-A501-76646156071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7088</xdr:col>
      <xdr:colOff>47625</xdr:colOff>
      <xdr:row>0</xdr:row>
      <xdr:rowOff>0</xdr:rowOff>
    </xdr:from>
    <xdr:ext cx="1200150" cy="571500"/>
    <xdr:pic>
      <xdr:nvPicPr>
        <xdr:cNvPr id="445" name="image1.png" title="Imagem">
          <a:extLst>
            <a:ext uri="{FF2B5EF4-FFF2-40B4-BE49-F238E27FC236}">
              <a16:creationId xmlns:a16="http://schemas.microsoft.com/office/drawing/2014/main" id="{496D9426-B84C-4639-AB22-EBEBE0EAF40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7104</xdr:col>
      <xdr:colOff>47625</xdr:colOff>
      <xdr:row>0</xdr:row>
      <xdr:rowOff>0</xdr:rowOff>
    </xdr:from>
    <xdr:ext cx="1200150" cy="571500"/>
    <xdr:pic>
      <xdr:nvPicPr>
        <xdr:cNvPr id="446" name="image1.png" title="Imagem">
          <a:extLst>
            <a:ext uri="{FF2B5EF4-FFF2-40B4-BE49-F238E27FC236}">
              <a16:creationId xmlns:a16="http://schemas.microsoft.com/office/drawing/2014/main" id="{13C2770D-0500-42FC-BF17-D6D44F45058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7120</xdr:col>
      <xdr:colOff>47625</xdr:colOff>
      <xdr:row>0</xdr:row>
      <xdr:rowOff>0</xdr:rowOff>
    </xdr:from>
    <xdr:ext cx="1200150" cy="571500"/>
    <xdr:pic>
      <xdr:nvPicPr>
        <xdr:cNvPr id="447" name="image1.png" title="Imagem">
          <a:extLst>
            <a:ext uri="{FF2B5EF4-FFF2-40B4-BE49-F238E27FC236}">
              <a16:creationId xmlns:a16="http://schemas.microsoft.com/office/drawing/2014/main" id="{C551957C-1CC6-4644-B155-19A466D9F2A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7136</xdr:col>
      <xdr:colOff>47625</xdr:colOff>
      <xdr:row>0</xdr:row>
      <xdr:rowOff>0</xdr:rowOff>
    </xdr:from>
    <xdr:ext cx="1200150" cy="571500"/>
    <xdr:pic>
      <xdr:nvPicPr>
        <xdr:cNvPr id="448" name="image1.png" title="Imagem">
          <a:extLst>
            <a:ext uri="{FF2B5EF4-FFF2-40B4-BE49-F238E27FC236}">
              <a16:creationId xmlns:a16="http://schemas.microsoft.com/office/drawing/2014/main" id="{BC6BF98A-B404-4B9B-8530-81BBC9369B4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7152</xdr:col>
      <xdr:colOff>47625</xdr:colOff>
      <xdr:row>0</xdr:row>
      <xdr:rowOff>0</xdr:rowOff>
    </xdr:from>
    <xdr:ext cx="1200150" cy="571500"/>
    <xdr:pic>
      <xdr:nvPicPr>
        <xdr:cNvPr id="449" name="image1.png" title="Imagem">
          <a:extLst>
            <a:ext uri="{FF2B5EF4-FFF2-40B4-BE49-F238E27FC236}">
              <a16:creationId xmlns:a16="http://schemas.microsoft.com/office/drawing/2014/main" id="{B9F8F1AE-7158-42C9-9CD3-AF580300C1D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7168</xdr:col>
      <xdr:colOff>47625</xdr:colOff>
      <xdr:row>0</xdr:row>
      <xdr:rowOff>0</xdr:rowOff>
    </xdr:from>
    <xdr:ext cx="1200150" cy="571500"/>
    <xdr:pic>
      <xdr:nvPicPr>
        <xdr:cNvPr id="450" name="image1.png" title="Imagem">
          <a:extLst>
            <a:ext uri="{FF2B5EF4-FFF2-40B4-BE49-F238E27FC236}">
              <a16:creationId xmlns:a16="http://schemas.microsoft.com/office/drawing/2014/main" id="{38BC4829-1FB4-4818-89C7-DA04E3D2D0E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7184</xdr:col>
      <xdr:colOff>47625</xdr:colOff>
      <xdr:row>0</xdr:row>
      <xdr:rowOff>0</xdr:rowOff>
    </xdr:from>
    <xdr:ext cx="1200150" cy="571500"/>
    <xdr:pic>
      <xdr:nvPicPr>
        <xdr:cNvPr id="451" name="image1.png" title="Imagem">
          <a:extLst>
            <a:ext uri="{FF2B5EF4-FFF2-40B4-BE49-F238E27FC236}">
              <a16:creationId xmlns:a16="http://schemas.microsoft.com/office/drawing/2014/main" id="{4D594EA6-3E4C-4C51-8394-069C6BF2B3C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7200</xdr:col>
      <xdr:colOff>47625</xdr:colOff>
      <xdr:row>0</xdr:row>
      <xdr:rowOff>0</xdr:rowOff>
    </xdr:from>
    <xdr:ext cx="1200150" cy="571500"/>
    <xdr:pic>
      <xdr:nvPicPr>
        <xdr:cNvPr id="452" name="image1.png" title="Imagem">
          <a:extLst>
            <a:ext uri="{FF2B5EF4-FFF2-40B4-BE49-F238E27FC236}">
              <a16:creationId xmlns:a16="http://schemas.microsoft.com/office/drawing/2014/main" id="{86068860-75F3-4D34-8BD8-40CEB0BFFD6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7216</xdr:col>
      <xdr:colOff>47625</xdr:colOff>
      <xdr:row>0</xdr:row>
      <xdr:rowOff>0</xdr:rowOff>
    </xdr:from>
    <xdr:ext cx="1200150" cy="571500"/>
    <xdr:pic>
      <xdr:nvPicPr>
        <xdr:cNvPr id="453" name="image1.png" title="Imagem">
          <a:extLst>
            <a:ext uri="{FF2B5EF4-FFF2-40B4-BE49-F238E27FC236}">
              <a16:creationId xmlns:a16="http://schemas.microsoft.com/office/drawing/2014/main" id="{DB3C2077-AB88-4DA0-833B-6580AED4328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7232</xdr:col>
      <xdr:colOff>47625</xdr:colOff>
      <xdr:row>0</xdr:row>
      <xdr:rowOff>0</xdr:rowOff>
    </xdr:from>
    <xdr:ext cx="1200150" cy="571500"/>
    <xdr:pic>
      <xdr:nvPicPr>
        <xdr:cNvPr id="454" name="image1.png" title="Imagem">
          <a:extLst>
            <a:ext uri="{FF2B5EF4-FFF2-40B4-BE49-F238E27FC236}">
              <a16:creationId xmlns:a16="http://schemas.microsoft.com/office/drawing/2014/main" id="{4AA08FF1-43BF-4495-8FBC-63609B3EEB4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7248</xdr:col>
      <xdr:colOff>47625</xdr:colOff>
      <xdr:row>0</xdr:row>
      <xdr:rowOff>0</xdr:rowOff>
    </xdr:from>
    <xdr:ext cx="1200150" cy="571500"/>
    <xdr:pic>
      <xdr:nvPicPr>
        <xdr:cNvPr id="455" name="image1.png" title="Imagem">
          <a:extLst>
            <a:ext uri="{FF2B5EF4-FFF2-40B4-BE49-F238E27FC236}">
              <a16:creationId xmlns:a16="http://schemas.microsoft.com/office/drawing/2014/main" id="{C1794031-9048-4792-BC76-D941037FCB4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7264</xdr:col>
      <xdr:colOff>47625</xdr:colOff>
      <xdr:row>0</xdr:row>
      <xdr:rowOff>0</xdr:rowOff>
    </xdr:from>
    <xdr:ext cx="1200150" cy="571500"/>
    <xdr:pic>
      <xdr:nvPicPr>
        <xdr:cNvPr id="456" name="image1.png" title="Imagem">
          <a:extLst>
            <a:ext uri="{FF2B5EF4-FFF2-40B4-BE49-F238E27FC236}">
              <a16:creationId xmlns:a16="http://schemas.microsoft.com/office/drawing/2014/main" id="{6972C2D5-B4EF-4883-88EC-12CDB4A3858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7280</xdr:col>
      <xdr:colOff>47625</xdr:colOff>
      <xdr:row>0</xdr:row>
      <xdr:rowOff>0</xdr:rowOff>
    </xdr:from>
    <xdr:ext cx="1200150" cy="571500"/>
    <xdr:pic>
      <xdr:nvPicPr>
        <xdr:cNvPr id="457" name="image1.png" title="Imagem">
          <a:extLst>
            <a:ext uri="{FF2B5EF4-FFF2-40B4-BE49-F238E27FC236}">
              <a16:creationId xmlns:a16="http://schemas.microsoft.com/office/drawing/2014/main" id="{D247172D-9BFA-4A41-A817-40ED1AD70F4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7296</xdr:col>
      <xdr:colOff>47625</xdr:colOff>
      <xdr:row>0</xdr:row>
      <xdr:rowOff>0</xdr:rowOff>
    </xdr:from>
    <xdr:ext cx="1200150" cy="571500"/>
    <xdr:pic>
      <xdr:nvPicPr>
        <xdr:cNvPr id="458" name="image1.png" title="Imagem">
          <a:extLst>
            <a:ext uri="{FF2B5EF4-FFF2-40B4-BE49-F238E27FC236}">
              <a16:creationId xmlns:a16="http://schemas.microsoft.com/office/drawing/2014/main" id="{EDD7B7AD-9114-4F95-83B5-C2F11CE9AD1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7312</xdr:col>
      <xdr:colOff>47625</xdr:colOff>
      <xdr:row>0</xdr:row>
      <xdr:rowOff>0</xdr:rowOff>
    </xdr:from>
    <xdr:ext cx="1200150" cy="571500"/>
    <xdr:pic>
      <xdr:nvPicPr>
        <xdr:cNvPr id="459" name="image1.png" title="Imagem">
          <a:extLst>
            <a:ext uri="{FF2B5EF4-FFF2-40B4-BE49-F238E27FC236}">
              <a16:creationId xmlns:a16="http://schemas.microsoft.com/office/drawing/2014/main" id="{181B347C-C1B0-4942-8B52-766C9C2A5AA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7328</xdr:col>
      <xdr:colOff>47625</xdr:colOff>
      <xdr:row>0</xdr:row>
      <xdr:rowOff>0</xdr:rowOff>
    </xdr:from>
    <xdr:ext cx="1200150" cy="571500"/>
    <xdr:pic>
      <xdr:nvPicPr>
        <xdr:cNvPr id="460" name="image1.png" title="Imagem">
          <a:extLst>
            <a:ext uri="{FF2B5EF4-FFF2-40B4-BE49-F238E27FC236}">
              <a16:creationId xmlns:a16="http://schemas.microsoft.com/office/drawing/2014/main" id="{C994845E-E570-4453-96EA-4B38B780210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7344</xdr:col>
      <xdr:colOff>47625</xdr:colOff>
      <xdr:row>0</xdr:row>
      <xdr:rowOff>0</xdr:rowOff>
    </xdr:from>
    <xdr:ext cx="1200150" cy="571500"/>
    <xdr:pic>
      <xdr:nvPicPr>
        <xdr:cNvPr id="461" name="image1.png" title="Imagem">
          <a:extLst>
            <a:ext uri="{FF2B5EF4-FFF2-40B4-BE49-F238E27FC236}">
              <a16:creationId xmlns:a16="http://schemas.microsoft.com/office/drawing/2014/main" id="{5CD29710-F137-451F-ABAB-D73D7C305E1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7360</xdr:col>
      <xdr:colOff>47625</xdr:colOff>
      <xdr:row>0</xdr:row>
      <xdr:rowOff>0</xdr:rowOff>
    </xdr:from>
    <xdr:ext cx="1200150" cy="571500"/>
    <xdr:pic>
      <xdr:nvPicPr>
        <xdr:cNvPr id="462" name="image1.png" title="Imagem">
          <a:extLst>
            <a:ext uri="{FF2B5EF4-FFF2-40B4-BE49-F238E27FC236}">
              <a16:creationId xmlns:a16="http://schemas.microsoft.com/office/drawing/2014/main" id="{17E7CF74-A8E0-4BB2-8807-B197753ACE0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7376</xdr:col>
      <xdr:colOff>47625</xdr:colOff>
      <xdr:row>0</xdr:row>
      <xdr:rowOff>0</xdr:rowOff>
    </xdr:from>
    <xdr:ext cx="1200150" cy="571500"/>
    <xdr:pic>
      <xdr:nvPicPr>
        <xdr:cNvPr id="463" name="image1.png" title="Imagem">
          <a:extLst>
            <a:ext uri="{FF2B5EF4-FFF2-40B4-BE49-F238E27FC236}">
              <a16:creationId xmlns:a16="http://schemas.microsoft.com/office/drawing/2014/main" id="{A190F3FD-6987-4AEB-987C-15F85598304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7392</xdr:col>
      <xdr:colOff>47625</xdr:colOff>
      <xdr:row>0</xdr:row>
      <xdr:rowOff>0</xdr:rowOff>
    </xdr:from>
    <xdr:ext cx="1200150" cy="571500"/>
    <xdr:pic>
      <xdr:nvPicPr>
        <xdr:cNvPr id="464" name="image1.png" title="Imagem">
          <a:extLst>
            <a:ext uri="{FF2B5EF4-FFF2-40B4-BE49-F238E27FC236}">
              <a16:creationId xmlns:a16="http://schemas.microsoft.com/office/drawing/2014/main" id="{9CAF5958-4714-40F7-BBC9-209DE98E475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7408</xdr:col>
      <xdr:colOff>47625</xdr:colOff>
      <xdr:row>0</xdr:row>
      <xdr:rowOff>0</xdr:rowOff>
    </xdr:from>
    <xdr:ext cx="1200150" cy="571500"/>
    <xdr:pic>
      <xdr:nvPicPr>
        <xdr:cNvPr id="465" name="image1.png" title="Imagem">
          <a:extLst>
            <a:ext uri="{FF2B5EF4-FFF2-40B4-BE49-F238E27FC236}">
              <a16:creationId xmlns:a16="http://schemas.microsoft.com/office/drawing/2014/main" id="{6F7A0A57-AAE2-452D-95AF-5EEBF072172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7424</xdr:col>
      <xdr:colOff>47625</xdr:colOff>
      <xdr:row>0</xdr:row>
      <xdr:rowOff>0</xdr:rowOff>
    </xdr:from>
    <xdr:ext cx="1200150" cy="571500"/>
    <xdr:pic>
      <xdr:nvPicPr>
        <xdr:cNvPr id="466" name="image1.png" title="Imagem">
          <a:extLst>
            <a:ext uri="{FF2B5EF4-FFF2-40B4-BE49-F238E27FC236}">
              <a16:creationId xmlns:a16="http://schemas.microsoft.com/office/drawing/2014/main" id="{768747A0-82FF-4999-A992-FC5C0F1AE72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7440</xdr:col>
      <xdr:colOff>47625</xdr:colOff>
      <xdr:row>0</xdr:row>
      <xdr:rowOff>0</xdr:rowOff>
    </xdr:from>
    <xdr:ext cx="1200150" cy="571500"/>
    <xdr:pic>
      <xdr:nvPicPr>
        <xdr:cNvPr id="467" name="image1.png" title="Imagem">
          <a:extLst>
            <a:ext uri="{FF2B5EF4-FFF2-40B4-BE49-F238E27FC236}">
              <a16:creationId xmlns:a16="http://schemas.microsoft.com/office/drawing/2014/main" id="{884898CD-610D-4ECD-ABF8-788640FCB66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7456</xdr:col>
      <xdr:colOff>47625</xdr:colOff>
      <xdr:row>0</xdr:row>
      <xdr:rowOff>0</xdr:rowOff>
    </xdr:from>
    <xdr:ext cx="1200150" cy="571500"/>
    <xdr:pic>
      <xdr:nvPicPr>
        <xdr:cNvPr id="468" name="image1.png" title="Imagem">
          <a:extLst>
            <a:ext uri="{FF2B5EF4-FFF2-40B4-BE49-F238E27FC236}">
              <a16:creationId xmlns:a16="http://schemas.microsoft.com/office/drawing/2014/main" id="{406527A4-A074-4083-844B-C4AF36F101F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7472</xdr:col>
      <xdr:colOff>47625</xdr:colOff>
      <xdr:row>0</xdr:row>
      <xdr:rowOff>0</xdr:rowOff>
    </xdr:from>
    <xdr:ext cx="1200150" cy="571500"/>
    <xdr:pic>
      <xdr:nvPicPr>
        <xdr:cNvPr id="469" name="image1.png" title="Imagem">
          <a:extLst>
            <a:ext uri="{FF2B5EF4-FFF2-40B4-BE49-F238E27FC236}">
              <a16:creationId xmlns:a16="http://schemas.microsoft.com/office/drawing/2014/main" id="{AA3001AD-34EF-4443-AA1B-4CA83D35B0F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7488</xdr:col>
      <xdr:colOff>47625</xdr:colOff>
      <xdr:row>0</xdr:row>
      <xdr:rowOff>0</xdr:rowOff>
    </xdr:from>
    <xdr:ext cx="1200150" cy="571500"/>
    <xdr:pic>
      <xdr:nvPicPr>
        <xdr:cNvPr id="470" name="image1.png" title="Imagem">
          <a:extLst>
            <a:ext uri="{FF2B5EF4-FFF2-40B4-BE49-F238E27FC236}">
              <a16:creationId xmlns:a16="http://schemas.microsoft.com/office/drawing/2014/main" id="{C7AE125E-A203-4410-A874-FE193FCD852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7504</xdr:col>
      <xdr:colOff>47625</xdr:colOff>
      <xdr:row>0</xdr:row>
      <xdr:rowOff>0</xdr:rowOff>
    </xdr:from>
    <xdr:ext cx="1200150" cy="571500"/>
    <xdr:pic>
      <xdr:nvPicPr>
        <xdr:cNvPr id="471" name="image1.png" title="Imagem">
          <a:extLst>
            <a:ext uri="{FF2B5EF4-FFF2-40B4-BE49-F238E27FC236}">
              <a16:creationId xmlns:a16="http://schemas.microsoft.com/office/drawing/2014/main" id="{A4669FB2-97F5-4447-8F88-8122CF4F367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7520</xdr:col>
      <xdr:colOff>47625</xdr:colOff>
      <xdr:row>0</xdr:row>
      <xdr:rowOff>0</xdr:rowOff>
    </xdr:from>
    <xdr:ext cx="1200150" cy="571500"/>
    <xdr:pic>
      <xdr:nvPicPr>
        <xdr:cNvPr id="472" name="image1.png" title="Imagem">
          <a:extLst>
            <a:ext uri="{FF2B5EF4-FFF2-40B4-BE49-F238E27FC236}">
              <a16:creationId xmlns:a16="http://schemas.microsoft.com/office/drawing/2014/main" id="{98D9EE2A-EAC7-493E-8394-9B1F9053EF9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7536</xdr:col>
      <xdr:colOff>47625</xdr:colOff>
      <xdr:row>0</xdr:row>
      <xdr:rowOff>0</xdr:rowOff>
    </xdr:from>
    <xdr:ext cx="1200150" cy="571500"/>
    <xdr:pic>
      <xdr:nvPicPr>
        <xdr:cNvPr id="473" name="image1.png" title="Imagem">
          <a:extLst>
            <a:ext uri="{FF2B5EF4-FFF2-40B4-BE49-F238E27FC236}">
              <a16:creationId xmlns:a16="http://schemas.microsoft.com/office/drawing/2014/main" id="{C5D313E5-365A-46E8-B112-3616D6094AA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7552</xdr:col>
      <xdr:colOff>47625</xdr:colOff>
      <xdr:row>0</xdr:row>
      <xdr:rowOff>0</xdr:rowOff>
    </xdr:from>
    <xdr:ext cx="1200150" cy="571500"/>
    <xdr:pic>
      <xdr:nvPicPr>
        <xdr:cNvPr id="474" name="image1.png" title="Imagem">
          <a:extLst>
            <a:ext uri="{FF2B5EF4-FFF2-40B4-BE49-F238E27FC236}">
              <a16:creationId xmlns:a16="http://schemas.microsoft.com/office/drawing/2014/main" id="{2E867AA8-B156-4A6C-88E1-BCEA3C80E12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7568</xdr:col>
      <xdr:colOff>47625</xdr:colOff>
      <xdr:row>0</xdr:row>
      <xdr:rowOff>0</xdr:rowOff>
    </xdr:from>
    <xdr:ext cx="1200150" cy="571500"/>
    <xdr:pic>
      <xdr:nvPicPr>
        <xdr:cNvPr id="475" name="image1.png" title="Imagem">
          <a:extLst>
            <a:ext uri="{FF2B5EF4-FFF2-40B4-BE49-F238E27FC236}">
              <a16:creationId xmlns:a16="http://schemas.microsoft.com/office/drawing/2014/main" id="{49867312-6180-4B9B-B5A5-5B293DCE49B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7584</xdr:col>
      <xdr:colOff>47625</xdr:colOff>
      <xdr:row>0</xdr:row>
      <xdr:rowOff>0</xdr:rowOff>
    </xdr:from>
    <xdr:ext cx="1200150" cy="571500"/>
    <xdr:pic>
      <xdr:nvPicPr>
        <xdr:cNvPr id="476" name="image1.png" title="Imagem">
          <a:extLst>
            <a:ext uri="{FF2B5EF4-FFF2-40B4-BE49-F238E27FC236}">
              <a16:creationId xmlns:a16="http://schemas.microsoft.com/office/drawing/2014/main" id="{ED7DE109-C925-43D5-8A4B-50E052D4F6D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7600</xdr:col>
      <xdr:colOff>47625</xdr:colOff>
      <xdr:row>0</xdr:row>
      <xdr:rowOff>0</xdr:rowOff>
    </xdr:from>
    <xdr:ext cx="1200150" cy="571500"/>
    <xdr:pic>
      <xdr:nvPicPr>
        <xdr:cNvPr id="477" name="image1.png" title="Imagem">
          <a:extLst>
            <a:ext uri="{FF2B5EF4-FFF2-40B4-BE49-F238E27FC236}">
              <a16:creationId xmlns:a16="http://schemas.microsoft.com/office/drawing/2014/main" id="{60BAD8D2-13CC-4FEA-9EA3-CB1AA03B259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7616</xdr:col>
      <xdr:colOff>47625</xdr:colOff>
      <xdr:row>0</xdr:row>
      <xdr:rowOff>0</xdr:rowOff>
    </xdr:from>
    <xdr:ext cx="1200150" cy="571500"/>
    <xdr:pic>
      <xdr:nvPicPr>
        <xdr:cNvPr id="478" name="image1.png" title="Imagem">
          <a:extLst>
            <a:ext uri="{FF2B5EF4-FFF2-40B4-BE49-F238E27FC236}">
              <a16:creationId xmlns:a16="http://schemas.microsoft.com/office/drawing/2014/main" id="{ED53EAF9-B11B-4108-B8BB-2660B17905C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7632</xdr:col>
      <xdr:colOff>47625</xdr:colOff>
      <xdr:row>0</xdr:row>
      <xdr:rowOff>0</xdr:rowOff>
    </xdr:from>
    <xdr:ext cx="1200150" cy="571500"/>
    <xdr:pic>
      <xdr:nvPicPr>
        <xdr:cNvPr id="479" name="image1.png" title="Imagem">
          <a:extLst>
            <a:ext uri="{FF2B5EF4-FFF2-40B4-BE49-F238E27FC236}">
              <a16:creationId xmlns:a16="http://schemas.microsoft.com/office/drawing/2014/main" id="{B26ADBB8-E899-4FFA-9042-BC4C9809D38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7648</xdr:col>
      <xdr:colOff>47625</xdr:colOff>
      <xdr:row>0</xdr:row>
      <xdr:rowOff>0</xdr:rowOff>
    </xdr:from>
    <xdr:ext cx="1200150" cy="571500"/>
    <xdr:pic>
      <xdr:nvPicPr>
        <xdr:cNvPr id="480" name="image1.png" title="Imagem">
          <a:extLst>
            <a:ext uri="{FF2B5EF4-FFF2-40B4-BE49-F238E27FC236}">
              <a16:creationId xmlns:a16="http://schemas.microsoft.com/office/drawing/2014/main" id="{FB1A74FD-295D-4069-AF9F-3233DF9FE70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7664</xdr:col>
      <xdr:colOff>47625</xdr:colOff>
      <xdr:row>0</xdr:row>
      <xdr:rowOff>0</xdr:rowOff>
    </xdr:from>
    <xdr:ext cx="1200150" cy="571500"/>
    <xdr:pic>
      <xdr:nvPicPr>
        <xdr:cNvPr id="481" name="image1.png" title="Imagem">
          <a:extLst>
            <a:ext uri="{FF2B5EF4-FFF2-40B4-BE49-F238E27FC236}">
              <a16:creationId xmlns:a16="http://schemas.microsoft.com/office/drawing/2014/main" id="{5A663D4B-205C-4AE1-88A2-5DB15228F64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7680</xdr:col>
      <xdr:colOff>47625</xdr:colOff>
      <xdr:row>0</xdr:row>
      <xdr:rowOff>0</xdr:rowOff>
    </xdr:from>
    <xdr:ext cx="1200150" cy="571500"/>
    <xdr:pic>
      <xdr:nvPicPr>
        <xdr:cNvPr id="482" name="image1.png" title="Imagem">
          <a:extLst>
            <a:ext uri="{FF2B5EF4-FFF2-40B4-BE49-F238E27FC236}">
              <a16:creationId xmlns:a16="http://schemas.microsoft.com/office/drawing/2014/main" id="{E9D0D9B0-F969-4E51-904D-20E2934FB96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7696</xdr:col>
      <xdr:colOff>47625</xdr:colOff>
      <xdr:row>0</xdr:row>
      <xdr:rowOff>0</xdr:rowOff>
    </xdr:from>
    <xdr:ext cx="1200150" cy="571500"/>
    <xdr:pic>
      <xdr:nvPicPr>
        <xdr:cNvPr id="483" name="image1.png" title="Imagem">
          <a:extLst>
            <a:ext uri="{FF2B5EF4-FFF2-40B4-BE49-F238E27FC236}">
              <a16:creationId xmlns:a16="http://schemas.microsoft.com/office/drawing/2014/main" id="{6885E6F1-0D2A-4125-9E90-43B4386939C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7712</xdr:col>
      <xdr:colOff>47625</xdr:colOff>
      <xdr:row>0</xdr:row>
      <xdr:rowOff>0</xdr:rowOff>
    </xdr:from>
    <xdr:ext cx="1200150" cy="571500"/>
    <xdr:pic>
      <xdr:nvPicPr>
        <xdr:cNvPr id="484" name="image1.png" title="Imagem">
          <a:extLst>
            <a:ext uri="{FF2B5EF4-FFF2-40B4-BE49-F238E27FC236}">
              <a16:creationId xmlns:a16="http://schemas.microsoft.com/office/drawing/2014/main" id="{4A46F6DB-04AA-485D-BEAF-48F094A0671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7728</xdr:col>
      <xdr:colOff>47625</xdr:colOff>
      <xdr:row>0</xdr:row>
      <xdr:rowOff>0</xdr:rowOff>
    </xdr:from>
    <xdr:ext cx="1200150" cy="571500"/>
    <xdr:pic>
      <xdr:nvPicPr>
        <xdr:cNvPr id="485" name="image1.png" title="Imagem">
          <a:extLst>
            <a:ext uri="{FF2B5EF4-FFF2-40B4-BE49-F238E27FC236}">
              <a16:creationId xmlns:a16="http://schemas.microsoft.com/office/drawing/2014/main" id="{0DCD45BA-4938-4A30-BEFD-78A66C73408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7744</xdr:col>
      <xdr:colOff>47625</xdr:colOff>
      <xdr:row>0</xdr:row>
      <xdr:rowOff>0</xdr:rowOff>
    </xdr:from>
    <xdr:ext cx="1200150" cy="571500"/>
    <xdr:pic>
      <xdr:nvPicPr>
        <xdr:cNvPr id="486" name="image1.png" title="Imagem">
          <a:extLst>
            <a:ext uri="{FF2B5EF4-FFF2-40B4-BE49-F238E27FC236}">
              <a16:creationId xmlns:a16="http://schemas.microsoft.com/office/drawing/2014/main" id="{CF398BEA-6B8E-4B8D-913B-4FCD879EF66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7760</xdr:col>
      <xdr:colOff>47625</xdr:colOff>
      <xdr:row>0</xdr:row>
      <xdr:rowOff>0</xdr:rowOff>
    </xdr:from>
    <xdr:ext cx="1200150" cy="571500"/>
    <xdr:pic>
      <xdr:nvPicPr>
        <xdr:cNvPr id="487" name="image1.png" title="Imagem">
          <a:extLst>
            <a:ext uri="{FF2B5EF4-FFF2-40B4-BE49-F238E27FC236}">
              <a16:creationId xmlns:a16="http://schemas.microsoft.com/office/drawing/2014/main" id="{CD11AD7F-A163-4718-9112-E097FCB44A5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7776</xdr:col>
      <xdr:colOff>47625</xdr:colOff>
      <xdr:row>0</xdr:row>
      <xdr:rowOff>0</xdr:rowOff>
    </xdr:from>
    <xdr:ext cx="1200150" cy="571500"/>
    <xdr:pic>
      <xdr:nvPicPr>
        <xdr:cNvPr id="488" name="image1.png" title="Imagem">
          <a:extLst>
            <a:ext uri="{FF2B5EF4-FFF2-40B4-BE49-F238E27FC236}">
              <a16:creationId xmlns:a16="http://schemas.microsoft.com/office/drawing/2014/main" id="{8CABF3AA-4190-46E1-9435-125B264AEE8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7792</xdr:col>
      <xdr:colOff>47625</xdr:colOff>
      <xdr:row>0</xdr:row>
      <xdr:rowOff>0</xdr:rowOff>
    </xdr:from>
    <xdr:ext cx="1200150" cy="571500"/>
    <xdr:pic>
      <xdr:nvPicPr>
        <xdr:cNvPr id="489" name="image1.png" title="Imagem">
          <a:extLst>
            <a:ext uri="{FF2B5EF4-FFF2-40B4-BE49-F238E27FC236}">
              <a16:creationId xmlns:a16="http://schemas.microsoft.com/office/drawing/2014/main" id="{B5217B6D-7388-4936-9D30-24BFC38E83C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7808</xdr:col>
      <xdr:colOff>47625</xdr:colOff>
      <xdr:row>0</xdr:row>
      <xdr:rowOff>0</xdr:rowOff>
    </xdr:from>
    <xdr:ext cx="1200150" cy="571500"/>
    <xdr:pic>
      <xdr:nvPicPr>
        <xdr:cNvPr id="490" name="image1.png" title="Imagem">
          <a:extLst>
            <a:ext uri="{FF2B5EF4-FFF2-40B4-BE49-F238E27FC236}">
              <a16:creationId xmlns:a16="http://schemas.microsoft.com/office/drawing/2014/main" id="{CAFD4FA0-BBB6-49C5-B889-D35A4ACDA1E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7824</xdr:col>
      <xdr:colOff>47625</xdr:colOff>
      <xdr:row>0</xdr:row>
      <xdr:rowOff>0</xdr:rowOff>
    </xdr:from>
    <xdr:ext cx="1200150" cy="571500"/>
    <xdr:pic>
      <xdr:nvPicPr>
        <xdr:cNvPr id="491" name="image1.png" title="Imagem">
          <a:extLst>
            <a:ext uri="{FF2B5EF4-FFF2-40B4-BE49-F238E27FC236}">
              <a16:creationId xmlns:a16="http://schemas.microsoft.com/office/drawing/2014/main" id="{6BB6295F-4294-4CC7-85D3-D456F0F6438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7840</xdr:col>
      <xdr:colOff>47625</xdr:colOff>
      <xdr:row>0</xdr:row>
      <xdr:rowOff>0</xdr:rowOff>
    </xdr:from>
    <xdr:ext cx="1200150" cy="571500"/>
    <xdr:pic>
      <xdr:nvPicPr>
        <xdr:cNvPr id="492" name="image1.png" title="Imagem">
          <a:extLst>
            <a:ext uri="{FF2B5EF4-FFF2-40B4-BE49-F238E27FC236}">
              <a16:creationId xmlns:a16="http://schemas.microsoft.com/office/drawing/2014/main" id="{BA9218D8-9AA7-4FB1-8D7E-DC25901172B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7856</xdr:col>
      <xdr:colOff>47625</xdr:colOff>
      <xdr:row>0</xdr:row>
      <xdr:rowOff>0</xdr:rowOff>
    </xdr:from>
    <xdr:ext cx="1200150" cy="571500"/>
    <xdr:pic>
      <xdr:nvPicPr>
        <xdr:cNvPr id="493" name="image1.png" title="Imagem">
          <a:extLst>
            <a:ext uri="{FF2B5EF4-FFF2-40B4-BE49-F238E27FC236}">
              <a16:creationId xmlns:a16="http://schemas.microsoft.com/office/drawing/2014/main" id="{340439DC-8369-4748-86D1-B83D5EAC199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7872</xdr:col>
      <xdr:colOff>47625</xdr:colOff>
      <xdr:row>0</xdr:row>
      <xdr:rowOff>0</xdr:rowOff>
    </xdr:from>
    <xdr:ext cx="1200150" cy="571500"/>
    <xdr:pic>
      <xdr:nvPicPr>
        <xdr:cNvPr id="494" name="image1.png" title="Imagem">
          <a:extLst>
            <a:ext uri="{FF2B5EF4-FFF2-40B4-BE49-F238E27FC236}">
              <a16:creationId xmlns:a16="http://schemas.microsoft.com/office/drawing/2014/main" id="{57D58389-2702-4FA6-929F-7F2510743E1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7888</xdr:col>
      <xdr:colOff>47625</xdr:colOff>
      <xdr:row>0</xdr:row>
      <xdr:rowOff>0</xdr:rowOff>
    </xdr:from>
    <xdr:ext cx="1200150" cy="571500"/>
    <xdr:pic>
      <xdr:nvPicPr>
        <xdr:cNvPr id="495" name="image1.png" title="Imagem">
          <a:extLst>
            <a:ext uri="{FF2B5EF4-FFF2-40B4-BE49-F238E27FC236}">
              <a16:creationId xmlns:a16="http://schemas.microsoft.com/office/drawing/2014/main" id="{2A0A62AC-82F1-4E41-9721-9E14AD438D6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7904</xdr:col>
      <xdr:colOff>47625</xdr:colOff>
      <xdr:row>0</xdr:row>
      <xdr:rowOff>0</xdr:rowOff>
    </xdr:from>
    <xdr:ext cx="1200150" cy="571500"/>
    <xdr:pic>
      <xdr:nvPicPr>
        <xdr:cNvPr id="496" name="image1.png" title="Imagem">
          <a:extLst>
            <a:ext uri="{FF2B5EF4-FFF2-40B4-BE49-F238E27FC236}">
              <a16:creationId xmlns:a16="http://schemas.microsoft.com/office/drawing/2014/main" id="{F89C3D02-1A1D-4665-9743-942623EEF38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7920</xdr:col>
      <xdr:colOff>47625</xdr:colOff>
      <xdr:row>0</xdr:row>
      <xdr:rowOff>0</xdr:rowOff>
    </xdr:from>
    <xdr:ext cx="1200150" cy="571500"/>
    <xdr:pic>
      <xdr:nvPicPr>
        <xdr:cNvPr id="497" name="image1.png" title="Imagem">
          <a:extLst>
            <a:ext uri="{FF2B5EF4-FFF2-40B4-BE49-F238E27FC236}">
              <a16:creationId xmlns:a16="http://schemas.microsoft.com/office/drawing/2014/main" id="{FF5F53ED-B2D9-4E6D-BE9A-60CF2C61548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7936</xdr:col>
      <xdr:colOff>47625</xdr:colOff>
      <xdr:row>0</xdr:row>
      <xdr:rowOff>0</xdr:rowOff>
    </xdr:from>
    <xdr:ext cx="1200150" cy="571500"/>
    <xdr:pic>
      <xdr:nvPicPr>
        <xdr:cNvPr id="498" name="image1.png" title="Imagem">
          <a:extLst>
            <a:ext uri="{FF2B5EF4-FFF2-40B4-BE49-F238E27FC236}">
              <a16:creationId xmlns:a16="http://schemas.microsoft.com/office/drawing/2014/main" id="{703DA875-ED32-44B8-B95D-B39374ACE37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7952</xdr:col>
      <xdr:colOff>47625</xdr:colOff>
      <xdr:row>0</xdr:row>
      <xdr:rowOff>0</xdr:rowOff>
    </xdr:from>
    <xdr:ext cx="1200150" cy="571500"/>
    <xdr:pic>
      <xdr:nvPicPr>
        <xdr:cNvPr id="499" name="image1.png" title="Imagem">
          <a:extLst>
            <a:ext uri="{FF2B5EF4-FFF2-40B4-BE49-F238E27FC236}">
              <a16:creationId xmlns:a16="http://schemas.microsoft.com/office/drawing/2014/main" id="{B68FEF0D-E6FF-40AF-BA00-B0B703843B4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7968</xdr:col>
      <xdr:colOff>47625</xdr:colOff>
      <xdr:row>0</xdr:row>
      <xdr:rowOff>0</xdr:rowOff>
    </xdr:from>
    <xdr:ext cx="1200150" cy="571500"/>
    <xdr:pic>
      <xdr:nvPicPr>
        <xdr:cNvPr id="500" name="image1.png" title="Imagem">
          <a:extLst>
            <a:ext uri="{FF2B5EF4-FFF2-40B4-BE49-F238E27FC236}">
              <a16:creationId xmlns:a16="http://schemas.microsoft.com/office/drawing/2014/main" id="{324DB2C7-19FB-4315-A27F-61FA2E7CAA1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7984</xdr:col>
      <xdr:colOff>47625</xdr:colOff>
      <xdr:row>0</xdr:row>
      <xdr:rowOff>0</xdr:rowOff>
    </xdr:from>
    <xdr:ext cx="1200150" cy="571500"/>
    <xdr:pic>
      <xdr:nvPicPr>
        <xdr:cNvPr id="501" name="image1.png" title="Imagem">
          <a:extLst>
            <a:ext uri="{FF2B5EF4-FFF2-40B4-BE49-F238E27FC236}">
              <a16:creationId xmlns:a16="http://schemas.microsoft.com/office/drawing/2014/main" id="{CE908F91-5B95-45F2-9F3E-5F6368381C0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8000</xdr:col>
      <xdr:colOff>47625</xdr:colOff>
      <xdr:row>0</xdr:row>
      <xdr:rowOff>0</xdr:rowOff>
    </xdr:from>
    <xdr:ext cx="1200150" cy="571500"/>
    <xdr:pic>
      <xdr:nvPicPr>
        <xdr:cNvPr id="502" name="image1.png" title="Imagem">
          <a:extLst>
            <a:ext uri="{FF2B5EF4-FFF2-40B4-BE49-F238E27FC236}">
              <a16:creationId xmlns:a16="http://schemas.microsoft.com/office/drawing/2014/main" id="{2FEE4F40-0944-4382-9722-D393E9C031F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8016</xdr:col>
      <xdr:colOff>47625</xdr:colOff>
      <xdr:row>0</xdr:row>
      <xdr:rowOff>0</xdr:rowOff>
    </xdr:from>
    <xdr:ext cx="1200150" cy="571500"/>
    <xdr:pic>
      <xdr:nvPicPr>
        <xdr:cNvPr id="503" name="image1.png" title="Imagem">
          <a:extLst>
            <a:ext uri="{FF2B5EF4-FFF2-40B4-BE49-F238E27FC236}">
              <a16:creationId xmlns:a16="http://schemas.microsoft.com/office/drawing/2014/main" id="{529905DE-508C-4876-9A6E-0462D34C211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8032</xdr:col>
      <xdr:colOff>47625</xdr:colOff>
      <xdr:row>0</xdr:row>
      <xdr:rowOff>0</xdr:rowOff>
    </xdr:from>
    <xdr:ext cx="1200150" cy="571500"/>
    <xdr:pic>
      <xdr:nvPicPr>
        <xdr:cNvPr id="504" name="image1.png" title="Imagem">
          <a:extLst>
            <a:ext uri="{FF2B5EF4-FFF2-40B4-BE49-F238E27FC236}">
              <a16:creationId xmlns:a16="http://schemas.microsoft.com/office/drawing/2014/main" id="{37386CBA-5318-4678-BBF0-52BC3D7AC63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8048</xdr:col>
      <xdr:colOff>47625</xdr:colOff>
      <xdr:row>0</xdr:row>
      <xdr:rowOff>0</xdr:rowOff>
    </xdr:from>
    <xdr:ext cx="1200150" cy="571500"/>
    <xdr:pic>
      <xdr:nvPicPr>
        <xdr:cNvPr id="505" name="image1.png" title="Imagem">
          <a:extLst>
            <a:ext uri="{FF2B5EF4-FFF2-40B4-BE49-F238E27FC236}">
              <a16:creationId xmlns:a16="http://schemas.microsoft.com/office/drawing/2014/main" id="{BA1EA827-16A9-4E04-BFA9-70FD9E595E6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8064</xdr:col>
      <xdr:colOff>47625</xdr:colOff>
      <xdr:row>0</xdr:row>
      <xdr:rowOff>0</xdr:rowOff>
    </xdr:from>
    <xdr:ext cx="1200150" cy="571500"/>
    <xdr:pic>
      <xdr:nvPicPr>
        <xdr:cNvPr id="506" name="image1.png" title="Imagem">
          <a:extLst>
            <a:ext uri="{FF2B5EF4-FFF2-40B4-BE49-F238E27FC236}">
              <a16:creationId xmlns:a16="http://schemas.microsoft.com/office/drawing/2014/main" id="{B9788877-A71C-41CC-A3EA-21D1CBE6446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8080</xdr:col>
      <xdr:colOff>47625</xdr:colOff>
      <xdr:row>0</xdr:row>
      <xdr:rowOff>0</xdr:rowOff>
    </xdr:from>
    <xdr:ext cx="1200150" cy="571500"/>
    <xdr:pic>
      <xdr:nvPicPr>
        <xdr:cNvPr id="507" name="image1.png" title="Imagem">
          <a:extLst>
            <a:ext uri="{FF2B5EF4-FFF2-40B4-BE49-F238E27FC236}">
              <a16:creationId xmlns:a16="http://schemas.microsoft.com/office/drawing/2014/main" id="{E83F0346-5597-49AE-95E3-17C170F5EC1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8096</xdr:col>
      <xdr:colOff>47625</xdr:colOff>
      <xdr:row>0</xdr:row>
      <xdr:rowOff>0</xdr:rowOff>
    </xdr:from>
    <xdr:ext cx="1200150" cy="571500"/>
    <xdr:pic>
      <xdr:nvPicPr>
        <xdr:cNvPr id="508" name="image1.png" title="Imagem">
          <a:extLst>
            <a:ext uri="{FF2B5EF4-FFF2-40B4-BE49-F238E27FC236}">
              <a16:creationId xmlns:a16="http://schemas.microsoft.com/office/drawing/2014/main" id="{6AD63FC9-00CC-4AAC-8931-B7C5FCA6C44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8112</xdr:col>
      <xdr:colOff>47625</xdr:colOff>
      <xdr:row>0</xdr:row>
      <xdr:rowOff>0</xdr:rowOff>
    </xdr:from>
    <xdr:ext cx="1200150" cy="571500"/>
    <xdr:pic>
      <xdr:nvPicPr>
        <xdr:cNvPr id="509" name="image1.png" title="Imagem">
          <a:extLst>
            <a:ext uri="{FF2B5EF4-FFF2-40B4-BE49-F238E27FC236}">
              <a16:creationId xmlns:a16="http://schemas.microsoft.com/office/drawing/2014/main" id="{3345E3B7-3C07-41D5-A4A8-C27CDD4F10E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8128</xdr:col>
      <xdr:colOff>47625</xdr:colOff>
      <xdr:row>0</xdr:row>
      <xdr:rowOff>0</xdr:rowOff>
    </xdr:from>
    <xdr:ext cx="1200150" cy="571500"/>
    <xdr:pic>
      <xdr:nvPicPr>
        <xdr:cNvPr id="510" name="image1.png" title="Imagem">
          <a:extLst>
            <a:ext uri="{FF2B5EF4-FFF2-40B4-BE49-F238E27FC236}">
              <a16:creationId xmlns:a16="http://schemas.microsoft.com/office/drawing/2014/main" id="{471492D3-E83F-41BA-9605-11A474B2034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8144</xdr:col>
      <xdr:colOff>47625</xdr:colOff>
      <xdr:row>0</xdr:row>
      <xdr:rowOff>0</xdr:rowOff>
    </xdr:from>
    <xdr:ext cx="1200150" cy="571500"/>
    <xdr:pic>
      <xdr:nvPicPr>
        <xdr:cNvPr id="511" name="image1.png" title="Imagem">
          <a:extLst>
            <a:ext uri="{FF2B5EF4-FFF2-40B4-BE49-F238E27FC236}">
              <a16:creationId xmlns:a16="http://schemas.microsoft.com/office/drawing/2014/main" id="{3806ADC4-1B90-4543-BE15-53C706F7EAC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8160</xdr:col>
      <xdr:colOff>47625</xdr:colOff>
      <xdr:row>0</xdr:row>
      <xdr:rowOff>0</xdr:rowOff>
    </xdr:from>
    <xdr:ext cx="1200150" cy="571500"/>
    <xdr:pic>
      <xdr:nvPicPr>
        <xdr:cNvPr id="512" name="image1.png" title="Imagem">
          <a:extLst>
            <a:ext uri="{FF2B5EF4-FFF2-40B4-BE49-F238E27FC236}">
              <a16:creationId xmlns:a16="http://schemas.microsoft.com/office/drawing/2014/main" id="{1069E978-2552-49DB-A6E8-3B2A72620C2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8176</xdr:col>
      <xdr:colOff>47625</xdr:colOff>
      <xdr:row>0</xdr:row>
      <xdr:rowOff>0</xdr:rowOff>
    </xdr:from>
    <xdr:ext cx="1200150" cy="571500"/>
    <xdr:pic>
      <xdr:nvPicPr>
        <xdr:cNvPr id="513" name="image1.png" title="Imagem">
          <a:extLst>
            <a:ext uri="{FF2B5EF4-FFF2-40B4-BE49-F238E27FC236}">
              <a16:creationId xmlns:a16="http://schemas.microsoft.com/office/drawing/2014/main" id="{851CD107-1AE8-441A-AFA2-5341290C53D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8192</xdr:col>
      <xdr:colOff>47625</xdr:colOff>
      <xdr:row>0</xdr:row>
      <xdr:rowOff>0</xdr:rowOff>
    </xdr:from>
    <xdr:ext cx="1200150" cy="571500"/>
    <xdr:pic>
      <xdr:nvPicPr>
        <xdr:cNvPr id="514" name="image1.png" title="Imagem">
          <a:extLst>
            <a:ext uri="{FF2B5EF4-FFF2-40B4-BE49-F238E27FC236}">
              <a16:creationId xmlns:a16="http://schemas.microsoft.com/office/drawing/2014/main" id="{22C7BAD9-411E-4473-8F27-38E169B752C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8208</xdr:col>
      <xdr:colOff>47625</xdr:colOff>
      <xdr:row>0</xdr:row>
      <xdr:rowOff>0</xdr:rowOff>
    </xdr:from>
    <xdr:ext cx="1200150" cy="571500"/>
    <xdr:pic>
      <xdr:nvPicPr>
        <xdr:cNvPr id="515" name="image1.png" title="Imagem">
          <a:extLst>
            <a:ext uri="{FF2B5EF4-FFF2-40B4-BE49-F238E27FC236}">
              <a16:creationId xmlns:a16="http://schemas.microsoft.com/office/drawing/2014/main" id="{94A17DFF-51EE-4D1B-98E0-BE7AEE17162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8224</xdr:col>
      <xdr:colOff>47625</xdr:colOff>
      <xdr:row>0</xdr:row>
      <xdr:rowOff>0</xdr:rowOff>
    </xdr:from>
    <xdr:ext cx="1200150" cy="571500"/>
    <xdr:pic>
      <xdr:nvPicPr>
        <xdr:cNvPr id="516" name="image1.png" title="Imagem">
          <a:extLst>
            <a:ext uri="{FF2B5EF4-FFF2-40B4-BE49-F238E27FC236}">
              <a16:creationId xmlns:a16="http://schemas.microsoft.com/office/drawing/2014/main" id="{A5AC950F-4ECE-4BBC-A9C7-805CCD35832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8240</xdr:col>
      <xdr:colOff>47625</xdr:colOff>
      <xdr:row>0</xdr:row>
      <xdr:rowOff>0</xdr:rowOff>
    </xdr:from>
    <xdr:ext cx="1200150" cy="571500"/>
    <xdr:pic>
      <xdr:nvPicPr>
        <xdr:cNvPr id="517" name="image1.png" title="Imagem">
          <a:extLst>
            <a:ext uri="{FF2B5EF4-FFF2-40B4-BE49-F238E27FC236}">
              <a16:creationId xmlns:a16="http://schemas.microsoft.com/office/drawing/2014/main" id="{259812B3-14E5-4A19-BC62-30B5C7B2541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8256</xdr:col>
      <xdr:colOff>47625</xdr:colOff>
      <xdr:row>0</xdr:row>
      <xdr:rowOff>0</xdr:rowOff>
    </xdr:from>
    <xdr:ext cx="1200150" cy="571500"/>
    <xdr:pic>
      <xdr:nvPicPr>
        <xdr:cNvPr id="518" name="image1.png" title="Imagem">
          <a:extLst>
            <a:ext uri="{FF2B5EF4-FFF2-40B4-BE49-F238E27FC236}">
              <a16:creationId xmlns:a16="http://schemas.microsoft.com/office/drawing/2014/main" id="{034D7EF8-4211-4134-A367-04B9B706551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8272</xdr:col>
      <xdr:colOff>47625</xdr:colOff>
      <xdr:row>0</xdr:row>
      <xdr:rowOff>0</xdr:rowOff>
    </xdr:from>
    <xdr:ext cx="1200150" cy="571500"/>
    <xdr:pic>
      <xdr:nvPicPr>
        <xdr:cNvPr id="519" name="image1.png" title="Imagem">
          <a:extLst>
            <a:ext uri="{FF2B5EF4-FFF2-40B4-BE49-F238E27FC236}">
              <a16:creationId xmlns:a16="http://schemas.microsoft.com/office/drawing/2014/main" id="{17F43D5C-33E8-42A9-9167-02996A2F4FC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8288</xdr:col>
      <xdr:colOff>47625</xdr:colOff>
      <xdr:row>0</xdr:row>
      <xdr:rowOff>0</xdr:rowOff>
    </xdr:from>
    <xdr:ext cx="1200150" cy="571500"/>
    <xdr:pic>
      <xdr:nvPicPr>
        <xdr:cNvPr id="520" name="image1.png" title="Imagem">
          <a:extLst>
            <a:ext uri="{FF2B5EF4-FFF2-40B4-BE49-F238E27FC236}">
              <a16:creationId xmlns:a16="http://schemas.microsoft.com/office/drawing/2014/main" id="{2E6DB197-4EED-464D-ACC4-AB2CB63B675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8304</xdr:col>
      <xdr:colOff>47625</xdr:colOff>
      <xdr:row>0</xdr:row>
      <xdr:rowOff>0</xdr:rowOff>
    </xdr:from>
    <xdr:ext cx="1200150" cy="571500"/>
    <xdr:pic>
      <xdr:nvPicPr>
        <xdr:cNvPr id="521" name="image1.png" title="Imagem">
          <a:extLst>
            <a:ext uri="{FF2B5EF4-FFF2-40B4-BE49-F238E27FC236}">
              <a16:creationId xmlns:a16="http://schemas.microsoft.com/office/drawing/2014/main" id="{1E8615EE-4939-4BEE-9CEF-1A7ACB3F981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8320</xdr:col>
      <xdr:colOff>47625</xdr:colOff>
      <xdr:row>0</xdr:row>
      <xdr:rowOff>0</xdr:rowOff>
    </xdr:from>
    <xdr:ext cx="1200150" cy="571500"/>
    <xdr:pic>
      <xdr:nvPicPr>
        <xdr:cNvPr id="522" name="image1.png" title="Imagem">
          <a:extLst>
            <a:ext uri="{FF2B5EF4-FFF2-40B4-BE49-F238E27FC236}">
              <a16:creationId xmlns:a16="http://schemas.microsoft.com/office/drawing/2014/main" id="{4DFFCF71-A0B1-46A1-8586-0EA80FF0869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8336</xdr:col>
      <xdr:colOff>47625</xdr:colOff>
      <xdr:row>0</xdr:row>
      <xdr:rowOff>0</xdr:rowOff>
    </xdr:from>
    <xdr:ext cx="1200150" cy="571500"/>
    <xdr:pic>
      <xdr:nvPicPr>
        <xdr:cNvPr id="523" name="image1.png" title="Imagem">
          <a:extLst>
            <a:ext uri="{FF2B5EF4-FFF2-40B4-BE49-F238E27FC236}">
              <a16:creationId xmlns:a16="http://schemas.microsoft.com/office/drawing/2014/main" id="{C95BA213-85D4-4042-995D-4C0944C9A4F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8352</xdr:col>
      <xdr:colOff>47625</xdr:colOff>
      <xdr:row>0</xdr:row>
      <xdr:rowOff>0</xdr:rowOff>
    </xdr:from>
    <xdr:ext cx="1200150" cy="571500"/>
    <xdr:pic>
      <xdr:nvPicPr>
        <xdr:cNvPr id="524" name="image1.png" title="Imagem">
          <a:extLst>
            <a:ext uri="{FF2B5EF4-FFF2-40B4-BE49-F238E27FC236}">
              <a16:creationId xmlns:a16="http://schemas.microsoft.com/office/drawing/2014/main" id="{B1C3648B-0539-4122-95C0-B9D5E2B311A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8368</xdr:col>
      <xdr:colOff>47625</xdr:colOff>
      <xdr:row>0</xdr:row>
      <xdr:rowOff>0</xdr:rowOff>
    </xdr:from>
    <xdr:ext cx="1200150" cy="571500"/>
    <xdr:pic>
      <xdr:nvPicPr>
        <xdr:cNvPr id="525" name="image1.png" title="Imagem">
          <a:extLst>
            <a:ext uri="{FF2B5EF4-FFF2-40B4-BE49-F238E27FC236}">
              <a16:creationId xmlns:a16="http://schemas.microsoft.com/office/drawing/2014/main" id="{F6D91ABB-7DC1-42BA-A283-3D4B7752305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8384</xdr:col>
      <xdr:colOff>47625</xdr:colOff>
      <xdr:row>0</xdr:row>
      <xdr:rowOff>0</xdr:rowOff>
    </xdr:from>
    <xdr:ext cx="1200150" cy="571500"/>
    <xdr:pic>
      <xdr:nvPicPr>
        <xdr:cNvPr id="526" name="image1.png" title="Imagem">
          <a:extLst>
            <a:ext uri="{FF2B5EF4-FFF2-40B4-BE49-F238E27FC236}">
              <a16:creationId xmlns:a16="http://schemas.microsoft.com/office/drawing/2014/main" id="{35A5481B-A4D1-41CB-A294-865549D6269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8400</xdr:col>
      <xdr:colOff>47625</xdr:colOff>
      <xdr:row>0</xdr:row>
      <xdr:rowOff>0</xdr:rowOff>
    </xdr:from>
    <xdr:ext cx="1200150" cy="571500"/>
    <xdr:pic>
      <xdr:nvPicPr>
        <xdr:cNvPr id="527" name="image1.png" title="Imagem">
          <a:extLst>
            <a:ext uri="{FF2B5EF4-FFF2-40B4-BE49-F238E27FC236}">
              <a16:creationId xmlns:a16="http://schemas.microsoft.com/office/drawing/2014/main" id="{CE27BDA9-2467-4488-8E69-D7E36C7573B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8416</xdr:col>
      <xdr:colOff>47625</xdr:colOff>
      <xdr:row>0</xdr:row>
      <xdr:rowOff>0</xdr:rowOff>
    </xdr:from>
    <xdr:ext cx="1200150" cy="571500"/>
    <xdr:pic>
      <xdr:nvPicPr>
        <xdr:cNvPr id="528" name="image1.png" title="Imagem">
          <a:extLst>
            <a:ext uri="{FF2B5EF4-FFF2-40B4-BE49-F238E27FC236}">
              <a16:creationId xmlns:a16="http://schemas.microsoft.com/office/drawing/2014/main" id="{6C1157F7-787C-432E-86C5-8284400DECB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8432</xdr:col>
      <xdr:colOff>47625</xdr:colOff>
      <xdr:row>0</xdr:row>
      <xdr:rowOff>0</xdr:rowOff>
    </xdr:from>
    <xdr:ext cx="1200150" cy="571500"/>
    <xdr:pic>
      <xdr:nvPicPr>
        <xdr:cNvPr id="529" name="image1.png" title="Imagem">
          <a:extLst>
            <a:ext uri="{FF2B5EF4-FFF2-40B4-BE49-F238E27FC236}">
              <a16:creationId xmlns:a16="http://schemas.microsoft.com/office/drawing/2014/main" id="{4CCB2B17-2E1E-4FAB-8F8A-602B3B78E7E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8448</xdr:col>
      <xdr:colOff>47625</xdr:colOff>
      <xdr:row>0</xdr:row>
      <xdr:rowOff>0</xdr:rowOff>
    </xdr:from>
    <xdr:ext cx="1200150" cy="571500"/>
    <xdr:pic>
      <xdr:nvPicPr>
        <xdr:cNvPr id="530" name="image1.png" title="Imagem">
          <a:extLst>
            <a:ext uri="{FF2B5EF4-FFF2-40B4-BE49-F238E27FC236}">
              <a16:creationId xmlns:a16="http://schemas.microsoft.com/office/drawing/2014/main" id="{6D30DC8C-5B69-4F42-AC5D-1DF52C6ED85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8464</xdr:col>
      <xdr:colOff>47625</xdr:colOff>
      <xdr:row>0</xdr:row>
      <xdr:rowOff>0</xdr:rowOff>
    </xdr:from>
    <xdr:ext cx="1200150" cy="571500"/>
    <xdr:pic>
      <xdr:nvPicPr>
        <xdr:cNvPr id="531" name="image1.png" title="Imagem">
          <a:extLst>
            <a:ext uri="{FF2B5EF4-FFF2-40B4-BE49-F238E27FC236}">
              <a16:creationId xmlns:a16="http://schemas.microsoft.com/office/drawing/2014/main" id="{B8058B8B-454B-4FA5-91EA-6C33D42FFA8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8480</xdr:col>
      <xdr:colOff>47625</xdr:colOff>
      <xdr:row>0</xdr:row>
      <xdr:rowOff>0</xdr:rowOff>
    </xdr:from>
    <xdr:ext cx="1200150" cy="571500"/>
    <xdr:pic>
      <xdr:nvPicPr>
        <xdr:cNvPr id="532" name="image1.png" title="Imagem">
          <a:extLst>
            <a:ext uri="{FF2B5EF4-FFF2-40B4-BE49-F238E27FC236}">
              <a16:creationId xmlns:a16="http://schemas.microsoft.com/office/drawing/2014/main" id="{D7530E9C-6409-4484-9DEA-481BF9BE766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8496</xdr:col>
      <xdr:colOff>47625</xdr:colOff>
      <xdr:row>0</xdr:row>
      <xdr:rowOff>0</xdr:rowOff>
    </xdr:from>
    <xdr:ext cx="1200150" cy="571500"/>
    <xdr:pic>
      <xdr:nvPicPr>
        <xdr:cNvPr id="533" name="image1.png" title="Imagem">
          <a:extLst>
            <a:ext uri="{FF2B5EF4-FFF2-40B4-BE49-F238E27FC236}">
              <a16:creationId xmlns:a16="http://schemas.microsoft.com/office/drawing/2014/main" id="{191C5E12-A165-4740-8F50-6912386046A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8512</xdr:col>
      <xdr:colOff>47625</xdr:colOff>
      <xdr:row>0</xdr:row>
      <xdr:rowOff>0</xdr:rowOff>
    </xdr:from>
    <xdr:ext cx="1200150" cy="571500"/>
    <xdr:pic>
      <xdr:nvPicPr>
        <xdr:cNvPr id="534" name="image1.png" title="Imagem">
          <a:extLst>
            <a:ext uri="{FF2B5EF4-FFF2-40B4-BE49-F238E27FC236}">
              <a16:creationId xmlns:a16="http://schemas.microsoft.com/office/drawing/2014/main" id="{2A5F31F3-34BC-4216-8F06-13B2BDD3975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8528</xdr:col>
      <xdr:colOff>47625</xdr:colOff>
      <xdr:row>0</xdr:row>
      <xdr:rowOff>0</xdr:rowOff>
    </xdr:from>
    <xdr:ext cx="1200150" cy="571500"/>
    <xdr:pic>
      <xdr:nvPicPr>
        <xdr:cNvPr id="535" name="image1.png" title="Imagem">
          <a:extLst>
            <a:ext uri="{FF2B5EF4-FFF2-40B4-BE49-F238E27FC236}">
              <a16:creationId xmlns:a16="http://schemas.microsoft.com/office/drawing/2014/main" id="{EF92ED4C-D6AC-4574-AEE6-98854026719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8544</xdr:col>
      <xdr:colOff>47625</xdr:colOff>
      <xdr:row>0</xdr:row>
      <xdr:rowOff>0</xdr:rowOff>
    </xdr:from>
    <xdr:ext cx="1200150" cy="571500"/>
    <xdr:pic>
      <xdr:nvPicPr>
        <xdr:cNvPr id="536" name="image1.png" title="Imagem">
          <a:extLst>
            <a:ext uri="{FF2B5EF4-FFF2-40B4-BE49-F238E27FC236}">
              <a16:creationId xmlns:a16="http://schemas.microsoft.com/office/drawing/2014/main" id="{6B8C453F-6828-4F48-8614-9C7BCB4D244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8560</xdr:col>
      <xdr:colOff>47625</xdr:colOff>
      <xdr:row>0</xdr:row>
      <xdr:rowOff>0</xdr:rowOff>
    </xdr:from>
    <xdr:ext cx="1200150" cy="571500"/>
    <xdr:pic>
      <xdr:nvPicPr>
        <xdr:cNvPr id="537" name="image1.png" title="Imagem">
          <a:extLst>
            <a:ext uri="{FF2B5EF4-FFF2-40B4-BE49-F238E27FC236}">
              <a16:creationId xmlns:a16="http://schemas.microsoft.com/office/drawing/2014/main" id="{48F44E76-44CC-4376-9A59-D62536CFE21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8576</xdr:col>
      <xdr:colOff>47625</xdr:colOff>
      <xdr:row>0</xdr:row>
      <xdr:rowOff>0</xdr:rowOff>
    </xdr:from>
    <xdr:ext cx="1200150" cy="571500"/>
    <xdr:pic>
      <xdr:nvPicPr>
        <xdr:cNvPr id="538" name="image1.png" title="Imagem">
          <a:extLst>
            <a:ext uri="{FF2B5EF4-FFF2-40B4-BE49-F238E27FC236}">
              <a16:creationId xmlns:a16="http://schemas.microsoft.com/office/drawing/2014/main" id="{D1935D84-9B4A-4FE1-B326-2785F09E68D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8592</xdr:col>
      <xdr:colOff>47625</xdr:colOff>
      <xdr:row>0</xdr:row>
      <xdr:rowOff>0</xdr:rowOff>
    </xdr:from>
    <xdr:ext cx="1200150" cy="571500"/>
    <xdr:pic>
      <xdr:nvPicPr>
        <xdr:cNvPr id="539" name="image1.png" title="Imagem">
          <a:extLst>
            <a:ext uri="{FF2B5EF4-FFF2-40B4-BE49-F238E27FC236}">
              <a16:creationId xmlns:a16="http://schemas.microsoft.com/office/drawing/2014/main" id="{ACEF50B3-B343-48A9-8A23-1BD66C5000B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8608</xdr:col>
      <xdr:colOff>47625</xdr:colOff>
      <xdr:row>0</xdr:row>
      <xdr:rowOff>0</xdr:rowOff>
    </xdr:from>
    <xdr:ext cx="1200150" cy="571500"/>
    <xdr:pic>
      <xdr:nvPicPr>
        <xdr:cNvPr id="540" name="image1.png" title="Imagem">
          <a:extLst>
            <a:ext uri="{FF2B5EF4-FFF2-40B4-BE49-F238E27FC236}">
              <a16:creationId xmlns:a16="http://schemas.microsoft.com/office/drawing/2014/main" id="{3AD7CAF0-EA6B-4E6A-B92D-FB6010AD867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8624</xdr:col>
      <xdr:colOff>47625</xdr:colOff>
      <xdr:row>0</xdr:row>
      <xdr:rowOff>0</xdr:rowOff>
    </xdr:from>
    <xdr:ext cx="1200150" cy="571500"/>
    <xdr:pic>
      <xdr:nvPicPr>
        <xdr:cNvPr id="541" name="image1.png" title="Imagem">
          <a:extLst>
            <a:ext uri="{FF2B5EF4-FFF2-40B4-BE49-F238E27FC236}">
              <a16:creationId xmlns:a16="http://schemas.microsoft.com/office/drawing/2014/main" id="{D081B61E-026A-4080-B404-EC70D667F5A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8640</xdr:col>
      <xdr:colOff>47625</xdr:colOff>
      <xdr:row>0</xdr:row>
      <xdr:rowOff>0</xdr:rowOff>
    </xdr:from>
    <xdr:ext cx="1200150" cy="571500"/>
    <xdr:pic>
      <xdr:nvPicPr>
        <xdr:cNvPr id="542" name="image1.png" title="Imagem">
          <a:extLst>
            <a:ext uri="{FF2B5EF4-FFF2-40B4-BE49-F238E27FC236}">
              <a16:creationId xmlns:a16="http://schemas.microsoft.com/office/drawing/2014/main" id="{0E629538-C01F-4C4D-8A3F-4E7957B2E6A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8656</xdr:col>
      <xdr:colOff>47625</xdr:colOff>
      <xdr:row>0</xdr:row>
      <xdr:rowOff>0</xdr:rowOff>
    </xdr:from>
    <xdr:ext cx="1200150" cy="571500"/>
    <xdr:pic>
      <xdr:nvPicPr>
        <xdr:cNvPr id="543" name="image1.png" title="Imagem">
          <a:extLst>
            <a:ext uri="{FF2B5EF4-FFF2-40B4-BE49-F238E27FC236}">
              <a16:creationId xmlns:a16="http://schemas.microsoft.com/office/drawing/2014/main" id="{E187DE4F-4D64-4540-A95E-A733FC09A44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8672</xdr:col>
      <xdr:colOff>47625</xdr:colOff>
      <xdr:row>0</xdr:row>
      <xdr:rowOff>0</xdr:rowOff>
    </xdr:from>
    <xdr:ext cx="1200150" cy="571500"/>
    <xdr:pic>
      <xdr:nvPicPr>
        <xdr:cNvPr id="544" name="image1.png" title="Imagem">
          <a:extLst>
            <a:ext uri="{FF2B5EF4-FFF2-40B4-BE49-F238E27FC236}">
              <a16:creationId xmlns:a16="http://schemas.microsoft.com/office/drawing/2014/main" id="{A208B153-69A3-4F77-A533-123312BF108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8688</xdr:col>
      <xdr:colOff>47625</xdr:colOff>
      <xdr:row>0</xdr:row>
      <xdr:rowOff>0</xdr:rowOff>
    </xdr:from>
    <xdr:ext cx="1200150" cy="571500"/>
    <xdr:pic>
      <xdr:nvPicPr>
        <xdr:cNvPr id="545" name="image1.png" title="Imagem">
          <a:extLst>
            <a:ext uri="{FF2B5EF4-FFF2-40B4-BE49-F238E27FC236}">
              <a16:creationId xmlns:a16="http://schemas.microsoft.com/office/drawing/2014/main" id="{65778DE6-F624-40E8-BBFA-F7D088A1CFD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8704</xdr:col>
      <xdr:colOff>47625</xdr:colOff>
      <xdr:row>0</xdr:row>
      <xdr:rowOff>0</xdr:rowOff>
    </xdr:from>
    <xdr:ext cx="1200150" cy="571500"/>
    <xdr:pic>
      <xdr:nvPicPr>
        <xdr:cNvPr id="546" name="image1.png" title="Imagem">
          <a:extLst>
            <a:ext uri="{FF2B5EF4-FFF2-40B4-BE49-F238E27FC236}">
              <a16:creationId xmlns:a16="http://schemas.microsoft.com/office/drawing/2014/main" id="{280662DF-261D-4CF5-B32F-0ABFAD27F08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8720</xdr:col>
      <xdr:colOff>47625</xdr:colOff>
      <xdr:row>0</xdr:row>
      <xdr:rowOff>0</xdr:rowOff>
    </xdr:from>
    <xdr:ext cx="1200150" cy="571500"/>
    <xdr:pic>
      <xdr:nvPicPr>
        <xdr:cNvPr id="547" name="image1.png" title="Imagem">
          <a:extLst>
            <a:ext uri="{FF2B5EF4-FFF2-40B4-BE49-F238E27FC236}">
              <a16:creationId xmlns:a16="http://schemas.microsoft.com/office/drawing/2014/main" id="{FBFDC38A-CC28-46A1-A802-4F984BDDC93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8736</xdr:col>
      <xdr:colOff>47625</xdr:colOff>
      <xdr:row>0</xdr:row>
      <xdr:rowOff>0</xdr:rowOff>
    </xdr:from>
    <xdr:ext cx="1200150" cy="571500"/>
    <xdr:pic>
      <xdr:nvPicPr>
        <xdr:cNvPr id="548" name="image1.png" title="Imagem">
          <a:extLst>
            <a:ext uri="{FF2B5EF4-FFF2-40B4-BE49-F238E27FC236}">
              <a16:creationId xmlns:a16="http://schemas.microsoft.com/office/drawing/2014/main" id="{E2C17F7A-96A8-4230-AB75-E023C6B6605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8752</xdr:col>
      <xdr:colOff>47625</xdr:colOff>
      <xdr:row>0</xdr:row>
      <xdr:rowOff>0</xdr:rowOff>
    </xdr:from>
    <xdr:ext cx="1200150" cy="571500"/>
    <xdr:pic>
      <xdr:nvPicPr>
        <xdr:cNvPr id="549" name="image1.png" title="Imagem">
          <a:extLst>
            <a:ext uri="{FF2B5EF4-FFF2-40B4-BE49-F238E27FC236}">
              <a16:creationId xmlns:a16="http://schemas.microsoft.com/office/drawing/2014/main" id="{E0D24219-BC5E-4B96-8CA7-E67AAE59E78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8768</xdr:col>
      <xdr:colOff>47625</xdr:colOff>
      <xdr:row>0</xdr:row>
      <xdr:rowOff>0</xdr:rowOff>
    </xdr:from>
    <xdr:ext cx="1200150" cy="571500"/>
    <xdr:pic>
      <xdr:nvPicPr>
        <xdr:cNvPr id="550" name="image1.png" title="Imagem">
          <a:extLst>
            <a:ext uri="{FF2B5EF4-FFF2-40B4-BE49-F238E27FC236}">
              <a16:creationId xmlns:a16="http://schemas.microsoft.com/office/drawing/2014/main" id="{BD8FB43F-176E-4AAE-8060-84A0581FA13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8784</xdr:col>
      <xdr:colOff>47625</xdr:colOff>
      <xdr:row>0</xdr:row>
      <xdr:rowOff>0</xdr:rowOff>
    </xdr:from>
    <xdr:ext cx="1200150" cy="571500"/>
    <xdr:pic>
      <xdr:nvPicPr>
        <xdr:cNvPr id="551" name="image1.png" title="Imagem">
          <a:extLst>
            <a:ext uri="{FF2B5EF4-FFF2-40B4-BE49-F238E27FC236}">
              <a16:creationId xmlns:a16="http://schemas.microsoft.com/office/drawing/2014/main" id="{6CAE65C0-AD57-4D43-8B32-B52E73D55F8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8800</xdr:col>
      <xdr:colOff>47625</xdr:colOff>
      <xdr:row>0</xdr:row>
      <xdr:rowOff>0</xdr:rowOff>
    </xdr:from>
    <xdr:ext cx="1200150" cy="571500"/>
    <xdr:pic>
      <xdr:nvPicPr>
        <xdr:cNvPr id="552" name="image1.png" title="Imagem">
          <a:extLst>
            <a:ext uri="{FF2B5EF4-FFF2-40B4-BE49-F238E27FC236}">
              <a16:creationId xmlns:a16="http://schemas.microsoft.com/office/drawing/2014/main" id="{CAF56D9C-26E8-47AC-9D56-998D60BA2CA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8816</xdr:col>
      <xdr:colOff>47625</xdr:colOff>
      <xdr:row>0</xdr:row>
      <xdr:rowOff>0</xdr:rowOff>
    </xdr:from>
    <xdr:ext cx="1200150" cy="571500"/>
    <xdr:pic>
      <xdr:nvPicPr>
        <xdr:cNvPr id="553" name="image1.png" title="Imagem">
          <a:extLst>
            <a:ext uri="{FF2B5EF4-FFF2-40B4-BE49-F238E27FC236}">
              <a16:creationId xmlns:a16="http://schemas.microsoft.com/office/drawing/2014/main" id="{E5979ED7-58E6-4083-841A-A5479455F58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8832</xdr:col>
      <xdr:colOff>47625</xdr:colOff>
      <xdr:row>0</xdr:row>
      <xdr:rowOff>0</xdr:rowOff>
    </xdr:from>
    <xdr:ext cx="1200150" cy="571500"/>
    <xdr:pic>
      <xdr:nvPicPr>
        <xdr:cNvPr id="554" name="image1.png" title="Imagem">
          <a:extLst>
            <a:ext uri="{FF2B5EF4-FFF2-40B4-BE49-F238E27FC236}">
              <a16:creationId xmlns:a16="http://schemas.microsoft.com/office/drawing/2014/main" id="{9726C506-5E73-4F0E-91FD-61AC72FB327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8848</xdr:col>
      <xdr:colOff>47625</xdr:colOff>
      <xdr:row>0</xdr:row>
      <xdr:rowOff>0</xdr:rowOff>
    </xdr:from>
    <xdr:ext cx="1200150" cy="571500"/>
    <xdr:pic>
      <xdr:nvPicPr>
        <xdr:cNvPr id="555" name="image1.png" title="Imagem">
          <a:extLst>
            <a:ext uri="{FF2B5EF4-FFF2-40B4-BE49-F238E27FC236}">
              <a16:creationId xmlns:a16="http://schemas.microsoft.com/office/drawing/2014/main" id="{B8C66FFF-8487-4BD4-88CD-D8D8D43879D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8864</xdr:col>
      <xdr:colOff>47625</xdr:colOff>
      <xdr:row>0</xdr:row>
      <xdr:rowOff>0</xdr:rowOff>
    </xdr:from>
    <xdr:ext cx="1200150" cy="571500"/>
    <xdr:pic>
      <xdr:nvPicPr>
        <xdr:cNvPr id="556" name="image1.png" title="Imagem">
          <a:extLst>
            <a:ext uri="{FF2B5EF4-FFF2-40B4-BE49-F238E27FC236}">
              <a16:creationId xmlns:a16="http://schemas.microsoft.com/office/drawing/2014/main" id="{A6EBA354-4BA0-48A7-9784-29979650583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8880</xdr:col>
      <xdr:colOff>47625</xdr:colOff>
      <xdr:row>0</xdr:row>
      <xdr:rowOff>0</xdr:rowOff>
    </xdr:from>
    <xdr:ext cx="1200150" cy="571500"/>
    <xdr:pic>
      <xdr:nvPicPr>
        <xdr:cNvPr id="557" name="image1.png" title="Imagem">
          <a:extLst>
            <a:ext uri="{FF2B5EF4-FFF2-40B4-BE49-F238E27FC236}">
              <a16:creationId xmlns:a16="http://schemas.microsoft.com/office/drawing/2014/main" id="{FFC88A2C-1F74-4919-B821-7B84F6E6FC6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8896</xdr:col>
      <xdr:colOff>47625</xdr:colOff>
      <xdr:row>0</xdr:row>
      <xdr:rowOff>0</xdr:rowOff>
    </xdr:from>
    <xdr:ext cx="1200150" cy="571500"/>
    <xdr:pic>
      <xdr:nvPicPr>
        <xdr:cNvPr id="558" name="image1.png" title="Imagem">
          <a:extLst>
            <a:ext uri="{FF2B5EF4-FFF2-40B4-BE49-F238E27FC236}">
              <a16:creationId xmlns:a16="http://schemas.microsoft.com/office/drawing/2014/main" id="{AD84C49D-0405-4528-B3B1-4EB4BF8B9C5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8912</xdr:col>
      <xdr:colOff>47625</xdr:colOff>
      <xdr:row>0</xdr:row>
      <xdr:rowOff>0</xdr:rowOff>
    </xdr:from>
    <xdr:ext cx="1200150" cy="571500"/>
    <xdr:pic>
      <xdr:nvPicPr>
        <xdr:cNvPr id="559" name="image1.png" title="Imagem">
          <a:extLst>
            <a:ext uri="{FF2B5EF4-FFF2-40B4-BE49-F238E27FC236}">
              <a16:creationId xmlns:a16="http://schemas.microsoft.com/office/drawing/2014/main" id="{FD3F1624-1773-4716-8987-B4335D99AA1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8928</xdr:col>
      <xdr:colOff>47625</xdr:colOff>
      <xdr:row>0</xdr:row>
      <xdr:rowOff>0</xdr:rowOff>
    </xdr:from>
    <xdr:ext cx="1200150" cy="571500"/>
    <xdr:pic>
      <xdr:nvPicPr>
        <xdr:cNvPr id="560" name="image1.png" title="Imagem">
          <a:extLst>
            <a:ext uri="{FF2B5EF4-FFF2-40B4-BE49-F238E27FC236}">
              <a16:creationId xmlns:a16="http://schemas.microsoft.com/office/drawing/2014/main" id="{8D0AE7A8-7696-4A14-BAFF-EE36D07A077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8944</xdr:col>
      <xdr:colOff>47625</xdr:colOff>
      <xdr:row>0</xdr:row>
      <xdr:rowOff>0</xdr:rowOff>
    </xdr:from>
    <xdr:ext cx="1200150" cy="571500"/>
    <xdr:pic>
      <xdr:nvPicPr>
        <xdr:cNvPr id="561" name="image1.png" title="Imagem">
          <a:extLst>
            <a:ext uri="{FF2B5EF4-FFF2-40B4-BE49-F238E27FC236}">
              <a16:creationId xmlns:a16="http://schemas.microsoft.com/office/drawing/2014/main" id="{A0319DB7-D223-46E7-926E-E89A925E788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8960</xdr:col>
      <xdr:colOff>47625</xdr:colOff>
      <xdr:row>0</xdr:row>
      <xdr:rowOff>0</xdr:rowOff>
    </xdr:from>
    <xdr:ext cx="1200150" cy="571500"/>
    <xdr:pic>
      <xdr:nvPicPr>
        <xdr:cNvPr id="562" name="image1.png" title="Imagem">
          <a:extLst>
            <a:ext uri="{FF2B5EF4-FFF2-40B4-BE49-F238E27FC236}">
              <a16:creationId xmlns:a16="http://schemas.microsoft.com/office/drawing/2014/main" id="{6D3DF649-14BD-40AB-A4EA-74CF461B33D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8976</xdr:col>
      <xdr:colOff>47625</xdr:colOff>
      <xdr:row>0</xdr:row>
      <xdr:rowOff>0</xdr:rowOff>
    </xdr:from>
    <xdr:ext cx="1200150" cy="571500"/>
    <xdr:pic>
      <xdr:nvPicPr>
        <xdr:cNvPr id="563" name="image1.png" title="Imagem">
          <a:extLst>
            <a:ext uri="{FF2B5EF4-FFF2-40B4-BE49-F238E27FC236}">
              <a16:creationId xmlns:a16="http://schemas.microsoft.com/office/drawing/2014/main" id="{AB3E6A93-FCB4-4E32-9160-C8504485240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8992</xdr:col>
      <xdr:colOff>47625</xdr:colOff>
      <xdr:row>0</xdr:row>
      <xdr:rowOff>0</xdr:rowOff>
    </xdr:from>
    <xdr:ext cx="1200150" cy="571500"/>
    <xdr:pic>
      <xdr:nvPicPr>
        <xdr:cNvPr id="564" name="image1.png" title="Imagem">
          <a:extLst>
            <a:ext uri="{FF2B5EF4-FFF2-40B4-BE49-F238E27FC236}">
              <a16:creationId xmlns:a16="http://schemas.microsoft.com/office/drawing/2014/main" id="{916BFF2C-11F3-42F2-81F9-D3768699077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9008</xdr:col>
      <xdr:colOff>47625</xdr:colOff>
      <xdr:row>0</xdr:row>
      <xdr:rowOff>0</xdr:rowOff>
    </xdr:from>
    <xdr:ext cx="1200150" cy="571500"/>
    <xdr:pic>
      <xdr:nvPicPr>
        <xdr:cNvPr id="565" name="image1.png" title="Imagem">
          <a:extLst>
            <a:ext uri="{FF2B5EF4-FFF2-40B4-BE49-F238E27FC236}">
              <a16:creationId xmlns:a16="http://schemas.microsoft.com/office/drawing/2014/main" id="{CD33E01B-064E-4D25-BBD9-C63F28D8941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9024</xdr:col>
      <xdr:colOff>47625</xdr:colOff>
      <xdr:row>0</xdr:row>
      <xdr:rowOff>0</xdr:rowOff>
    </xdr:from>
    <xdr:ext cx="1200150" cy="571500"/>
    <xdr:pic>
      <xdr:nvPicPr>
        <xdr:cNvPr id="566" name="image1.png" title="Imagem">
          <a:extLst>
            <a:ext uri="{FF2B5EF4-FFF2-40B4-BE49-F238E27FC236}">
              <a16:creationId xmlns:a16="http://schemas.microsoft.com/office/drawing/2014/main" id="{20AA1455-E77E-4641-9462-1DB3D095858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9040</xdr:col>
      <xdr:colOff>47625</xdr:colOff>
      <xdr:row>0</xdr:row>
      <xdr:rowOff>0</xdr:rowOff>
    </xdr:from>
    <xdr:ext cx="1200150" cy="571500"/>
    <xdr:pic>
      <xdr:nvPicPr>
        <xdr:cNvPr id="567" name="image1.png" title="Imagem">
          <a:extLst>
            <a:ext uri="{FF2B5EF4-FFF2-40B4-BE49-F238E27FC236}">
              <a16:creationId xmlns:a16="http://schemas.microsoft.com/office/drawing/2014/main" id="{0A28FD9F-5EBC-4648-8D47-E947700996D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9056</xdr:col>
      <xdr:colOff>47625</xdr:colOff>
      <xdr:row>0</xdr:row>
      <xdr:rowOff>0</xdr:rowOff>
    </xdr:from>
    <xdr:ext cx="1200150" cy="571500"/>
    <xdr:pic>
      <xdr:nvPicPr>
        <xdr:cNvPr id="568" name="image1.png" title="Imagem">
          <a:extLst>
            <a:ext uri="{FF2B5EF4-FFF2-40B4-BE49-F238E27FC236}">
              <a16:creationId xmlns:a16="http://schemas.microsoft.com/office/drawing/2014/main" id="{3D8A73C4-F7DD-4CF5-BA09-A918FC7F533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9072</xdr:col>
      <xdr:colOff>47625</xdr:colOff>
      <xdr:row>0</xdr:row>
      <xdr:rowOff>0</xdr:rowOff>
    </xdr:from>
    <xdr:ext cx="1200150" cy="571500"/>
    <xdr:pic>
      <xdr:nvPicPr>
        <xdr:cNvPr id="569" name="image1.png" title="Imagem">
          <a:extLst>
            <a:ext uri="{FF2B5EF4-FFF2-40B4-BE49-F238E27FC236}">
              <a16:creationId xmlns:a16="http://schemas.microsoft.com/office/drawing/2014/main" id="{74597311-7B64-40AE-9256-2F7B1661E6C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9088</xdr:col>
      <xdr:colOff>47625</xdr:colOff>
      <xdr:row>0</xdr:row>
      <xdr:rowOff>0</xdr:rowOff>
    </xdr:from>
    <xdr:ext cx="1200150" cy="571500"/>
    <xdr:pic>
      <xdr:nvPicPr>
        <xdr:cNvPr id="570" name="image1.png" title="Imagem">
          <a:extLst>
            <a:ext uri="{FF2B5EF4-FFF2-40B4-BE49-F238E27FC236}">
              <a16:creationId xmlns:a16="http://schemas.microsoft.com/office/drawing/2014/main" id="{28C3E65F-AB0E-457F-8B57-BF6D7C424CF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9104</xdr:col>
      <xdr:colOff>47625</xdr:colOff>
      <xdr:row>0</xdr:row>
      <xdr:rowOff>0</xdr:rowOff>
    </xdr:from>
    <xdr:ext cx="1200150" cy="571500"/>
    <xdr:pic>
      <xdr:nvPicPr>
        <xdr:cNvPr id="571" name="image1.png" title="Imagem">
          <a:extLst>
            <a:ext uri="{FF2B5EF4-FFF2-40B4-BE49-F238E27FC236}">
              <a16:creationId xmlns:a16="http://schemas.microsoft.com/office/drawing/2014/main" id="{D8832EB2-EA4F-4B45-9962-9FF21009AB7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9120</xdr:col>
      <xdr:colOff>47625</xdr:colOff>
      <xdr:row>0</xdr:row>
      <xdr:rowOff>0</xdr:rowOff>
    </xdr:from>
    <xdr:ext cx="1200150" cy="571500"/>
    <xdr:pic>
      <xdr:nvPicPr>
        <xdr:cNvPr id="572" name="image1.png" title="Imagem">
          <a:extLst>
            <a:ext uri="{FF2B5EF4-FFF2-40B4-BE49-F238E27FC236}">
              <a16:creationId xmlns:a16="http://schemas.microsoft.com/office/drawing/2014/main" id="{37F0ECC6-0306-4BE7-98C7-D07259C1C7D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9136</xdr:col>
      <xdr:colOff>47625</xdr:colOff>
      <xdr:row>0</xdr:row>
      <xdr:rowOff>0</xdr:rowOff>
    </xdr:from>
    <xdr:ext cx="1200150" cy="571500"/>
    <xdr:pic>
      <xdr:nvPicPr>
        <xdr:cNvPr id="573" name="image1.png" title="Imagem">
          <a:extLst>
            <a:ext uri="{FF2B5EF4-FFF2-40B4-BE49-F238E27FC236}">
              <a16:creationId xmlns:a16="http://schemas.microsoft.com/office/drawing/2014/main" id="{503D1BD3-6B08-4FF6-86F0-B52B32136EA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9152</xdr:col>
      <xdr:colOff>47625</xdr:colOff>
      <xdr:row>0</xdr:row>
      <xdr:rowOff>0</xdr:rowOff>
    </xdr:from>
    <xdr:ext cx="1200150" cy="571500"/>
    <xdr:pic>
      <xdr:nvPicPr>
        <xdr:cNvPr id="574" name="image1.png" title="Imagem">
          <a:extLst>
            <a:ext uri="{FF2B5EF4-FFF2-40B4-BE49-F238E27FC236}">
              <a16:creationId xmlns:a16="http://schemas.microsoft.com/office/drawing/2014/main" id="{39AA1093-1D22-4FE2-BCE5-284497AA9DA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9168</xdr:col>
      <xdr:colOff>47625</xdr:colOff>
      <xdr:row>0</xdr:row>
      <xdr:rowOff>0</xdr:rowOff>
    </xdr:from>
    <xdr:ext cx="1200150" cy="571500"/>
    <xdr:pic>
      <xdr:nvPicPr>
        <xdr:cNvPr id="575" name="image1.png" title="Imagem">
          <a:extLst>
            <a:ext uri="{FF2B5EF4-FFF2-40B4-BE49-F238E27FC236}">
              <a16:creationId xmlns:a16="http://schemas.microsoft.com/office/drawing/2014/main" id="{CA0F66E4-D0B9-481F-8257-6AD467E0EEB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9184</xdr:col>
      <xdr:colOff>47625</xdr:colOff>
      <xdr:row>0</xdr:row>
      <xdr:rowOff>0</xdr:rowOff>
    </xdr:from>
    <xdr:ext cx="1200150" cy="571500"/>
    <xdr:pic>
      <xdr:nvPicPr>
        <xdr:cNvPr id="576" name="image1.png" title="Imagem">
          <a:extLst>
            <a:ext uri="{FF2B5EF4-FFF2-40B4-BE49-F238E27FC236}">
              <a16:creationId xmlns:a16="http://schemas.microsoft.com/office/drawing/2014/main" id="{D4A46A6A-9CC6-4CBA-9814-0040ECD5180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9200</xdr:col>
      <xdr:colOff>47625</xdr:colOff>
      <xdr:row>0</xdr:row>
      <xdr:rowOff>0</xdr:rowOff>
    </xdr:from>
    <xdr:ext cx="1200150" cy="571500"/>
    <xdr:pic>
      <xdr:nvPicPr>
        <xdr:cNvPr id="577" name="image1.png" title="Imagem">
          <a:extLst>
            <a:ext uri="{FF2B5EF4-FFF2-40B4-BE49-F238E27FC236}">
              <a16:creationId xmlns:a16="http://schemas.microsoft.com/office/drawing/2014/main" id="{ED406FBF-DDB1-494D-9580-3A2A7EEEB18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9216</xdr:col>
      <xdr:colOff>47625</xdr:colOff>
      <xdr:row>0</xdr:row>
      <xdr:rowOff>0</xdr:rowOff>
    </xdr:from>
    <xdr:ext cx="1200150" cy="571500"/>
    <xdr:pic>
      <xdr:nvPicPr>
        <xdr:cNvPr id="578" name="image1.png" title="Imagem">
          <a:extLst>
            <a:ext uri="{FF2B5EF4-FFF2-40B4-BE49-F238E27FC236}">
              <a16:creationId xmlns:a16="http://schemas.microsoft.com/office/drawing/2014/main" id="{66BED15F-E1FD-4FF6-86A6-165967A5AF3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9232</xdr:col>
      <xdr:colOff>47625</xdr:colOff>
      <xdr:row>0</xdr:row>
      <xdr:rowOff>0</xdr:rowOff>
    </xdr:from>
    <xdr:ext cx="1200150" cy="571500"/>
    <xdr:pic>
      <xdr:nvPicPr>
        <xdr:cNvPr id="579" name="image1.png" title="Imagem">
          <a:extLst>
            <a:ext uri="{FF2B5EF4-FFF2-40B4-BE49-F238E27FC236}">
              <a16:creationId xmlns:a16="http://schemas.microsoft.com/office/drawing/2014/main" id="{373D0E09-7469-4251-A938-632EEDC0683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9248</xdr:col>
      <xdr:colOff>47625</xdr:colOff>
      <xdr:row>0</xdr:row>
      <xdr:rowOff>0</xdr:rowOff>
    </xdr:from>
    <xdr:ext cx="1200150" cy="571500"/>
    <xdr:pic>
      <xdr:nvPicPr>
        <xdr:cNvPr id="580" name="image1.png" title="Imagem">
          <a:extLst>
            <a:ext uri="{FF2B5EF4-FFF2-40B4-BE49-F238E27FC236}">
              <a16:creationId xmlns:a16="http://schemas.microsoft.com/office/drawing/2014/main" id="{8E9A7793-1D07-408B-A5F2-DA699C334E8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9264</xdr:col>
      <xdr:colOff>47625</xdr:colOff>
      <xdr:row>0</xdr:row>
      <xdr:rowOff>0</xdr:rowOff>
    </xdr:from>
    <xdr:ext cx="1200150" cy="571500"/>
    <xdr:pic>
      <xdr:nvPicPr>
        <xdr:cNvPr id="581" name="image1.png" title="Imagem">
          <a:extLst>
            <a:ext uri="{FF2B5EF4-FFF2-40B4-BE49-F238E27FC236}">
              <a16:creationId xmlns:a16="http://schemas.microsoft.com/office/drawing/2014/main" id="{01F611B4-13F6-44F6-9265-80DAEACD46F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9280</xdr:col>
      <xdr:colOff>47625</xdr:colOff>
      <xdr:row>0</xdr:row>
      <xdr:rowOff>0</xdr:rowOff>
    </xdr:from>
    <xdr:ext cx="1200150" cy="571500"/>
    <xdr:pic>
      <xdr:nvPicPr>
        <xdr:cNvPr id="582" name="image1.png" title="Imagem">
          <a:extLst>
            <a:ext uri="{FF2B5EF4-FFF2-40B4-BE49-F238E27FC236}">
              <a16:creationId xmlns:a16="http://schemas.microsoft.com/office/drawing/2014/main" id="{A5069FAC-1FE8-4EF7-8EA9-D0AB965E4EC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9296</xdr:col>
      <xdr:colOff>47625</xdr:colOff>
      <xdr:row>0</xdr:row>
      <xdr:rowOff>0</xdr:rowOff>
    </xdr:from>
    <xdr:ext cx="1200150" cy="571500"/>
    <xdr:pic>
      <xdr:nvPicPr>
        <xdr:cNvPr id="583" name="image1.png" title="Imagem">
          <a:extLst>
            <a:ext uri="{FF2B5EF4-FFF2-40B4-BE49-F238E27FC236}">
              <a16:creationId xmlns:a16="http://schemas.microsoft.com/office/drawing/2014/main" id="{DEC64936-7314-4386-A9AB-BB07CB5125C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9312</xdr:col>
      <xdr:colOff>47625</xdr:colOff>
      <xdr:row>0</xdr:row>
      <xdr:rowOff>0</xdr:rowOff>
    </xdr:from>
    <xdr:ext cx="1200150" cy="571500"/>
    <xdr:pic>
      <xdr:nvPicPr>
        <xdr:cNvPr id="584" name="image1.png" title="Imagem">
          <a:extLst>
            <a:ext uri="{FF2B5EF4-FFF2-40B4-BE49-F238E27FC236}">
              <a16:creationId xmlns:a16="http://schemas.microsoft.com/office/drawing/2014/main" id="{C71042F6-F1C0-42D7-8EF0-0EA8D827AAD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9328</xdr:col>
      <xdr:colOff>47625</xdr:colOff>
      <xdr:row>0</xdr:row>
      <xdr:rowOff>0</xdr:rowOff>
    </xdr:from>
    <xdr:ext cx="1200150" cy="571500"/>
    <xdr:pic>
      <xdr:nvPicPr>
        <xdr:cNvPr id="585" name="image1.png" title="Imagem">
          <a:extLst>
            <a:ext uri="{FF2B5EF4-FFF2-40B4-BE49-F238E27FC236}">
              <a16:creationId xmlns:a16="http://schemas.microsoft.com/office/drawing/2014/main" id="{6EB4319A-502A-434D-AB47-B8D39EC5BBD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9344</xdr:col>
      <xdr:colOff>47625</xdr:colOff>
      <xdr:row>0</xdr:row>
      <xdr:rowOff>0</xdr:rowOff>
    </xdr:from>
    <xdr:ext cx="1200150" cy="571500"/>
    <xdr:pic>
      <xdr:nvPicPr>
        <xdr:cNvPr id="586" name="image1.png" title="Imagem">
          <a:extLst>
            <a:ext uri="{FF2B5EF4-FFF2-40B4-BE49-F238E27FC236}">
              <a16:creationId xmlns:a16="http://schemas.microsoft.com/office/drawing/2014/main" id="{3ED187C0-7073-4CD2-8112-994EA666DD6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9360</xdr:col>
      <xdr:colOff>47625</xdr:colOff>
      <xdr:row>0</xdr:row>
      <xdr:rowOff>0</xdr:rowOff>
    </xdr:from>
    <xdr:ext cx="1200150" cy="571500"/>
    <xdr:pic>
      <xdr:nvPicPr>
        <xdr:cNvPr id="587" name="image1.png" title="Imagem">
          <a:extLst>
            <a:ext uri="{FF2B5EF4-FFF2-40B4-BE49-F238E27FC236}">
              <a16:creationId xmlns:a16="http://schemas.microsoft.com/office/drawing/2014/main" id="{4E984221-D909-41A5-8E7D-05B6AE7F9E5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9376</xdr:col>
      <xdr:colOff>47625</xdr:colOff>
      <xdr:row>0</xdr:row>
      <xdr:rowOff>0</xdr:rowOff>
    </xdr:from>
    <xdr:ext cx="1200150" cy="571500"/>
    <xdr:pic>
      <xdr:nvPicPr>
        <xdr:cNvPr id="588" name="image1.png" title="Imagem">
          <a:extLst>
            <a:ext uri="{FF2B5EF4-FFF2-40B4-BE49-F238E27FC236}">
              <a16:creationId xmlns:a16="http://schemas.microsoft.com/office/drawing/2014/main" id="{586DEB2C-4D96-482B-AA75-BF533FAB9C8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9392</xdr:col>
      <xdr:colOff>47625</xdr:colOff>
      <xdr:row>0</xdr:row>
      <xdr:rowOff>0</xdr:rowOff>
    </xdr:from>
    <xdr:ext cx="1200150" cy="571500"/>
    <xdr:pic>
      <xdr:nvPicPr>
        <xdr:cNvPr id="589" name="image1.png" title="Imagem">
          <a:extLst>
            <a:ext uri="{FF2B5EF4-FFF2-40B4-BE49-F238E27FC236}">
              <a16:creationId xmlns:a16="http://schemas.microsoft.com/office/drawing/2014/main" id="{DE61068C-A6B6-43BA-B4A1-BAB20204D09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9408</xdr:col>
      <xdr:colOff>47625</xdr:colOff>
      <xdr:row>0</xdr:row>
      <xdr:rowOff>0</xdr:rowOff>
    </xdr:from>
    <xdr:ext cx="1200150" cy="571500"/>
    <xdr:pic>
      <xdr:nvPicPr>
        <xdr:cNvPr id="590" name="image1.png" title="Imagem">
          <a:extLst>
            <a:ext uri="{FF2B5EF4-FFF2-40B4-BE49-F238E27FC236}">
              <a16:creationId xmlns:a16="http://schemas.microsoft.com/office/drawing/2014/main" id="{A9D6862A-382B-46E7-91D3-042BC1C0689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9424</xdr:col>
      <xdr:colOff>47625</xdr:colOff>
      <xdr:row>0</xdr:row>
      <xdr:rowOff>0</xdr:rowOff>
    </xdr:from>
    <xdr:ext cx="1200150" cy="571500"/>
    <xdr:pic>
      <xdr:nvPicPr>
        <xdr:cNvPr id="591" name="image1.png" title="Imagem">
          <a:extLst>
            <a:ext uri="{FF2B5EF4-FFF2-40B4-BE49-F238E27FC236}">
              <a16:creationId xmlns:a16="http://schemas.microsoft.com/office/drawing/2014/main" id="{45F92D0E-292E-45F7-A75C-E1923920494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9440</xdr:col>
      <xdr:colOff>47625</xdr:colOff>
      <xdr:row>0</xdr:row>
      <xdr:rowOff>0</xdr:rowOff>
    </xdr:from>
    <xdr:ext cx="1200150" cy="571500"/>
    <xdr:pic>
      <xdr:nvPicPr>
        <xdr:cNvPr id="592" name="image1.png" title="Imagem">
          <a:extLst>
            <a:ext uri="{FF2B5EF4-FFF2-40B4-BE49-F238E27FC236}">
              <a16:creationId xmlns:a16="http://schemas.microsoft.com/office/drawing/2014/main" id="{3A418F54-A55C-4238-B422-07BA87146E9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9456</xdr:col>
      <xdr:colOff>47625</xdr:colOff>
      <xdr:row>0</xdr:row>
      <xdr:rowOff>0</xdr:rowOff>
    </xdr:from>
    <xdr:ext cx="1200150" cy="571500"/>
    <xdr:pic>
      <xdr:nvPicPr>
        <xdr:cNvPr id="593" name="image1.png" title="Imagem">
          <a:extLst>
            <a:ext uri="{FF2B5EF4-FFF2-40B4-BE49-F238E27FC236}">
              <a16:creationId xmlns:a16="http://schemas.microsoft.com/office/drawing/2014/main" id="{D3819900-E4FA-4232-9A1D-718AC58B5B2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9472</xdr:col>
      <xdr:colOff>47625</xdr:colOff>
      <xdr:row>0</xdr:row>
      <xdr:rowOff>0</xdr:rowOff>
    </xdr:from>
    <xdr:ext cx="1200150" cy="571500"/>
    <xdr:pic>
      <xdr:nvPicPr>
        <xdr:cNvPr id="594" name="image1.png" title="Imagem">
          <a:extLst>
            <a:ext uri="{FF2B5EF4-FFF2-40B4-BE49-F238E27FC236}">
              <a16:creationId xmlns:a16="http://schemas.microsoft.com/office/drawing/2014/main" id="{B188DC16-CDEE-438C-9574-392EF767ED3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9488</xdr:col>
      <xdr:colOff>47625</xdr:colOff>
      <xdr:row>0</xdr:row>
      <xdr:rowOff>0</xdr:rowOff>
    </xdr:from>
    <xdr:ext cx="1200150" cy="571500"/>
    <xdr:pic>
      <xdr:nvPicPr>
        <xdr:cNvPr id="595" name="image1.png" title="Imagem">
          <a:extLst>
            <a:ext uri="{FF2B5EF4-FFF2-40B4-BE49-F238E27FC236}">
              <a16:creationId xmlns:a16="http://schemas.microsoft.com/office/drawing/2014/main" id="{249EF488-99BF-4A8A-8657-9014ECE0FE1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9504</xdr:col>
      <xdr:colOff>47625</xdr:colOff>
      <xdr:row>0</xdr:row>
      <xdr:rowOff>0</xdr:rowOff>
    </xdr:from>
    <xdr:ext cx="1200150" cy="571500"/>
    <xdr:pic>
      <xdr:nvPicPr>
        <xdr:cNvPr id="596" name="image1.png" title="Imagem">
          <a:extLst>
            <a:ext uri="{FF2B5EF4-FFF2-40B4-BE49-F238E27FC236}">
              <a16:creationId xmlns:a16="http://schemas.microsoft.com/office/drawing/2014/main" id="{26378B2F-1AA5-422E-9FA7-C4F82A6BD35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9520</xdr:col>
      <xdr:colOff>47625</xdr:colOff>
      <xdr:row>0</xdr:row>
      <xdr:rowOff>0</xdr:rowOff>
    </xdr:from>
    <xdr:ext cx="1200150" cy="571500"/>
    <xdr:pic>
      <xdr:nvPicPr>
        <xdr:cNvPr id="597" name="image1.png" title="Imagem">
          <a:extLst>
            <a:ext uri="{FF2B5EF4-FFF2-40B4-BE49-F238E27FC236}">
              <a16:creationId xmlns:a16="http://schemas.microsoft.com/office/drawing/2014/main" id="{215EC2D0-68DF-4069-9B5C-DE73D29934D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9536</xdr:col>
      <xdr:colOff>47625</xdr:colOff>
      <xdr:row>0</xdr:row>
      <xdr:rowOff>0</xdr:rowOff>
    </xdr:from>
    <xdr:ext cx="1200150" cy="571500"/>
    <xdr:pic>
      <xdr:nvPicPr>
        <xdr:cNvPr id="598" name="image1.png" title="Imagem">
          <a:extLst>
            <a:ext uri="{FF2B5EF4-FFF2-40B4-BE49-F238E27FC236}">
              <a16:creationId xmlns:a16="http://schemas.microsoft.com/office/drawing/2014/main" id="{577D73B3-AA17-4EFD-8523-74072E966D4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9552</xdr:col>
      <xdr:colOff>47625</xdr:colOff>
      <xdr:row>0</xdr:row>
      <xdr:rowOff>0</xdr:rowOff>
    </xdr:from>
    <xdr:ext cx="1200150" cy="571500"/>
    <xdr:pic>
      <xdr:nvPicPr>
        <xdr:cNvPr id="599" name="image1.png" title="Imagem">
          <a:extLst>
            <a:ext uri="{FF2B5EF4-FFF2-40B4-BE49-F238E27FC236}">
              <a16:creationId xmlns:a16="http://schemas.microsoft.com/office/drawing/2014/main" id="{DB60AED0-CA75-4449-87A9-4CC3684B429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9568</xdr:col>
      <xdr:colOff>47625</xdr:colOff>
      <xdr:row>0</xdr:row>
      <xdr:rowOff>0</xdr:rowOff>
    </xdr:from>
    <xdr:ext cx="1200150" cy="571500"/>
    <xdr:pic>
      <xdr:nvPicPr>
        <xdr:cNvPr id="600" name="image1.png" title="Imagem">
          <a:extLst>
            <a:ext uri="{FF2B5EF4-FFF2-40B4-BE49-F238E27FC236}">
              <a16:creationId xmlns:a16="http://schemas.microsoft.com/office/drawing/2014/main" id="{D7228E04-EF7E-48C5-98D4-E6D9F747237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9584</xdr:col>
      <xdr:colOff>47625</xdr:colOff>
      <xdr:row>0</xdr:row>
      <xdr:rowOff>0</xdr:rowOff>
    </xdr:from>
    <xdr:ext cx="1200150" cy="571500"/>
    <xdr:pic>
      <xdr:nvPicPr>
        <xdr:cNvPr id="601" name="image1.png" title="Imagem">
          <a:extLst>
            <a:ext uri="{FF2B5EF4-FFF2-40B4-BE49-F238E27FC236}">
              <a16:creationId xmlns:a16="http://schemas.microsoft.com/office/drawing/2014/main" id="{EA76C1D8-2C19-40E7-BE03-36311872756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9600</xdr:col>
      <xdr:colOff>47625</xdr:colOff>
      <xdr:row>0</xdr:row>
      <xdr:rowOff>0</xdr:rowOff>
    </xdr:from>
    <xdr:ext cx="1200150" cy="571500"/>
    <xdr:pic>
      <xdr:nvPicPr>
        <xdr:cNvPr id="602" name="image1.png" title="Imagem">
          <a:extLst>
            <a:ext uri="{FF2B5EF4-FFF2-40B4-BE49-F238E27FC236}">
              <a16:creationId xmlns:a16="http://schemas.microsoft.com/office/drawing/2014/main" id="{6DF7F273-A3EE-4E52-A882-B5E60356194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9616</xdr:col>
      <xdr:colOff>47625</xdr:colOff>
      <xdr:row>0</xdr:row>
      <xdr:rowOff>0</xdr:rowOff>
    </xdr:from>
    <xdr:ext cx="1200150" cy="571500"/>
    <xdr:pic>
      <xdr:nvPicPr>
        <xdr:cNvPr id="603" name="image1.png" title="Imagem">
          <a:extLst>
            <a:ext uri="{FF2B5EF4-FFF2-40B4-BE49-F238E27FC236}">
              <a16:creationId xmlns:a16="http://schemas.microsoft.com/office/drawing/2014/main" id="{C0CE57D2-E14C-48FE-868D-6A58A665D6B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9632</xdr:col>
      <xdr:colOff>47625</xdr:colOff>
      <xdr:row>0</xdr:row>
      <xdr:rowOff>0</xdr:rowOff>
    </xdr:from>
    <xdr:ext cx="1200150" cy="571500"/>
    <xdr:pic>
      <xdr:nvPicPr>
        <xdr:cNvPr id="604" name="image1.png" title="Imagem">
          <a:extLst>
            <a:ext uri="{FF2B5EF4-FFF2-40B4-BE49-F238E27FC236}">
              <a16:creationId xmlns:a16="http://schemas.microsoft.com/office/drawing/2014/main" id="{1A7FF5A4-5AE5-44BA-A6A9-2EA77D23419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9648</xdr:col>
      <xdr:colOff>47625</xdr:colOff>
      <xdr:row>0</xdr:row>
      <xdr:rowOff>0</xdr:rowOff>
    </xdr:from>
    <xdr:ext cx="1200150" cy="571500"/>
    <xdr:pic>
      <xdr:nvPicPr>
        <xdr:cNvPr id="605" name="image1.png" title="Imagem">
          <a:extLst>
            <a:ext uri="{FF2B5EF4-FFF2-40B4-BE49-F238E27FC236}">
              <a16:creationId xmlns:a16="http://schemas.microsoft.com/office/drawing/2014/main" id="{49A828DB-1648-469F-967F-0226595062A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9664</xdr:col>
      <xdr:colOff>47625</xdr:colOff>
      <xdr:row>0</xdr:row>
      <xdr:rowOff>0</xdr:rowOff>
    </xdr:from>
    <xdr:ext cx="1200150" cy="571500"/>
    <xdr:pic>
      <xdr:nvPicPr>
        <xdr:cNvPr id="606" name="image1.png" title="Imagem">
          <a:extLst>
            <a:ext uri="{FF2B5EF4-FFF2-40B4-BE49-F238E27FC236}">
              <a16:creationId xmlns:a16="http://schemas.microsoft.com/office/drawing/2014/main" id="{10B55310-2919-43FB-B0ED-90D26FDAC55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9680</xdr:col>
      <xdr:colOff>47625</xdr:colOff>
      <xdr:row>0</xdr:row>
      <xdr:rowOff>0</xdr:rowOff>
    </xdr:from>
    <xdr:ext cx="1200150" cy="571500"/>
    <xdr:pic>
      <xdr:nvPicPr>
        <xdr:cNvPr id="607" name="image1.png" title="Imagem">
          <a:extLst>
            <a:ext uri="{FF2B5EF4-FFF2-40B4-BE49-F238E27FC236}">
              <a16:creationId xmlns:a16="http://schemas.microsoft.com/office/drawing/2014/main" id="{686B3234-0545-4AB6-ACF4-84943E53A0D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9696</xdr:col>
      <xdr:colOff>47625</xdr:colOff>
      <xdr:row>0</xdr:row>
      <xdr:rowOff>0</xdr:rowOff>
    </xdr:from>
    <xdr:ext cx="1200150" cy="571500"/>
    <xdr:pic>
      <xdr:nvPicPr>
        <xdr:cNvPr id="608" name="image1.png" title="Imagem">
          <a:extLst>
            <a:ext uri="{FF2B5EF4-FFF2-40B4-BE49-F238E27FC236}">
              <a16:creationId xmlns:a16="http://schemas.microsoft.com/office/drawing/2014/main" id="{95B65AA3-415F-4A1B-8433-D650C8BA7FB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9712</xdr:col>
      <xdr:colOff>47625</xdr:colOff>
      <xdr:row>0</xdr:row>
      <xdr:rowOff>0</xdr:rowOff>
    </xdr:from>
    <xdr:ext cx="1200150" cy="571500"/>
    <xdr:pic>
      <xdr:nvPicPr>
        <xdr:cNvPr id="609" name="image1.png" title="Imagem">
          <a:extLst>
            <a:ext uri="{FF2B5EF4-FFF2-40B4-BE49-F238E27FC236}">
              <a16:creationId xmlns:a16="http://schemas.microsoft.com/office/drawing/2014/main" id="{C776A405-E133-4754-9B89-4421AE777F5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9728</xdr:col>
      <xdr:colOff>47625</xdr:colOff>
      <xdr:row>0</xdr:row>
      <xdr:rowOff>0</xdr:rowOff>
    </xdr:from>
    <xdr:ext cx="1200150" cy="571500"/>
    <xdr:pic>
      <xdr:nvPicPr>
        <xdr:cNvPr id="610" name="image1.png" title="Imagem">
          <a:extLst>
            <a:ext uri="{FF2B5EF4-FFF2-40B4-BE49-F238E27FC236}">
              <a16:creationId xmlns:a16="http://schemas.microsoft.com/office/drawing/2014/main" id="{74A10A91-F0F7-4D62-AA1F-DDED11BA08A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9744</xdr:col>
      <xdr:colOff>47625</xdr:colOff>
      <xdr:row>0</xdr:row>
      <xdr:rowOff>0</xdr:rowOff>
    </xdr:from>
    <xdr:ext cx="1200150" cy="571500"/>
    <xdr:pic>
      <xdr:nvPicPr>
        <xdr:cNvPr id="611" name="image1.png" title="Imagem">
          <a:extLst>
            <a:ext uri="{FF2B5EF4-FFF2-40B4-BE49-F238E27FC236}">
              <a16:creationId xmlns:a16="http://schemas.microsoft.com/office/drawing/2014/main" id="{E8A61C13-56FD-491C-9606-4500812659F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9760</xdr:col>
      <xdr:colOff>47625</xdr:colOff>
      <xdr:row>0</xdr:row>
      <xdr:rowOff>0</xdr:rowOff>
    </xdr:from>
    <xdr:ext cx="1200150" cy="571500"/>
    <xdr:pic>
      <xdr:nvPicPr>
        <xdr:cNvPr id="612" name="image1.png" title="Imagem">
          <a:extLst>
            <a:ext uri="{FF2B5EF4-FFF2-40B4-BE49-F238E27FC236}">
              <a16:creationId xmlns:a16="http://schemas.microsoft.com/office/drawing/2014/main" id="{059BB258-23AD-4994-9502-DAA8950CE22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9776</xdr:col>
      <xdr:colOff>47625</xdr:colOff>
      <xdr:row>0</xdr:row>
      <xdr:rowOff>0</xdr:rowOff>
    </xdr:from>
    <xdr:ext cx="1200150" cy="571500"/>
    <xdr:pic>
      <xdr:nvPicPr>
        <xdr:cNvPr id="613" name="image1.png" title="Imagem">
          <a:extLst>
            <a:ext uri="{FF2B5EF4-FFF2-40B4-BE49-F238E27FC236}">
              <a16:creationId xmlns:a16="http://schemas.microsoft.com/office/drawing/2014/main" id="{F79A7B12-77EE-451F-B0CF-9CBCBB65BFB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9792</xdr:col>
      <xdr:colOff>47625</xdr:colOff>
      <xdr:row>0</xdr:row>
      <xdr:rowOff>0</xdr:rowOff>
    </xdr:from>
    <xdr:ext cx="1200150" cy="571500"/>
    <xdr:pic>
      <xdr:nvPicPr>
        <xdr:cNvPr id="614" name="image1.png" title="Imagem">
          <a:extLst>
            <a:ext uri="{FF2B5EF4-FFF2-40B4-BE49-F238E27FC236}">
              <a16:creationId xmlns:a16="http://schemas.microsoft.com/office/drawing/2014/main" id="{25250517-B318-4A7D-9188-C5ECE9C0ADA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9808</xdr:col>
      <xdr:colOff>47625</xdr:colOff>
      <xdr:row>0</xdr:row>
      <xdr:rowOff>0</xdr:rowOff>
    </xdr:from>
    <xdr:ext cx="1200150" cy="571500"/>
    <xdr:pic>
      <xdr:nvPicPr>
        <xdr:cNvPr id="615" name="image1.png" title="Imagem">
          <a:extLst>
            <a:ext uri="{FF2B5EF4-FFF2-40B4-BE49-F238E27FC236}">
              <a16:creationId xmlns:a16="http://schemas.microsoft.com/office/drawing/2014/main" id="{FB40C673-2ABE-496B-9E7E-8DC1EF95832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9824</xdr:col>
      <xdr:colOff>47625</xdr:colOff>
      <xdr:row>0</xdr:row>
      <xdr:rowOff>0</xdr:rowOff>
    </xdr:from>
    <xdr:ext cx="1200150" cy="571500"/>
    <xdr:pic>
      <xdr:nvPicPr>
        <xdr:cNvPr id="616" name="image1.png" title="Imagem">
          <a:extLst>
            <a:ext uri="{FF2B5EF4-FFF2-40B4-BE49-F238E27FC236}">
              <a16:creationId xmlns:a16="http://schemas.microsoft.com/office/drawing/2014/main" id="{FDB1846A-F48D-4535-A952-BF91DCBA82E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9840</xdr:col>
      <xdr:colOff>47625</xdr:colOff>
      <xdr:row>0</xdr:row>
      <xdr:rowOff>0</xdr:rowOff>
    </xdr:from>
    <xdr:ext cx="1200150" cy="571500"/>
    <xdr:pic>
      <xdr:nvPicPr>
        <xdr:cNvPr id="617" name="image1.png" title="Imagem">
          <a:extLst>
            <a:ext uri="{FF2B5EF4-FFF2-40B4-BE49-F238E27FC236}">
              <a16:creationId xmlns:a16="http://schemas.microsoft.com/office/drawing/2014/main" id="{AFB88AB0-5EBA-40FF-ABB5-97FC81E3FFF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9856</xdr:col>
      <xdr:colOff>47625</xdr:colOff>
      <xdr:row>0</xdr:row>
      <xdr:rowOff>0</xdr:rowOff>
    </xdr:from>
    <xdr:ext cx="1200150" cy="571500"/>
    <xdr:pic>
      <xdr:nvPicPr>
        <xdr:cNvPr id="618" name="image1.png" title="Imagem">
          <a:extLst>
            <a:ext uri="{FF2B5EF4-FFF2-40B4-BE49-F238E27FC236}">
              <a16:creationId xmlns:a16="http://schemas.microsoft.com/office/drawing/2014/main" id="{B73B5DC9-DE79-475A-9DA6-69DACBD08FC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9872</xdr:col>
      <xdr:colOff>47625</xdr:colOff>
      <xdr:row>0</xdr:row>
      <xdr:rowOff>0</xdr:rowOff>
    </xdr:from>
    <xdr:ext cx="1200150" cy="571500"/>
    <xdr:pic>
      <xdr:nvPicPr>
        <xdr:cNvPr id="619" name="image1.png" title="Imagem">
          <a:extLst>
            <a:ext uri="{FF2B5EF4-FFF2-40B4-BE49-F238E27FC236}">
              <a16:creationId xmlns:a16="http://schemas.microsoft.com/office/drawing/2014/main" id="{905EADFB-8B29-4C95-908F-5FA8AC71FB8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9888</xdr:col>
      <xdr:colOff>47625</xdr:colOff>
      <xdr:row>0</xdr:row>
      <xdr:rowOff>0</xdr:rowOff>
    </xdr:from>
    <xdr:ext cx="1200150" cy="571500"/>
    <xdr:pic>
      <xdr:nvPicPr>
        <xdr:cNvPr id="620" name="image1.png" title="Imagem">
          <a:extLst>
            <a:ext uri="{FF2B5EF4-FFF2-40B4-BE49-F238E27FC236}">
              <a16:creationId xmlns:a16="http://schemas.microsoft.com/office/drawing/2014/main" id="{83AF55F6-53C9-47C0-95A7-7A1EB14C922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9904</xdr:col>
      <xdr:colOff>47625</xdr:colOff>
      <xdr:row>0</xdr:row>
      <xdr:rowOff>0</xdr:rowOff>
    </xdr:from>
    <xdr:ext cx="1200150" cy="571500"/>
    <xdr:pic>
      <xdr:nvPicPr>
        <xdr:cNvPr id="621" name="image1.png" title="Imagem">
          <a:extLst>
            <a:ext uri="{FF2B5EF4-FFF2-40B4-BE49-F238E27FC236}">
              <a16:creationId xmlns:a16="http://schemas.microsoft.com/office/drawing/2014/main" id="{675B37F6-026C-402F-89C6-2C4DEDAE2C5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9920</xdr:col>
      <xdr:colOff>47625</xdr:colOff>
      <xdr:row>0</xdr:row>
      <xdr:rowOff>0</xdr:rowOff>
    </xdr:from>
    <xdr:ext cx="1200150" cy="571500"/>
    <xdr:pic>
      <xdr:nvPicPr>
        <xdr:cNvPr id="622" name="image1.png" title="Imagem">
          <a:extLst>
            <a:ext uri="{FF2B5EF4-FFF2-40B4-BE49-F238E27FC236}">
              <a16:creationId xmlns:a16="http://schemas.microsoft.com/office/drawing/2014/main" id="{FB2B0DD5-834F-4170-B61B-6AE177C5D62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9936</xdr:col>
      <xdr:colOff>47625</xdr:colOff>
      <xdr:row>0</xdr:row>
      <xdr:rowOff>0</xdr:rowOff>
    </xdr:from>
    <xdr:ext cx="1200150" cy="571500"/>
    <xdr:pic>
      <xdr:nvPicPr>
        <xdr:cNvPr id="623" name="image1.png" title="Imagem">
          <a:extLst>
            <a:ext uri="{FF2B5EF4-FFF2-40B4-BE49-F238E27FC236}">
              <a16:creationId xmlns:a16="http://schemas.microsoft.com/office/drawing/2014/main" id="{055C216B-DB17-4054-89ED-2040BC5B145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9952</xdr:col>
      <xdr:colOff>47625</xdr:colOff>
      <xdr:row>0</xdr:row>
      <xdr:rowOff>0</xdr:rowOff>
    </xdr:from>
    <xdr:ext cx="1200150" cy="571500"/>
    <xdr:pic>
      <xdr:nvPicPr>
        <xdr:cNvPr id="624" name="image1.png" title="Imagem">
          <a:extLst>
            <a:ext uri="{FF2B5EF4-FFF2-40B4-BE49-F238E27FC236}">
              <a16:creationId xmlns:a16="http://schemas.microsoft.com/office/drawing/2014/main" id="{79DE7E14-75A4-44F9-91B2-058805E4A9F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9968</xdr:col>
      <xdr:colOff>47625</xdr:colOff>
      <xdr:row>0</xdr:row>
      <xdr:rowOff>0</xdr:rowOff>
    </xdr:from>
    <xdr:ext cx="1200150" cy="571500"/>
    <xdr:pic>
      <xdr:nvPicPr>
        <xdr:cNvPr id="625" name="image1.png" title="Imagem">
          <a:extLst>
            <a:ext uri="{FF2B5EF4-FFF2-40B4-BE49-F238E27FC236}">
              <a16:creationId xmlns:a16="http://schemas.microsoft.com/office/drawing/2014/main" id="{1086995D-13DB-4F1F-A53D-106ECF36032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9984</xdr:col>
      <xdr:colOff>47625</xdr:colOff>
      <xdr:row>0</xdr:row>
      <xdr:rowOff>0</xdr:rowOff>
    </xdr:from>
    <xdr:ext cx="1200150" cy="571500"/>
    <xdr:pic>
      <xdr:nvPicPr>
        <xdr:cNvPr id="626" name="image1.png" title="Imagem">
          <a:extLst>
            <a:ext uri="{FF2B5EF4-FFF2-40B4-BE49-F238E27FC236}">
              <a16:creationId xmlns:a16="http://schemas.microsoft.com/office/drawing/2014/main" id="{8697CA39-FAF8-47EA-B074-FF1A89AA126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10000</xdr:col>
      <xdr:colOff>47625</xdr:colOff>
      <xdr:row>0</xdr:row>
      <xdr:rowOff>0</xdr:rowOff>
    </xdr:from>
    <xdr:ext cx="1200150" cy="571500"/>
    <xdr:pic>
      <xdr:nvPicPr>
        <xdr:cNvPr id="627" name="image1.png" title="Imagem">
          <a:extLst>
            <a:ext uri="{FF2B5EF4-FFF2-40B4-BE49-F238E27FC236}">
              <a16:creationId xmlns:a16="http://schemas.microsoft.com/office/drawing/2014/main" id="{9F05A0D2-0D0D-4AC0-835C-18B53B79C34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10016</xdr:col>
      <xdr:colOff>47625</xdr:colOff>
      <xdr:row>0</xdr:row>
      <xdr:rowOff>0</xdr:rowOff>
    </xdr:from>
    <xdr:ext cx="1200150" cy="571500"/>
    <xdr:pic>
      <xdr:nvPicPr>
        <xdr:cNvPr id="628" name="image1.png" title="Imagem">
          <a:extLst>
            <a:ext uri="{FF2B5EF4-FFF2-40B4-BE49-F238E27FC236}">
              <a16:creationId xmlns:a16="http://schemas.microsoft.com/office/drawing/2014/main" id="{BEE15F2B-7E90-4A47-9F96-B653D9F4A03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10032</xdr:col>
      <xdr:colOff>47625</xdr:colOff>
      <xdr:row>0</xdr:row>
      <xdr:rowOff>0</xdr:rowOff>
    </xdr:from>
    <xdr:ext cx="1200150" cy="571500"/>
    <xdr:pic>
      <xdr:nvPicPr>
        <xdr:cNvPr id="629" name="image1.png" title="Imagem">
          <a:extLst>
            <a:ext uri="{FF2B5EF4-FFF2-40B4-BE49-F238E27FC236}">
              <a16:creationId xmlns:a16="http://schemas.microsoft.com/office/drawing/2014/main" id="{676048AA-70DA-4119-A479-D04BD8DE0F5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10048</xdr:col>
      <xdr:colOff>47625</xdr:colOff>
      <xdr:row>0</xdr:row>
      <xdr:rowOff>0</xdr:rowOff>
    </xdr:from>
    <xdr:ext cx="1200150" cy="571500"/>
    <xdr:pic>
      <xdr:nvPicPr>
        <xdr:cNvPr id="630" name="image1.png" title="Imagem">
          <a:extLst>
            <a:ext uri="{FF2B5EF4-FFF2-40B4-BE49-F238E27FC236}">
              <a16:creationId xmlns:a16="http://schemas.microsoft.com/office/drawing/2014/main" id="{81DDA5E9-34D1-4A95-A730-9CDC6FF221F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10064</xdr:col>
      <xdr:colOff>47625</xdr:colOff>
      <xdr:row>0</xdr:row>
      <xdr:rowOff>0</xdr:rowOff>
    </xdr:from>
    <xdr:ext cx="1200150" cy="571500"/>
    <xdr:pic>
      <xdr:nvPicPr>
        <xdr:cNvPr id="631" name="image1.png" title="Imagem">
          <a:extLst>
            <a:ext uri="{FF2B5EF4-FFF2-40B4-BE49-F238E27FC236}">
              <a16:creationId xmlns:a16="http://schemas.microsoft.com/office/drawing/2014/main" id="{FDF7D318-2FEB-486C-80AA-B49F837E4E4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10080</xdr:col>
      <xdr:colOff>47625</xdr:colOff>
      <xdr:row>0</xdr:row>
      <xdr:rowOff>0</xdr:rowOff>
    </xdr:from>
    <xdr:ext cx="1200150" cy="571500"/>
    <xdr:pic>
      <xdr:nvPicPr>
        <xdr:cNvPr id="632" name="image1.png" title="Imagem">
          <a:extLst>
            <a:ext uri="{FF2B5EF4-FFF2-40B4-BE49-F238E27FC236}">
              <a16:creationId xmlns:a16="http://schemas.microsoft.com/office/drawing/2014/main" id="{55EB8B90-5477-4D98-86A9-9A2E030E610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10096</xdr:col>
      <xdr:colOff>47625</xdr:colOff>
      <xdr:row>0</xdr:row>
      <xdr:rowOff>0</xdr:rowOff>
    </xdr:from>
    <xdr:ext cx="1200150" cy="571500"/>
    <xdr:pic>
      <xdr:nvPicPr>
        <xdr:cNvPr id="633" name="image1.png" title="Imagem">
          <a:extLst>
            <a:ext uri="{FF2B5EF4-FFF2-40B4-BE49-F238E27FC236}">
              <a16:creationId xmlns:a16="http://schemas.microsoft.com/office/drawing/2014/main" id="{F4516CCE-42E2-45FD-BFF5-1404D3B4CE6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10112</xdr:col>
      <xdr:colOff>47625</xdr:colOff>
      <xdr:row>0</xdr:row>
      <xdr:rowOff>0</xdr:rowOff>
    </xdr:from>
    <xdr:ext cx="1200150" cy="571500"/>
    <xdr:pic>
      <xdr:nvPicPr>
        <xdr:cNvPr id="634" name="image1.png" title="Imagem">
          <a:extLst>
            <a:ext uri="{FF2B5EF4-FFF2-40B4-BE49-F238E27FC236}">
              <a16:creationId xmlns:a16="http://schemas.microsoft.com/office/drawing/2014/main" id="{0A902665-E36B-48E6-B854-7BFB4576AC0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10128</xdr:col>
      <xdr:colOff>47625</xdr:colOff>
      <xdr:row>0</xdr:row>
      <xdr:rowOff>0</xdr:rowOff>
    </xdr:from>
    <xdr:ext cx="1200150" cy="571500"/>
    <xdr:pic>
      <xdr:nvPicPr>
        <xdr:cNvPr id="635" name="image1.png" title="Imagem">
          <a:extLst>
            <a:ext uri="{FF2B5EF4-FFF2-40B4-BE49-F238E27FC236}">
              <a16:creationId xmlns:a16="http://schemas.microsoft.com/office/drawing/2014/main" id="{A20C2E02-3351-4BD2-87A6-EF02A68A912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10144</xdr:col>
      <xdr:colOff>47625</xdr:colOff>
      <xdr:row>0</xdr:row>
      <xdr:rowOff>0</xdr:rowOff>
    </xdr:from>
    <xdr:ext cx="1200150" cy="571500"/>
    <xdr:pic>
      <xdr:nvPicPr>
        <xdr:cNvPr id="636" name="image1.png" title="Imagem">
          <a:extLst>
            <a:ext uri="{FF2B5EF4-FFF2-40B4-BE49-F238E27FC236}">
              <a16:creationId xmlns:a16="http://schemas.microsoft.com/office/drawing/2014/main" id="{9D8B1AF8-B233-4652-AC05-C63A5F12059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10160</xdr:col>
      <xdr:colOff>47625</xdr:colOff>
      <xdr:row>0</xdr:row>
      <xdr:rowOff>0</xdr:rowOff>
    </xdr:from>
    <xdr:ext cx="1200150" cy="571500"/>
    <xdr:pic>
      <xdr:nvPicPr>
        <xdr:cNvPr id="637" name="image1.png" title="Imagem">
          <a:extLst>
            <a:ext uri="{FF2B5EF4-FFF2-40B4-BE49-F238E27FC236}">
              <a16:creationId xmlns:a16="http://schemas.microsoft.com/office/drawing/2014/main" id="{07FB450F-17C3-4FA2-8601-8B1DB52BC63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10176</xdr:col>
      <xdr:colOff>47625</xdr:colOff>
      <xdr:row>0</xdr:row>
      <xdr:rowOff>0</xdr:rowOff>
    </xdr:from>
    <xdr:ext cx="1200150" cy="571500"/>
    <xdr:pic>
      <xdr:nvPicPr>
        <xdr:cNvPr id="638" name="image1.png" title="Imagem">
          <a:extLst>
            <a:ext uri="{FF2B5EF4-FFF2-40B4-BE49-F238E27FC236}">
              <a16:creationId xmlns:a16="http://schemas.microsoft.com/office/drawing/2014/main" id="{D8200BF4-E788-480C-B4B2-7D0DF5CB685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10192</xdr:col>
      <xdr:colOff>47625</xdr:colOff>
      <xdr:row>0</xdr:row>
      <xdr:rowOff>0</xdr:rowOff>
    </xdr:from>
    <xdr:ext cx="1200150" cy="571500"/>
    <xdr:pic>
      <xdr:nvPicPr>
        <xdr:cNvPr id="639" name="image1.png" title="Imagem">
          <a:extLst>
            <a:ext uri="{FF2B5EF4-FFF2-40B4-BE49-F238E27FC236}">
              <a16:creationId xmlns:a16="http://schemas.microsoft.com/office/drawing/2014/main" id="{197EFEB4-6FF1-43FA-9BEC-197D554B439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10208</xdr:col>
      <xdr:colOff>47625</xdr:colOff>
      <xdr:row>0</xdr:row>
      <xdr:rowOff>0</xdr:rowOff>
    </xdr:from>
    <xdr:ext cx="1200150" cy="571500"/>
    <xdr:pic>
      <xdr:nvPicPr>
        <xdr:cNvPr id="640" name="image1.png" title="Imagem">
          <a:extLst>
            <a:ext uri="{FF2B5EF4-FFF2-40B4-BE49-F238E27FC236}">
              <a16:creationId xmlns:a16="http://schemas.microsoft.com/office/drawing/2014/main" id="{31CF41B8-3641-4662-A3A0-3C3F51BF5EE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10224</xdr:col>
      <xdr:colOff>47625</xdr:colOff>
      <xdr:row>0</xdr:row>
      <xdr:rowOff>0</xdr:rowOff>
    </xdr:from>
    <xdr:ext cx="1200150" cy="571500"/>
    <xdr:pic>
      <xdr:nvPicPr>
        <xdr:cNvPr id="641" name="image1.png" title="Imagem">
          <a:extLst>
            <a:ext uri="{FF2B5EF4-FFF2-40B4-BE49-F238E27FC236}">
              <a16:creationId xmlns:a16="http://schemas.microsoft.com/office/drawing/2014/main" id="{55E673AC-3CA9-4844-9767-6447BBA0985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10240</xdr:col>
      <xdr:colOff>47625</xdr:colOff>
      <xdr:row>0</xdr:row>
      <xdr:rowOff>0</xdr:rowOff>
    </xdr:from>
    <xdr:ext cx="1200150" cy="571500"/>
    <xdr:pic>
      <xdr:nvPicPr>
        <xdr:cNvPr id="642" name="image1.png" title="Imagem">
          <a:extLst>
            <a:ext uri="{FF2B5EF4-FFF2-40B4-BE49-F238E27FC236}">
              <a16:creationId xmlns:a16="http://schemas.microsoft.com/office/drawing/2014/main" id="{7993D32C-8034-4663-A2F7-F6D22162CE0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10256</xdr:col>
      <xdr:colOff>47625</xdr:colOff>
      <xdr:row>0</xdr:row>
      <xdr:rowOff>0</xdr:rowOff>
    </xdr:from>
    <xdr:ext cx="1200150" cy="571500"/>
    <xdr:pic>
      <xdr:nvPicPr>
        <xdr:cNvPr id="643" name="image1.png" title="Imagem">
          <a:extLst>
            <a:ext uri="{FF2B5EF4-FFF2-40B4-BE49-F238E27FC236}">
              <a16:creationId xmlns:a16="http://schemas.microsoft.com/office/drawing/2014/main" id="{1E6E2B88-011B-4756-B9C4-4140D2B6C74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10272</xdr:col>
      <xdr:colOff>47625</xdr:colOff>
      <xdr:row>0</xdr:row>
      <xdr:rowOff>0</xdr:rowOff>
    </xdr:from>
    <xdr:ext cx="1200150" cy="571500"/>
    <xdr:pic>
      <xdr:nvPicPr>
        <xdr:cNvPr id="644" name="image1.png" title="Imagem">
          <a:extLst>
            <a:ext uri="{FF2B5EF4-FFF2-40B4-BE49-F238E27FC236}">
              <a16:creationId xmlns:a16="http://schemas.microsoft.com/office/drawing/2014/main" id="{9AA089DC-6327-4D86-BEB9-A32FA3120AB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10288</xdr:col>
      <xdr:colOff>47625</xdr:colOff>
      <xdr:row>0</xdr:row>
      <xdr:rowOff>0</xdr:rowOff>
    </xdr:from>
    <xdr:ext cx="1200150" cy="571500"/>
    <xdr:pic>
      <xdr:nvPicPr>
        <xdr:cNvPr id="645" name="image1.png" title="Imagem">
          <a:extLst>
            <a:ext uri="{FF2B5EF4-FFF2-40B4-BE49-F238E27FC236}">
              <a16:creationId xmlns:a16="http://schemas.microsoft.com/office/drawing/2014/main" id="{E649A85A-072B-44E4-8B3F-6B932739782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10304</xdr:col>
      <xdr:colOff>47625</xdr:colOff>
      <xdr:row>0</xdr:row>
      <xdr:rowOff>0</xdr:rowOff>
    </xdr:from>
    <xdr:ext cx="1200150" cy="571500"/>
    <xdr:pic>
      <xdr:nvPicPr>
        <xdr:cNvPr id="646" name="image1.png" title="Imagem">
          <a:extLst>
            <a:ext uri="{FF2B5EF4-FFF2-40B4-BE49-F238E27FC236}">
              <a16:creationId xmlns:a16="http://schemas.microsoft.com/office/drawing/2014/main" id="{5E50B4F9-0C23-4925-B830-9014A5EA228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10320</xdr:col>
      <xdr:colOff>47625</xdr:colOff>
      <xdr:row>0</xdr:row>
      <xdr:rowOff>0</xdr:rowOff>
    </xdr:from>
    <xdr:ext cx="1200150" cy="571500"/>
    <xdr:pic>
      <xdr:nvPicPr>
        <xdr:cNvPr id="647" name="image1.png" title="Imagem">
          <a:extLst>
            <a:ext uri="{FF2B5EF4-FFF2-40B4-BE49-F238E27FC236}">
              <a16:creationId xmlns:a16="http://schemas.microsoft.com/office/drawing/2014/main" id="{3B1BE777-F107-4766-9E22-26E78099A9F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10336</xdr:col>
      <xdr:colOff>47625</xdr:colOff>
      <xdr:row>0</xdr:row>
      <xdr:rowOff>0</xdr:rowOff>
    </xdr:from>
    <xdr:ext cx="1200150" cy="571500"/>
    <xdr:pic>
      <xdr:nvPicPr>
        <xdr:cNvPr id="648" name="image1.png" title="Imagem">
          <a:extLst>
            <a:ext uri="{FF2B5EF4-FFF2-40B4-BE49-F238E27FC236}">
              <a16:creationId xmlns:a16="http://schemas.microsoft.com/office/drawing/2014/main" id="{B0409B42-108B-4E8E-957F-3683BB1A258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10352</xdr:col>
      <xdr:colOff>47625</xdr:colOff>
      <xdr:row>0</xdr:row>
      <xdr:rowOff>0</xdr:rowOff>
    </xdr:from>
    <xdr:ext cx="1200150" cy="571500"/>
    <xdr:pic>
      <xdr:nvPicPr>
        <xdr:cNvPr id="649" name="image1.png" title="Imagem">
          <a:extLst>
            <a:ext uri="{FF2B5EF4-FFF2-40B4-BE49-F238E27FC236}">
              <a16:creationId xmlns:a16="http://schemas.microsoft.com/office/drawing/2014/main" id="{10ED0407-C5C9-457D-84F2-6062E0D28C3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10368</xdr:col>
      <xdr:colOff>47625</xdr:colOff>
      <xdr:row>0</xdr:row>
      <xdr:rowOff>0</xdr:rowOff>
    </xdr:from>
    <xdr:ext cx="1200150" cy="571500"/>
    <xdr:pic>
      <xdr:nvPicPr>
        <xdr:cNvPr id="650" name="image1.png" title="Imagem">
          <a:extLst>
            <a:ext uri="{FF2B5EF4-FFF2-40B4-BE49-F238E27FC236}">
              <a16:creationId xmlns:a16="http://schemas.microsoft.com/office/drawing/2014/main" id="{F9CFD33E-8600-4A4E-BA5A-4E2664A1968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10384</xdr:col>
      <xdr:colOff>47625</xdr:colOff>
      <xdr:row>0</xdr:row>
      <xdr:rowOff>0</xdr:rowOff>
    </xdr:from>
    <xdr:ext cx="1200150" cy="571500"/>
    <xdr:pic>
      <xdr:nvPicPr>
        <xdr:cNvPr id="651" name="image1.png" title="Imagem">
          <a:extLst>
            <a:ext uri="{FF2B5EF4-FFF2-40B4-BE49-F238E27FC236}">
              <a16:creationId xmlns:a16="http://schemas.microsoft.com/office/drawing/2014/main" id="{233EE930-02C9-4380-8DDB-D3752C4C6A6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10400</xdr:col>
      <xdr:colOff>47625</xdr:colOff>
      <xdr:row>0</xdr:row>
      <xdr:rowOff>0</xdr:rowOff>
    </xdr:from>
    <xdr:ext cx="1200150" cy="571500"/>
    <xdr:pic>
      <xdr:nvPicPr>
        <xdr:cNvPr id="652" name="image1.png" title="Imagem">
          <a:extLst>
            <a:ext uri="{FF2B5EF4-FFF2-40B4-BE49-F238E27FC236}">
              <a16:creationId xmlns:a16="http://schemas.microsoft.com/office/drawing/2014/main" id="{83FCFE7F-D805-42BB-86FC-9760815E3B1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10416</xdr:col>
      <xdr:colOff>47625</xdr:colOff>
      <xdr:row>0</xdr:row>
      <xdr:rowOff>0</xdr:rowOff>
    </xdr:from>
    <xdr:ext cx="1200150" cy="571500"/>
    <xdr:pic>
      <xdr:nvPicPr>
        <xdr:cNvPr id="653" name="image1.png" title="Imagem">
          <a:extLst>
            <a:ext uri="{FF2B5EF4-FFF2-40B4-BE49-F238E27FC236}">
              <a16:creationId xmlns:a16="http://schemas.microsoft.com/office/drawing/2014/main" id="{123FC83D-C584-4426-8114-AA4A9267CEC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10432</xdr:col>
      <xdr:colOff>47625</xdr:colOff>
      <xdr:row>0</xdr:row>
      <xdr:rowOff>0</xdr:rowOff>
    </xdr:from>
    <xdr:ext cx="1200150" cy="571500"/>
    <xdr:pic>
      <xdr:nvPicPr>
        <xdr:cNvPr id="654" name="image1.png" title="Imagem">
          <a:extLst>
            <a:ext uri="{FF2B5EF4-FFF2-40B4-BE49-F238E27FC236}">
              <a16:creationId xmlns:a16="http://schemas.microsoft.com/office/drawing/2014/main" id="{DC2E903F-8DF4-4126-AC7C-76232C403B9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10448</xdr:col>
      <xdr:colOff>47625</xdr:colOff>
      <xdr:row>0</xdr:row>
      <xdr:rowOff>0</xdr:rowOff>
    </xdr:from>
    <xdr:ext cx="1200150" cy="571500"/>
    <xdr:pic>
      <xdr:nvPicPr>
        <xdr:cNvPr id="655" name="image1.png" title="Imagem">
          <a:extLst>
            <a:ext uri="{FF2B5EF4-FFF2-40B4-BE49-F238E27FC236}">
              <a16:creationId xmlns:a16="http://schemas.microsoft.com/office/drawing/2014/main" id="{BDEB1D2C-E82E-430D-B095-D80AC586B83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10464</xdr:col>
      <xdr:colOff>47625</xdr:colOff>
      <xdr:row>0</xdr:row>
      <xdr:rowOff>0</xdr:rowOff>
    </xdr:from>
    <xdr:ext cx="1200150" cy="571500"/>
    <xdr:pic>
      <xdr:nvPicPr>
        <xdr:cNvPr id="656" name="image1.png" title="Imagem">
          <a:extLst>
            <a:ext uri="{FF2B5EF4-FFF2-40B4-BE49-F238E27FC236}">
              <a16:creationId xmlns:a16="http://schemas.microsoft.com/office/drawing/2014/main" id="{FC5FE907-7CC8-4908-82E8-0B09BE947EA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10480</xdr:col>
      <xdr:colOff>47625</xdr:colOff>
      <xdr:row>0</xdr:row>
      <xdr:rowOff>0</xdr:rowOff>
    </xdr:from>
    <xdr:ext cx="1200150" cy="571500"/>
    <xdr:pic>
      <xdr:nvPicPr>
        <xdr:cNvPr id="657" name="image1.png" title="Imagem">
          <a:extLst>
            <a:ext uri="{FF2B5EF4-FFF2-40B4-BE49-F238E27FC236}">
              <a16:creationId xmlns:a16="http://schemas.microsoft.com/office/drawing/2014/main" id="{C96ACB05-99FB-4049-A837-1065241A654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10496</xdr:col>
      <xdr:colOff>47625</xdr:colOff>
      <xdr:row>0</xdr:row>
      <xdr:rowOff>0</xdr:rowOff>
    </xdr:from>
    <xdr:ext cx="1200150" cy="571500"/>
    <xdr:pic>
      <xdr:nvPicPr>
        <xdr:cNvPr id="658" name="image1.png" title="Imagem">
          <a:extLst>
            <a:ext uri="{FF2B5EF4-FFF2-40B4-BE49-F238E27FC236}">
              <a16:creationId xmlns:a16="http://schemas.microsoft.com/office/drawing/2014/main" id="{B36948FE-436D-42F5-954B-ED1EC60A443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10512</xdr:col>
      <xdr:colOff>47625</xdr:colOff>
      <xdr:row>0</xdr:row>
      <xdr:rowOff>0</xdr:rowOff>
    </xdr:from>
    <xdr:ext cx="1200150" cy="571500"/>
    <xdr:pic>
      <xdr:nvPicPr>
        <xdr:cNvPr id="659" name="image1.png" title="Imagem">
          <a:extLst>
            <a:ext uri="{FF2B5EF4-FFF2-40B4-BE49-F238E27FC236}">
              <a16:creationId xmlns:a16="http://schemas.microsoft.com/office/drawing/2014/main" id="{ACF578FA-16F6-4C0D-9AFE-07C3843B341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10528</xdr:col>
      <xdr:colOff>47625</xdr:colOff>
      <xdr:row>0</xdr:row>
      <xdr:rowOff>0</xdr:rowOff>
    </xdr:from>
    <xdr:ext cx="1200150" cy="571500"/>
    <xdr:pic>
      <xdr:nvPicPr>
        <xdr:cNvPr id="660" name="image1.png" title="Imagem">
          <a:extLst>
            <a:ext uri="{FF2B5EF4-FFF2-40B4-BE49-F238E27FC236}">
              <a16:creationId xmlns:a16="http://schemas.microsoft.com/office/drawing/2014/main" id="{BA6338C3-3ACC-4768-8CED-376E3BAA584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10544</xdr:col>
      <xdr:colOff>47625</xdr:colOff>
      <xdr:row>0</xdr:row>
      <xdr:rowOff>0</xdr:rowOff>
    </xdr:from>
    <xdr:ext cx="1200150" cy="571500"/>
    <xdr:pic>
      <xdr:nvPicPr>
        <xdr:cNvPr id="661" name="image1.png" title="Imagem">
          <a:extLst>
            <a:ext uri="{FF2B5EF4-FFF2-40B4-BE49-F238E27FC236}">
              <a16:creationId xmlns:a16="http://schemas.microsoft.com/office/drawing/2014/main" id="{4B68DBDC-CFE2-49F9-A58D-AF5EC0EB078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10560</xdr:col>
      <xdr:colOff>47625</xdr:colOff>
      <xdr:row>0</xdr:row>
      <xdr:rowOff>0</xdr:rowOff>
    </xdr:from>
    <xdr:ext cx="1200150" cy="571500"/>
    <xdr:pic>
      <xdr:nvPicPr>
        <xdr:cNvPr id="662" name="image1.png" title="Imagem">
          <a:extLst>
            <a:ext uri="{FF2B5EF4-FFF2-40B4-BE49-F238E27FC236}">
              <a16:creationId xmlns:a16="http://schemas.microsoft.com/office/drawing/2014/main" id="{1F42BF2C-0089-4BC8-9698-6D087B7E677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10576</xdr:col>
      <xdr:colOff>47625</xdr:colOff>
      <xdr:row>0</xdr:row>
      <xdr:rowOff>0</xdr:rowOff>
    </xdr:from>
    <xdr:ext cx="1200150" cy="571500"/>
    <xdr:pic>
      <xdr:nvPicPr>
        <xdr:cNvPr id="663" name="image1.png" title="Imagem">
          <a:extLst>
            <a:ext uri="{FF2B5EF4-FFF2-40B4-BE49-F238E27FC236}">
              <a16:creationId xmlns:a16="http://schemas.microsoft.com/office/drawing/2014/main" id="{12BA6245-7304-49B3-9156-779E7D864C1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10592</xdr:col>
      <xdr:colOff>47625</xdr:colOff>
      <xdr:row>0</xdr:row>
      <xdr:rowOff>0</xdr:rowOff>
    </xdr:from>
    <xdr:ext cx="1200150" cy="571500"/>
    <xdr:pic>
      <xdr:nvPicPr>
        <xdr:cNvPr id="664" name="image1.png" title="Imagem">
          <a:extLst>
            <a:ext uri="{FF2B5EF4-FFF2-40B4-BE49-F238E27FC236}">
              <a16:creationId xmlns:a16="http://schemas.microsoft.com/office/drawing/2014/main" id="{97AB5256-6A3E-49F8-A3B5-BB5D0281293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10608</xdr:col>
      <xdr:colOff>47625</xdr:colOff>
      <xdr:row>0</xdr:row>
      <xdr:rowOff>0</xdr:rowOff>
    </xdr:from>
    <xdr:ext cx="1200150" cy="571500"/>
    <xdr:pic>
      <xdr:nvPicPr>
        <xdr:cNvPr id="665" name="image1.png" title="Imagem">
          <a:extLst>
            <a:ext uri="{FF2B5EF4-FFF2-40B4-BE49-F238E27FC236}">
              <a16:creationId xmlns:a16="http://schemas.microsoft.com/office/drawing/2014/main" id="{833EC490-38B8-4F84-B861-EF11E773EB9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10624</xdr:col>
      <xdr:colOff>47625</xdr:colOff>
      <xdr:row>0</xdr:row>
      <xdr:rowOff>0</xdr:rowOff>
    </xdr:from>
    <xdr:ext cx="1200150" cy="571500"/>
    <xdr:pic>
      <xdr:nvPicPr>
        <xdr:cNvPr id="666" name="image1.png" title="Imagem">
          <a:extLst>
            <a:ext uri="{FF2B5EF4-FFF2-40B4-BE49-F238E27FC236}">
              <a16:creationId xmlns:a16="http://schemas.microsoft.com/office/drawing/2014/main" id="{C091CA86-6E60-4E0F-A852-261F435E305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10640</xdr:col>
      <xdr:colOff>47625</xdr:colOff>
      <xdr:row>0</xdr:row>
      <xdr:rowOff>0</xdr:rowOff>
    </xdr:from>
    <xdr:ext cx="1200150" cy="571500"/>
    <xdr:pic>
      <xdr:nvPicPr>
        <xdr:cNvPr id="667" name="image1.png" title="Imagem">
          <a:extLst>
            <a:ext uri="{FF2B5EF4-FFF2-40B4-BE49-F238E27FC236}">
              <a16:creationId xmlns:a16="http://schemas.microsoft.com/office/drawing/2014/main" id="{74BB7DCF-8103-4B92-BAB4-8FDB9046174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10656</xdr:col>
      <xdr:colOff>47625</xdr:colOff>
      <xdr:row>0</xdr:row>
      <xdr:rowOff>0</xdr:rowOff>
    </xdr:from>
    <xdr:ext cx="1200150" cy="571500"/>
    <xdr:pic>
      <xdr:nvPicPr>
        <xdr:cNvPr id="668" name="image1.png" title="Imagem">
          <a:extLst>
            <a:ext uri="{FF2B5EF4-FFF2-40B4-BE49-F238E27FC236}">
              <a16:creationId xmlns:a16="http://schemas.microsoft.com/office/drawing/2014/main" id="{861166C1-4A04-46B6-842F-FA01B8281A6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10672</xdr:col>
      <xdr:colOff>47625</xdr:colOff>
      <xdr:row>0</xdr:row>
      <xdr:rowOff>0</xdr:rowOff>
    </xdr:from>
    <xdr:ext cx="1200150" cy="571500"/>
    <xdr:pic>
      <xdr:nvPicPr>
        <xdr:cNvPr id="669" name="image1.png" title="Imagem">
          <a:extLst>
            <a:ext uri="{FF2B5EF4-FFF2-40B4-BE49-F238E27FC236}">
              <a16:creationId xmlns:a16="http://schemas.microsoft.com/office/drawing/2014/main" id="{390D1247-A74A-4170-B4C1-5D056DBD813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10688</xdr:col>
      <xdr:colOff>47625</xdr:colOff>
      <xdr:row>0</xdr:row>
      <xdr:rowOff>0</xdr:rowOff>
    </xdr:from>
    <xdr:ext cx="1200150" cy="571500"/>
    <xdr:pic>
      <xdr:nvPicPr>
        <xdr:cNvPr id="670" name="image1.png" title="Imagem">
          <a:extLst>
            <a:ext uri="{FF2B5EF4-FFF2-40B4-BE49-F238E27FC236}">
              <a16:creationId xmlns:a16="http://schemas.microsoft.com/office/drawing/2014/main" id="{DB839DE4-4B5A-4E72-8AD9-A2E5C057170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10704</xdr:col>
      <xdr:colOff>47625</xdr:colOff>
      <xdr:row>0</xdr:row>
      <xdr:rowOff>0</xdr:rowOff>
    </xdr:from>
    <xdr:ext cx="1200150" cy="571500"/>
    <xdr:pic>
      <xdr:nvPicPr>
        <xdr:cNvPr id="671" name="image1.png" title="Imagem">
          <a:extLst>
            <a:ext uri="{FF2B5EF4-FFF2-40B4-BE49-F238E27FC236}">
              <a16:creationId xmlns:a16="http://schemas.microsoft.com/office/drawing/2014/main" id="{C82CCF6E-615E-4AC4-B431-FFCFAA6E698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10720</xdr:col>
      <xdr:colOff>47625</xdr:colOff>
      <xdr:row>0</xdr:row>
      <xdr:rowOff>0</xdr:rowOff>
    </xdr:from>
    <xdr:ext cx="1200150" cy="571500"/>
    <xdr:pic>
      <xdr:nvPicPr>
        <xdr:cNvPr id="672" name="image1.png" title="Imagem">
          <a:extLst>
            <a:ext uri="{FF2B5EF4-FFF2-40B4-BE49-F238E27FC236}">
              <a16:creationId xmlns:a16="http://schemas.microsoft.com/office/drawing/2014/main" id="{52198DFF-F600-43A4-9898-CD75961DB1A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10736</xdr:col>
      <xdr:colOff>47625</xdr:colOff>
      <xdr:row>0</xdr:row>
      <xdr:rowOff>0</xdr:rowOff>
    </xdr:from>
    <xdr:ext cx="1200150" cy="571500"/>
    <xdr:pic>
      <xdr:nvPicPr>
        <xdr:cNvPr id="673" name="image1.png" title="Imagem">
          <a:extLst>
            <a:ext uri="{FF2B5EF4-FFF2-40B4-BE49-F238E27FC236}">
              <a16:creationId xmlns:a16="http://schemas.microsoft.com/office/drawing/2014/main" id="{E71109B4-E399-4ABC-A500-E12F11049DB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10752</xdr:col>
      <xdr:colOff>47625</xdr:colOff>
      <xdr:row>0</xdr:row>
      <xdr:rowOff>0</xdr:rowOff>
    </xdr:from>
    <xdr:ext cx="1200150" cy="571500"/>
    <xdr:pic>
      <xdr:nvPicPr>
        <xdr:cNvPr id="674" name="image1.png" title="Imagem">
          <a:extLst>
            <a:ext uri="{FF2B5EF4-FFF2-40B4-BE49-F238E27FC236}">
              <a16:creationId xmlns:a16="http://schemas.microsoft.com/office/drawing/2014/main" id="{CC51ADFD-CA76-42D7-B39B-21DD6CFC06C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10768</xdr:col>
      <xdr:colOff>47625</xdr:colOff>
      <xdr:row>0</xdr:row>
      <xdr:rowOff>0</xdr:rowOff>
    </xdr:from>
    <xdr:ext cx="1200150" cy="571500"/>
    <xdr:pic>
      <xdr:nvPicPr>
        <xdr:cNvPr id="675" name="image1.png" title="Imagem">
          <a:extLst>
            <a:ext uri="{FF2B5EF4-FFF2-40B4-BE49-F238E27FC236}">
              <a16:creationId xmlns:a16="http://schemas.microsoft.com/office/drawing/2014/main" id="{D951CF93-F3C1-4C6E-A5F8-679AB51B059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10784</xdr:col>
      <xdr:colOff>47625</xdr:colOff>
      <xdr:row>0</xdr:row>
      <xdr:rowOff>0</xdr:rowOff>
    </xdr:from>
    <xdr:ext cx="1200150" cy="571500"/>
    <xdr:pic>
      <xdr:nvPicPr>
        <xdr:cNvPr id="676" name="image1.png" title="Imagem">
          <a:extLst>
            <a:ext uri="{FF2B5EF4-FFF2-40B4-BE49-F238E27FC236}">
              <a16:creationId xmlns:a16="http://schemas.microsoft.com/office/drawing/2014/main" id="{59426C70-30BF-47EF-826E-7394A58C424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10800</xdr:col>
      <xdr:colOff>47625</xdr:colOff>
      <xdr:row>0</xdr:row>
      <xdr:rowOff>0</xdr:rowOff>
    </xdr:from>
    <xdr:ext cx="1200150" cy="571500"/>
    <xdr:pic>
      <xdr:nvPicPr>
        <xdr:cNvPr id="677" name="image1.png" title="Imagem">
          <a:extLst>
            <a:ext uri="{FF2B5EF4-FFF2-40B4-BE49-F238E27FC236}">
              <a16:creationId xmlns:a16="http://schemas.microsoft.com/office/drawing/2014/main" id="{814D4506-8030-4C67-A564-E77BFE6D19D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10816</xdr:col>
      <xdr:colOff>47625</xdr:colOff>
      <xdr:row>0</xdr:row>
      <xdr:rowOff>0</xdr:rowOff>
    </xdr:from>
    <xdr:ext cx="1200150" cy="571500"/>
    <xdr:pic>
      <xdr:nvPicPr>
        <xdr:cNvPr id="678" name="image1.png" title="Imagem">
          <a:extLst>
            <a:ext uri="{FF2B5EF4-FFF2-40B4-BE49-F238E27FC236}">
              <a16:creationId xmlns:a16="http://schemas.microsoft.com/office/drawing/2014/main" id="{406374B1-28DB-494A-914C-DEA168A6C35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10832</xdr:col>
      <xdr:colOff>47625</xdr:colOff>
      <xdr:row>0</xdr:row>
      <xdr:rowOff>0</xdr:rowOff>
    </xdr:from>
    <xdr:ext cx="1200150" cy="571500"/>
    <xdr:pic>
      <xdr:nvPicPr>
        <xdr:cNvPr id="679" name="image1.png" title="Imagem">
          <a:extLst>
            <a:ext uri="{FF2B5EF4-FFF2-40B4-BE49-F238E27FC236}">
              <a16:creationId xmlns:a16="http://schemas.microsoft.com/office/drawing/2014/main" id="{0F70B856-C697-49CE-8F48-EE5EDE411EA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10848</xdr:col>
      <xdr:colOff>47625</xdr:colOff>
      <xdr:row>0</xdr:row>
      <xdr:rowOff>0</xdr:rowOff>
    </xdr:from>
    <xdr:ext cx="1200150" cy="571500"/>
    <xdr:pic>
      <xdr:nvPicPr>
        <xdr:cNvPr id="680" name="image1.png" title="Imagem">
          <a:extLst>
            <a:ext uri="{FF2B5EF4-FFF2-40B4-BE49-F238E27FC236}">
              <a16:creationId xmlns:a16="http://schemas.microsoft.com/office/drawing/2014/main" id="{DD8109FD-1F2F-43D1-A1BB-538677A5CA3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10864</xdr:col>
      <xdr:colOff>47625</xdr:colOff>
      <xdr:row>0</xdr:row>
      <xdr:rowOff>0</xdr:rowOff>
    </xdr:from>
    <xdr:ext cx="1200150" cy="571500"/>
    <xdr:pic>
      <xdr:nvPicPr>
        <xdr:cNvPr id="681" name="image1.png" title="Imagem">
          <a:extLst>
            <a:ext uri="{FF2B5EF4-FFF2-40B4-BE49-F238E27FC236}">
              <a16:creationId xmlns:a16="http://schemas.microsoft.com/office/drawing/2014/main" id="{19D7246B-A6A3-4044-A07C-27DCC6A9F6E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10880</xdr:col>
      <xdr:colOff>47625</xdr:colOff>
      <xdr:row>0</xdr:row>
      <xdr:rowOff>0</xdr:rowOff>
    </xdr:from>
    <xdr:ext cx="1200150" cy="571500"/>
    <xdr:pic>
      <xdr:nvPicPr>
        <xdr:cNvPr id="682" name="image1.png" title="Imagem">
          <a:extLst>
            <a:ext uri="{FF2B5EF4-FFF2-40B4-BE49-F238E27FC236}">
              <a16:creationId xmlns:a16="http://schemas.microsoft.com/office/drawing/2014/main" id="{7DEF1229-1EE7-4E83-B94D-1006210A129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10896</xdr:col>
      <xdr:colOff>47625</xdr:colOff>
      <xdr:row>0</xdr:row>
      <xdr:rowOff>0</xdr:rowOff>
    </xdr:from>
    <xdr:ext cx="1200150" cy="571500"/>
    <xdr:pic>
      <xdr:nvPicPr>
        <xdr:cNvPr id="683" name="image1.png" title="Imagem">
          <a:extLst>
            <a:ext uri="{FF2B5EF4-FFF2-40B4-BE49-F238E27FC236}">
              <a16:creationId xmlns:a16="http://schemas.microsoft.com/office/drawing/2014/main" id="{3F38D959-7BB2-45CE-B842-2F25F0A84A0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10912</xdr:col>
      <xdr:colOff>47625</xdr:colOff>
      <xdr:row>0</xdr:row>
      <xdr:rowOff>0</xdr:rowOff>
    </xdr:from>
    <xdr:ext cx="1200150" cy="571500"/>
    <xdr:pic>
      <xdr:nvPicPr>
        <xdr:cNvPr id="684" name="image1.png" title="Imagem">
          <a:extLst>
            <a:ext uri="{FF2B5EF4-FFF2-40B4-BE49-F238E27FC236}">
              <a16:creationId xmlns:a16="http://schemas.microsoft.com/office/drawing/2014/main" id="{9DAF6D6F-6AAE-4C8C-9D44-2FCC52D5EA6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10928</xdr:col>
      <xdr:colOff>47625</xdr:colOff>
      <xdr:row>0</xdr:row>
      <xdr:rowOff>0</xdr:rowOff>
    </xdr:from>
    <xdr:ext cx="1200150" cy="571500"/>
    <xdr:pic>
      <xdr:nvPicPr>
        <xdr:cNvPr id="685" name="image1.png" title="Imagem">
          <a:extLst>
            <a:ext uri="{FF2B5EF4-FFF2-40B4-BE49-F238E27FC236}">
              <a16:creationId xmlns:a16="http://schemas.microsoft.com/office/drawing/2014/main" id="{A73486CC-A0BE-439B-85FA-099BD0D54E2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10944</xdr:col>
      <xdr:colOff>47625</xdr:colOff>
      <xdr:row>0</xdr:row>
      <xdr:rowOff>0</xdr:rowOff>
    </xdr:from>
    <xdr:ext cx="1200150" cy="571500"/>
    <xdr:pic>
      <xdr:nvPicPr>
        <xdr:cNvPr id="686" name="image1.png" title="Imagem">
          <a:extLst>
            <a:ext uri="{FF2B5EF4-FFF2-40B4-BE49-F238E27FC236}">
              <a16:creationId xmlns:a16="http://schemas.microsoft.com/office/drawing/2014/main" id="{250F8BDC-80EB-4992-B895-C2518D88080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10960</xdr:col>
      <xdr:colOff>47625</xdr:colOff>
      <xdr:row>0</xdr:row>
      <xdr:rowOff>0</xdr:rowOff>
    </xdr:from>
    <xdr:ext cx="1200150" cy="571500"/>
    <xdr:pic>
      <xdr:nvPicPr>
        <xdr:cNvPr id="687" name="image1.png" title="Imagem">
          <a:extLst>
            <a:ext uri="{FF2B5EF4-FFF2-40B4-BE49-F238E27FC236}">
              <a16:creationId xmlns:a16="http://schemas.microsoft.com/office/drawing/2014/main" id="{62232C96-A6F7-44EE-8395-19B02C94FA4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10976</xdr:col>
      <xdr:colOff>47625</xdr:colOff>
      <xdr:row>0</xdr:row>
      <xdr:rowOff>0</xdr:rowOff>
    </xdr:from>
    <xdr:ext cx="1200150" cy="571500"/>
    <xdr:pic>
      <xdr:nvPicPr>
        <xdr:cNvPr id="688" name="image1.png" title="Imagem">
          <a:extLst>
            <a:ext uri="{FF2B5EF4-FFF2-40B4-BE49-F238E27FC236}">
              <a16:creationId xmlns:a16="http://schemas.microsoft.com/office/drawing/2014/main" id="{BD7CB886-9BCE-4182-B20E-563E7EBFE78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10992</xdr:col>
      <xdr:colOff>47625</xdr:colOff>
      <xdr:row>0</xdr:row>
      <xdr:rowOff>0</xdr:rowOff>
    </xdr:from>
    <xdr:ext cx="1200150" cy="571500"/>
    <xdr:pic>
      <xdr:nvPicPr>
        <xdr:cNvPr id="689" name="image1.png" title="Imagem">
          <a:extLst>
            <a:ext uri="{FF2B5EF4-FFF2-40B4-BE49-F238E27FC236}">
              <a16:creationId xmlns:a16="http://schemas.microsoft.com/office/drawing/2014/main" id="{3E7D4C00-1F8C-4050-8641-354E73802F2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11008</xdr:col>
      <xdr:colOff>47625</xdr:colOff>
      <xdr:row>0</xdr:row>
      <xdr:rowOff>0</xdr:rowOff>
    </xdr:from>
    <xdr:ext cx="1200150" cy="571500"/>
    <xdr:pic>
      <xdr:nvPicPr>
        <xdr:cNvPr id="690" name="image1.png" title="Imagem">
          <a:extLst>
            <a:ext uri="{FF2B5EF4-FFF2-40B4-BE49-F238E27FC236}">
              <a16:creationId xmlns:a16="http://schemas.microsoft.com/office/drawing/2014/main" id="{31118098-CAA6-4ECF-89CF-05CD5CCF085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11024</xdr:col>
      <xdr:colOff>47625</xdr:colOff>
      <xdr:row>0</xdr:row>
      <xdr:rowOff>0</xdr:rowOff>
    </xdr:from>
    <xdr:ext cx="1200150" cy="571500"/>
    <xdr:pic>
      <xdr:nvPicPr>
        <xdr:cNvPr id="691" name="image1.png" title="Imagem">
          <a:extLst>
            <a:ext uri="{FF2B5EF4-FFF2-40B4-BE49-F238E27FC236}">
              <a16:creationId xmlns:a16="http://schemas.microsoft.com/office/drawing/2014/main" id="{99B2B824-7C75-4C8E-BE77-AEBA89AAA73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11040</xdr:col>
      <xdr:colOff>47625</xdr:colOff>
      <xdr:row>0</xdr:row>
      <xdr:rowOff>0</xdr:rowOff>
    </xdr:from>
    <xdr:ext cx="1200150" cy="571500"/>
    <xdr:pic>
      <xdr:nvPicPr>
        <xdr:cNvPr id="692" name="image1.png" title="Imagem">
          <a:extLst>
            <a:ext uri="{FF2B5EF4-FFF2-40B4-BE49-F238E27FC236}">
              <a16:creationId xmlns:a16="http://schemas.microsoft.com/office/drawing/2014/main" id="{BC23B724-FCA0-401C-813A-EFC325D1FA2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11056</xdr:col>
      <xdr:colOff>47625</xdr:colOff>
      <xdr:row>0</xdr:row>
      <xdr:rowOff>0</xdr:rowOff>
    </xdr:from>
    <xdr:ext cx="1200150" cy="571500"/>
    <xdr:pic>
      <xdr:nvPicPr>
        <xdr:cNvPr id="693" name="image1.png" title="Imagem">
          <a:extLst>
            <a:ext uri="{FF2B5EF4-FFF2-40B4-BE49-F238E27FC236}">
              <a16:creationId xmlns:a16="http://schemas.microsoft.com/office/drawing/2014/main" id="{EBC1A714-18D8-4774-A365-A22998A3B00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11072</xdr:col>
      <xdr:colOff>47625</xdr:colOff>
      <xdr:row>0</xdr:row>
      <xdr:rowOff>0</xdr:rowOff>
    </xdr:from>
    <xdr:ext cx="1200150" cy="571500"/>
    <xdr:pic>
      <xdr:nvPicPr>
        <xdr:cNvPr id="694" name="image1.png" title="Imagem">
          <a:extLst>
            <a:ext uri="{FF2B5EF4-FFF2-40B4-BE49-F238E27FC236}">
              <a16:creationId xmlns:a16="http://schemas.microsoft.com/office/drawing/2014/main" id="{0AA87501-1765-4FA6-BAC2-DE1F87D6EB0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11088</xdr:col>
      <xdr:colOff>47625</xdr:colOff>
      <xdr:row>0</xdr:row>
      <xdr:rowOff>0</xdr:rowOff>
    </xdr:from>
    <xdr:ext cx="1200150" cy="571500"/>
    <xdr:pic>
      <xdr:nvPicPr>
        <xdr:cNvPr id="695" name="image1.png" title="Imagem">
          <a:extLst>
            <a:ext uri="{FF2B5EF4-FFF2-40B4-BE49-F238E27FC236}">
              <a16:creationId xmlns:a16="http://schemas.microsoft.com/office/drawing/2014/main" id="{E3A70682-9EE1-4011-9EF1-A41F393B525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11104</xdr:col>
      <xdr:colOff>47625</xdr:colOff>
      <xdr:row>0</xdr:row>
      <xdr:rowOff>0</xdr:rowOff>
    </xdr:from>
    <xdr:ext cx="1200150" cy="571500"/>
    <xdr:pic>
      <xdr:nvPicPr>
        <xdr:cNvPr id="696" name="image1.png" title="Imagem">
          <a:extLst>
            <a:ext uri="{FF2B5EF4-FFF2-40B4-BE49-F238E27FC236}">
              <a16:creationId xmlns:a16="http://schemas.microsoft.com/office/drawing/2014/main" id="{5F1D028B-44CA-4B37-93C2-8D211D73835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11120</xdr:col>
      <xdr:colOff>47625</xdr:colOff>
      <xdr:row>0</xdr:row>
      <xdr:rowOff>0</xdr:rowOff>
    </xdr:from>
    <xdr:ext cx="1200150" cy="571500"/>
    <xdr:pic>
      <xdr:nvPicPr>
        <xdr:cNvPr id="697" name="image1.png" title="Imagem">
          <a:extLst>
            <a:ext uri="{FF2B5EF4-FFF2-40B4-BE49-F238E27FC236}">
              <a16:creationId xmlns:a16="http://schemas.microsoft.com/office/drawing/2014/main" id="{E6EA3BC6-6579-4ED8-869C-05EC819FC90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11136</xdr:col>
      <xdr:colOff>47625</xdr:colOff>
      <xdr:row>0</xdr:row>
      <xdr:rowOff>0</xdr:rowOff>
    </xdr:from>
    <xdr:ext cx="1200150" cy="571500"/>
    <xdr:pic>
      <xdr:nvPicPr>
        <xdr:cNvPr id="698" name="image1.png" title="Imagem">
          <a:extLst>
            <a:ext uri="{FF2B5EF4-FFF2-40B4-BE49-F238E27FC236}">
              <a16:creationId xmlns:a16="http://schemas.microsoft.com/office/drawing/2014/main" id="{74ABBE6E-0BEA-46FC-8659-4BFABD8B449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11152</xdr:col>
      <xdr:colOff>47625</xdr:colOff>
      <xdr:row>0</xdr:row>
      <xdr:rowOff>0</xdr:rowOff>
    </xdr:from>
    <xdr:ext cx="1200150" cy="571500"/>
    <xdr:pic>
      <xdr:nvPicPr>
        <xdr:cNvPr id="699" name="image1.png" title="Imagem">
          <a:extLst>
            <a:ext uri="{FF2B5EF4-FFF2-40B4-BE49-F238E27FC236}">
              <a16:creationId xmlns:a16="http://schemas.microsoft.com/office/drawing/2014/main" id="{ABF97F15-D02E-4A0B-BAAB-F84E81EB9EC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11168</xdr:col>
      <xdr:colOff>47625</xdr:colOff>
      <xdr:row>0</xdr:row>
      <xdr:rowOff>0</xdr:rowOff>
    </xdr:from>
    <xdr:ext cx="1200150" cy="571500"/>
    <xdr:pic>
      <xdr:nvPicPr>
        <xdr:cNvPr id="700" name="image1.png" title="Imagem">
          <a:extLst>
            <a:ext uri="{FF2B5EF4-FFF2-40B4-BE49-F238E27FC236}">
              <a16:creationId xmlns:a16="http://schemas.microsoft.com/office/drawing/2014/main" id="{59113609-DF5B-4691-825C-125FBB6E900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11184</xdr:col>
      <xdr:colOff>47625</xdr:colOff>
      <xdr:row>0</xdr:row>
      <xdr:rowOff>0</xdr:rowOff>
    </xdr:from>
    <xdr:ext cx="1200150" cy="571500"/>
    <xdr:pic>
      <xdr:nvPicPr>
        <xdr:cNvPr id="701" name="image1.png" title="Imagem">
          <a:extLst>
            <a:ext uri="{FF2B5EF4-FFF2-40B4-BE49-F238E27FC236}">
              <a16:creationId xmlns:a16="http://schemas.microsoft.com/office/drawing/2014/main" id="{518EB008-AC19-4C19-B8C5-6C26830AFB9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11200</xdr:col>
      <xdr:colOff>47625</xdr:colOff>
      <xdr:row>0</xdr:row>
      <xdr:rowOff>0</xdr:rowOff>
    </xdr:from>
    <xdr:ext cx="1200150" cy="571500"/>
    <xdr:pic>
      <xdr:nvPicPr>
        <xdr:cNvPr id="702" name="image1.png" title="Imagem">
          <a:extLst>
            <a:ext uri="{FF2B5EF4-FFF2-40B4-BE49-F238E27FC236}">
              <a16:creationId xmlns:a16="http://schemas.microsoft.com/office/drawing/2014/main" id="{8F21413C-2F59-4CC9-87FA-182C92EE92F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11216</xdr:col>
      <xdr:colOff>47625</xdr:colOff>
      <xdr:row>0</xdr:row>
      <xdr:rowOff>0</xdr:rowOff>
    </xdr:from>
    <xdr:ext cx="1200150" cy="571500"/>
    <xdr:pic>
      <xdr:nvPicPr>
        <xdr:cNvPr id="703" name="image1.png" title="Imagem">
          <a:extLst>
            <a:ext uri="{FF2B5EF4-FFF2-40B4-BE49-F238E27FC236}">
              <a16:creationId xmlns:a16="http://schemas.microsoft.com/office/drawing/2014/main" id="{53D79E8F-036C-465B-B0A4-95CC227F615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11232</xdr:col>
      <xdr:colOff>47625</xdr:colOff>
      <xdr:row>0</xdr:row>
      <xdr:rowOff>0</xdr:rowOff>
    </xdr:from>
    <xdr:ext cx="1200150" cy="571500"/>
    <xdr:pic>
      <xdr:nvPicPr>
        <xdr:cNvPr id="704" name="image1.png" title="Imagem">
          <a:extLst>
            <a:ext uri="{FF2B5EF4-FFF2-40B4-BE49-F238E27FC236}">
              <a16:creationId xmlns:a16="http://schemas.microsoft.com/office/drawing/2014/main" id="{67DBBD23-CD28-4227-9A98-83610831D08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11248</xdr:col>
      <xdr:colOff>47625</xdr:colOff>
      <xdr:row>0</xdr:row>
      <xdr:rowOff>0</xdr:rowOff>
    </xdr:from>
    <xdr:ext cx="1200150" cy="571500"/>
    <xdr:pic>
      <xdr:nvPicPr>
        <xdr:cNvPr id="705" name="image1.png" title="Imagem">
          <a:extLst>
            <a:ext uri="{FF2B5EF4-FFF2-40B4-BE49-F238E27FC236}">
              <a16:creationId xmlns:a16="http://schemas.microsoft.com/office/drawing/2014/main" id="{DA34AA7C-D8BD-45DD-8742-6A4910C8E4D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11264</xdr:col>
      <xdr:colOff>47625</xdr:colOff>
      <xdr:row>0</xdr:row>
      <xdr:rowOff>0</xdr:rowOff>
    </xdr:from>
    <xdr:ext cx="1200150" cy="571500"/>
    <xdr:pic>
      <xdr:nvPicPr>
        <xdr:cNvPr id="706" name="image1.png" title="Imagem">
          <a:extLst>
            <a:ext uri="{FF2B5EF4-FFF2-40B4-BE49-F238E27FC236}">
              <a16:creationId xmlns:a16="http://schemas.microsoft.com/office/drawing/2014/main" id="{7421E1C1-1CD7-4738-84C8-C60E98D8D00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11280</xdr:col>
      <xdr:colOff>47625</xdr:colOff>
      <xdr:row>0</xdr:row>
      <xdr:rowOff>0</xdr:rowOff>
    </xdr:from>
    <xdr:ext cx="1200150" cy="571500"/>
    <xdr:pic>
      <xdr:nvPicPr>
        <xdr:cNvPr id="707" name="image1.png" title="Imagem">
          <a:extLst>
            <a:ext uri="{FF2B5EF4-FFF2-40B4-BE49-F238E27FC236}">
              <a16:creationId xmlns:a16="http://schemas.microsoft.com/office/drawing/2014/main" id="{86D3DA73-9AA0-4EDE-9D5E-23E6D309A4F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11296</xdr:col>
      <xdr:colOff>47625</xdr:colOff>
      <xdr:row>0</xdr:row>
      <xdr:rowOff>0</xdr:rowOff>
    </xdr:from>
    <xdr:ext cx="1200150" cy="571500"/>
    <xdr:pic>
      <xdr:nvPicPr>
        <xdr:cNvPr id="708" name="image1.png" title="Imagem">
          <a:extLst>
            <a:ext uri="{FF2B5EF4-FFF2-40B4-BE49-F238E27FC236}">
              <a16:creationId xmlns:a16="http://schemas.microsoft.com/office/drawing/2014/main" id="{4AB76801-F1A7-42D2-858F-6967035B15D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11312</xdr:col>
      <xdr:colOff>47625</xdr:colOff>
      <xdr:row>0</xdr:row>
      <xdr:rowOff>0</xdr:rowOff>
    </xdr:from>
    <xdr:ext cx="1200150" cy="571500"/>
    <xdr:pic>
      <xdr:nvPicPr>
        <xdr:cNvPr id="709" name="image1.png" title="Imagem">
          <a:extLst>
            <a:ext uri="{FF2B5EF4-FFF2-40B4-BE49-F238E27FC236}">
              <a16:creationId xmlns:a16="http://schemas.microsoft.com/office/drawing/2014/main" id="{A92B69EB-BBFB-4E36-99AF-78AF184C408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11328</xdr:col>
      <xdr:colOff>47625</xdr:colOff>
      <xdr:row>0</xdr:row>
      <xdr:rowOff>0</xdr:rowOff>
    </xdr:from>
    <xdr:ext cx="1200150" cy="571500"/>
    <xdr:pic>
      <xdr:nvPicPr>
        <xdr:cNvPr id="710" name="image1.png" title="Imagem">
          <a:extLst>
            <a:ext uri="{FF2B5EF4-FFF2-40B4-BE49-F238E27FC236}">
              <a16:creationId xmlns:a16="http://schemas.microsoft.com/office/drawing/2014/main" id="{D4611F21-4EDE-4F79-BE8D-DDD1683E1BF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11344</xdr:col>
      <xdr:colOff>47625</xdr:colOff>
      <xdr:row>0</xdr:row>
      <xdr:rowOff>0</xdr:rowOff>
    </xdr:from>
    <xdr:ext cx="1200150" cy="571500"/>
    <xdr:pic>
      <xdr:nvPicPr>
        <xdr:cNvPr id="711" name="image1.png" title="Imagem">
          <a:extLst>
            <a:ext uri="{FF2B5EF4-FFF2-40B4-BE49-F238E27FC236}">
              <a16:creationId xmlns:a16="http://schemas.microsoft.com/office/drawing/2014/main" id="{0005D896-F89D-47FD-A6DB-2AFA7448C99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11360</xdr:col>
      <xdr:colOff>47625</xdr:colOff>
      <xdr:row>0</xdr:row>
      <xdr:rowOff>0</xdr:rowOff>
    </xdr:from>
    <xdr:ext cx="1200150" cy="571500"/>
    <xdr:pic>
      <xdr:nvPicPr>
        <xdr:cNvPr id="712" name="image1.png" title="Imagem">
          <a:extLst>
            <a:ext uri="{FF2B5EF4-FFF2-40B4-BE49-F238E27FC236}">
              <a16:creationId xmlns:a16="http://schemas.microsoft.com/office/drawing/2014/main" id="{4F2AC543-28E8-47CD-B075-1478981EF29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11376</xdr:col>
      <xdr:colOff>47625</xdr:colOff>
      <xdr:row>0</xdr:row>
      <xdr:rowOff>0</xdr:rowOff>
    </xdr:from>
    <xdr:ext cx="1200150" cy="571500"/>
    <xdr:pic>
      <xdr:nvPicPr>
        <xdr:cNvPr id="713" name="image1.png" title="Imagem">
          <a:extLst>
            <a:ext uri="{FF2B5EF4-FFF2-40B4-BE49-F238E27FC236}">
              <a16:creationId xmlns:a16="http://schemas.microsoft.com/office/drawing/2014/main" id="{D9FFBB7A-783E-4E50-A07B-1E7F6650AEC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11392</xdr:col>
      <xdr:colOff>47625</xdr:colOff>
      <xdr:row>0</xdr:row>
      <xdr:rowOff>0</xdr:rowOff>
    </xdr:from>
    <xdr:ext cx="1200150" cy="571500"/>
    <xdr:pic>
      <xdr:nvPicPr>
        <xdr:cNvPr id="714" name="image1.png" title="Imagem">
          <a:extLst>
            <a:ext uri="{FF2B5EF4-FFF2-40B4-BE49-F238E27FC236}">
              <a16:creationId xmlns:a16="http://schemas.microsoft.com/office/drawing/2014/main" id="{D1923D03-366B-4429-B99C-C4A5E576427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11408</xdr:col>
      <xdr:colOff>47625</xdr:colOff>
      <xdr:row>0</xdr:row>
      <xdr:rowOff>0</xdr:rowOff>
    </xdr:from>
    <xdr:ext cx="1200150" cy="571500"/>
    <xdr:pic>
      <xdr:nvPicPr>
        <xdr:cNvPr id="715" name="image1.png" title="Imagem">
          <a:extLst>
            <a:ext uri="{FF2B5EF4-FFF2-40B4-BE49-F238E27FC236}">
              <a16:creationId xmlns:a16="http://schemas.microsoft.com/office/drawing/2014/main" id="{CE43555A-45FA-4D4C-889F-E53F46C0CE9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11424</xdr:col>
      <xdr:colOff>47625</xdr:colOff>
      <xdr:row>0</xdr:row>
      <xdr:rowOff>0</xdr:rowOff>
    </xdr:from>
    <xdr:ext cx="1200150" cy="571500"/>
    <xdr:pic>
      <xdr:nvPicPr>
        <xdr:cNvPr id="716" name="image1.png" title="Imagem">
          <a:extLst>
            <a:ext uri="{FF2B5EF4-FFF2-40B4-BE49-F238E27FC236}">
              <a16:creationId xmlns:a16="http://schemas.microsoft.com/office/drawing/2014/main" id="{B39FCA39-1A8E-413B-BBDF-68A0F3505BA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11440</xdr:col>
      <xdr:colOff>47625</xdr:colOff>
      <xdr:row>0</xdr:row>
      <xdr:rowOff>0</xdr:rowOff>
    </xdr:from>
    <xdr:ext cx="1200150" cy="571500"/>
    <xdr:pic>
      <xdr:nvPicPr>
        <xdr:cNvPr id="717" name="image1.png" title="Imagem">
          <a:extLst>
            <a:ext uri="{FF2B5EF4-FFF2-40B4-BE49-F238E27FC236}">
              <a16:creationId xmlns:a16="http://schemas.microsoft.com/office/drawing/2014/main" id="{99ABB7C1-10FF-438A-9B56-6B51B9DC30B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11456</xdr:col>
      <xdr:colOff>47625</xdr:colOff>
      <xdr:row>0</xdr:row>
      <xdr:rowOff>0</xdr:rowOff>
    </xdr:from>
    <xdr:ext cx="1200150" cy="571500"/>
    <xdr:pic>
      <xdr:nvPicPr>
        <xdr:cNvPr id="718" name="image1.png" title="Imagem">
          <a:extLst>
            <a:ext uri="{FF2B5EF4-FFF2-40B4-BE49-F238E27FC236}">
              <a16:creationId xmlns:a16="http://schemas.microsoft.com/office/drawing/2014/main" id="{FEA8C632-2908-4B62-840E-E191E7867DB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11472</xdr:col>
      <xdr:colOff>47625</xdr:colOff>
      <xdr:row>0</xdr:row>
      <xdr:rowOff>0</xdr:rowOff>
    </xdr:from>
    <xdr:ext cx="1200150" cy="571500"/>
    <xdr:pic>
      <xdr:nvPicPr>
        <xdr:cNvPr id="719" name="image1.png" title="Imagem">
          <a:extLst>
            <a:ext uri="{FF2B5EF4-FFF2-40B4-BE49-F238E27FC236}">
              <a16:creationId xmlns:a16="http://schemas.microsoft.com/office/drawing/2014/main" id="{1D688FBA-B5AF-4EA0-A32E-DC013DE376E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11488</xdr:col>
      <xdr:colOff>47625</xdr:colOff>
      <xdr:row>0</xdr:row>
      <xdr:rowOff>0</xdr:rowOff>
    </xdr:from>
    <xdr:ext cx="1200150" cy="571500"/>
    <xdr:pic>
      <xdr:nvPicPr>
        <xdr:cNvPr id="720" name="image1.png" title="Imagem">
          <a:extLst>
            <a:ext uri="{FF2B5EF4-FFF2-40B4-BE49-F238E27FC236}">
              <a16:creationId xmlns:a16="http://schemas.microsoft.com/office/drawing/2014/main" id="{1BF5A06A-B49F-4D4B-8F2F-7D8EDD7186F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11504</xdr:col>
      <xdr:colOff>47625</xdr:colOff>
      <xdr:row>0</xdr:row>
      <xdr:rowOff>0</xdr:rowOff>
    </xdr:from>
    <xdr:ext cx="1200150" cy="571500"/>
    <xdr:pic>
      <xdr:nvPicPr>
        <xdr:cNvPr id="721" name="image1.png" title="Imagem">
          <a:extLst>
            <a:ext uri="{FF2B5EF4-FFF2-40B4-BE49-F238E27FC236}">
              <a16:creationId xmlns:a16="http://schemas.microsoft.com/office/drawing/2014/main" id="{1E21DC8D-2790-4DE1-B944-260E10E60F9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11520</xdr:col>
      <xdr:colOff>47625</xdr:colOff>
      <xdr:row>0</xdr:row>
      <xdr:rowOff>0</xdr:rowOff>
    </xdr:from>
    <xdr:ext cx="1200150" cy="571500"/>
    <xdr:pic>
      <xdr:nvPicPr>
        <xdr:cNvPr id="722" name="image1.png" title="Imagem">
          <a:extLst>
            <a:ext uri="{FF2B5EF4-FFF2-40B4-BE49-F238E27FC236}">
              <a16:creationId xmlns:a16="http://schemas.microsoft.com/office/drawing/2014/main" id="{FF92BF43-5FB9-456F-9B96-D919D05631B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11536</xdr:col>
      <xdr:colOff>47625</xdr:colOff>
      <xdr:row>0</xdr:row>
      <xdr:rowOff>0</xdr:rowOff>
    </xdr:from>
    <xdr:ext cx="1200150" cy="571500"/>
    <xdr:pic>
      <xdr:nvPicPr>
        <xdr:cNvPr id="723" name="image1.png" title="Imagem">
          <a:extLst>
            <a:ext uri="{FF2B5EF4-FFF2-40B4-BE49-F238E27FC236}">
              <a16:creationId xmlns:a16="http://schemas.microsoft.com/office/drawing/2014/main" id="{D8074DEF-54E3-44F3-BA76-811CF2BA215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11552</xdr:col>
      <xdr:colOff>47625</xdr:colOff>
      <xdr:row>0</xdr:row>
      <xdr:rowOff>0</xdr:rowOff>
    </xdr:from>
    <xdr:ext cx="1200150" cy="571500"/>
    <xdr:pic>
      <xdr:nvPicPr>
        <xdr:cNvPr id="724" name="image1.png" title="Imagem">
          <a:extLst>
            <a:ext uri="{FF2B5EF4-FFF2-40B4-BE49-F238E27FC236}">
              <a16:creationId xmlns:a16="http://schemas.microsoft.com/office/drawing/2014/main" id="{65498993-FA6C-4AB3-8FDC-527C81C6916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11568</xdr:col>
      <xdr:colOff>47625</xdr:colOff>
      <xdr:row>0</xdr:row>
      <xdr:rowOff>0</xdr:rowOff>
    </xdr:from>
    <xdr:ext cx="1200150" cy="571500"/>
    <xdr:pic>
      <xdr:nvPicPr>
        <xdr:cNvPr id="725" name="image1.png" title="Imagem">
          <a:extLst>
            <a:ext uri="{FF2B5EF4-FFF2-40B4-BE49-F238E27FC236}">
              <a16:creationId xmlns:a16="http://schemas.microsoft.com/office/drawing/2014/main" id="{17DCCB44-20AA-496B-B5A1-3204CA3F566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11584</xdr:col>
      <xdr:colOff>47625</xdr:colOff>
      <xdr:row>0</xdr:row>
      <xdr:rowOff>0</xdr:rowOff>
    </xdr:from>
    <xdr:ext cx="1200150" cy="571500"/>
    <xdr:pic>
      <xdr:nvPicPr>
        <xdr:cNvPr id="726" name="image1.png" title="Imagem">
          <a:extLst>
            <a:ext uri="{FF2B5EF4-FFF2-40B4-BE49-F238E27FC236}">
              <a16:creationId xmlns:a16="http://schemas.microsoft.com/office/drawing/2014/main" id="{85095277-E87A-460F-BDB2-5614BE158E9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11600</xdr:col>
      <xdr:colOff>47625</xdr:colOff>
      <xdr:row>0</xdr:row>
      <xdr:rowOff>0</xdr:rowOff>
    </xdr:from>
    <xdr:ext cx="1200150" cy="571500"/>
    <xdr:pic>
      <xdr:nvPicPr>
        <xdr:cNvPr id="727" name="image1.png" title="Imagem">
          <a:extLst>
            <a:ext uri="{FF2B5EF4-FFF2-40B4-BE49-F238E27FC236}">
              <a16:creationId xmlns:a16="http://schemas.microsoft.com/office/drawing/2014/main" id="{AEF5BC9A-69AD-47A9-B37B-55F633A13A3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11616</xdr:col>
      <xdr:colOff>47625</xdr:colOff>
      <xdr:row>0</xdr:row>
      <xdr:rowOff>0</xdr:rowOff>
    </xdr:from>
    <xdr:ext cx="1200150" cy="571500"/>
    <xdr:pic>
      <xdr:nvPicPr>
        <xdr:cNvPr id="728" name="image1.png" title="Imagem">
          <a:extLst>
            <a:ext uri="{FF2B5EF4-FFF2-40B4-BE49-F238E27FC236}">
              <a16:creationId xmlns:a16="http://schemas.microsoft.com/office/drawing/2014/main" id="{9D38FA86-E9FD-4A33-A83C-BB4D249639E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11632</xdr:col>
      <xdr:colOff>47625</xdr:colOff>
      <xdr:row>0</xdr:row>
      <xdr:rowOff>0</xdr:rowOff>
    </xdr:from>
    <xdr:ext cx="1200150" cy="571500"/>
    <xdr:pic>
      <xdr:nvPicPr>
        <xdr:cNvPr id="729" name="image1.png" title="Imagem">
          <a:extLst>
            <a:ext uri="{FF2B5EF4-FFF2-40B4-BE49-F238E27FC236}">
              <a16:creationId xmlns:a16="http://schemas.microsoft.com/office/drawing/2014/main" id="{F32DC4BC-FDC6-4925-BDB6-C40165ACFC6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11648</xdr:col>
      <xdr:colOff>47625</xdr:colOff>
      <xdr:row>0</xdr:row>
      <xdr:rowOff>0</xdr:rowOff>
    </xdr:from>
    <xdr:ext cx="1200150" cy="571500"/>
    <xdr:pic>
      <xdr:nvPicPr>
        <xdr:cNvPr id="730" name="image1.png" title="Imagem">
          <a:extLst>
            <a:ext uri="{FF2B5EF4-FFF2-40B4-BE49-F238E27FC236}">
              <a16:creationId xmlns:a16="http://schemas.microsoft.com/office/drawing/2014/main" id="{F18E048B-5A38-4D92-BC7C-975AC5B50E3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11664</xdr:col>
      <xdr:colOff>47625</xdr:colOff>
      <xdr:row>0</xdr:row>
      <xdr:rowOff>0</xdr:rowOff>
    </xdr:from>
    <xdr:ext cx="1200150" cy="571500"/>
    <xdr:pic>
      <xdr:nvPicPr>
        <xdr:cNvPr id="731" name="image1.png" title="Imagem">
          <a:extLst>
            <a:ext uri="{FF2B5EF4-FFF2-40B4-BE49-F238E27FC236}">
              <a16:creationId xmlns:a16="http://schemas.microsoft.com/office/drawing/2014/main" id="{31534438-5E11-465E-B76D-0CE87C299C4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11680</xdr:col>
      <xdr:colOff>47625</xdr:colOff>
      <xdr:row>0</xdr:row>
      <xdr:rowOff>0</xdr:rowOff>
    </xdr:from>
    <xdr:ext cx="1200150" cy="571500"/>
    <xdr:pic>
      <xdr:nvPicPr>
        <xdr:cNvPr id="732" name="image1.png" title="Imagem">
          <a:extLst>
            <a:ext uri="{FF2B5EF4-FFF2-40B4-BE49-F238E27FC236}">
              <a16:creationId xmlns:a16="http://schemas.microsoft.com/office/drawing/2014/main" id="{E4948FDD-5AD8-4B55-BF6D-1DD5D712B19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11696</xdr:col>
      <xdr:colOff>47625</xdr:colOff>
      <xdr:row>0</xdr:row>
      <xdr:rowOff>0</xdr:rowOff>
    </xdr:from>
    <xdr:ext cx="1200150" cy="571500"/>
    <xdr:pic>
      <xdr:nvPicPr>
        <xdr:cNvPr id="733" name="image1.png" title="Imagem">
          <a:extLst>
            <a:ext uri="{FF2B5EF4-FFF2-40B4-BE49-F238E27FC236}">
              <a16:creationId xmlns:a16="http://schemas.microsoft.com/office/drawing/2014/main" id="{169397C1-8406-49BC-A598-99EB7B98381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11712</xdr:col>
      <xdr:colOff>47625</xdr:colOff>
      <xdr:row>0</xdr:row>
      <xdr:rowOff>0</xdr:rowOff>
    </xdr:from>
    <xdr:ext cx="1200150" cy="571500"/>
    <xdr:pic>
      <xdr:nvPicPr>
        <xdr:cNvPr id="734" name="image1.png" title="Imagem">
          <a:extLst>
            <a:ext uri="{FF2B5EF4-FFF2-40B4-BE49-F238E27FC236}">
              <a16:creationId xmlns:a16="http://schemas.microsoft.com/office/drawing/2014/main" id="{187A9238-82A2-4CF2-A63F-AC052991D21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11728</xdr:col>
      <xdr:colOff>47625</xdr:colOff>
      <xdr:row>0</xdr:row>
      <xdr:rowOff>0</xdr:rowOff>
    </xdr:from>
    <xdr:ext cx="1200150" cy="571500"/>
    <xdr:pic>
      <xdr:nvPicPr>
        <xdr:cNvPr id="735" name="image1.png" title="Imagem">
          <a:extLst>
            <a:ext uri="{FF2B5EF4-FFF2-40B4-BE49-F238E27FC236}">
              <a16:creationId xmlns:a16="http://schemas.microsoft.com/office/drawing/2014/main" id="{9D48217A-D676-4FA5-A2A0-9C31581C517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11744</xdr:col>
      <xdr:colOff>47625</xdr:colOff>
      <xdr:row>0</xdr:row>
      <xdr:rowOff>0</xdr:rowOff>
    </xdr:from>
    <xdr:ext cx="1200150" cy="571500"/>
    <xdr:pic>
      <xdr:nvPicPr>
        <xdr:cNvPr id="736" name="image1.png" title="Imagem">
          <a:extLst>
            <a:ext uri="{FF2B5EF4-FFF2-40B4-BE49-F238E27FC236}">
              <a16:creationId xmlns:a16="http://schemas.microsoft.com/office/drawing/2014/main" id="{BE9007E4-A0DF-4876-AAB9-203B3F60FE1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11760</xdr:col>
      <xdr:colOff>47625</xdr:colOff>
      <xdr:row>0</xdr:row>
      <xdr:rowOff>0</xdr:rowOff>
    </xdr:from>
    <xdr:ext cx="1200150" cy="571500"/>
    <xdr:pic>
      <xdr:nvPicPr>
        <xdr:cNvPr id="737" name="image1.png" title="Imagem">
          <a:extLst>
            <a:ext uri="{FF2B5EF4-FFF2-40B4-BE49-F238E27FC236}">
              <a16:creationId xmlns:a16="http://schemas.microsoft.com/office/drawing/2014/main" id="{C21DF3D7-C40C-48D8-B54D-8211EF746AF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11776</xdr:col>
      <xdr:colOff>47625</xdr:colOff>
      <xdr:row>0</xdr:row>
      <xdr:rowOff>0</xdr:rowOff>
    </xdr:from>
    <xdr:ext cx="1200150" cy="571500"/>
    <xdr:pic>
      <xdr:nvPicPr>
        <xdr:cNvPr id="738" name="image1.png" title="Imagem">
          <a:extLst>
            <a:ext uri="{FF2B5EF4-FFF2-40B4-BE49-F238E27FC236}">
              <a16:creationId xmlns:a16="http://schemas.microsoft.com/office/drawing/2014/main" id="{5D4B0455-55B3-48D1-AC8D-2D5C2C8BA22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11792</xdr:col>
      <xdr:colOff>47625</xdr:colOff>
      <xdr:row>0</xdr:row>
      <xdr:rowOff>0</xdr:rowOff>
    </xdr:from>
    <xdr:ext cx="1200150" cy="571500"/>
    <xdr:pic>
      <xdr:nvPicPr>
        <xdr:cNvPr id="739" name="image1.png" title="Imagem">
          <a:extLst>
            <a:ext uri="{FF2B5EF4-FFF2-40B4-BE49-F238E27FC236}">
              <a16:creationId xmlns:a16="http://schemas.microsoft.com/office/drawing/2014/main" id="{B8B40D2F-9226-405C-8937-914E88CEB0F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11808</xdr:col>
      <xdr:colOff>47625</xdr:colOff>
      <xdr:row>0</xdr:row>
      <xdr:rowOff>0</xdr:rowOff>
    </xdr:from>
    <xdr:ext cx="1200150" cy="571500"/>
    <xdr:pic>
      <xdr:nvPicPr>
        <xdr:cNvPr id="740" name="image1.png" title="Imagem">
          <a:extLst>
            <a:ext uri="{FF2B5EF4-FFF2-40B4-BE49-F238E27FC236}">
              <a16:creationId xmlns:a16="http://schemas.microsoft.com/office/drawing/2014/main" id="{7201193D-7832-4838-84A6-45939D4F5C1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11824</xdr:col>
      <xdr:colOff>47625</xdr:colOff>
      <xdr:row>0</xdr:row>
      <xdr:rowOff>0</xdr:rowOff>
    </xdr:from>
    <xdr:ext cx="1200150" cy="571500"/>
    <xdr:pic>
      <xdr:nvPicPr>
        <xdr:cNvPr id="741" name="image1.png" title="Imagem">
          <a:extLst>
            <a:ext uri="{FF2B5EF4-FFF2-40B4-BE49-F238E27FC236}">
              <a16:creationId xmlns:a16="http://schemas.microsoft.com/office/drawing/2014/main" id="{411A5DD6-A648-4787-97BA-831CC4CE30A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11840</xdr:col>
      <xdr:colOff>47625</xdr:colOff>
      <xdr:row>0</xdr:row>
      <xdr:rowOff>0</xdr:rowOff>
    </xdr:from>
    <xdr:ext cx="1200150" cy="571500"/>
    <xdr:pic>
      <xdr:nvPicPr>
        <xdr:cNvPr id="742" name="image1.png" title="Imagem">
          <a:extLst>
            <a:ext uri="{FF2B5EF4-FFF2-40B4-BE49-F238E27FC236}">
              <a16:creationId xmlns:a16="http://schemas.microsoft.com/office/drawing/2014/main" id="{B486A009-8F7A-4D7D-B97D-0C2CFF14CF3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11856</xdr:col>
      <xdr:colOff>47625</xdr:colOff>
      <xdr:row>0</xdr:row>
      <xdr:rowOff>0</xdr:rowOff>
    </xdr:from>
    <xdr:ext cx="1200150" cy="571500"/>
    <xdr:pic>
      <xdr:nvPicPr>
        <xdr:cNvPr id="743" name="image1.png" title="Imagem">
          <a:extLst>
            <a:ext uri="{FF2B5EF4-FFF2-40B4-BE49-F238E27FC236}">
              <a16:creationId xmlns:a16="http://schemas.microsoft.com/office/drawing/2014/main" id="{47A7DFF9-A525-437F-865F-675A33D24FC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11872</xdr:col>
      <xdr:colOff>47625</xdr:colOff>
      <xdr:row>0</xdr:row>
      <xdr:rowOff>0</xdr:rowOff>
    </xdr:from>
    <xdr:ext cx="1200150" cy="571500"/>
    <xdr:pic>
      <xdr:nvPicPr>
        <xdr:cNvPr id="744" name="image1.png" title="Imagem">
          <a:extLst>
            <a:ext uri="{FF2B5EF4-FFF2-40B4-BE49-F238E27FC236}">
              <a16:creationId xmlns:a16="http://schemas.microsoft.com/office/drawing/2014/main" id="{17BCACCE-D6BA-46CE-99FD-24F5B249EF3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11888</xdr:col>
      <xdr:colOff>47625</xdr:colOff>
      <xdr:row>0</xdr:row>
      <xdr:rowOff>0</xdr:rowOff>
    </xdr:from>
    <xdr:ext cx="1200150" cy="571500"/>
    <xdr:pic>
      <xdr:nvPicPr>
        <xdr:cNvPr id="745" name="image1.png" title="Imagem">
          <a:extLst>
            <a:ext uri="{FF2B5EF4-FFF2-40B4-BE49-F238E27FC236}">
              <a16:creationId xmlns:a16="http://schemas.microsoft.com/office/drawing/2014/main" id="{C7CAAA5C-4C11-48AF-8F8E-D21FED3B2D2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11904</xdr:col>
      <xdr:colOff>47625</xdr:colOff>
      <xdr:row>0</xdr:row>
      <xdr:rowOff>0</xdr:rowOff>
    </xdr:from>
    <xdr:ext cx="1200150" cy="571500"/>
    <xdr:pic>
      <xdr:nvPicPr>
        <xdr:cNvPr id="746" name="image1.png" title="Imagem">
          <a:extLst>
            <a:ext uri="{FF2B5EF4-FFF2-40B4-BE49-F238E27FC236}">
              <a16:creationId xmlns:a16="http://schemas.microsoft.com/office/drawing/2014/main" id="{F9164FEC-2836-4503-A35F-98F95050477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11920</xdr:col>
      <xdr:colOff>47625</xdr:colOff>
      <xdr:row>0</xdr:row>
      <xdr:rowOff>0</xdr:rowOff>
    </xdr:from>
    <xdr:ext cx="1200150" cy="571500"/>
    <xdr:pic>
      <xdr:nvPicPr>
        <xdr:cNvPr id="747" name="image1.png" title="Imagem">
          <a:extLst>
            <a:ext uri="{FF2B5EF4-FFF2-40B4-BE49-F238E27FC236}">
              <a16:creationId xmlns:a16="http://schemas.microsoft.com/office/drawing/2014/main" id="{274587D5-81E9-479D-8755-B57D1FA65D7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11936</xdr:col>
      <xdr:colOff>47625</xdr:colOff>
      <xdr:row>0</xdr:row>
      <xdr:rowOff>0</xdr:rowOff>
    </xdr:from>
    <xdr:ext cx="1200150" cy="571500"/>
    <xdr:pic>
      <xdr:nvPicPr>
        <xdr:cNvPr id="748" name="image1.png" title="Imagem">
          <a:extLst>
            <a:ext uri="{FF2B5EF4-FFF2-40B4-BE49-F238E27FC236}">
              <a16:creationId xmlns:a16="http://schemas.microsoft.com/office/drawing/2014/main" id="{6E703867-CE81-4DF5-854E-E0DB19E8FAB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11952</xdr:col>
      <xdr:colOff>47625</xdr:colOff>
      <xdr:row>0</xdr:row>
      <xdr:rowOff>0</xdr:rowOff>
    </xdr:from>
    <xdr:ext cx="1200150" cy="571500"/>
    <xdr:pic>
      <xdr:nvPicPr>
        <xdr:cNvPr id="749" name="image1.png" title="Imagem">
          <a:extLst>
            <a:ext uri="{FF2B5EF4-FFF2-40B4-BE49-F238E27FC236}">
              <a16:creationId xmlns:a16="http://schemas.microsoft.com/office/drawing/2014/main" id="{C127EB9E-A978-40AA-8231-0A2EB9C76FC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11968</xdr:col>
      <xdr:colOff>47625</xdr:colOff>
      <xdr:row>0</xdr:row>
      <xdr:rowOff>0</xdr:rowOff>
    </xdr:from>
    <xdr:ext cx="1200150" cy="571500"/>
    <xdr:pic>
      <xdr:nvPicPr>
        <xdr:cNvPr id="750" name="image1.png" title="Imagem">
          <a:extLst>
            <a:ext uri="{FF2B5EF4-FFF2-40B4-BE49-F238E27FC236}">
              <a16:creationId xmlns:a16="http://schemas.microsoft.com/office/drawing/2014/main" id="{BBC2034F-D860-41C1-AAC4-561D2F82CD7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11984</xdr:col>
      <xdr:colOff>47625</xdr:colOff>
      <xdr:row>0</xdr:row>
      <xdr:rowOff>0</xdr:rowOff>
    </xdr:from>
    <xdr:ext cx="1200150" cy="571500"/>
    <xdr:pic>
      <xdr:nvPicPr>
        <xdr:cNvPr id="751" name="image1.png" title="Imagem">
          <a:extLst>
            <a:ext uri="{FF2B5EF4-FFF2-40B4-BE49-F238E27FC236}">
              <a16:creationId xmlns:a16="http://schemas.microsoft.com/office/drawing/2014/main" id="{27A45562-2FA5-41CC-8F96-ED1DC47C41B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12000</xdr:col>
      <xdr:colOff>47625</xdr:colOff>
      <xdr:row>0</xdr:row>
      <xdr:rowOff>0</xdr:rowOff>
    </xdr:from>
    <xdr:ext cx="1200150" cy="571500"/>
    <xdr:pic>
      <xdr:nvPicPr>
        <xdr:cNvPr id="752" name="image1.png" title="Imagem">
          <a:extLst>
            <a:ext uri="{FF2B5EF4-FFF2-40B4-BE49-F238E27FC236}">
              <a16:creationId xmlns:a16="http://schemas.microsoft.com/office/drawing/2014/main" id="{086F8D27-6162-4581-95AA-4A39B17AAEA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12016</xdr:col>
      <xdr:colOff>47625</xdr:colOff>
      <xdr:row>0</xdr:row>
      <xdr:rowOff>0</xdr:rowOff>
    </xdr:from>
    <xdr:ext cx="1200150" cy="571500"/>
    <xdr:pic>
      <xdr:nvPicPr>
        <xdr:cNvPr id="753" name="image1.png" title="Imagem">
          <a:extLst>
            <a:ext uri="{FF2B5EF4-FFF2-40B4-BE49-F238E27FC236}">
              <a16:creationId xmlns:a16="http://schemas.microsoft.com/office/drawing/2014/main" id="{200BEF1D-C659-4497-BE11-1EBF9F1E1DE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12032</xdr:col>
      <xdr:colOff>47625</xdr:colOff>
      <xdr:row>0</xdr:row>
      <xdr:rowOff>0</xdr:rowOff>
    </xdr:from>
    <xdr:ext cx="1200150" cy="571500"/>
    <xdr:pic>
      <xdr:nvPicPr>
        <xdr:cNvPr id="754" name="image1.png" title="Imagem">
          <a:extLst>
            <a:ext uri="{FF2B5EF4-FFF2-40B4-BE49-F238E27FC236}">
              <a16:creationId xmlns:a16="http://schemas.microsoft.com/office/drawing/2014/main" id="{EAA60018-B092-45A7-8D87-99D22D5280E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12048</xdr:col>
      <xdr:colOff>47625</xdr:colOff>
      <xdr:row>0</xdr:row>
      <xdr:rowOff>0</xdr:rowOff>
    </xdr:from>
    <xdr:ext cx="1200150" cy="571500"/>
    <xdr:pic>
      <xdr:nvPicPr>
        <xdr:cNvPr id="755" name="image1.png" title="Imagem">
          <a:extLst>
            <a:ext uri="{FF2B5EF4-FFF2-40B4-BE49-F238E27FC236}">
              <a16:creationId xmlns:a16="http://schemas.microsoft.com/office/drawing/2014/main" id="{47C1F0F0-2D57-4E49-9238-AC8565DE134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12064</xdr:col>
      <xdr:colOff>47625</xdr:colOff>
      <xdr:row>0</xdr:row>
      <xdr:rowOff>0</xdr:rowOff>
    </xdr:from>
    <xdr:ext cx="1200150" cy="571500"/>
    <xdr:pic>
      <xdr:nvPicPr>
        <xdr:cNvPr id="756" name="image1.png" title="Imagem">
          <a:extLst>
            <a:ext uri="{FF2B5EF4-FFF2-40B4-BE49-F238E27FC236}">
              <a16:creationId xmlns:a16="http://schemas.microsoft.com/office/drawing/2014/main" id="{7E568E9B-F004-4EA7-ADB6-681D74827BC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12080</xdr:col>
      <xdr:colOff>47625</xdr:colOff>
      <xdr:row>0</xdr:row>
      <xdr:rowOff>0</xdr:rowOff>
    </xdr:from>
    <xdr:ext cx="1200150" cy="571500"/>
    <xdr:pic>
      <xdr:nvPicPr>
        <xdr:cNvPr id="757" name="image1.png" title="Imagem">
          <a:extLst>
            <a:ext uri="{FF2B5EF4-FFF2-40B4-BE49-F238E27FC236}">
              <a16:creationId xmlns:a16="http://schemas.microsoft.com/office/drawing/2014/main" id="{E5BB5D68-FFE6-4043-B418-7CCE067B293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12096</xdr:col>
      <xdr:colOff>47625</xdr:colOff>
      <xdr:row>0</xdr:row>
      <xdr:rowOff>0</xdr:rowOff>
    </xdr:from>
    <xdr:ext cx="1200150" cy="571500"/>
    <xdr:pic>
      <xdr:nvPicPr>
        <xdr:cNvPr id="758" name="image1.png" title="Imagem">
          <a:extLst>
            <a:ext uri="{FF2B5EF4-FFF2-40B4-BE49-F238E27FC236}">
              <a16:creationId xmlns:a16="http://schemas.microsoft.com/office/drawing/2014/main" id="{9E5EB2F3-81F7-42CC-9CE4-DE05836ED6C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12112</xdr:col>
      <xdr:colOff>47625</xdr:colOff>
      <xdr:row>0</xdr:row>
      <xdr:rowOff>0</xdr:rowOff>
    </xdr:from>
    <xdr:ext cx="1200150" cy="571500"/>
    <xdr:pic>
      <xdr:nvPicPr>
        <xdr:cNvPr id="759" name="image1.png" title="Imagem">
          <a:extLst>
            <a:ext uri="{FF2B5EF4-FFF2-40B4-BE49-F238E27FC236}">
              <a16:creationId xmlns:a16="http://schemas.microsoft.com/office/drawing/2014/main" id="{BAC133EC-E34B-48C7-A434-570A631314E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12128</xdr:col>
      <xdr:colOff>47625</xdr:colOff>
      <xdr:row>0</xdr:row>
      <xdr:rowOff>0</xdr:rowOff>
    </xdr:from>
    <xdr:ext cx="1200150" cy="571500"/>
    <xdr:pic>
      <xdr:nvPicPr>
        <xdr:cNvPr id="760" name="image1.png" title="Imagem">
          <a:extLst>
            <a:ext uri="{FF2B5EF4-FFF2-40B4-BE49-F238E27FC236}">
              <a16:creationId xmlns:a16="http://schemas.microsoft.com/office/drawing/2014/main" id="{1F7F700E-AE82-448D-A6BF-078ECA586CE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12144</xdr:col>
      <xdr:colOff>47625</xdr:colOff>
      <xdr:row>0</xdr:row>
      <xdr:rowOff>0</xdr:rowOff>
    </xdr:from>
    <xdr:ext cx="1200150" cy="571500"/>
    <xdr:pic>
      <xdr:nvPicPr>
        <xdr:cNvPr id="761" name="image1.png" title="Imagem">
          <a:extLst>
            <a:ext uri="{FF2B5EF4-FFF2-40B4-BE49-F238E27FC236}">
              <a16:creationId xmlns:a16="http://schemas.microsoft.com/office/drawing/2014/main" id="{BEC954DC-AB43-4288-91B3-04E1641A876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12160</xdr:col>
      <xdr:colOff>47625</xdr:colOff>
      <xdr:row>0</xdr:row>
      <xdr:rowOff>0</xdr:rowOff>
    </xdr:from>
    <xdr:ext cx="1200150" cy="571500"/>
    <xdr:pic>
      <xdr:nvPicPr>
        <xdr:cNvPr id="762" name="image1.png" title="Imagem">
          <a:extLst>
            <a:ext uri="{FF2B5EF4-FFF2-40B4-BE49-F238E27FC236}">
              <a16:creationId xmlns:a16="http://schemas.microsoft.com/office/drawing/2014/main" id="{85C0533A-09DA-4609-A546-03A75DBA43D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12176</xdr:col>
      <xdr:colOff>47625</xdr:colOff>
      <xdr:row>0</xdr:row>
      <xdr:rowOff>0</xdr:rowOff>
    </xdr:from>
    <xdr:ext cx="1200150" cy="571500"/>
    <xdr:pic>
      <xdr:nvPicPr>
        <xdr:cNvPr id="763" name="image1.png" title="Imagem">
          <a:extLst>
            <a:ext uri="{FF2B5EF4-FFF2-40B4-BE49-F238E27FC236}">
              <a16:creationId xmlns:a16="http://schemas.microsoft.com/office/drawing/2014/main" id="{2F3D3C4A-9DEC-4E36-87B3-3C482C3BEE6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12192</xdr:col>
      <xdr:colOff>47625</xdr:colOff>
      <xdr:row>0</xdr:row>
      <xdr:rowOff>0</xdr:rowOff>
    </xdr:from>
    <xdr:ext cx="1200150" cy="571500"/>
    <xdr:pic>
      <xdr:nvPicPr>
        <xdr:cNvPr id="764" name="image1.png" title="Imagem">
          <a:extLst>
            <a:ext uri="{FF2B5EF4-FFF2-40B4-BE49-F238E27FC236}">
              <a16:creationId xmlns:a16="http://schemas.microsoft.com/office/drawing/2014/main" id="{69B8DDC0-9E7F-4FBC-B373-D10EBAFD1BC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12208</xdr:col>
      <xdr:colOff>47625</xdr:colOff>
      <xdr:row>0</xdr:row>
      <xdr:rowOff>0</xdr:rowOff>
    </xdr:from>
    <xdr:ext cx="1200150" cy="571500"/>
    <xdr:pic>
      <xdr:nvPicPr>
        <xdr:cNvPr id="765" name="image1.png" title="Imagem">
          <a:extLst>
            <a:ext uri="{FF2B5EF4-FFF2-40B4-BE49-F238E27FC236}">
              <a16:creationId xmlns:a16="http://schemas.microsoft.com/office/drawing/2014/main" id="{305C8ED7-98EF-4D77-AD9D-3136E72998B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12224</xdr:col>
      <xdr:colOff>47625</xdr:colOff>
      <xdr:row>0</xdr:row>
      <xdr:rowOff>0</xdr:rowOff>
    </xdr:from>
    <xdr:ext cx="1200150" cy="571500"/>
    <xdr:pic>
      <xdr:nvPicPr>
        <xdr:cNvPr id="766" name="image1.png" title="Imagem">
          <a:extLst>
            <a:ext uri="{FF2B5EF4-FFF2-40B4-BE49-F238E27FC236}">
              <a16:creationId xmlns:a16="http://schemas.microsoft.com/office/drawing/2014/main" id="{15777DC1-B36F-4395-B00C-E9136E42F55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12240</xdr:col>
      <xdr:colOff>47625</xdr:colOff>
      <xdr:row>0</xdr:row>
      <xdr:rowOff>0</xdr:rowOff>
    </xdr:from>
    <xdr:ext cx="1200150" cy="571500"/>
    <xdr:pic>
      <xdr:nvPicPr>
        <xdr:cNvPr id="767" name="image1.png" title="Imagem">
          <a:extLst>
            <a:ext uri="{FF2B5EF4-FFF2-40B4-BE49-F238E27FC236}">
              <a16:creationId xmlns:a16="http://schemas.microsoft.com/office/drawing/2014/main" id="{A397DBF4-4DE7-48F3-BB02-43FC918F420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12256</xdr:col>
      <xdr:colOff>47625</xdr:colOff>
      <xdr:row>0</xdr:row>
      <xdr:rowOff>0</xdr:rowOff>
    </xdr:from>
    <xdr:ext cx="1200150" cy="571500"/>
    <xdr:pic>
      <xdr:nvPicPr>
        <xdr:cNvPr id="768" name="image1.png" title="Imagem">
          <a:extLst>
            <a:ext uri="{FF2B5EF4-FFF2-40B4-BE49-F238E27FC236}">
              <a16:creationId xmlns:a16="http://schemas.microsoft.com/office/drawing/2014/main" id="{77385AA7-0DA5-4D91-B9D0-2BFC992FDDA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12272</xdr:col>
      <xdr:colOff>47625</xdr:colOff>
      <xdr:row>0</xdr:row>
      <xdr:rowOff>0</xdr:rowOff>
    </xdr:from>
    <xdr:ext cx="1200150" cy="571500"/>
    <xdr:pic>
      <xdr:nvPicPr>
        <xdr:cNvPr id="769" name="image1.png" title="Imagem">
          <a:extLst>
            <a:ext uri="{FF2B5EF4-FFF2-40B4-BE49-F238E27FC236}">
              <a16:creationId xmlns:a16="http://schemas.microsoft.com/office/drawing/2014/main" id="{EAA8469E-3915-4F75-9AA2-A9DAFD21117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12288</xdr:col>
      <xdr:colOff>47625</xdr:colOff>
      <xdr:row>0</xdr:row>
      <xdr:rowOff>0</xdr:rowOff>
    </xdr:from>
    <xdr:ext cx="1200150" cy="571500"/>
    <xdr:pic>
      <xdr:nvPicPr>
        <xdr:cNvPr id="770" name="image1.png" title="Imagem">
          <a:extLst>
            <a:ext uri="{FF2B5EF4-FFF2-40B4-BE49-F238E27FC236}">
              <a16:creationId xmlns:a16="http://schemas.microsoft.com/office/drawing/2014/main" id="{32CCFEAB-B2BF-4480-A80D-7687432DDAF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12304</xdr:col>
      <xdr:colOff>47625</xdr:colOff>
      <xdr:row>0</xdr:row>
      <xdr:rowOff>0</xdr:rowOff>
    </xdr:from>
    <xdr:ext cx="1200150" cy="571500"/>
    <xdr:pic>
      <xdr:nvPicPr>
        <xdr:cNvPr id="771" name="image1.png" title="Imagem">
          <a:extLst>
            <a:ext uri="{FF2B5EF4-FFF2-40B4-BE49-F238E27FC236}">
              <a16:creationId xmlns:a16="http://schemas.microsoft.com/office/drawing/2014/main" id="{A9332784-6D43-4407-9749-150892AF2E2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12320</xdr:col>
      <xdr:colOff>47625</xdr:colOff>
      <xdr:row>0</xdr:row>
      <xdr:rowOff>0</xdr:rowOff>
    </xdr:from>
    <xdr:ext cx="1200150" cy="571500"/>
    <xdr:pic>
      <xdr:nvPicPr>
        <xdr:cNvPr id="772" name="image1.png" title="Imagem">
          <a:extLst>
            <a:ext uri="{FF2B5EF4-FFF2-40B4-BE49-F238E27FC236}">
              <a16:creationId xmlns:a16="http://schemas.microsoft.com/office/drawing/2014/main" id="{DCAFA118-DD1B-49A2-AB6D-A3CABAAFA52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12336</xdr:col>
      <xdr:colOff>47625</xdr:colOff>
      <xdr:row>0</xdr:row>
      <xdr:rowOff>0</xdr:rowOff>
    </xdr:from>
    <xdr:ext cx="1200150" cy="571500"/>
    <xdr:pic>
      <xdr:nvPicPr>
        <xdr:cNvPr id="773" name="image1.png" title="Imagem">
          <a:extLst>
            <a:ext uri="{FF2B5EF4-FFF2-40B4-BE49-F238E27FC236}">
              <a16:creationId xmlns:a16="http://schemas.microsoft.com/office/drawing/2014/main" id="{94CB71DD-1C6C-408B-A764-F5DF025AEDA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12352</xdr:col>
      <xdr:colOff>47625</xdr:colOff>
      <xdr:row>0</xdr:row>
      <xdr:rowOff>0</xdr:rowOff>
    </xdr:from>
    <xdr:ext cx="1200150" cy="571500"/>
    <xdr:pic>
      <xdr:nvPicPr>
        <xdr:cNvPr id="774" name="image1.png" title="Imagem">
          <a:extLst>
            <a:ext uri="{FF2B5EF4-FFF2-40B4-BE49-F238E27FC236}">
              <a16:creationId xmlns:a16="http://schemas.microsoft.com/office/drawing/2014/main" id="{249F8419-7923-4C7F-B947-39BF6FFF0E7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12368</xdr:col>
      <xdr:colOff>47625</xdr:colOff>
      <xdr:row>0</xdr:row>
      <xdr:rowOff>0</xdr:rowOff>
    </xdr:from>
    <xdr:ext cx="1200150" cy="571500"/>
    <xdr:pic>
      <xdr:nvPicPr>
        <xdr:cNvPr id="775" name="image1.png" title="Imagem">
          <a:extLst>
            <a:ext uri="{FF2B5EF4-FFF2-40B4-BE49-F238E27FC236}">
              <a16:creationId xmlns:a16="http://schemas.microsoft.com/office/drawing/2014/main" id="{971334A9-065A-4C9B-9F18-0B87E015663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12384</xdr:col>
      <xdr:colOff>47625</xdr:colOff>
      <xdr:row>0</xdr:row>
      <xdr:rowOff>0</xdr:rowOff>
    </xdr:from>
    <xdr:ext cx="1200150" cy="571500"/>
    <xdr:pic>
      <xdr:nvPicPr>
        <xdr:cNvPr id="776" name="image1.png" title="Imagem">
          <a:extLst>
            <a:ext uri="{FF2B5EF4-FFF2-40B4-BE49-F238E27FC236}">
              <a16:creationId xmlns:a16="http://schemas.microsoft.com/office/drawing/2014/main" id="{5423A9D7-C470-468B-9C24-ADD921F19B6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12400</xdr:col>
      <xdr:colOff>47625</xdr:colOff>
      <xdr:row>0</xdr:row>
      <xdr:rowOff>0</xdr:rowOff>
    </xdr:from>
    <xdr:ext cx="1200150" cy="571500"/>
    <xdr:pic>
      <xdr:nvPicPr>
        <xdr:cNvPr id="777" name="image1.png" title="Imagem">
          <a:extLst>
            <a:ext uri="{FF2B5EF4-FFF2-40B4-BE49-F238E27FC236}">
              <a16:creationId xmlns:a16="http://schemas.microsoft.com/office/drawing/2014/main" id="{2A2FAE79-0929-48E7-8947-B2013C9B2D2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12416</xdr:col>
      <xdr:colOff>47625</xdr:colOff>
      <xdr:row>0</xdr:row>
      <xdr:rowOff>0</xdr:rowOff>
    </xdr:from>
    <xdr:ext cx="1200150" cy="571500"/>
    <xdr:pic>
      <xdr:nvPicPr>
        <xdr:cNvPr id="778" name="image1.png" title="Imagem">
          <a:extLst>
            <a:ext uri="{FF2B5EF4-FFF2-40B4-BE49-F238E27FC236}">
              <a16:creationId xmlns:a16="http://schemas.microsoft.com/office/drawing/2014/main" id="{AE52FBCB-A16E-40CD-AEEF-FCA97A5ADCC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12432</xdr:col>
      <xdr:colOff>47625</xdr:colOff>
      <xdr:row>0</xdr:row>
      <xdr:rowOff>0</xdr:rowOff>
    </xdr:from>
    <xdr:ext cx="1200150" cy="571500"/>
    <xdr:pic>
      <xdr:nvPicPr>
        <xdr:cNvPr id="779" name="image1.png" title="Imagem">
          <a:extLst>
            <a:ext uri="{FF2B5EF4-FFF2-40B4-BE49-F238E27FC236}">
              <a16:creationId xmlns:a16="http://schemas.microsoft.com/office/drawing/2014/main" id="{2A3B45EE-6A38-441A-9A77-1CA590C7A69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12448</xdr:col>
      <xdr:colOff>47625</xdr:colOff>
      <xdr:row>0</xdr:row>
      <xdr:rowOff>0</xdr:rowOff>
    </xdr:from>
    <xdr:ext cx="1200150" cy="571500"/>
    <xdr:pic>
      <xdr:nvPicPr>
        <xdr:cNvPr id="780" name="image1.png" title="Imagem">
          <a:extLst>
            <a:ext uri="{FF2B5EF4-FFF2-40B4-BE49-F238E27FC236}">
              <a16:creationId xmlns:a16="http://schemas.microsoft.com/office/drawing/2014/main" id="{DBB5D034-6DAE-49BF-8D83-8A875A516B7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12464</xdr:col>
      <xdr:colOff>47625</xdr:colOff>
      <xdr:row>0</xdr:row>
      <xdr:rowOff>0</xdr:rowOff>
    </xdr:from>
    <xdr:ext cx="1200150" cy="571500"/>
    <xdr:pic>
      <xdr:nvPicPr>
        <xdr:cNvPr id="781" name="image1.png" title="Imagem">
          <a:extLst>
            <a:ext uri="{FF2B5EF4-FFF2-40B4-BE49-F238E27FC236}">
              <a16:creationId xmlns:a16="http://schemas.microsoft.com/office/drawing/2014/main" id="{591575D0-2852-408F-826B-815E7EF0AA4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12480</xdr:col>
      <xdr:colOff>47625</xdr:colOff>
      <xdr:row>0</xdr:row>
      <xdr:rowOff>0</xdr:rowOff>
    </xdr:from>
    <xdr:ext cx="1200150" cy="571500"/>
    <xdr:pic>
      <xdr:nvPicPr>
        <xdr:cNvPr id="782" name="image1.png" title="Imagem">
          <a:extLst>
            <a:ext uri="{FF2B5EF4-FFF2-40B4-BE49-F238E27FC236}">
              <a16:creationId xmlns:a16="http://schemas.microsoft.com/office/drawing/2014/main" id="{6DEA4829-B59B-4E0B-AB4F-8B09653D282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12496</xdr:col>
      <xdr:colOff>47625</xdr:colOff>
      <xdr:row>0</xdr:row>
      <xdr:rowOff>0</xdr:rowOff>
    </xdr:from>
    <xdr:ext cx="1200150" cy="571500"/>
    <xdr:pic>
      <xdr:nvPicPr>
        <xdr:cNvPr id="783" name="image1.png" title="Imagem">
          <a:extLst>
            <a:ext uri="{FF2B5EF4-FFF2-40B4-BE49-F238E27FC236}">
              <a16:creationId xmlns:a16="http://schemas.microsoft.com/office/drawing/2014/main" id="{183F330F-1B8B-4E64-9F6D-EB1563C67D5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12512</xdr:col>
      <xdr:colOff>47625</xdr:colOff>
      <xdr:row>0</xdr:row>
      <xdr:rowOff>0</xdr:rowOff>
    </xdr:from>
    <xdr:ext cx="1200150" cy="571500"/>
    <xdr:pic>
      <xdr:nvPicPr>
        <xdr:cNvPr id="784" name="image1.png" title="Imagem">
          <a:extLst>
            <a:ext uri="{FF2B5EF4-FFF2-40B4-BE49-F238E27FC236}">
              <a16:creationId xmlns:a16="http://schemas.microsoft.com/office/drawing/2014/main" id="{2E6AC31E-539E-48DA-B20A-E9ABC58BF9E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12528</xdr:col>
      <xdr:colOff>47625</xdr:colOff>
      <xdr:row>0</xdr:row>
      <xdr:rowOff>0</xdr:rowOff>
    </xdr:from>
    <xdr:ext cx="1200150" cy="571500"/>
    <xdr:pic>
      <xdr:nvPicPr>
        <xdr:cNvPr id="785" name="image1.png" title="Imagem">
          <a:extLst>
            <a:ext uri="{FF2B5EF4-FFF2-40B4-BE49-F238E27FC236}">
              <a16:creationId xmlns:a16="http://schemas.microsoft.com/office/drawing/2014/main" id="{72473CF6-09CD-4292-A603-0FFBB6F9FA6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12544</xdr:col>
      <xdr:colOff>47625</xdr:colOff>
      <xdr:row>0</xdr:row>
      <xdr:rowOff>0</xdr:rowOff>
    </xdr:from>
    <xdr:ext cx="1200150" cy="571500"/>
    <xdr:pic>
      <xdr:nvPicPr>
        <xdr:cNvPr id="786" name="image1.png" title="Imagem">
          <a:extLst>
            <a:ext uri="{FF2B5EF4-FFF2-40B4-BE49-F238E27FC236}">
              <a16:creationId xmlns:a16="http://schemas.microsoft.com/office/drawing/2014/main" id="{12FD8A2E-4870-459F-AFB8-E1993078D50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12560</xdr:col>
      <xdr:colOff>47625</xdr:colOff>
      <xdr:row>0</xdr:row>
      <xdr:rowOff>0</xdr:rowOff>
    </xdr:from>
    <xdr:ext cx="1200150" cy="571500"/>
    <xdr:pic>
      <xdr:nvPicPr>
        <xdr:cNvPr id="787" name="image1.png" title="Imagem">
          <a:extLst>
            <a:ext uri="{FF2B5EF4-FFF2-40B4-BE49-F238E27FC236}">
              <a16:creationId xmlns:a16="http://schemas.microsoft.com/office/drawing/2014/main" id="{9B691BA8-3C00-47B9-85E4-BCC5819EC69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12576</xdr:col>
      <xdr:colOff>47625</xdr:colOff>
      <xdr:row>0</xdr:row>
      <xdr:rowOff>0</xdr:rowOff>
    </xdr:from>
    <xdr:ext cx="1200150" cy="571500"/>
    <xdr:pic>
      <xdr:nvPicPr>
        <xdr:cNvPr id="788" name="image1.png" title="Imagem">
          <a:extLst>
            <a:ext uri="{FF2B5EF4-FFF2-40B4-BE49-F238E27FC236}">
              <a16:creationId xmlns:a16="http://schemas.microsoft.com/office/drawing/2014/main" id="{4338F053-C2FE-4212-BC25-9B9D32EF15E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12592</xdr:col>
      <xdr:colOff>47625</xdr:colOff>
      <xdr:row>0</xdr:row>
      <xdr:rowOff>0</xdr:rowOff>
    </xdr:from>
    <xdr:ext cx="1200150" cy="571500"/>
    <xdr:pic>
      <xdr:nvPicPr>
        <xdr:cNvPr id="789" name="image1.png" title="Imagem">
          <a:extLst>
            <a:ext uri="{FF2B5EF4-FFF2-40B4-BE49-F238E27FC236}">
              <a16:creationId xmlns:a16="http://schemas.microsoft.com/office/drawing/2014/main" id="{440E2AE0-A355-4BE2-838D-89546628341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12608</xdr:col>
      <xdr:colOff>47625</xdr:colOff>
      <xdr:row>0</xdr:row>
      <xdr:rowOff>0</xdr:rowOff>
    </xdr:from>
    <xdr:ext cx="1200150" cy="571500"/>
    <xdr:pic>
      <xdr:nvPicPr>
        <xdr:cNvPr id="790" name="image1.png" title="Imagem">
          <a:extLst>
            <a:ext uri="{FF2B5EF4-FFF2-40B4-BE49-F238E27FC236}">
              <a16:creationId xmlns:a16="http://schemas.microsoft.com/office/drawing/2014/main" id="{BD43773C-5F19-4BDA-8B85-B0F8B2DF4E2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12624</xdr:col>
      <xdr:colOff>47625</xdr:colOff>
      <xdr:row>0</xdr:row>
      <xdr:rowOff>0</xdr:rowOff>
    </xdr:from>
    <xdr:ext cx="1200150" cy="571500"/>
    <xdr:pic>
      <xdr:nvPicPr>
        <xdr:cNvPr id="791" name="image1.png" title="Imagem">
          <a:extLst>
            <a:ext uri="{FF2B5EF4-FFF2-40B4-BE49-F238E27FC236}">
              <a16:creationId xmlns:a16="http://schemas.microsoft.com/office/drawing/2014/main" id="{BD475687-A1B6-44E5-82FF-648649802E6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12640</xdr:col>
      <xdr:colOff>47625</xdr:colOff>
      <xdr:row>0</xdr:row>
      <xdr:rowOff>0</xdr:rowOff>
    </xdr:from>
    <xdr:ext cx="1200150" cy="571500"/>
    <xdr:pic>
      <xdr:nvPicPr>
        <xdr:cNvPr id="792" name="image1.png" title="Imagem">
          <a:extLst>
            <a:ext uri="{FF2B5EF4-FFF2-40B4-BE49-F238E27FC236}">
              <a16:creationId xmlns:a16="http://schemas.microsoft.com/office/drawing/2014/main" id="{42A7FED0-5F8A-4C61-83B6-3D923E92720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12656</xdr:col>
      <xdr:colOff>47625</xdr:colOff>
      <xdr:row>0</xdr:row>
      <xdr:rowOff>0</xdr:rowOff>
    </xdr:from>
    <xdr:ext cx="1200150" cy="571500"/>
    <xdr:pic>
      <xdr:nvPicPr>
        <xdr:cNvPr id="793" name="image1.png" title="Imagem">
          <a:extLst>
            <a:ext uri="{FF2B5EF4-FFF2-40B4-BE49-F238E27FC236}">
              <a16:creationId xmlns:a16="http://schemas.microsoft.com/office/drawing/2014/main" id="{0AC6E2D6-988A-436C-BE79-BA18ED7CE5E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12672</xdr:col>
      <xdr:colOff>47625</xdr:colOff>
      <xdr:row>0</xdr:row>
      <xdr:rowOff>0</xdr:rowOff>
    </xdr:from>
    <xdr:ext cx="1200150" cy="571500"/>
    <xdr:pic>
      <xdr:nvPicPr>
        <xdr:cNvPr id="794" name="image1.png" title="Imagem">
          <a:extLst>
            <a:ext uri="{FF2B5EF4-FFF2-40B4-BE49-F238E27FC236}">
              <a16:creationId xmlns:a16="http://schemas.microsoft.com/office/drawing/2014/main" id="{0B936E81-C88A-4097-8CE4-C5617CC1BDD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12688</xdr:col>
      <xdr:colOff>47625</xdr:colOff>
      <xdr:row>0</xdr:row>
      <xdr:rowOff>0</xdr:rowOff>
    </xdr:from>
    <xdr:ext cx="1200150" cy="571500"/>
    <xdr:pic>
      <xdr:nvPicPr>
        <xdr:cNvPr id="795" name="image1.png" title="Imagem">
          <a:extLst>
            <a:ext uri="{FF2B5EF4-FFF2-40B4-BE49-F238E27FC236}">
              <a16:creationId xmlns:a16="http://schemas.microsoft.com/office/drawing/2014/main" id="{89985B30-B112-4FB5-B61C-EC9F051ADB3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12704</xdr:col>
      <xdr:colOff>47625</xdr:colOff>
      <xdr:row>0</xdr:row>
      <xdr:rowOff>0</xdr:rowOff>
    </xdr:from>
    <xdr:ext cx="1200150" cy="571500"/>
    <xdr:pic>
      <xdr:nvPicPr>
        <xdr:cNvPr id="796" name="image1.png" title="Imagem">
          <a:extLst>
            <a:ext uri="{FF2B5EF4-FFF2-40B4-BE49-F238E27FC236}">
              <a16:creationId xmlns:a16="http://schemas.microsoft.com/office/drawing/2014/main" id="{92D7B975-C96A-481D-871D-B6540130145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12720</xdr:col>
      <xdr:colOff>47625</xdr:colOff>
      <xdr:row>0</xdr:row>
      <xdr:rowOff>0</xdr:rowOff>
    </xdr:from>
    <xdr:ext cx="1200150" cy="571500"/>
    <xdr:pic>
      <xdr:nvPicPr>
        <xdr:cNvPr id="797" name="image1.png" title="Imagem">
          <a:extLst>
            <a:ext uri="{FF2B5EF4-FFF2-40B4-BE49-F238E27FC236}">
              <a16:creationId xmlns:a16="http://schemas.microsoft.com/office/drawing/2014/main" id="{A510D188-6FC7-416A-BC47-B87A1480A77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12736</xdr:col>
      <xdr:colOff>47625</xdr:colOff>
      <xdr:row>0</xdr:row>
      <xdr:rowOff>0</xdr:rowOff>
    </xdr:from>
    <xdr:ext cx="1200150" cy="571500"/>
    <xdr:pic>
      <xdr:nvPicPr>
        <xdr:cNvPr id="798" name="image1.png" title="Imagem">
          <a:extLst>
            <a:ext uri="{FF2B5EF4-FFF2-40B4-BE49-F238E27FC236}">
              <a16:creationId xmlns:a16="http://schemas.microsoft.com/office/drawing/2014/main" id="{E14B8641-3226-47C6-BE77-F67A8294422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12752</xdr:col>
      <xdr:colOff>47625</xdr:colOff>
      <xdr:row>0</xdr:row>
      <xdr:rowOff>0</xdr:rowOff>
    </xdr:from>
    <xdr:ext cx="1200150" cy="571500"/>
    <xdr:pic>
      <xdr:nvPicPr>
        <xdr:cNvPr id="799" name="image1.png" title="Imagem">
          <a:extLst>
            <a:ext uri="{FF2B5EF4-FFF2-40B4-BE49-F238E27FC236}">
              <a16:creationId xmlns:a16="http://schemas.microsoft.com/office/drawing/2014/main" id="{7986709B-B17C-4551-8099-AFD82639B9E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12768</xdr:col>
      <xdr:colOff>47625</xdr:colOff>
      <xdr:row>0</xdr:row>
      <xdr:rowOff>0</xdr:rowOff>
    </xdr:from>
    <xdr:ext cx="1200150" cy="571500"/>
    <xdr:pic>
      <xdr:nvPicPr>
        <xdr:cNvPr id="800" name="image1.png" title="Imagem">
          <a:extLst>
            <a:ext uri="{FF2B5EF4-FFF2-40B4-BE49-F238E27FC236}">
              <a16:creationId xmlns:a16="http://schemas.microsoft.com/office/drawing/2014/main" id="{A6768397-EE26-4327-A045-DDDF8B99D29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12784</xdr:col>
      <xdr:colOff>47625</xdr:colOff>
      <xdr:row>0</xdr:row>
      <xdr:rowOff>0</xdr:rowOff>
    </xdr:from>
    <xdr:ext cx="1200150" cy="571500"/>
    <xdr:pic>
      <xdr:nvPicPr>
        <xdr:cNvPr id="801" name="image1.png" title="Imagem">
          <a:extLst>
            <a:ext uri="{FF2B5EF4-FFF2-40B4-BE49-F238E27FC236}">
              <a16:creationId xmlns:a16="http://schemas.microsoft.com/office/drawing/2014/main" id="{B17D7AAA-EFFB-451E-A017-1AFCD68E73A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12800</xdr:col>
      <xdr:colOff>47625</xdr:colOff>
      <xdr:row>0</xdr:row>
      <xdr:rowOff>0</xdr:rowOff>
    </xdr:from>
    <xdr:ext cx="1200150" cy="571500"/>
    <xdr:pic>
      <xdr:nvPicPr>
        <xdr:cNvPr id="802" name="image1.png" title="Imagem">
          <a:extLst>
            <a:ext uri="{FF2B5EF4-FFF2-40B4-BE49-F238E27FC236}">
              <a16:creationId xmlns:a16="http://schemas.microsoft.com/office/drawing/2014/main" id="{1DDB7896-5A6D-4FB8-BDB2-7DA9214A4A2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12816</xdr:col>
      <xdr:colOff>47625</xdr:colOff>
      <xdr:row>0</xdr:row>
      <xdr:rowOff>0</xdr:rowOff>
    </xdr:from>
    <xdr:ext cx="1200150" cy="571500"/>
    <xdr:pic>
      <xdr:nvPicPr>
        <xdr:cNvPr id="803" name="image1.png" title="Imagem">
          <a:extLst>
            <a:ext uri="{FF2B5EF4-FFF2-40B4-BE49-F238E27FC236}">
              <a16:creationId xmlns:a16="http://schemas.microsoft.com/office/drawing/2014/main" id="{588855D1-CD78-4004-8F28-53955ACFB46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12832</xdr:col>
      <xdr:colOff>47625</xdr:colOff>
      <xdr:row>0</xdr:row>
      <xdr:rowOff>0</xdr:rowOff>
    </xdr:from>
    <xdr:ext cx="1200150" cy="571500"/>
    <xdr:pic>
      <xdr:nvPicPr>
        <xdr:cNvPr id="804" name="image1.png" title="Imagem">
          <a:extLst>
            <a:ext uri="{FF2B5EF4-FFF2-40B4-BE49-F238E27FC236}">
              <a16:creationId xmlns:a16="http://schemas.microsoft.com/office/drawing/2014/main" id="{3089FD96-1A60-4FF6-9AE0-0DAD58F227B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12848</xdr:col>
      <xdr:colOff>47625</xdr:colOff>
      <xdr:row>0</xdr:row>
      <xdr:rowOff>0</xdr:rowOff>
    </xdr:from>
    <xdr:ext cx="1200150" cy="571500"/>
    <xdr:pic>
      <xdr:nvPicPr>
        <xdr:cNvPr id="805" name="image1.png" title="Imagem">
          <a:extLst>
            <a:ext uri="{FF2B5EF4-FFF2-40B4-BE49-F238E27FC236}">
              <a16:creationId xmlns:a16="http://schemas.microsoft.com/office/drawing/2014/main" id="{814A1C3D-59EE-4C5E-9976-27BF6F24DC7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12864</xdr:col>
      <xdr:colOff>47625</xdr:colOff>
      <xdr:row>0</xdr:row>
      <xdr:rowOff>0</xdr:rowOff>
    </xdr:from>
    <xdr:ext cx="1200150" cy="571500"/>
    <xdr:pic>
      <xdr:nvPicPr>
        <xdr:cNvPr id="806" name="image1.png" title="Imagem">
          <a:extLst>
            <a:ext uri="{FF2B5EF4-FFF2-40B4-BE49-F238E27FC236}">
              <a16:creationId xmlns:a16="http://schemas.microsoft.com/office/drawing/2014/main" id="{EEB56450-7592-4840-84D2-A5828457EA6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12880</xdr:col>
      <xdr:colOff>47625</xdr:colOff>
      <xdr:row>0</xdr:row>
      <xdr:rowOff>0</xdr:rowOff>
    </xdr:from>
    <xdr:ext cx="1200150" cy="571500"/>
    <xdr:pic>
      <xdr:nvPicPr>
        <xdr:cNvPr id="807" name="image1.png" title="Imagem">
          <a:extLst>
            <a:ext uri="{FF2B5EF4-FFF2-40B4-BE49-F238E27FC236}">
              <a16:creationId xmlns:a16="http://schemas.microsoft.com/office/drawing/2014/main" id="{6478598F-545B-4BED-A25F-D7F9AB2F579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12896</xdr:col>
      <xdr:colOff>47625</xdr:colOff>
      <xdr:row>0</xdr:row>
      <xdr:rowOff>0</xdr:rowOff>
    </xdr:from>
    <xdr:ext cx="1200150" cy="571500"/>
    <xdr:pic>
      <xdr:nvPicPr>
        <xdr:cNvPr id="808" name="image1.png" title="Imagem">
          <a:extLst>
            <a:ext uri="{FF2B5EF4-FFF2-40B4-BE49-F238E27FC236}">
              <a16:creationId xmlns:a16="http://schemas.microsoft.com/office/drawing/2014/main" id="{9A8A473C-07B1-49F8-A2E2-9E8C9FAF2BB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12912</xdr:col>
      <xdr:colOff>47625</xdr:colOff>
      <xdr:row>0</xdr:row>
      <xdr:rowOff>0</xdr:rowOff>
    </xdr:from>
    <xdr:ext cx="1200150" cy="571500"/>
    <xdr:pic>
      <xdr:nvPicPr>
        <xdr:cNvPr id="809" name="image1.png" title="Imagem">
          <a:extLst>
            <a:ext uri="{FF2B5EF4-FFF2-40B4-BE49-F238E27FC236}">
              <a16:creationId xmlns:a16="http://schemas.microsoft.com/office/drawing/2014/main" id="{34C7AB2B-70B2-402F-B789-8D73942787D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12928</xdr:col>
      <xdr:colOff>47625</xdr:colOff>
      <xdr:row>0</xdr:row>
      <xdr:rowOff>0</xdr:rowOff>
    </xdr:from>
    <xdr:ext cx="1200150" cy="571500"/>
    <xdr:pic>
      <xdr:nvPicPr>
        <xdr:cNvPr id="810" name="image1.png" title="Imagem">
          <a:extLst>
            <a:ext uri="{FF2B5EF4-FFF2-40B4-BE49-F238E27FC236}">
              <a16:creationId xmlns:a16="http://schemas.microsoft.com/office/drawing/2014/main" id="{13146F02-D563-4BF3-9F43-AE9D593798B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12944</xdr:col>
      <xdr:colOff>47625</xdr:colOff>
      <xdr:row>0</xdr:row>
      <xdr:rowOff>0</xdr:rowOff>
    </xdr:from>
    <xdr:ext cx="1200150" cy="571500"/>
    <xdr:pic>
      <xdr:nvPicPr>
        <xdr:cNvPr id="811" name="image1.png" title="Imagem">
          <a:extLst>
            <a:ext uri="{FF2B5EF4-FFF2-40B4-BE49-F238E27FC236}">
              <a16:creationId xmlns:a16="http://schemas.microsoft.com/office/drawing/2014/main" id="{D29BCED1-7841-48AB-8CE5-3D3CE7E98A0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12960</xdr:col>
      <xdr:colOff>47625</xdr:colOff>
      <xdr:row>0</xdr:row>
      <xdr:rowOff>0</xdr:rowOff>
    </xdr:from>
    <xdr:ext cx="1200150" cy="571500"/>
    <xdr:pic>
      <xdr:nvPicPr>
        <xdr:cNvPr id="812" name="image1.png" title="Imagem">
          <a:extLst>
            <a:ext uri="{FF2B5EF4-FFF2-40B4-BE49-F238E27FC236}">
              <a16:creationId xmlns:a16="http://schemas.microsoft.com/office/drawing/2014/main" id="{CE2315DD-841B-4BCE-8595-6A3A5881D67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12976</xdr:col>
      <xdr:colOff>47625</xdr:colOff>
      <xdr:row>0</xdr:row>
      <xdr:rowOff>0</xdr:rowOff>
    </xdr:from>
    <xdr:ext cx="1200150" cy="571500"/>
    <xdr:pic>
      <xdr:nvPicPr>
        <xdr:cNvPr id="813" name="image1.png" title="Imagem">
          <a:extLst>
            <a:ext uri="{FF2B5EF4-FFF2-40B4-BE49-F238E27FC236}">
              <a16:creationId xmlns:a16="http://schemas.microsoft.com/office/drawing/2014/main" id="{6A618E03-205B-4FFE-BA2C-1C2B375893F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12992</xdr:col>
      <xdr:colOff>47625</xdr:colOff>
      <xdr:row>0</xdr:row>
      <xdr:rowOff>0</xdr:rowOff>
    </xdr:from>
    <xdr:ext cx="1200150" cy="571500"/>
    <xdr:pic>
      <xdr:nvPicPr>
        <xdr:cNvPr id="814" name="image1.png" title="Imagem">
          <a:extLst>
            <a:ext uri="{FF2B5EF4-FFF2-40B4-BE49-F238E27FC236}">
              <a16:creationId xmlns:a16="http://schemas.microsoft.com/office/drawing/2014/main" id="{88F83482-D118-4AB9-B4D6-1CA8D6AB689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13008</xdr:col>
      <xdr:colOff>47625</xdr:colOff>
      <xdr:row>0</xdr:row>
      <xdr:rowOff>0</xdr:rowOff>
    </xdr:from>
    <xdr:ext cx="1200150" cy="571500"/>
    <xdr:pic>
      <xdr:nvPicPr>
        <xdr:cNvPr id="815" name="image1.png" title="Imagem">
          <a:extLst>
            <a:ext uri="{FF2B5EF4-FFF2-40B4-BE49-F238E27FC236}">
              <a16:creationId xmlns:a16="http://schemas.microsoft.com/office/drawing/2014/main" id="{E5ED8163-3884-4246-9A45-F3331331A1A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13024</xdr:col>
      <xdr:colOff>47625</xdr:colOff>
      <xdr:row>0</xdr:row>
      <xdr:rowOff>0</xdr:rowOff>
    </xdr:from>
    <xdr:ext cx="1200150" cy="571500"/>
    <xdr:pic>
      <xdr:nvPicPr>
        <xdr:cNvPr id="816" name="image1.png" title="Imagem">
          <a:extLst>
            <a:ext uri="{FF2B5EF4-FFF2-40B4-BE49-F238E27FC236}">
              <a16:creationId xmlns:a16="http://schemas.microsoft.com/office/drawing/2014/main" id="{5A9FB9BA-4F65-4DE9-B982-69600A073C2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13040</xdr:col>
      <xdr:colOff>47625</xdr:colOff>
      <xdr:row>0</xdr:row>
      <xdr:rowOff>0</xdr:rowOff>
    </xdr:from>
    <xdr:ext cx="1200150" cy="571500"/>
    <xdr:pic>
      <xdr:nvPicPr>
        <xdr:cNvPr id="817" name="image1.png" title="Imagem">
          <a:extLst>
            <a:ext uri="{FF2B5EF4-FFF2-40B4-BE49-F238E27FC236}">
              <a16:creationId xmlns:a16="http://schemas.microsoft.com/office/drawing/2014/main" id="{E06BACD4-C269-4FEC-AF37-B9237C8F00A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13056</xdr:col>
      <xdr:colOff>47625</xdr:colOff>
      <xdr:row>0</xdr:row>
      <xdr:rowOff>0</xdr:rowOff>
    </xdr:from>
    <xdr:ext cx="1200150" cy="571500"/>
    <xdr:pic>
      <xdr:nvPicPr>
        <xdr:cNvPr id="818" name="image1.png" title="Imagem">
          <a:extLst>
            <a:ext uri="{FF2B5EF4-FFF2-40B4-BE49-F238E27FC236}">
              <a16:creationId xmlns:a16="http://schemas.microsoft.com/office/drawing/2014/main" id="{79142047-3C13-49A1-9F70-D76F743AAA8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13072</xdr:col>
      <xdr:colOff>47625</xdr:colOff>
      <xdr:row>0</xdr:row>
      <xdr:rowOff>0</xdr:rowOff>
    </xdr:from>
    <xdr:ext cx="1200150" cy="571500"/>
    <xdr:pic>
      <xdr:nvPicPr>
        <xdr:cNvPr id="819" name="image1.png" title="Imagem">
          <a:extLst>
            <a:ext uri="{FF2B5EF4-FFF2-40B4-BE49-F238E27FC236}">
              <a16:creationId xmlns:a16="http://schemas.microsoft.com/office/drawing/2014/main" id="{962BFD09-80D4-4BBD-9709-69ED3E272E9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13088</xdr:col>
      <xdr:colOff>47625</xdr:colOff>
      <xdr:row>0</xdr:row>
      <xdr:rowOff>0</xdr:rowOff>
    </xdr:from>
    <xdr:ext cx="1200150" cy="571500"/>
    <xdr:pic>
      <xdr:nvPicPr>
        <xdr:cNvPr id="820" name="image1.png" title="Imagem">
          <a:extLst>
            <a:ext uri="{FF2B5EF4-FFF2-40B4-BE49-F238E27FC236}">
              <a16:creationId xmlns:a16="http://schemas.microsoft.com/office/drawing/2014/main" id="{A9F25791-F2F8-49A6-B750-01F869FBC6B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13104</xdr:col>
      <xdr:colOff>47625</xdr:colOff>
      <xdr:row>0</xdr:row>
      <xdr:rowOff>0</xdr:rowOff>
    </xdr:from>
    <xdr:ext cx="1200150" cy="571500"/>
    <xdr:pic>
      <xdr:nvPicPr>
        <xdr:cNvPr id="821" name="image1.png" title="Imagem">
          <a:extLst>
            <a:ext uri="{FF2B5EF4-FFF2-40B4-BE49-F238E27FC236}">
              <a16:creationId xmlns:a16="http://schemas.microsoft.com/office/drawing/2014/main" id="{BB47FC7C-EB0C-491F-BC1B-6CF51CC440A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13120</xdr:col>
      <xdr:colOff>47625</xdr:colOff>
      <xdr:row>0</xdr:row>
      <xdr:rowOff>0</xdr:rowOff>
    </xdr:from>
    <xdr:ext cx="1200150" cy="571500"/>
    <xdr:pic>
      <xdr:nvPicPr>
        <xdr:cNvPr id="822" name="image1.png" title="Imagem">
          <a:extLst>
            <a:ext uri="{FF2B5EF4-FFF2-40B4-BE49-F238E27FC236}">
              <a16:creationId xmlns:a16="http://schemas.microsoft.com/office/drawing/2014/main" id="{9BA5D6F4-F971-429D-8674-23B0EF14D32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13136</xdr:col>
      <xdr:colOff>47625</xdr:colOff>
      <xdr:row>0</xdr:row>
      <xdr:rowOff>0</xdr:rowOff>
    </xdr:from>
    <xdr:ext cx="1200150" cy="571500"/>
    <xdr:pic>
      <xdr:nvPicPr>
        <xdr:cNvPr id="823" name="image1.png" title="Imagem">
          <a:extLst>
            <a:ext uri="{FF2B5EF4-FFF2-40B4-BE49-F238E27FC236}">
              <a16:creationId xmlns:a16="http://schemas.microsoft.com/office/drawing/2014/main" id="{2485798E-0923-472B-96EC-637E2603223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13152</xdr:col>
      <xdr:colOff>47625</xdr:colOff>
      <xdr:row>0</xdr:row>
      <xdr:rowOff>0</xdr:rowOff>
    </xdr:from>
    <xdr:ext cx="1200150" cy="571500"/>
    <xdr:pic>
      <xdr:nvPicPr>
        <xdr:cNvPr id="824" name="image1.png" title="Imagem">
          <a:extLst>
            <a:ext uri="{FF2B5EF4-FFF2-40B4-BE49-F238E27FC236}">
              <a16:creationId xmlns:a16="http://schemas.microsoft.com/office/drawing/2014/main" id="{D4C7C053-F72D-4F84-9639-9116B685EEB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13168</xdr:col>
      <xdr:colOff>47625</xdr:colOff>
      <xdr:row>0</xdr:row>
      <xdr:rowOff>0</xdr:rowOff>
    </xdr:from>
    <xdr:ext cx="1200150" cy="571500"/>
    <xdr:pic>
      <xdr:nvPicPr>
        <xdr:cNvPr id="825" name="image1.png" title="Imagem">
          <a:extLst>
            <a:ext uri="{FF2B5EF4-FFF2-40B4-BE49-F238E27FC236}">
              <a16:creationId xmlns:a16="http://schemas.microsoft.com/office/drawing/2014/main" id="{EB3FA021-736F-4ED3-ABBB-E6269A52917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13184</xdr:col>
      <xdr:colOff>47625</xdr:colOff>
      <xdr:row>0</xdr:row>
      <xdr:rowOff>0</xdr:rowOff>
    </xdr:from>
    <xdr:ext cx="1200150" cy="571500"/>
    <xdr:pic>
      <xdr:nvPicPr>
        <xdr:cNvPr id="826" name="image1.png" title="Imagem">
          <a:extLst>
            <a:ext uri="{FF2B5EF4-FFF2-40B4-BE49-F238E27FC236}">
              <a16:creationId xmlns:a16="http://schemas.microsoft.com/office/drawing/2014/main" id="{22CBAAF8-A40D-4E95-8B19-8AABB8F2927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13200</xdr:col>
      <xdr:colOff>47625</xdr:colOff>
      <xdr:row>0</xdr:row>
      <xdr:rowOff>0</xdr:rowOff>
    </xdr:from>
    <xdr:ext cx="1200150" cy="571500"/>
    <xdr:pic>
      <xdr:nvPicPr>
        <xdr:cNvPr id="827" name="image1.png" title="Imagem">
          <a:extLst>
            <a:ext uri="{FF2B5EF4-FFF2-40B4-BE49-F238E27FC236}">
              <a16:creationId xmlns:a16="http://schemas.microsoft.com/office/drawing/2014/main" id="{C5A4199F-7C9A-4C48-8D06-264FFC043F6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13216</xdr:col>
      <xdr:colOff>47625</xdr:colOff>
      <xdr:row>0</xdr:row>
      <xdr:rowOff>0</xdr:rowOff>
    </xdr:from>
    <xdr:ext cx="1200150" cy="571500"/>
    <xdr:pic>
      <xdr:nvPicPr>
        <xdr:cNvPr id="828" name="image1.png" title="Imagem">
          <a:extLst>
            <a:ext uri="{FF2B5EF4-FFF2-40B4-BE49-F238E27FC236}">
              <a16:creationId xmlns:a16="http://schemas.microsoft.com/office/drawing/2014/main" id="{BB8E2B39-476E-44AE-9927-E6C8408B3B7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13232</xdr:col>
      <xdr:colOff>47625</xdr:colOff>
      <xdr:row>0</xdr:row>
      <xdr:rowOff>0</xdr:rowOff>
    </xdr:from>
    <xdr:ext cx="1200150" cy="571500"/>
    <xdr:pic>
      <xdr:nvPicPr>
        <xdr:cNvPr id="829" name="image1.png" title="Imagem">
          <a:extLst>
            <a:ext uri="{FF2B5EF4-FFF2-40B4-BE49-F238E27FC236}">
              <a16:creationId xmlns:a16="http://schemas.microsoft.com/office/drawing/2014/main" id="{EB644ED4-A08B-459B-8A03-319A9AEE32B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13248</xdr:col>
      <xdr:colOff>47625</xdr:colOff>
      <xdr:row>0</xdr:row>
      <xdr:rowOff>0</xdr:rowOff>
    </xdr:from>
    <xdr:ext cx="1200150" cy="571500"/>
    <xdr:pic>
      <xdr:nvPicPr>
        <xdr:cNvPr id="830" name="image1.png" title="Imagem">
          <a:extLst>
            <a:ext uri="{FF2B5EF4-FFF2-40B4-BE49-F238E27FC236}">
              <a16:creationId xmlns:a16="http://schemas.microsoft.com/office/drawing/2014/main" id="{486D2606-F663-4008-8F88-07CED457427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13264</xdr:col>
      <xdr:colOff>47625</xdr:colOff>
      <xdr:row>0</xdr:row>
      <xdr:rowOff>0</xdr:rowOff>
    </xdr:from>
    <xdr:ext cx="1200150" cy="571500"/>
    <xdr:pic>
      <xdr:nvPicPr>
        <xdr:cNvPr id="831" name="image1.png" title="Imagem">
          <a:extLst>
            <a:ext uri="{FF2B5EF4-FFF2-40B4-BE49-F238E27FC236}">
              <a16:creationId xmlns:a16="http://schemas.microsoft.com/office/drawing/2014/main" id="{01ADFF62-7E3D-49A5-A9D4-9854D9E21C8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13280</xdr:col>
      <xdr:colOff>47625</xdr:colOff>
      <xdr:row>0</xdr:row>
      <xdr:rowOff>0</xdr:rowOff>
    </xdr:from>
    <xdr:ext cx="1200150" cy="571500"/>
    <xdr:pic>
      <xdr:nvPicPr>
        <xdr:cNvPr id="832" name="image1.png" title="Imagem">
          <a:extLst>
            <a:ext uri="{FF2B5EF4-FFF2-40B4-BE49-F238E27FC236}">
              <a16:creationId xmlns:a16="http://schemas.microsoft.com/office/drawing/2014/main" id="{2691304F-E979-4675-9B87-951D378652A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13296</xdr:col>
      <xdr:colOff>47625</xdr:colOff>
      <xdr:row>0</xdr:row>
      <xdr:rowOff>0</xdr:rowOff>
    </xdr:from>
    <xdr:ext cx="1200150" cy="571500"/>
    <xdr:pic>
      <xdr:nvPicPr>
        <xdr:cNvPr id="833" name="image1.png" title="Imagem">
          <a:extLst>
            <a:ext uri="{FF2B5EF4-FFF2-40B4-BE49-F238E27FC236}">
              <a16:creationId xmlns:a16="http://schemas.microsoft.com/office/drawing/2014/main" id="{B9BB8EF5-5EBE-421A-91D3-5514174D06E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13312</xdr:col>
      <xdr:colOff>47625</xdr:colOff>
      <xdr:row>0</xdr:row>
      <xdr:rowOff>0</xdr:rowOff>
    </xdr:from>
    <xdr:ext cx="1200150" cy="571500"/>
    <xdr:pic>
      <xdr:nvPicPr>
        <xdr:cNvPr id="834" name="image1.png" title="Imagem">
          <a:extLst>
            <a:ext uri="{FF2B5EF4-FFF2-40B4-BE49-F238E27FC236}">
              <a16:creationId xmlns:a16="http://schemas.microsoft.com/office/drawing/2014/main" id="{E7F17869-A608-4D77-ACAB-6EB92DA34F3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13328</xdr:col>
      <xdr:colOff>47625</xdr:colOff>
      <xdr:row>0</xdr:row>
      <xdr:rowOff>0</xdr:rowOff>
    </xdr:from>
    <xdr:ext cx="1200150" cy="571500"/>
    <xdr:pic>
      <xdr:nvPicPr>
        <xdr:cNvPr id="835" name="image1.png" title="Imagem">
          <a:extLst>
            <a:ext uri="{FF2B5EF4-FFF2-40B4-BE49-F238E27FC236}">
              <a16:creationId xmlns:a16="http://schemas.microsoft.com/office/drawing/2014/main" id="{6A9F1662-0724-45A9-B024-7A3E74BEEA0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13344</xdr:col>
      <xdr:colOff>47625</xdr:colOff>
      <xdr:row>0</xdr:row>
      <xdr:rowOff>0</xdr:rowOff>
    </xdr:from>
    <xdr:ext cx="1200150" cy="571500"/>
    <xdr:pic>
      <xdr:nvPicPr>
        <xdr:cNvPr id="836" name="image1.png" title="Imagem">
          <a:extLst>
            <a:ext uri="{FF2B5EF4-FFF2-40B4-BE49-F238E27FC236}">
              <a16:creationId xmlns:a16="http://schemas.microsoft.com/office/drawing/2014/main" id="{9D6B256D-289D-4815-91B4-A20AC597203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13360</xdr:col>
      <xdr:colOff>47625</xdr:colOff>
      <xdr:row>0</xdr:row>
      <xdr:rowOff>0</xdr:rowOff>
    </xdr:from>
    <xdr:ext cx="1200150" cy="571500"/>
    <xdr:pic>
      <xdr:nvPicPr>
        <xdr:cNvPr id="837" name="image1.png" title="Imagem">
          <a:extLst>
            <a:ext uri="{FF2B5EF4-FFF2-40B4-BE49-F238E27FC236}">
              <a16:creationId xmlns:a16="http://schemas.microsoft.com/office/drawing/2014/main" id="{2DF9EFED-854F-47DF-BEF8-42DD693F74E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13376</xdr:col>
      <xdr:colOff>47625</xdr:colOff>
      <xdr:row>0</xdr:row>
      <xdr:rowOff>0</xdr:rowOff>
    </xdr:from>
    <xdr:ext cx="1200150" cy="571500"/>
    <xdr:pic>
      <xdr:nvPicPr>
        <xdr:cNvPr id="838" name="image1.png" title="Imagem">
          <a:extLst>
            <a:ext uri="{FF2B5EF4-FFF2-40B4-BE49-F238E27FC236}">
              <a16:creationId xmlns:a16="http://schemas.microsoft.com/office/drawing/2014/main" id="{997A1D4A-1822-4B9E-B5CF-B5077006ACB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13392</xdr:col>
      <xdr:colOff>47625</xdr:colOff>
      <xdr:row>0</xdr:row>
      <xdr:rowOff>0</xdr:rowOff>
    </xdr:from>
    <xdr:ext cx="1200150" cy="571500"/>
    <xdr:pic>
      <xdr:nvPicPr>
        <xdr:cNvPr id="839" name="image1.png" title="Imagem">
          <a:extLst>
            <a:ext uri="{FF2B5EF4-FFF2-40B4-BE49-F238E27FC236}">
              <a16:creationId xmlns:a16="http://schemas.microsoft.com/office/drawing/2014/main" id="{A011C1F5-0FD4-467C-90B3-CB326937D41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13408</xdr:col>
      <xdr:colOff>47625</xdr:colOff>
      <xdr:row>0</xdr:row>
      <xdr:rowOff>0</xdr:rowOff>
    </xdr:from>
    <xdr:ext cx="1200150" cy="571500"/>
    <xdr:pic>
      <xdr:nvPicPr>
        <xdr:cNvPr id="840" name="image1.png" title="Imagem">
          <a:extLst>
            <a:ext uri="{FF2B5EF4-FFF2-40B4-BE49-F238E27FC236}">
              <a16:creationId xmlns:a16="http://schemas.microsoft.com/office/drawing/2014/main" id="{958E8537-CCF1-41BF-8A68-FECF4A85FAF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13424</xdr:col>
      <xdr:colOff>47625</xdr:colOff>
      <xdr:row>0</xdr:row>
      <xdr:rowOff>0</xdr:rowOff>
    </xdr:from>
    <xdr:ext cx="1200150" cy="571500"/>
    <xdr:pic>
      <xdr:nvPicPr>
        <xdr:cNvPr id="841" name="image1.png" title="Imagem">
          <a:extLst>
            <a:ext uri="{FF2B5EF4-FFF2-40B4-BE49-F238E27FC236}">
              <a16:creationId xmlns:a16="http://schemas.microsoft.com/office/drawing/2014/main" id="{0DA46301-B849-4D41-883F-24B67E8C0E2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13440</xdr:col>
      <xdr:colOff>47625</xdr:colOff>
      <xdr:row>0</xdr:row>
      <xdr:rowOff>0</xdr:rowOff>
    </xdr:from>
    <xdr:ext cx="1200150" cy="571500"/>
    <xdr:pic>
      <xdr:nvPicPr>
        <xdr:cNvPr id="842" name="image1.png" title="Imagem">
          <a:extLst>
            <a:ext uri="{FF2B5EF4-FFF2-40B4-BE49-F238E27FC236}">
              <a16:creationId xmlns:a16="http://schemas.microsoft.com/office/drawing/2014/main" id="{EC9CA6C9-590C-4EAB-92EA-82D37FCD8AB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13456</xdr:col>
      <xdr:colOff>47625</xdr:colOff>
      <xdr:row>0</xdr:row>
      <xdr:rowOff>0</xdr:rowOff>
    </xdr:from>
    <xdr:ext cx="1200150" cy="571500"/>
    <xdr:pic>
      <xdr:nvPicPr>
        <xdr:cNvPr id="843" name="image1.png" title="Imagem">
          <a:extLst>
            <a:ext uri="{FF2B5EF4-FFF2-40B4-BE49-F238E27FC236}">
              <a16:creationId xmlns:a16="http://schemas.microsoft.com/office/drawing/2014/main" id="{1D7099AC-714B-4DA4-9EFE-5D5FD73E904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13472</xdr:col>
      <xdr:colOff>47625</xdr:colOff>
      <xdr:row>0</xdr:row>
      <xdr:rowOff>0</xdr:rowOff>
    </xdr:from>
    <xdr:ext cx="1200150" cy="571500"/>
    <xdr:pic>
      <xdr:nvPicPr>
        <xdr:cNvPr id="844" name="image1.png" title="Imagem">
          <a:extLst>
            <a:ext uri="{FF2B5EF4-FFF2-40B4-BE49-F238E27FC236}">
              <a16:creationId xmlns:a16="http://schemas.microsoft.com/office/drawing/2014/main" id="{4B5DAFAF-0238-4497-9327-AB173A436F5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13488</xdr:col>
      <xdr:colOff>47625</xdr:colOff>
      <xdr:row>0</xdr:row>
      <xdr:rowOff>0</xdr:rowOff>
    </xdr:from>
    <xdr:ext cx="1200150" cy="571500"/>
    <xdr:pic>
      <xdr:nvPicPr>
        <xdr:cNvPr id="845" name="image1.png" title="Imagem">
          <a:extLst>
            <a:ext uri="{FF2B5EF4-FFF2-40B4-BE49-F238E27FC236}">
              <a16:creationId xmlns:a16="http://schemas.microsoft.com/office/drawing/2014/main" id="{F2C910A0-8E17-4ECB-BC42-B68605487A2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13504</xdr:col>
      <xdr:colOff>47625</xdr:colOff>
      <xdr:row>0</xdr:row>
      <xdr:rowOff>0</xdr:rowOff>
    </xdr:from>
    <xdr:ext cx="1200150" cy="571500"/>
    <xdr:pic>
      <xdr:nvPicPr>
        <xdr:cNvPr id="846" name="image1.png" title="Imagem">
          <a:extLst>
            <a:ext uri="{FF2B5EF4-FFF2-40B4-BE49-F238E27FC236}">
              <a16:creationId xmlns:a16="http://schemas.microsoft.com/office/drawing/2014/main" id="{4DBDD842-172A-417A-8874-C7F6AF234CB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13520</xdr:col>
      <xdr:colOff>47625</xdr:colOff>
      <xdr:row>0</xdr:row>
      <xdr:rowOff>0</xdr:rowOff>
    </xdr:from>
    <xdr:ext cx="1200150" cy="571500"/>
    <xdr:pic>
      <xdr:nvPicPr>
        <xdr:cNvPr id="847" name="image1.png" title="Imagem">
          <a:extLst>
            <a:ext uri="{FF2B5EF4-FFF2-40B4-BE49-F238E27FC236}">
              <a16:creationId xmlns:a16="http://schemas.microsoft.com/office/drawing/2014/main" id="{6F61CC64-D7CB-41F2-99A7-0881BA58EF4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13536</xdr:col>
      <xdr:colOff>47625</xdr:colOff>
      <xdr:row>0</xdr:row>
      <xdr:rowOff>0</xdr:rowOff>
    </xdr:from>
    <xdr:ext cx="1200150" cy="571500"/>
    <xdr:pic>
      <xdr:nvPicPr>
        <xdr:cNvPr id="848" name="image1.png" title="Imagem">
          <a:extLst>
            <a:ext uri="{FF2B5EF4-FFF2-40B4-BE49-F238E27FC236}">
              <a16:creationId xmlns:a16="http://schemas.microsoft.com/office/drawing/2014/main" id="{D6BA6178-479A-4F33-B9C4-86EEB8E9ABD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13552</xdr:col>
      <xdr:colOff>47625</xdr:colOff>
      <xdr:row>0</xdr:row>
      <xdr:rowOff>0</xdr:rowOff>
    </xdr:from>
    <xdr:ext cx="1200150" cy="571500"/>
    <xdr:pic>
      <xdr:nvPicPr>
        <xdr:cNvPr id="849" name="image1.png" title="Imagem">
          <a:extLst>
            <a:ext uri="{FF2B5EF4-FFF2-40B4-BE49-F238E27FC236}">
              <a16:creationId xmlns:a16="http://schemas.microsoft.com/office/drawing/2014/main" id="{C511AF11-F085-4A68-B922-FAD6DF185FB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13568</xdr:col>
      <xdr:colOff>47625</xdr:colOff>
      <xdr:row>0</xdr:row>
      <xdr:rowOff>0</xdr:rowOff>
    </xdr:from>
    <xdr:ext cx="1200150" cy="571500"/>
    <xdr:pic>
      <xdr:nvPicPr>
        <xdr:cNvPr id="850" name="image1.png" title="Imagem">
          <a:extLst>
            <a:ext uri="{FF2B5EF4-FFF2-40B4-BE49-F238E27FC236}">
              <a16:creationId xmlns:a16="http://schemas.microsoft.com/office/drawing/2014/main" id="{F1A96512-1AE6-4A47-8336-9EAECF74C47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13584</xdr:col>
      <xdr:colOff>47625</xdr:colOff>
      <xdr:row>0</xdr:row>
      <xdr:rowOff>0</xdr:rowOff>
    </xdr:from>
    <xdr:ext cx="1200150" cy="571500"/>
    <xdr:pic>
      <xdr:nvPicPr>
        <xdr:cNvPr id="851" name="image1.png" title="Imagem">
          <a:extLst>
            <a:ext uri="{FF2B5EF4-FFF2-40B4-BE49-F238E27FC236}">
              <a16:creationId xmlns:a16="http://schemas.microsoft.com/office/drawing/2014/main" id="{9F4C7782-3061-4E22-8D27-35DEC079A1A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13600</xdr:col>
      <xdr:colOff>47625</xdr:colOff>
      <xdr:row>0</xdr:row>
      <xdr:rowOff>0</xdr:rowOff>
    </xdr:from>
    <xdr:ext cx="1200150" cy="571500"/>
    <xdr:pic>
      <xdr:nvPicPr>
        <xdr:cNvPr id="852" name="image1.png" title="Imagem">
          <a:extLst>
            <a:ext uri="{FF2B5EF4-FFF2-40B4-BE49-F238E27FC236}">
              <a16:creationId xmlns:a16="http://schemas.microsoft.com/office/drawing/2014/main" id="{F035CEAD-1020-466B-8168-8064137F30F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13616</xdr:col>
      <xdr:colOff>47625</xdr:colOff>
      <xdr:row>0</xdr:row>
      <xdr:rowOff>0</xdr:rowOff>
    </xdr:from>
    <xdr:ext cx="1200150" cy="571500"/>
    <xdr:pic>
      <xdr:nvPicPr>
        <xdr:cNvPr id="853" name="image1.png" title="Imagem">
          <a:extLst>
            <a:ext uri="{FF2B5EF4-FFF2-40B4-BE49-F238E27FC236}">
              <a16:creationId xmlns:a16="http://schemas.microsoft.com/office/drawing/2014/main" id="{237746D2-125C-496C-978C-B991B802C96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13632</xdr:col>
      <xdr:colOff>47625</xdr:colOff>
      <xdr:row>0</xdr:row>
      <xdr:rowOff>0</xdr:rowOff>
    </xdr:from>
    <xdr:ext cx="1200150" cy="571500"/>
    <xdr:pic>
      <xdr:nvPicPr>
        <xdr:cNvPr id="854" name="image1.png" title="Imagem">
          <a:extLst>
            <a:ext uri="{FF2B5EF4-FFF2-40B4-BE49-F238E27FC236}">
              <a16:creationId xmlns:a16="http://schemas.microsoft.com/office/drawing/2014/main" id="{261ED27E-5428-4006-A4E0-C2CDC7CEC41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13648</xdr:col>
      <xdr:colOff>47625</xdr:colOff>
      <xdr:row>0</xdr:row>
      <xdr:rowOff>0</xdr:rowOff>
    </xdr:from>
    <xdr:ext cx="1200150" cy="571500"/>
    <xdr:pic>
      <xdr:nvPicPr>
        <xdr:cNvPr id="855" name="image1.png" title="Imagem">
          <a:extLst>
            <a:ext uri="{FF2B5EF4-FFF2-40B4-BE49-F238E27FC236}">
              <a16:creationId xmlns:a16="http://schemas.microsoft.com/office/drawing/2014/main" id="{6C4612D2-EE4C-4267-AB2E-EF85AD0D935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13664</xdr:col>
      <xdr:colOff>47625</xdr:colOff>
      <xdr:row>0</xdr:row>
      <xdr:rowOff>0</xdr:rowOff>
    </xdr:from>
    <xdr:ext cx="1200150" cy="571500"/>
    <xdr:pic>
      <xdr:nvPicPr>
        <xdr:cNvPr id="856" name="image1.png" title="Imagem">
          <a:extLst>
            <a:ext uri="{FF2B5EF4-FFF2-40B4-BE49-F238E27FC236}">
              <a16:creationId xmlns:a16="http://schemas.microsoft.com/office/drawing/2014/main" id="{F3BDD1B5-708A-4FEC-B59C-828A25D5554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13680</xdr:col>
      <xdr:colOff>47625</xdr:colOff>
      <xdr:row>0</xdr:row>
      <xdr:rowOff>0</xdr:rowOff>
    </xdr:from>
    <xdr:ext cx="1200150" cy="571500"/>
    <xdr:pic>
      <xdr:nvPicPr>
        <xdr:cNvPr id="857" name="image1.png" title="Imagem">
          <a:extLst>
            <a:ext uri="{FF2B5EF4-FFF2-40B4-BE49-F238E27FC236}">
              <a16:creationId xmlns:a16="http://schemas.microsoft.com/office/drawing/2014/main" id="{1379C34D-D4CC-4DBA-8D75-6377B41046B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13696</xdr:col>
      <xdr:colOff>47625</xdr:colOff>
      <xdr:row>0</xdr:row>
      <xdr:rowOff>0</xdr:rowOff>
    </xdr:from>
    <xdr:ext cx="1200150" cy="571500"/>
    <xdr:pic>
      <xdr:nvPicPr>
        <xdr:cNvPr id="858" name="image1.png" title="Imagem">
          <a:extLst>
            <a:ext uri="{FF2B5EF4-FFF2-40B4-BE49-F238E27FC236}">
              <a16:creationId xmlns:a16="http://schemas.microsoft.com/office/drawing/2014/main" id="{0BBE5DDC-8534-467A-BDA7-62CBCCAD8ED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13712</xdr:col>
      <xdr:colOff>47625</xdr:colOff>
      <xdr:row>0</xdr:row>
      <xdr:rowOff>0</xdr:rowOff>
    </xdr:from>
    <xdr:ext cx="1200150" cy="571500"/>
    <xdr:pic>
      <xdr:nvPicPr>
        <xdr:cNvPr id="859" name="image1.png" title="Imagem">
          <a:extLst>
            <a:ext uri="{FF2B5EF4-FFF2-40B4-BE49-F238E27FC236}">
              <a16:creationId xmlns:a16="http://schemas.microsoft.com/office/drawing/2014/main" id="{70CA2CC6-7266-4096-B22E-1C0E4730288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13728</xdr:col>
      <xdr:colOff>47625</xdr:colOff>
      <xdr:row>0</xdr:row>
      <xdr:rowOff>0</xdr:rowOff>
    </xdr:from>
    <xdr:ext cx="1200150" cy="571500"/>
    <xdr:pic>
      <xdr:nvPicPr>
        <xdr:cNvPr id="860" name="image1.png" title="Imagem">
          <a:extLst>
            <a:ext uri="{FF2B5EF4-FFF2-40B4-BE49-F238E27FC236}">
              <a16:creationId xmlns:a16="http://schemas.microsoft.com/office/drawing/2014/main" id="{9415821B-655C-4E80-A7FF-D55B07483B4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13744</xdr:col>
      <xdr:colOff>47625</xdr:colOff>
      <xdr:row>0</xdr:row>
      <xdr:rowOff>0</xdr:rowOff>
    </xdr:from>
    <xdr:ext cx="1200150" cy="571500"/>
    <xdr:pic>
      <xdr:nvPicPr>
        <xdr:cNvPr id="861" name="image1.png" title="Imagem">
          <a:extLst>
            <a:ext uri="{FF2B5EF4-FFF2-40B4-BE49-F238E27FC236}">
              <a16:creationId xmlns:a16="http://schemas.microsoft.com/office/drawing/2014/main" id="{98538D33-A4A2-4EBF-89E1-940A6883657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13760</xdr:col>
      <xdr:colOff>47625</xdr:colOff>
      <xdr:row>0</xdr:row>
      <xdr:rowOff>0</xdr:rowOff>
    </xdr:from>
    <xdr:ext cx="1200150" cy="571500"/>
    <xdr:pic>
      <xdr:nvPicPr>
        <xdr:cNvPr id="862" name="image1.png" title="Imagem">
          <a:extLst>
            <a:ext uri="{FF2B5EF4-FFF2-40B4-BE49-F238E27FC236}">
              <a16:creationId xmlns:a16="http://schemas.microsoft.com/office/drawing/2014/main" id="{DC8BE7CE-19D2-461F-8756-7CB5A7831ED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13776</xdr:col>
      <xdr:colOff>47625</xdr:colOff>
      <xdr:row>0</xdr:row>
      <xdr:rowOff>0</xdr:rowOff>
    </xdr:from>
    <xdr:ext cx="1200150" cy="571500"/>
    <xdr:pic>
      <xdr:nvPicPr>
        <xdr:cNvPr id="863" name="image1.png" title="Imagem">
          <a:extLst>
            <a:ext uri="{FF2B5EF4-FFF2-40B4-BE49-F238E27FC236}">
              <a16:creationId xmlns:a16="http://schemas.microsoft.com/office/drawing/2014/main" id="{58F58CB7-1815-4354-80F3-941D215D597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13792</xdr:col>
      <xdr:colOff>47625</xdr:colOff>
      <xdr:row>0</xdr:row>
      <xdr:rowOff>0</xdr:rowOff>
    </xdr:from>
    <xdr:ext cx="1200150" cy="571500"/>
    <xdr:pic>
      <xdr:nvPicPr>
        <xdr:cNvPr id="864" name="image1.png" title="Imagem">
          <a:extLst>
            <a:ext uri="{FF2B5EF4-FFF2-40B4-BE49-F238E27FC236}">
              <a16:creationId xmlns:a16="http://schemas.microsoft.com/office/drawing/2014/main" id="{5BECD4F9-7F41-4C95-B741-57F565E2334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13808</xdr:col>
      <xdr:colOff>47625</xdr:colOff>
      <xdr:row>0</xdr:row>
      <xdr:rowOff>0</xdr:rowOff>
    </xdr:from>
    <xdr:ext cx="1200150" cy="571500"/>
    <xdr:pic>
      <xdr:nvPicPr>
        <xdr:cNvPr id="865" name="image1.png" title="Imagem">
          <a:extLst>
            <a:ext uri="{FF2B5EF4-FFF2-40B4-BE49-F238E27FC236}">
              <a16:creationId xmlns:a16="http://schemas.microsoft.com/office/drawing/2014/main" id="{4A61359F-C178-4777-97A6-B8F02CC54B7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13824</xdr:col>
      <xdr:colOff>47625</xdr:colOff>
      <xdr:row>0</xdr:row>
      <xdr:rowOff>0</xdr:rowOff>
    </xdr:from>
    <xdr:ext cx="1200150" cy="571500"/>
    <xdr:pic>
      <xdr:nvPicPr>
        <xdr:cNvPr id="866" name="image1.png" title="Imagem">
          <a:extLst>
            <a:ext uri="{FF2B5EF4-FFF2-40B4-BE49-F238E27FC236}">
              <a16:creationId xmlns:a16="http://schemas.microsoft.com/office/drawing/2014/main" id="{913DB03E-3E04-4BE5-B0E8-E1EA1E45869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13840</xdr:col>
      <xdr:colOff>47625</xdr:colOff>
      <xdr:row>0</xdr:row>
      <xdr:rowOff>0</xdr:rowOff>
    </xdr:from>
    <xdr:ext cx="1200150" cy="571500"/>
    <xdr:pic>
      <xdr:nvPicPr>
        <xdr:cNvPr id="867" name="image1.png" title="Imagem">
          <a:extLst>
            <a:ext uri="{FF2B5EF4-FFF2-40B4-BE49-F238E27FC236}">
              <a16:creationId xmlns:a16="http://schemas.microsoft.com/office/drawing/2014/main" id="{6198E41B-F2B6-4125-87A0-AC2F776379B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13856</xdr:col>
      <xdr:colOff>47625</xdr:colOff>
      <xdr:row>0</xdr:row>
      <xdr:rowOff>0</xdr:rowOff>
    </xdr:from>
    <xdr:ext cx="1200150" cy="571500"/>
    <xdr:pic>
      <xdr:nvPicPr>
        <xdr:cNvPr id="868" name="image1.png" title="Imagem">
          <a:extLst>
            <a:ext uri="{FF2B5EF4-FFF2-40B4-BE49-F238E27FC236}">
              <a16:creationId xmlns:a16="http://schemas.microsoft.com/office/drawing/2014/main" id="{18843706-2ED2-4C8C-8A2B-84AFB34EE95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13872</xdr:col>
      <xdr:colOff>47625</xdr:colOff>
      <xdr:row>0</xdr:row>
      <xdr:rowOff>0</xdr:rowOff>
    </xdr:from>
    <xdr:ext cx="1200150" cy="571500"/>
    <xdr:pic>
      <xdr:nvPicPr>
        <xdr:cNvPr id="869" name="image1.png" title="Imagem">
          <a:extLst>
            <a:ext uri="{FF2B5EF4-FFF2-40B4-BE49-F238E27FC236}">
              <a16:creationId xmlns:a16="http://schemas.microsoft.com/office/drawing/2014/main" id="{CCDE72BE-86B8-4C5C-B288-C9B4947B9B1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13888</xdr:col>
      <xdr:colOff>47625</xdr:colOff>
      <xdr:row>0</xdr:row>
      <xdr:rowOff>0</xdr:rowOff>
    </xdr:from>
    <xdr:ext cx="1200150" cy="571500"/>
    <xdr:pic>
      <xdr:nvPicPr>
        <xdr:cNvPr id="870" name="image1.png" title="Imagem">
          <a:extLst>
            <a:ext uri="{FF2B5EF4-FFF2-40B4-BE49-F238E27FC236}">
              <a16:creationId xmlns:a16="http://schemas.microsoft.com/office/drawing/2014/main" id="{54BF4D40-5AF2-4FEE-9B45-167AA94ED72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13904</xdr:col>
      <xdr:colOff>47625</xdr:colOff>
      <xdr:row>0</xdr:row>
      <xdr:rowOff>0</xdr:rowOff>
    </xdr:from>
    <xdr:ext cx="1200150" cy="571500"/>
    <xdr:pic>
      <xdr:nvPicPr>
        <xdr:cNvPr id="871" name="image1.png" title="Imagem">
          <a:extLst>
            <a:ext uri="{FF2B5EF4-FFF2-40B4-BE49-F238E27FC236}">
              <a16:creationId xmlns:a16="http://schemas.microsoft.com/office/drawing/2014/main" id="{C05CA104-647B-4848-ACEE-38BCC6C87F6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13920</xdr:col>
      <xdr:colOff>47625</xdr:colOff>
      <xdr:row>0</xdr:row>
      <xdr:rowOff>0</xdr:rowOff>
    </xdr:from>
    <xdr:ext cx="1200150" cy="571500"/>
    <xdr:pic>
      <xdr:nvPicPr>
        <xdr:cNvPr id="872" name="image1.png" title="Imagem">
          <a:extLst>
            <a:ext uri="{FF2B5EF4-FFF2-40B4-BE49-F238E27FC236}">
              <a16:creationId xmlns:a16="http://schemas.microsoft.com/office/drawing/2014/main" id="{4E0B553B-9AE1-4C61-8789-C22C24B4585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13936</xdr:col>
      <xdr:colOff>47625</xdr:colOff>
      <xdr:row>0</xdr:row>
      <xdr:rowOff>0</xdr:rowOff>
    </xdr:from>
    <xdr:ext cx="1200150" cy="571500"/>
    <xdr:pic>
      <xdr:nvPicPr>
        <xdr:cNvPr id="873" name="image1.png" title="Imagem">
          <a:extLst>
            <a:ext uri="{FF2B5EF4-FFF2-40B4-BE49-F238E27FC236}">
              <a16:creationId xmlns:a16="http://schemas.microsoft.com/office/drawing/2014/main" id="{A3A9C280-669A-4692-98CE-C87CEE6185C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13952</xdr:col>
      <xdr:colOff>47625</xdr:colOff>
      <xdr:row>0</xdr:row>
      <xdr:rowOff>0</xdr:rowOff>
    </xdr:from>
    <xdr:ext cx="1200150" cy="571500"/>
    <xdr:pic>
      <xdr:nvPicPr>
        <xdr:cNvPr id="874" name="image1.png" title="Imagem">
          <a:extLst>
            <a:ext uri="{FF2B5EF4-FFF2-40B4-BE49-F238E27FC236}">
              <a16:creationId xmlns:a16="http://schemas.microsoft.com/office/drawing/2014/main" id="{164F349B-3DF7-4F53-AE0D-EACEA4CF8C7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13968</xdr:col>
      <xdr:colOff>47625</xdr:colOff>
      <xdr:row>0</xdr:row>
      <xdr:rowOff>0</xdr:rowOff>
    </xdr:from>
    <xdr:ext cx="1200150" cy="571500"/>
    <xdr:pic>
      <xdr:nvPicPr>
        <xdr:cNvPr id="875" name="image1.png" title="Imagem">
          <a:extLst>
            <a:ext uri="{FF2B5EF4-FFF2-40B4-BE49-F238E27FC236}">
              <a16:creationId xmlns:a16="http://schemas.microsoft.com/office/drawing/2014/main" id="{7FE2CF89-7107-4D6B-AFBB-819A2044FFD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13984</xdr:col>
      <xdr:colOff>47625</xdr:colOff>
      <xdr:row>0</xdr:row>
      <xdr:rowOff>0</xdr:rowOff>
    </xdr:from>
    <xdr:ext cx="1200150" cy="571500"/>
    <xdr:pic>
      <xdr:nvPicPr>
        <xdr:cNvPr id="876" name="image1.png" title="Imagem">
          <a:extLst>
            <a:ext uri="{FF2B5EF4-FFF2-40B4-BE49-F238E27FC236}">
              <a16:creationId xmlns:a16="http://schemas.microsoft.com/office/drawing/2014/main" id="{607CA774-6861-4A10-B515-974993AE402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14000</xdr:col>
      <xdr:colOff>47625</xdr:colOff>
      <xdr:row>0</xdr:row>
      <xdr:rowOff>0</xdr:rowOff>
    </xdr:from>
    <xdr:ext cx="1200150" cy="571500"/>
    <xdr:pic>
      <xdr:nvPicPr>
        <xdr:cNvPr id="877" name="image1.png" title="Imagem">
          <a:extLst>
            <a:ext uri="{FF2B5EF4-FFF2-40B4-BE49-F238E27FC236}">
              <a16:creationId xmlns:a16="http://schemas.microsoft.com/office/drawing/2014/main" id="{279F210E-C1FB-4CE5-BBCB-A7957DEA864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14016</xdr:col>
      <xdr:colOff>47625</xdr:colOff>
      <xdr:row>0</xdr:row>
      <xdr:rowOff>0</xdr:rowOff>
    </xdr:from>
    <xdr:ext cx="1200150" cy="571500"/>
    <xdr:pic>
      <xdr:nvPicPr>
        <xdr:cNvPr id="878" name="image1.png" title="Imagem">
          <a:extLst>
            <a:ext uri="{FF2B5EF4-FFF2-40B4-BE49-F238E27FC236}">
              <a16:creationId xmlns:a16="http://schemas.microsoft.com/office/drawing/2014/main" id="{5C5451F7-339E-4486-9551-42D51BCFD20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14032</xdr:col>
      <xdr:colOff>47625</xdr:colOff>
      <xdr:row>0</xdr:row>
      <xdr:rowOff>0</xdr:rowOff>
    </xdr:from>
    <xdr:ext cx="1200150" cy="571500"/>
    <xdr:pic>
      <xdr:nvPicPr>
        <xdr:cNvPr id="879" name="image1.png" title="Imagem">
          <a:extLst>
            <a:ext uri="{FF2B5EF4-FFF2-40B4-BE49-F238E27FC236}">
              <a16:creationId xmlns:a16="http://schemas.microsoft.com/office/drawing/2014/main" id="{62AA9468-02EB-4614-8EA2-0681E7221B6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14048</xdr:col>
      <xdr:colOff>47625</xdr:colOff>
      <xdr:row>0</xdr:row>
      <xdr:rowOff>0</xdr:rowOff>
    </xdr:from>
    <xdr:ext cx="1200150" cy="571500"/>
    <xdr:pic>
      <xdr:nvPicPr>
        <xdr:cNvPr id="880" name="image1.png" title="Imagem">
          <a:extLst>
            <a:ext uri="{FF2B5EF4-FFF2-40B4-BE49-F238E27FC236}">
              <a16:creationId xmlns:a16="http://schemas.microsoft.com/office/drawing/2014/main" id="{3EEDC602-A5CD-48EF-BC0C-AD22AF504C8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14064</xdr:col>
      <xdr:colOff>47625</xdr:colOff>
      <xdr:row>0</xdr:row>
      <xdr:rowOff>0</xdr:rowOff>
    </xdr:from>
    <xdr:ext cx="1200150" cy="571500"/>
    <xdr:pic>
      <xdr:nvPicPr>
        <xdr:cNvPr id="881" name="image1.png" title="Imagem">
          <a:extLst>
            <a:ext uri="{FF2B5EF4-FFF2-40B4-BE49-F238E27FC236}">
              <a16:creationId xmlns:a16="http://schemas.microsoft.com/office/drawing/2014/main" id="{2FDAC3BB-945A-4A33-A7F8-0DFE47EC921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14080</xdr:col>
      <xdr:colOff>47625</xdr:colOff>
      <xdr:row>0</xdr:row>
      <xdr:rowOff>0</xdr:rowOff>
    </xdr:from>
    <xdr:ext cx="1200150" cy="571500"/>
    <xdr:pic>
      <xdr:nvPicPr>
        <xdr:cNvPr id="882" name="image1.png" title="Imagem">
          <a:extLst>
            <a:ext uri="{FF2B5EF4-FFF2-40B4-BE49-F238E27FC236}">
              <a16:creationId xmlns:a16="http://schemas.microsoft.com/office/drawing/2014/main" id="{875C7237-2AB3-4A9F-8D06-F896254F70C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14096</xdr:col>
      <xdr:colOff>47625</xdr:colOff>
      <xdr:row>0</xdr:row>
      <xdr:rowOff>0</xdr:rowOff>
    </xdr:from>
    <xdr:ext cx="1200150" cy="571500"/>
    <xdr:pic>
      <xdr:nvPicPr>
        <xdr:cNvPr id="883" name="image1.png" title="Imagem">
          <a:extLst>
            <a:ext uri="{FF2B5EF4-FFF2-40B4-BE49-F238E27FC236}">
              <a16:creationId xmlns:a16="http://schemas.microsoft.com/office/drawing/2014/main" id="{08FBDC6D-140C-457A-AC1C-5F8DABD78E1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14112</xdr:col>
      <xdr:colOff>47625</xdr:colOff>
      <xdr:row>0</xdr:row>
      <xdr:rowOff>0</xdr:rowOff>
    </xdr:from>
    <xdr:ext cx="1200150" cy="571500"/>
    <xdr:pic>
      <xdr:nvPicPr>
        <xdr:cNvPr id="884" name="image1.png" title="Imagem">
          <a:extLst>
            <a:ext uri="{FF2B5EF4-FFF2-40B4-BE49-F238E27FC236}">
              <a16:creationId xmlns:a16="http://schemas.microsoft.com/office/drawing/2014/main" id="{530E7725-6F90-4B69-85C2-FA09936F2AB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14128</xdr:col>
      <xdr:colOff>47625</xdr:colOff>
      <xdr:row>0</xdr:row>
      <xdr:rowOff>0</xdr:rowOff>
    </xdr:from>
    <xdr:ext cx="1200150" cy="571500"/>
    <xdr:pic>
      <xdr:nvPicPr>
        <xdr:cNvPr id="885" name="image1.png" title="Imagem">
          <a:extLst>
            <a:ext uri="{FF2B5EF4-FFF2-40B4-BE49-F238E27FC236}">
              <a16:creationId xmlns:a16="http://schemas.microsoft.com/office/drawing/2014/main" id="{6F9776D5-2B8B-4595-8DEE-61E62B713B4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14144</xdr:col>
      <xdr:colOff>47625</xdr:colOff>
      <xdr:row>0</xdr:row>
      <xdr:rowOff>0</xdr:rowOff>
    </xdr:from>
    <xdr:ext cx="1200150" cy="571500"/>
    <xdr:pic>
      <xdr:nvPicPr>
        <xdr:cNvPr id="886" name="image1.png" title="Imagem">
          <a:extLst>
            <a:ext uri="{FF2B5EF4-FFF2-40B4-BE49-F238E27FC236}">
              <a16:creationId xmlns:a16="http://schemas.microsoft.com/office/drawing/2014/main" id="{27C17104-DB2A-4471-A865-C4E582D9027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14160</xdr:col>
      <xdr:colOff>47625</xdr:colOff>
      <xdr:row>0</xdr:row>
      <xdr:rowOff>0</xdr:rowOff>
    </xdr:from>
    <xdr:ext cx="1200150" cy="571500"/>
    <xdr:pic>
      <xdr:nvPicPr>
        <xdr:cNvPr id="887" name="image1.png" title="Imagem">
          <a:extLst>
            <a:ext uri="{FF2B5EF4-FFF2-40B4-BE49-F238E27FC236}">
              <a16:creationId xmlns:a16="http://schemas.microsoft.com/office/drawing/2014/main" id="{5B7AD2A8-49A4-4076-9E69-C66FBAF9A9F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14176</xdr:col>
      <xdr:colOff>47625</xdr:colOff>
      <xdr:row>0</xdr:row>
      <xdr:rowOff>0</xdr:rowOff>
    </xdr:from>
    <xdr:ext cx="1200150" cy="571500"/>
    <xdr:pic>
      <xdr:nvPicPr>
        <xdr:cNvPr id="888" name="image1.png" title="Imagem">
          <a:extLst>
            <a:ext uri="{FF2B5EF4-FFF2-40B4-BE49-F238E27FC236}">
              <a16:creationId xmlns:a16="http://schemas.microsoft.com/office/drawing/2014/main" id="{ACE7A23F-0CC7-4DD1-8F62-E3B398C6FEF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14192</xdr:col>
      <xdr:colOff>47625</xdr:colOff>
      <xdr:row>0</xdr:row>
      <xdr:rowOff>0</xdr:rowOff>
    </xdr:from>
    <xdr:ext cx="1200150" cy="571500"/>
    <xdr:pic>
      <xdr:nvPicPr>
        <xdr:cNvPr id="889" name="image1.png" title="Imagem">
          <a:extLst>
            <a:ext uri="{FF2B5EF4-FFF2-40B4-BE49-F238E27FC236}">
              <a16:creationId xmlns:a16="http://schemas.microsoft.com/office/drawing/2014/main" id="{46731B5B-DAC0-4A19-974B-283CAC0C2CE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14208</xdr:col>
      <xdr:colOff>47625</xdr:colOff>
      <xdr:row>0</xdr:row>
      <xdr:rowOff>0</xdr:rowOff>
    </xdr:from>
    <xdr:ext cx="1200150" cy="571500"/>
    <xdr:pic>
      <xdr:nvPicPr>
        <xdr:cNvPr id="890" name="image1.png" title="Imagem">
          <a:extLst>
            <a:ext uri="{FF2B5EF4-FFF2-40B4-BE49-F238E27FC236}">
              <a16:creationId xmlns:a16="http://schemas.microsoft.com/office/drawing/2014/main" id="{C3972080-F5A5-4CB4-8BA7-74783ADD2E8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14224</xdr:col>
      <xdr:colOff>47625</xdr:colOff>
      <xdr:row>0</xdr:row>
      <xdr:rowOff>0</xdr:rowOff>
    </xdr:from>
    <xdr:ext cx="1200150" cy="571500"/>
    <xdr:pic>
      <xdr:nvPicPr>
        <xdr:cNvPr id="891" name="image1.png" title="Imagem">
          <a:extLst>
            <a:ext uri="{FF2B5EF4-FFF2-40B4-BE49-F238E27FC236}">
              <a16:creationId xmlns:a16="http://schemas.microsoft.com/office/drawing/2014/main" id="{71A0A574-3E63-4F45-9ED2-B7E9DD21B7E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14240</xdr:col>
      <xdr:colOff>47625</xdr:colOff>
      <xdr:row>0</xdr:row>
      <xdr:rowOff>0</xdr:rowOff>
    </xdr:from>
    <xdr:ext cx="1200150" cy="571500"/>
    <xdr:pic>
      <xdr:nvPicPr>
        <xdr:cNvPr id="892" name="image1.png" title="Imagem">
          <a:extLst>
            <a:ext uri="{FF2B5EF4-FFF2-40B4-BE49-F238E27FC236}">
              <a16:creationId xmlns:a16="http://schemas.microsoft.com/office/drawing/2014/main" id="{F09F98F7-4B9B-44AA-B053-D28A10D003A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14256</xdr:col>
      <xdr:colOff>47625</xdr:colOff>
      <xdr:row>0</xdr:row>
      <xdr:rowOff>0</xdr:rowOff>
    </xdr:from>
    <xdr:ext cx="1200150" cy="571500"/>
    <xdr:pic>
      <xdr:nvPicPr>
        <xdr:cNvPr id="893" name="image1.png" title="Imagem">
          <a:extLst>
            <a:ext uri="{FF2B5EF4-FFF2-40B4-BE49-F238E27FC236}">
              <a16:creationId xmlns:a16="http://schemas.microsoft.com/office/drawing/2014/main" id="{7F3FB969-503C-4995-89CB-6E5791F2460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14272</xdr:col>
      <xdr:colOff>47625</xdr:colOff>
      <xdr:row>0</xdr:row>
      <xdr:rowOff>0</xdr:rowOff>
    </xdr:from>
    <xdr:ext cx="1200150" cy="571500"/>
    <xdr:pic>
      <xdr:nvPicPr>
        <xdr:cNvPr id="894" name="image1.png" title="Imagem">
          <a:extLst>
            <a:ext uri="{FF2B5EF4-FFF2-40B4-BE49-F238E27FC236}">
              <a16:creationId xmlns:a16="http://schemas.microsoft.com/office/drawing/2014/main" id="{E8E26A25-8D0A-47E5-9BD8-CF6E51DD289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14288</xdr:col>
      <xdr:colOff>47625</xdr:colOff>
      <xdr:row>0</xdr:row>
      <xdr:rowOff>0</xdr:rowOff>
    </xdr:from>
    <xdr:ext cx="1200150" cy="571500"/>
    <xdr:pic>
      <xdr:nvPicPr>
        <xdr:cNvPr id="895" name="image1.png" title="Imagem">
          <a:extLst>
            <a:ext uri="{FF2B5EF4-FFF2-40B4-BE49-F238E27FC236}">
              <a16:creationId xmlns:a16="http://schemas.microsoft.com/office/drawing/2014/main" id="{DE02BBCC-E2FF-4580-B69C-08812FF4A46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14304</xdr:col>
      <xdr:colOff>47625</xdr:colOff>
      <xdr:row>0</xdr:row>
      <xdr:rowOff>0</xdr:rowOff>
    </xdr:from>
    <xdr:ext cx="1200150" cy="571500"/>
    <xdr:pic>
      <xdr:nvPicPr>
        <xdr:cNvPr id="896" name="image1.png" title="Imagem">
          <a:extLst>
            <a:ext uri="{FF2B5EF4-FFF2-40B4-BE49-F238E27FC236}">
              <a16:creationId xmlns:a16="http://schemas.microsoft.com/office/drawing/2014/main" id="{49F64B86-6327-4F1C-90C3-4363AE557A1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14320</xdr:col>
      <xdr:colOff>47625</xdr:colOff>
      <xdr:row>0</xdr:row>
      <xdr:rowOff>0</xdr:rowOff>
    </xdr:from>
    <xdr:ext cx="1200150" cy="571500"/>
    <xdr:pic>
      <xdr:nvPicPr>
        <xdr:cNvPr id="897" name="image1.png" title="Imagem">
          <a:extLst>
            <a:ext uri="{FF2B5EF4-FFF2-40B4-BE49-F238E27FC236}">
              <a16:creationId xmlns:a16="http://schemas.microsoft.com/office/drawing/2014/main" id="{427FC32F-6877-44B4-A260-E8F0C24B3D3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14336</xdr:col>
      <xdr:colOff>47625</xdr:colOff>
      <xdr:row>0</xdr:row>
      <xdr:rowOff>0</xdr:rowOff>
    </xdr:from>
    <xdr:ext cx="1200150" cy="571500"/>
    <xdr:pic>
      <xdr:nvPicPr>
        <xdr:cNvPr id="898" name="image1.png" title="Imagem">
          <a:extLst>
            <a:ext uri="{FF2B5EF4-FFF2-40B4-BE49-F238E27FC236}">
              <a16:creationId xmlns:a16="http://schemas.microsoft.com/office/drawing/2014/main" id="{FAFFA5EF-896A-49EA-80E0-216A6FAB99B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14352</xdr:col>
      <xdr:colOff>47625</xdr:colOff>
      <xdr:row>0</xdr:row>
      <xdr:rowOff>0</xdr:rowOff>
    </xdr:from>
    <xdr:ext cx="1200150" cy="571500"/>
    <xdr:pic>
      <xdr:nvPicPr>
        <xdr:cNvPr id="899" name="image1.png" title="Imagem">
          <a:extLst>
            <a:ext uri="{FF2B5EF4-FFF2-40B4-BE49-F238E27FC236}">
              <a16:creationId xmlns:a16="http://schemas.microsoft.com/office/drawing/2014/main" id="{138E14DE-2499-4494-A0C1-88EE7F6C883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14368</xdr:col>
      <xdr:colOff>47625</xdr:colOff>
      <xdr:row>0</xdr:row>
      <xdr:rowOff>0</xdr:rowOff>
    </xdr:from>
    <xdr:ext cx="1200150" cy="571500"/>
    <xdr:pic>
      <xdr:nvPicPr>
        <xdr:cNvPr id="900" name="image1.png" title="Imagem">
          <a:extLst>
            <a:ext uri="{FF2B5EF4-FFF2-40B4-BE49-F238E27FC236}">
              <a16:creationId xmlns:a16="http://schemas.microsoft.com/office/drawing/2014/main" id="{B2877524-DD84-4B3A-B455-D7EA514FC64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14384</xdr:col>
      <xdr:colOff>47625</xdr:colOff>
      <xdr:row>0</xdr:row>
      <xdr:rowOff>0</xdr:rowOff>
    </xdr:from>
    <xdr:ext cx="1200150" cy="571500"/>
    <xdr:pic>
      <xdr:nvPicPr>
        <xdr:cNvPr id="901" name="image1.png" title="Imagem">
          <a:extLst>
            <a:ext uri="{FF2B5EF4-FFF2-40B4-BE49-F238E27FC236}">
              <a16:creationId xmlns:a16="http://schemas.microsoft.com/office/drawing/2014/main" id="{B774E1D4-6C2A-4FB2-AB3F-EA2D95EE551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14400</xdr:col>
      <xdr:colOff>47625</xdr:colOff>
      <xdr:row>0</xdr:row>
      <xdr:rowOff>0</xdr:rowOff>
    </xdr:from>
    <xdr:ext cx="1200150" cy="571500"/>
    <xdr:pic>
      <xdr:nvPicPr>
        <xdr:cNvPr id="902" name="image1.png" title="Imagem">
          <a:extLst>
            <a:ext uri="{FF2B5EF4-FFF2-40B4-BE49-F238E27FC236}">
              <a16:creationId xmlns:a16="http://schemas.microsoft.com/office/drawing/2014/main" id="{5A820824-F364-44D1-B67B-2D0BF6079FE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14416</xdr:col>
      <xdr:colOff>47625</xdr:colOff>
      <xdr:row>0</xdr:row>
      <xdr:rowOff>0</xdr:rowOff>
    </xdr:from>
    <xdr:ext cx="1200150" cy="571500"/>
    <xdr:pic>
      <xdr:nvPicPr>
        <xdr:cNvPr id="903" name="image1.png" title="Imagem">
          <a:extLst>
            <a:ext uri="{FF2B5EF4-FFF2-40B4-BE49-F238E27FC236}">
              <a16:creationId xmlns:a16="http://schemas.microsoft.com/office/drawing/2014/main" id="{2230E880-A95E-4184-9072-CECB407AD56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14432</xdr:col>
      <xdr:colOff>47625</xdr:colOff>
      <xdr:row>0</xdr:row>
      <xdr:rowOff>0</xdr:rowOff>
    </xdr:from>
    <xdr:ext cx="1200150" cy="571500"/>
    <xdr:pic>
      <xdr:nvPicPr>
        <xdr:cNvPr id="904" name="image1.png" title="Imagem">
          <a:extLst>
            <a:ext uri="{FF2B5EF4-FFF2-40B4-BE49-F238E27FC236}">
              <a16:creationId xmlns:a16="http://schemas.microsoft.com/office/drawing/2014/main" id="{50307DCF-E90A-4FF3-8EE2-A563C2AF0AF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14448</xdr:col>
      <xdr:colOff>47625</xdr:colOff>
      <xdr:row>0</xdr:row>
      <xdr:rowOff>0</xdr:rowOff>
    </xdr:from>
    <xdr:ext cx="1200150" cy="571500"/>
    <xdr:pic>
      <xdr:nvPicPr>
        <xdr:cNvPr id="905" name="image1.png" title="Imagem">
          <a:extLst>
            <a:ext uri="{FF2B5EF4-FFF2-40B4-BE49-F238E27FC236}">
              <a16:creationId xmlns:a16="http://schemas.microsoft.com/office/drawing/2014/main" id="{028DEDED-19A6-4567-8E48-899DA134105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14464</xdr:col>
      <xdr:colOff>47625</xdr:colOff>
      <xdr:row>0</xdr:row>
      <xdr:rowOff>0</xdr:rowOff>
    </xdr:from>
    <xdr:ext cx="1200150" cy="571500"/>
    <xdr:pic>
      <xdr:nvPicPr>
        <xdr:cNvPr id="906" name="image1.png" title="Imagem">
          <a:extLst>
            <a:ext uri="{FF2B5EF4-FFF2-40B4-BE49-F238E27FC236}">
              <a16:creationId xmlns:a16="http://schemas.microsoft.com/office/drawing/2014/main" id="{177B48D3-B624-4402-9EA0-49756DE6BFC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14480</xdr:col>
      <xdr:colOff>47625</xdr:colOff>
      <xdr:row>0</xdr:row>
      <xdr:rowOff>0</xdr:rowOff>
    </xdr:from>
    <xdr:ext cx="1200150" cy="571500"/>
    <xdr:pic>
      <xdr:nvPicPr>
        <xdr:cNvPr id="907" name="image1.png" title="Imagem">
          <a:extLst>
            <a:ext uri="{FF2B5EF4-FFF2-40B4-BE49-F238E27FC236}">
              <a16:creationId xmlns:a16="http://schemas.microsoft.com/office/drawing/2014/main" id="{4BB7DC89-AA2E-4115-93A7-02EA0FB1F6A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14496</xdr:col>
      <xdr:colOff>47625</xdr:colOff>
      <xdr:row>0</xdr:row>
      <xdr:rowOff>0</xdr:rowOff>
    </xdr:from>
    <xdr:ext cx="1200150" cy="571500"/>
    <xdr:pic>
      <xdr:nvPicPr>
        <xdr:cNvPr id="908" name="image1.png" title="Imagem">
          <a:extLst>
            <a:ext uri="{FF2B5EF4-FFF2-40B4-BE49-F238E27FC236}">
              <a16:creationId xmlns:a16="http://schemas.microsoft.com/office/drawing/2014/main" id="{D3102B0D-A7C5-4186-939B-AA7B730784A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14512</xdr:col>
      <xdr:colOff>47625</xdr:colOff>
      <xdr:row>0</xdr:row>
      <xdr:rowOff>0</xdr:rowOff>
    </xdr:from>
    <xdr:ext cx="1200150" cy="571500"/>
    <xdr:pic>
      <xdr:nvPicPr>
        <xdr:cNvPr id="909" name="image1.png" title="Imagem">
          <a:extLst>
            <a:ext uri="{FF2B5EF4-FFF2-40B4-BE49-F238E27FC236}">
              <a16:creationId xmlns:a16="http://schemas.microsoft.com/office/drawing/2014/main" id="{8905F7A3-76D6-4EBD-B95E-FBE08A1A50D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14528</xdr:col>
      <xdr:colOff>47625</xdr:colOff>
      <xdr:row>0</xdr:row>
      <xdr:rowOff>0</xdr:rowOff>
    </xdr:from>
    <xdr:ext cx="1200150" cy="571500"/>
    <xdr:pic>
      <xdr:nvPicPr>
        <xdr:cNvPr id="910" name="image1.png" title="Imagem">
          <a:extLst>
            <a:ext uri="{FF2B5EF4-FFF2-40B4-BE49-F238E27FC236}">
              <a16:creationId xmlns:a16="http://schemas.microsoft.com/office/drawing/2014/main" id="{12F2F0DA-E67C-47F6-A00E-49E82FA4946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14544</xdr:col>
      <xdr:colOff>47625</xdr:colOff>
      <xdr:row>0</xdr:row>
      <xdr:rowOff>0</xdr:rowOff>
    </xdr:from>
    <xdr:ext cx="1200150" cy="571500"/>
    <xdr:pic>
      <xdr:nvPicPr>
        <xdr:cNvPr id="911" name="image1.png" title="Imagem">
          <a:extLst>
            <a:ext uri="{FF2B5EF4-FFF2-40B4-BE49-F238E27FC236}">
              <a16:creationId xmlns:a16="http://schemas.microsoft.com/office/drawing/2014/main" id="{D698FE84-CB29-49A2-973E-2469E88130D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14560</xdr:col>
      <xdr:colOff>47625</xdr:colOff>
      <xdr:row>0</xdr:row>
      <xdr:rowOff>0</xdr:rowOff>
    </xdr:from>
    <xdr:ext cx="1200150" cy="571500"/>
    <xdr:pic>
      <xdr:nvPicPr>
        <xdr:cNvPr id="912" name="image1.png" title="Imagem">
          <a:extLst>
            <a:ext uri="{FF2B5EF4-FFF2-40B4-BE49-F238E27FC236}">
              <a16:creationId xmlns:a16="http://schemas.microsoft.com/office/drawing/2014/main" id="{3A7F6EA7-28B7-4151-B12E-4F2DA401D82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14576</xdr:col>
      <xdr:colOff>47625</xdr:colOff>
      <xdr:row>0</xdr:row>
      <xdr:rowOff>0</xdr:rowOff>
    </xdr:from>
    <xdr:ext cx="1200150" cy="571500"/>
    <xdr:pic>
      <xdr:nvPicPr>
        <xdr:cNvPr id="913" name="image1.png" title="Imagem">
          <a:extLst>
            <a:ext uri="{FF2B5EF4-FFF2-40B4-BE49-F238E27FC236}">
              <a16:creationId xmlns:a16="http://schemas.microsoft.com/office/drawing/2014/main" id="{64FFE333-7EBB-4204-8664-26DD86A8787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14592</xdr:col>
      <xdr:colOff>47625</xdr:colOff>
      <xdr:row>0</xdr:row>
      <xdr:rowOff>0</xdr:rowOff>
    </xdr:from>
    <xdr:ext cx="1200150" cy="571500"/>
    <xdr:pic>
      <xdr:nvPicPr>
        <xdr:cNvPr id="914" name="image1.png" title="Imagem">
          <a:extLst>
            <a:ext uri="{FF2B5EF4-FFF2-40B4-BE49-F238E27FC236}">
              <a16:creationId xmlns:a16="http://schemas.microsoft.com/office/drawing/2014/main" id="{14A5E87C-963C-4C8E-AB96-507386092FE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14608</xdr:col>
      <xdr:colOff>47625</xdr:colOff>
      <xdr:row>0</xdr:row>
      <xdr:rowOff>0</xdr:rowOff>
    </xdr:from>
    <xdr:ext cx="1200150" cy="571500"/>
    <xdr:pic>
      <xdr:nvPicPr>
        <xdr:cNvPr id="915" name="image1.png" title="Imagem">
          <a:extLst>
            <a:ext uri="{FF2B5EF4-FFF2-40B4-BE49-F238E27FC236}">
              <a16:creationId xmlns:a16="http://schemas.microsoft.com/office/drawing/2014/main" id="{6B9A1D63-0000-4026-98DE-95D58E0CFB8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14624</xdr:col>
      <xdr:colOff>47625</xdr:colOff>
      <xdr:row>0</xdr:row>
      <xdr:rowOff>0</xdr:rowOff>
    </xdr:from>
    <xdr:ext cx="1200150" cy="571500"/>
    <xdr:pic>
      <xdr:nvPicPr>
        <xdr:cNvPr id="916" name="image1.png" title="Imagem">
          <a:extLst>
            <a:ext uri="{FF2B5EF4-FFF2-40B4-BE49-F238E27FC236}">
              <a16:creationId xmlns:a16="http://schemas.microsoft.com/office/drawing/2014/main" id="{A2103014-64E2-48A7-997F-BD4B74181B7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14640</xdr:col>
      <xdr:colOff>47625</xdr:colOff>
      <xdr:row>0</xdr:row>
      <xdr:rowOff>0</xdr:rowOff>
    </xdr:from>
    <xdr:ext cx="1200150" cy="571500"/>
    <xdr:pic>
      <xdr:nvPicPr>
        <xdr:cNvPr id="917" name="image1.png" title="Imagem">
          <a:extLst>
            <a:ext uri="{FF2B5EF4-FFF2-40B4-BE49-F238E27FC236}">
              <a16:creationId xmlns:a16="http://schemas.microsoft.com/office/drawing/2014/main" id="{797F9169-57CF-4EE3-97DC-9BED074EBBB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14656</xdr:col>
      <xdr:colOff>47625</xdr:colOff>
      <xdr:row>0</xdr:row>
      <xdr:rowOff>0</xdr:rowOff>
    </xdr:from>
    <xdr:ext cx="1200150" cy="571500"/>
    <xdr:pic>
      <xdr:nvPicPr>
        <xdr:cNvPr id="918" name="image1.png" title="Imagem">
          <a:extLst>
            <a:ext uri="{FF2B5EF4-FFF2-40B4-BE49-F238E27FC236}">
              <a16:creationId xmlns:a16="http://schemas.microsoft.com/office/drawing/2014/main" id="{8F5B0C44-8E13-4C62-B21E-CC88942F9F6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14672</xdr:col>
      <xdr:colOff>47625</xdr:colOff>
      <xdr:row>0</xdr:row>
      <xdr:rowOff>0</xdr:rowOff>
    </xdr:from>
    <xdr:ext cx="1200150" cy="571500"/>
    <xdr:pic>
      <xdr:nvPicPr>
        <xdr:cNvPr id="919" name="image1.png" title="Imagem">
          <a:extLst>
            <a:ext uri="{FF2B5EF4-FFF2-40B4-BE49-F238E27FC236}">
              <a16:creationId xmlns:a16="http://schemas.microsoft.com/office/drawing/2014/main" id="{4CDDC6E7-0D06-4BB8-AD6A-4510CE82D28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14688</xdr:col>
      <xdr:colOff>47625</xdr:colOff>
      <xdr:row>0</xdr:row>
      <xdr:rowOff>0</xdr:rowOff>
    </xdr:from>
    <xdr:ext cx="1200150" cy="571500"/>
    <xdr:pic>
      <xdr:nvPicPr>
        <xdr:cNvPr id="920" name="image1.png" title="Imagem">
          <a:extLst>
            <a:ext uri="{FF2B5EF4-FFF2-40B4-BE49-F238E27FC236}">
              <a16:creationId xmlns:a16="http://schemas.microsoft.com/office/drawing/2014/main" id="{47901490-D0BE-4370-B34A-A483C463BB8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14704</xdr:col>
      <xdr:colOff>47625</xdr:colOff>
      <xdr:row>0</xdr:row>
      <xdr:rowOff>0</xdr:rowOff>
    </xdr:from>
    <xdr:ext cx="1200150" cy="571500"/>
    <xdr:pic>
      <xdr:nvPicPr>
        <xdr:cNvPr id="921" name="image1.png" title="Imagem">
          <a:extLst>
            <a:ext uri="{FF2B5EF4-FFF2-40B4-BE49-F238E27FC236}">
              <a16:creationId xmlns:a16="http://schemas.microsoft.com/office/drawing/2014/main" id="{568CE87B-38EB-47A5-ABFA-CF0A37CACBF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14720</xdr:col>
      <xdr:colOff>47625</xdr:colOff>
      <xdr:row>0</xdr:row>
      <xdr:rowOff>0</xdr:rowOff>
    </xdr:from>
    <xdr:ext cx="1200150" cy="571500"/>
    <xdr:pic>
      <xdr:nvPicPr>
        <xdr:cNvPr id="922" name="image1.png" title="Imagem">
          <a:extLst>
            <a:ext uri="{FF2B5EF4-FFF2-40B4-BE49-F238E27FC236}">
              <a16:creationId xmlns:a16="http://schemas.microsoft.com/office/drawing/2014/main" id="{C62A7216-12E8-42EA-A7F5-B141B2AD749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14736</xdr:col>
      <xdr:colOff>47625</xdr:colOff>
      <xdr:row>0</xdr:row>
      <xdr:rowOff>0</xdr:rowOff>
    </xdr:from>
    <xdr:ext cx="1200150" cy="571500"/>
    <xdr:pic>
      <xdr:nvPicPr>
        <xdr:cNvPr id="923" name="image1.png" title="Imagem">
          <a:extLst>
            <a:ext uri="{FF2B5EF4-FFF2-40B4-BE49-F238E27FC236}">
              <a16:creationId xmlns:a16="http://schemas.microsoft.com/office/drawing/2014/main" id="{65C9DF8A-4CBC-41B9-8110-696DE1E6D0D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14752</xdr:col>
      <xdr:colOff>47625</xdr:colOff>
      <xdr:row>0</xdr:row>
      <xdr:rowOff>0</xdr:rowOff>
    </xdr:from>
    <xdr:ext cx="1200150" cy="571500"/>
    <xdr:pic>
      <xdr:nvPicPr>
        <xdr:cNvPr id="924" name="image1.png" title="Imagem">
          <a:extLst>
            <a:ext uri="{FF2B5EF4-FFF2-40B4-BE49-F238E27FC236}">
              <a16:creationId xmlns:a16="http://schemas.microsoft.com/office/drawing/2014/main" id="{E0A83C17-B268-4850-A722-F5E8FC9C4A8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14768</xdr:col>
      <xdr:colOff>47625</xdr:colOff>
      <xdr:row>0</xdr:row>
      <xdr:rowOff>0</xdr:rowOff>
    </xdr:from>
    <xdr:ext cx="1200150" cy="571500"/>
    <xdr:pic>
      <xdr:nvPicPr>
        <xdr:cNvPr id="925" name="image1.png" title="Imagem">
          <a:extLst>
            <a:ext uri="{FF2B5EF4-FFF2-40B4-BE49-F238E27FC236}">
              <a16:creationId xmlns:a16="http://schemas.microsoft.com/office/drawing/2014/main" id="{0B22D493-30AA-486E-BC51-A1B5C02BD2F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14784</xdr:col>
      <xdr:colOff>47625</xdr:colOff>
      <xdr:row>0</xdr:row>
      <xdr:rowOff>0</xdr:rowOff>
    </xdr:from>
    <xdr:ext cx="1200150" cy="571500"/>
    <xdr:pic>
      <xdr:nvPicPr>
        <xdr:cNvPr id="926" name="image1.png" title="Imagem">
          <a:extLst>
            <a:ext uri="{FF2B5EF4-FFF2-40B4-BE49-F238E27FC236}">
              <a16:creationId xmlns:a16="http://schemas.microsoft.com/office/drawing/2014/main" id="{C08F6243-A583-4875-B47A-826D21C8210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14800</xdr:col>
      <xdr:colOff>47625</xdr:colOff>
      <xdr:row>0</xdr:row>
      <xdr:rowOff>0</xdr:rowOff>
    </xdr:from>
    <xdr:ext cx="1200150" cy="571500"/>
    <xdr:pic>
      <xdr:nvPicPr>
        <xdr:cNvPr id="927" name="image1.png" title="Imagem">
          <a:extLst>
            <a:ext uri="{FF2B5EF4-FFF2-40B4-BE49-F238E27FC236}">
              <a16:creationId xmlns:a16="http://schemas.microsoft.com/office/drawing/2014/main" id="{797BE55F-6CDA-48EB-A1C8-D617EDA595A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14816</xdr:col>
      <xdr:colOff>47625</xdr:colOff>
      <xdr:row>0</xdr:row>
      <xdr:rowOff>0</xdr:rowOff>
    </xdr:from>
    <xdr:ext cx="1200150" cy="571500"/>
    <xdr:pic>
      <xdr:nvPicPr>
        <xdr:cNvPr id="928" name="image1.png" title="Imagem">
          <a:extLst>
            <a:ext uri="{FF2B5EF4-FFF2-40B4-BE49-F238E27FC236}">
              <a16:creationId xmlns:a16="http://schemas.microsoft.com/office/drawing/2014/main" id="{5431795F-331B-403B-8F06-BB9647EEF0F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14832</xdr:col>
      <xdr:colOff>47625</xdr:colOff>
      <xdr:row>0</xdr:row>
      <xdr:rowOff>0</xdr:rowOff>
    </xdr:from>
    <xdr:ext cx="1200150" cy="571500"/>
    <xdr:pic>
      <xdr:nvPicPr>
        <xdr:cNvPr id="929" name="image1.png" title="Imagem">
          <a:extLst>
            <a:ext uri="{FF2B5EF4-FFF2-40B4-BE49-F238E27FC236}">
              <a16:creationId xmlns:a16="http://schemas.microsoft.com/office/drawing/2014/main" id="{3FB46EFC-E8B6-4F8A-912C-17F2272D2E0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14848</xdr:col>
      <xdr:colOff>47625</xdr:colOff>
      <xdr:row>0</xdr:row>
      <xdr:rowOff>0</xdr:rowOff>
    </xdr:from>
    <xdr:ext cx="1200150" cy="571500"/>
    <xdr:pic>
      <xdr:nvPicPr>
        <xdr:cNvPr id="930" name="image1.png" title="Imagem">
          <a:extLst>
            <a:ext uri="{FF2B5EF4-FFF2-40B4-BE49-F238E27FC236}">
              <a16:creationId xmlns:a16="http://schemas.microsoft.com/office/drawing/2014/main" id="{81D9A01F-98EE-40EB-B028-FECE21BAFA6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14864</xdr:col>
      <xdr:colOff>47625</xdr:colOff>
      <xdr:row>0</xdr:row>
      <xdr:rowOff>0</xdr:rowOff>
    </xdr:from>
    <xdr:ext cx="1200150" cy="571500"/>
    <xdr:pic>
      <xdr:nvPicPr>
        <xdr:cNvPr id="931" name="image1.png" title="Imagem">
          <a:extLst>
            <a:ext uri="{FF2B5EF4-FFF2-40B4-BE49-F238E27FC236}">
              <a16:creationId xmlns:a16="http://schemas.microsoft.com/office/drawing/2014/main" id="{73A307D8-3ADE-4A15-B60D-0239155BFE3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14880</xdr:col>
      <xdr:colOff>47625</xdr:colOff>
      <xdr:row>0</xdr:row>
      <xdr:rowOff>0</xdr:rowOff>
    </xdr:from>
    <xdr:ext cx="1200150" cy="571500"/>
    <xdr:pic>
      <xdr:nvPicPr>
        <xdr:cNvPr id="932" name="image1.png" title="Imagem">
          <a:extLst>
            <a:ext uri="{FF2B5EF4-FFF2-40B4-BE49-F238E27FC236}">
              <a16:creationId xmlns:a16="http://schemas.microsoft.com/office/drawing/2014/main" id="{E211FB18-8D10-4870-A48F-A2F37EC2B05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14896</xdr:col>
      <xdr:colOff>47625</xdr:colOff>
      <xdr:row>0</xdr:row>
      <xdr:rowOff>0</xdr:rowOff>
    </xdr:from>
    <xdr:ext cx="1200150" cy="571500"/>
    <xdr:pic>
      <xdr:nvPicPr>
        <xdr:cNvPr id="933" name="image1.png" title="Imagem">
          <a:extLst>
            <a:ext uri="{FF2B5EF4-FFF2-40B4-BE49-F238E27FC236}">
              <a16:creationId xmlns:a16="http://schemas.microsoft.com/office/drawing/2014/main" id="{F6E5CFB8-5D3B-46E7-8C4F-300A6CCA7A9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14912</xdr:col>
      <xdr:colOff>47625</xdr:colOff>
      <xdr:row>0</xdr:row>
      <xdr:rowOff>0</xdr:rowOff>
    </xdr:from>
    <xdr:ext cx="1200150" cy="571500"/>
    <xdr:pic>
      <xdr:nvPicPr>
        <xdr:cNvPr id="934" name="image1.png" title="Imagem">
          <a:extLst>
            <a:ext uri="{FF2B5EF4-FFF2-40B4-BE49-F238E27FC236}">
              <a16:creationId xmlns:a16="http://schemas.microsoft.com/office/drawing/2014/main" id="{CF2FB186-F731-4744-86E9-A9FF8996CCD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14928</xdr:col>
      <xdr:colOff>47625</xdr:colOff>
      <xdr:row>0</xdr:row>
      <xdr:rowOff>0</xdr:rowOff>
    </xdr:from>
    <xdr:ext cx="1200150" cy="571500"/>
    <xdr:pic>
      <xdr:nvPicPr>
        <xdr:cNvPr id="935" name="image1.png" title="Imagem">
          <a:extLst>
            <a:ext uri="{FF2B5EF4-FFF2-40B4-BE49-F238E27FC236}">
              <a16:creationId xmlns:a16="http://schemas.microsoft.com/office/drawing/2014/main" id="{286CCA0F-5C77-405C-9C26-432E6AB5A08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14944</xdr:col>
      <xdr:colOff>47625</xdr:colOff>
      <xdr:row>0</xdr:row>
      <xdr:rowOff>0</xdr:rowOff>
    </xdr:from>
    <xdr:ext cx="1200150" cy="571500"/>
    <xdr:pic>
      <xdr:nvPicPr>
        <xdr:cNvPr id="936" name="image1.png" title="Imagem">
          <a:extLst>
            <a:ext uri="{FF2B5EF4-FFF2-40B4-BE49-F238E27FC236}">
              <a16:creationId xmlns:a16="http://schemas.microsoft.com/office/drawing/2014/main" id="{8C299989-2C9E-4799-AD9D-9852B8994D8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14960</xdr:col>
      <xdr:colOff>47625</xdr:colOff>
      <xdr:row>0</xdr:row>
      <xdr:rowOff>0</xdr:rowOff>
    </xdr:from>
    <xdr:ext cx="1200150" cy="571500"/>
    <xdr:pic>
      <xdr:nvPicPr>
        <xdr:cNvPr id="937" name="image1.png" title="Imagem">
          <a:extLst>
            <a:ext uri="{FF2B5EF4-FFF2-40B4-BE49-F238E27FC236}">
              <a16:creationId xmlns:a16="http://schemas.microsoft.com/office/drawing/2014/main" id="{4FDC993C-C4E8-4B54-BA5E-944C258748A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14976</xdr:col>
      <xdr:colOff>47625</xdr:colOff>
      <xdr:row>0</xdr:row>
      <xdr:rowOff>0</xdr:rowOff>
    </xdr:from>
    <xdr:ext cx="1200150" cy="571500"/>
    <xdr:pic>
      <xdr:nvPicPr>
        <xdr:cNvPr id="938" name="image1.png" title="Imagem">
          <a:extLst>
            <a:ext uri="{FF2B5EF4-FFF2-40B4-BE49-F238E27FC236}">
              <a16:creationId xmlns:a16="http://schemas.microsoft.com/office/drawing/2014/main" id="{34ADAA53-4214-4C59-9C52-04416A36E48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14992</xdr:col>
      <xdr:colOff>47625</xdr:colOff>
      <xdr:row>0</xdr:row>
      <xdr:rowOff>0</xdr:rowOff>
    </xdr:from>
    <xdr:ext cx="1200150" cy="571500"/>
    <xdr:pic>
      <xdr:nvPicPr>
        <xdr:cNvPr id="939" name="image1.png" title="Imagem">
          <a:extLst>
            <a:ext uri="{FF2B5EF4-FFF2-40B4-BE49-F238E27FC236}">
              <a16:creationId xmlns:a16="http://schemas.microsoft.com/office/drawing/2014/main" id="{BC1874B1-F431-41AC-BA0F-033B8CCE376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15008</xdr:col>
      <xdr:colOff>47625</xdr:colOff>
      <xdr:row>0</xdr:row>
      <xdr:rowOff>0</xdr:rowOff>
    </xdr:from>
    <xdr:ext cx="1200150" cy="571500"/>
    <xdr:pic>
      <xdr:nvPicPr>
        <xdr:cNvPr id="940" name="image1.png" title="Imagem">
          <a:extLst>
            <a:ext uri="{FF2B5EF4-FFF2-40B4-BE49-F238E27FC236}">
              <a16:creationId xmlns:a16="http://schemas.microsoft.com/office/drawing/2014/main" id="{5C83C912-8293-4498-8335-365E05A53A3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15024</xdr:col>
      <xdr:colOff>47625</xdr:colOff>
      <xdr:row>0</xdr:row>
      <xdr:rowOff>0</xdr:rowOff>
    </xdr:from>
    <xdr:ext cx="1200150" cy="571500"/>
    <xdr:pic>
      <xdr:nvPicPr>
        <xdr:cNvPr id="941" name="image1.png" title="Imagem">
          <a:extLst>
            <a:ext uri="{FF2B5EF4-FFF2-40B4-BE49-F238E27FC236}">
              <a16:creationId xmlns:a16="http://schemas.microsoft.com/office/drawing/2014/main" id="{37E8EBA2-B4D9-4E1C-8168-CEF0AB723C9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15040</xdr:col>
      <xdr:colOff>47625</xdr:colOff>
      <xdr:row>0</xdr:row>
      <xdr:rowOff>0</xdr:rowOff>
    </xdr:from>
    <xdr:ext cx="1200150" cy="571500"/>
    <xdr:pic>
      <xdr:nvPicPr>
        <xdr:cNvPr id="942" name="image1.png" title="Imagem">
          <a:extLst>
            <a:ext uri="{FF2B5EF4-FFF2-40B4-BE49-F238E27FC236}">
              <a16:creationId xmlns:a16="http://schemas.microsoft.com/office/drawing/2014/main" id="{DD5512A8-2F8D-4B79-A452-85344B11617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15056</xdr:col>
      <xdr:colOff>47625</xdr:colOff>
      <xdr:row>0</xdr:row>
      <xdr:rowOff>0</xdr:rowOff>
    </xdr:from>
    <xdr:ext cx="1200150" cy="571500"/>
    <xdr:pic>
      <xdr:nvPicPr>
        <xdr:cNvPr id="943" name="image1.png" title="Imagem">
          <a:extLst>
            <a:ext uri="{FF2B5EF4-FFF2-40B4-BE49-F238E27FC236}">
              <a16:creationId xmlns:a16="http://schemas.microsoft.com/office/drawing/2014/main" id="{FAF8C0EE-945C-438F-BA8F-50E1B2A88AE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15072</xdr:col>
      <xdr:colOff>47625</xdr:colOff>
      <xdr:row>0</xdr:row>
      <xdr:rowOff>0</xdr:rowOff>
    </xdr:from>
    <xdr:ext cx="1200150" cy="571500"/>
    <xdr:pic>
      <xdr:nvPicPr>
        <xdr:cNvPr id="944" name="image1.png" title="Imagem">
          <a:extLst>
            <a:ext uri="{FF2B5EF4-FFF2-40B4-BE49-F238E27FC236}">
              <a16:creationId xmlns:a16="http://schemas.microsoft.com/office/drawing/2014/main" id="{91B2FCCD-6B91-4296-8BA0-51E76723447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15088</xdr:col>
      <xdr:colOff>47625</xdr:colOff>
      <xdr:row>0</xdr:row>
      <xdr:rowOff>0</xdr:rowOff>
    </xdr:from>
    <xdr:ext cx="1200150" cy="571500"/>
    <xdr:pic>
      <xdr:nvPicPr>
        <xdr:cNvPr id="945" name="image1.png" title="Imagem">
          <a:extLst>
            <a:ext uri="{FF2B5EF4-FFF2-40B4-BE49-F238E27FC236}">
              <a16:creationId xmlns:a16="http://schemas.microsoft.com/office/drawing/2014/main" id="{E3306328-ADEE-440A-A780-6F136EB07D0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15104</xdr:col>
      <xdr:colOff>47625</xdr:colOff>
      <xdr:row>0</xdr:row>
      <xdr:rowOff>0</xdr:rowOff>
    </xdr:from>
    <xdr:ext cx="1200150" cy="571500"/>
    <xdr:pic>
      <xdr:nvPicPr>
        <xdr:cNvPr id="946" name="image1.png" title="Imagem">
          <a:extLst>
            <a:ext uri="{FF2B5EF4-FFF2-40B4-BE49-F238E27FC236}">
              <a16:creationId xmlns:a16="http://schemas.microsoft.com/office/drawing/2014/main" id="{D7953A96-720C-41B3-9A27-CE79A303371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15120</xdr:col>
      <xdr:colOff>47625</xdr:colOff>
      <xdr:row>0</xdr:row>
      <xdr:rowOff>0</xdr:rowOff>
    </xdr:from>
    <xdr:ext cx="1200150" cy="571500"/>
    <xdr:pic>
      <xdr:nvPicPr>
        <xdr:cNvPr id="947" name="image1.png" title="Imagem">
          <a:extLst>
            <a:ext uri="{FF2B5EF4-FFF2-40B4-BE49-F238E27FC236}">
              <a16:creationId xmlns:a16="http://schemas.microsoft.com/office/drawing/2014/main" id="{48844192-E7C5-4537-A63A-14FD4D1AEE2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15136</xdr:col>
      <xdr:colOff>47625</xdr:colOff>
      <xdr:row>0</xdr:row>
      <xdr:rowOff>0</xdr:rowOff>
    </xdr:from>
    <xdr:ext cx="1200150" cy="571500"/>
    <xdr:pic>
      <xdr:nvPicPr>
        <xdr:cNvPr id="948" name="image1.png" title="Imagem">
          <a:extLst>
            <a:ext uri="{FF2B5EF4-FFF2-40B4-BE49-F238E27FC236}">
              <a16:creationId xmlns:a16="http://schemas.microsoft.com/office/drawing/2014/main" id="{70F31940-EE7C-4F47-A1D8-B38472D6DF8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15152</xdr:col>
      <xdr:colOff>47625</xdr:colOff>
      <xdr:row>0</xdr:row>
      <xdr:rowOff>0</xdr:rowOff>
    </xdr:from>
    <xdr:ext cx="1200150" cy="571500"/>
    <xdr:pic>
      <xdr:nvPicPr>
        <xdr:cNvPr id="949" name="image1.png" title="Imagem">
          <a:extLst>
            <a:ext uri="{FF2B5EF4-FFF2-40B4-BE49-F238E27FC236}">
              <a16:creationId xmlns:a16="http://schemas.microsoft.com/office/drawing/2014/main" id="{1E47CD34-6F0E-4DAD-983D-8D37BE1081C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15168</xdr:col>
      <xdr:colOff>47625</xdr:colOff>
      <xdr:row>0</xdr:row>
      <xdr:rowOff>0</xdr:rowOff>
    </xdr:from>
    <xdr:ext cx="1200150" cy="571500"/>
    <xdr:pic>
      <xdr:nvPicPr>
        <xdr:cNvPr id="950" name="image1.png" title="Imagem">
          <a:extLst>
            <a:ext uri="{FF2B5EF4-FFF2-40B4-BE49-F238E27FC236}">
              <a16:creationId xmlns:a16="http://schemas.microsoft.com/office/drawing/2014/main" id="{8B78B68C-0E14-4E94-9BE2-FB46DB67430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15184</xdr:col>
      <xdr:colOff>47625</xdr:colOff>
      <xdr:row>0</xdr:row>
      <xdr:rowOff>0</xdr:rowOff>
    </xdr:from>
    <xdr:ext cx="1200150" cy="571500"/>
    <xdr:pic>
      <xdr:nvPicPr>
        <xdr:cNvPr id="951" name="image1.png" title="Imagem">
          <a:extLst>
            <a:ext uri="{FF2B5EF4-FFF2-40B4-BE49-F238E27FC236}">
              <a16:creationId xmlns:a16="http://schemas.microsoft.com/office/drawing/2014/main" id="{9C25F8B0-132F-4211-B763-5D597C4E2A1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15200</xdr:col>
      <xdr:colOff>47625</xdr:colOff>
      <xdr:row>0</xdr:row>
      <xdr:rowOff>0</xdr:rowOff>
    </xdr:from>
    <xdr:ext cx="1200150" cy="571500"/>
    <xdr:pic>
      <xdr:nvPicPr>
        <xdr:cNvPr id="952" name="image1.png" title="Imagem">
          <a:extLst>
            <a:ext uri="{FF2B5EF4-FFF2-40B4-BE49-F238E27FC236}">
              <a16:creationId xmlns:a16="http://schemas.microsoft.com/office/drawing/2014/main" id="{C2BE97A5-CC58-4B12-B955-7F934E4B47F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15216</xdr:col>
      <xdr:colOff>47625</xdr:colOff>
      <xdr:row>0</xdr:row>
      <xdr:rowOff>0</xdr:rowOff>
    </xdr:from>
    <xdr:ext cx="1200150" cy="571500"/>
    <xdr:pic>
      <xdr:nvPicPr>
        <xdr:cNvPr id="953" name="image1.png" title="Imagem">
          <a:extLst>
            <a:ext uri="{FF2B5EF4-FFF2-40B4-BE49-F238E27FC236}">
              <a16:creationId xmlns:a16="http://schemas.microsoft.com/office/drawing/2014/main" id="{CB294953-A98B-41C0-B8F3-FA039F6EC8F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15232</xdr:col>
      <xdr:colOff>47625</xdr:colOff>
      <xdr:row>0</xdr:row>
      <xdr:rowOff>0</xdr:rowOff>
    </xdr:from>
    <xdr:ext cx="1200150" cy="571500"/>
    <xdr:pic>
      <xdr:nvPicPr>
        <xdr:cNvPr id="954" name="image1.png" title="Imagem">
          <a:extLst>
            <a:ext uri="{FF2B5EF4-FFF2-40B4-BE49-F238E27FC236}">
              <a16:creationId xmlns:a16="http://schemas.microsoft.com/office/drawing/2014/main" id="{A6D48217-D505-4A98-90AE-344BD40B663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15248</xdr:col>
      <xdr:colOff>47625</xdr:colOff>
      <xdr:row>0</xdr:row>
      <xdr:rowOff>0</xdr:rowOff>
    </xdr:from>
    <xdr:ext cx="1200150" cy="571500"/>
    <xdr:pic>
      <xdr:nvPicPr>
        <xdr:cNvPr id="955" name="image1.png" title="Imagem">
          <a:extLst>
            <a:ext uri="{FF2B5EF4-FFF2-40B4-BE49-F238E27FC236}">
              <a16:creationId xmlns:a16="http://schemas.microsoft.com/office/drawing/2014/main" id="{24C1E756-2F81-4E8D-BF5D-C5B51F5D1B2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15264</xdr:col>
      <xdr:colOff>47625</xdr:colOff>
      <xdr:row>0</xdr:row>
      <xdr:rowOff>0</xdr:rowOff>
    </xdr:from>
    <xdr:ext cx="1200150" cy="571500"/>
    <xdr:pic>
      <xdr:nvPicPr>
        <xdr:cNvPr id="956" name="image1.png" title="Imagem">
          <a:extLst>
            <a:ext uri="{FF2B5EF4-FFF2-40B4-BE49-F238E27FC236}">
              <a16:creationId xmlns:a16="http://schemas.microsoft.com/office/drawing/2014/main" id="{09026965-7517-48FA-88C6-A6E6D16ED5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15280</xdr:col>
      <xdr:colOff>47625</xdr:colOff>
      <xdr:row>0</xdr:row>
      <xdr:rowOff>0</xdr:rowOff>
    </xdr:from>
    <xdr:ext cx="1200150" cy="571500"/>
    <xdr:pic>
      <xdr:nvPicPr>
        <xdr:cNvPr id="957" name="image1.png" title="Imagem">
          <a:extLst>
            <a:ext uri="{FF2B5EF4-FFF2-40B4-BE49-F238E27FC236}">
              <a16:creationId xmlns:a16="http://schemas.microsoft.com/office/drawing/2014/main" id="{A55B52A6-CA64-47A7-901B-9B384E82A11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15296</xdr:col>
      <xdr:colOff>47625</xdr:colOff>
      <xdr:row>0</xdr:row>
      <xdr:rowOff>0</xdr:rowOff>
    </xdr:from>
    <xdr:ext cx="1200150" cy="571500"/>
    <xdr:pic>
      <xdr:nvPicPr>
        <xdr:cNvPr id="958" name="image1.png" title="Imagem">
          <a:extLst>
            <a:ext uri="{FF2B5EF4-FFF2-40B4-BE49-F238E27FC236}">
              <a16:creationId xmlns:a16="http://schemas.microsoft.com/office/drawing/2014/main" id="{B03ECEE8-FF85-4307-88FE-A41AAD2C314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15312</xdr:col>
      <xdr:colOff>47625</xdr:colOff>
      <xdr:row>0</xdr:row>
      <xdr:rowOff>0</xdr:rowOff>
    </xdr:from>
    <xdr:ext cx="1200150" cy="571500"/>
    <xdr:pic>
      <xdr:nvPicPr>
        <xdr:cNvPr id="959" name="image1.png" title="Imagem">
          <a:extLst>
            <a:ext uri="{FF2B5EF4-FFF2-40B4-BE49-F238E27FC236}">
              <a16:creationId xmlns:a16="http://schemas.microsoft.com/office/drawing/2014/main" id="{E2A794B2-2858-4D7E-BAA0-CE0196B5AF4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15328</xdr:col>
      <xdr:colOff>47625</xdr:colOff>
      <xdr:row>0</xdr:row>
      <xdr:rowOff>0</xdr:rowOff>
    </xdr:from>
    <xdr:ext cx="1200150" cy="571500"/>
    <xdr:pic>
      <xdr:nvPicPr>
        <xdr:cNvPr id="960" name="image1.png" title="Imagem">
          <a:extLst>
            <a:ext uri="{FF2B5EF4-FFF2-40B4-BE49-F238E27FC236}">
              <a16:creationId xmlns:a16="http://schemas.microsoft.com/office/drawing/2014/main" id="{80C85611-655D-4F81-9FEC-54061B24F2A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15344</xdr:col>
      <xdr:colOff>47625</xdr:colOff>
      <xdr:row>0</xdr:row>
      <xdr:rowOff>0</xdr:rowOff>
    </xdr:from>
    <xdr:ext cx="1200150" cy="571500"/>
    <xdr:pic>
      <xdr:nvPicPr>
        <xdr:cNvPr id="961" name="image1.png" title="Imagem">
          <a:extLst>
            <a:ext uri="{FF2B5EF4-FFF2-40B4-BE49-F238E27FC236}">
              <a16:creationId xmlns:a16="http://schemas.microsoft.com/office/drawing/2014/main" id="{5A3E20B9-7614-48A5-8C63-BE66B7A6B7A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15360</xdr:col>
      <xdr:colOff>47625</xdr:colOff>
      <xdr:row>0</xdr:row>
      <xdr:rowOff>0</xdr:rowOff>
    </xdr:from>
    <xdr:ext cx="1200150" cy="571500"/>
    <xdr:pic>
      <xdr:nvPicPr>
        <xdr:cNvPr id="962" name="image1.png" title="Imagem">
          <a:extLst>
            <a:ext uri="{FF2B5EF4-FFF2-40B4-BE49-F238E27FC236}">
              <a16:creationId xmlns:a16="http://schemas.microsoft.com/office/drawing/2014/main" id="{D6446B22-24A3-44A5-96FD-96713F566FE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15376</xdr:col>
      <xdr:colOff>47625</xdr:colOff>
      <xdr:row>0</xdr:row>
      <xdr:rowOff>0</xdr:rowOff>
    </xdr:from>
    <xdr:ext cx="1200150" cy="571500"/>
    <xdr:pic>
      <xdr:nvPicPr>
        <xdr:cNvPr id="963" name="image1.png" title="Imagem">
          <a:extLst>
            <a:ext uri="{FF2B5EF4-FFF2-40B4-BE49-F238E27FC236}">
              <a16:creationId xmlns:a16="http://schemas.microsoft.com/office/drawing/2014/main" id="{87F424AD-908C-4D53-AD5D-53AB832E433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15392</xdr:col>
      <xdr:colOff>47625</xdr:colOff>
      <xdr:row>0</xdr:row>
      <xdr:rowOff>0</xdr:rowOff>
    </xdr:from>
    <xdr:ext cx="1200150" cy="571500"/>
    <xdr:pic>
      <xdr:nvPicPr>
        <xdr:cNvPr id="964" name="image1.png" title="Imagem">
          <a:extLst>
            <a:ext uri="{FF2B5EF4-FFF2-40B4-BE49-F238E27FC236}">
              <a16:creationId xmlns:a16="http://schemas.microsoft.com/office/drawing/2014/main" id="{E8A2FDC7-5748-40F2-89CF-42E330D82BA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15408</xdr:col>
      <xdr:colOff>47625</xdr:colOff>
      <xdr:row>0</xdr:row>
      <xdr:rowOff>0</xdr:rowOff>
    </xdr:from>
    <xdr:ext cx="1200150" cy="571500"/>
    <xdr:pic>
      <xdr:nvPicPr>
        <xdr:cNvPr id="965" name="image1.png" title="Imagem">
          <a:extLst>
            <a:ext uri="{FF2B5EF4-FFF2-40B4-BE49-F238E27FC236}">
              <a16:creationId xmlns:a16="http://schemas.microsoft.com/office/drawing/2014/main" id="{17121C89-F4A4-4BA7-B81D-76CEF84FD2F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15424</xdr:col>
      <xdr:colOff>47625</xdr:colOff>
      <xdr:row>0</xdr:row>
      <xdr:rowOff>0</xdr:rowOff>
    </xdr:from>
    <xdr:ext cx="1200150" cy="571500"/>
    <xdr:pic>
      <xdr:nvPicPr>
        <xdr:cNvPr id="966" name="image1.png" title="Imagem">
          <a:extLst>
            <a:ext uri="{FF2B5EF4-FFF2-40B4-BE49-F238E27FC236}">
              <a16:creationId xmlns:a16="http://schemas.microsoft.com/office/drawing/2014/main" id="{3A9550F0-6C75-4FEF-A427-2ACDAD8FA65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15440</xdr:col>
      <xdr:colOff>47625</xdr:colOff>
      <xdr:row>0</xdr:row>
      <xdr:rowOff>0</xdr:rowOff>
    </xdr:from>
    <xdr:ext cx="1200150" cy="571500"/>
    <xdr:pic>
      <xdr:nvPicPr>
        <xdr:cNvPr id="967" name="image1.png" title="Imagem">
          <a:extLst>
            <a:ext uri="{FF2B5EF4-FFF2-40B4-BE49-F238E27FC236}">
              <a16:creationId xmlns:a16="http://schemas.microsoft.com/office/drawing/2014/main" id="{255FC67C-3E03-4F91-9B84-B98F211D06D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15456</xdr:col>
      <xdr:colOff>47625</xdr:colOff>
      <xdr:row>0</xdr:row>
      <xdr:rowOff>0</xdr:rowOff>
    </xdr:from>
    <xdr:ext cx="1200150" cy="571500"/>
    <xdr:pic>
      <xdr:nvPicPr>
        <xdr:cNvPr id="968" name="image1.png" title="Imagem">
          <a:extLst>
            <a:ext uri="{FF2B5EF4-FFF2-40B4-BE49-F238E27FC236}">
              <a16:creationId xmlns:a16="http://schemas.microsoft.com/office/drawing/2014/main" id="{584E2924-1D49-46B5-8EF5-7D3AD251D94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15472</xdr:col>
      <xdr:colOff>47625</xdr:colOff>
      <xdr:row>0</xdr:row>
      <xdr:rowOff>0</xdr:rowOff>
    </xdr:from>
    <xdr:ext cx="1200150" cy="571500"/>
    <xdr:pic>
      <xdr:nvPicPr>
        <xdr:cNvPr id="969" name="image1.png" title="Imagem">
          <a:extLst>
            <a:ext uri="{FF2B5EF4-FFF2-40B4-BE49-F238E27FC236}">
              <a16:creationId xmlns:a16="http://schemas.microsoft.com/office/drawing/2014/main" id="{5905668E-37D0-4F10-BD42-65EBE2D30C8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15488</xdr:col>
      <xdr:colOff>47625</xdr:colOff>
      <xdr:row>0</xdr:row>
      <xdr:rowOff>0</xdr:rowOff>
    </xdr:from>
    <xdr:ext cx="1200150" cy="571500"/>
    <xdr:pic>
      <xdr:nvPicPr>
        <xdr:cNvPr id="970" name="image1.png" title="Imagem">
          <a:extLst>
            <a:ext uri="{FF2B5EF4-FFF2-40B4-BE49-F238E27FC236}">
              <a16:creationId xmlns:a16="http://schemas.microsoft.com/office/drawing/2014/main" id="{F0AA6A96-0997-4FC0-90AA-D5BA9694A17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15504</xdr:col>
      <xdr:colOff>47625</xdr:colOff>
      <xdr:row>0</xdr:row>
      <xdr:rowOff>0</xdr:rowOff>
    </xdr:from>
    <xdr:ext cx="1200150" cy="571500"/>
    <xdr:pic>
      <xdr:nvPicPr>
        <xdr:cNvPr id="971" name="image1.png" title="Imagem">
          <a:extLst>
            <a:ext uri="{FF2B5EF4-FFF2-40B4-BE49-F238E27FC236}">
              <a16:creationId xmlns:a16="http://schemas.microsoft.com/office/drawing/2014/main" id="{178FD755-EEE4-4078-A499-03021DE674D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15520</xdr:col>
      <xdr:colOff>47625</xdr:colOff>
      <xdr:row>0</xdr:row>
      <xdr:rowOff>0</xdr:rowOff>
    </xdr:from>
    <xdr:ext cx="1200150" cy="571500"/>
    <xdr:pic>
      <xdr:nvPicPr>
        <xdr:cNvPr id="972" name="image1.png" title="Imagem">
          <a:extLst>
            <a:ext uri="{FF2B5EF4-FFF2-40B4-BE49-F238E27FC236}">
              <a16:creationId xmlns:a16="http://schemas.microsoft.com/office/drawing/2014/main" id="{200C7E49-795D-43C6-AF97-5DB3E84BA68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15536</xdr:col>
      <xdr:colOff>47625</xdr:colOff>
      <xdr:row>0</xdr:row>
      <xdr:rowOff>0</xdr:rowOff>
    </xdr:from>
    <xdr:ext cx="1200150" cy="571500"/>
    <xdr:pic>
      <xdr:nvPicPr>
        <xdr:cNvPr id="973" name="image1.png" title="Imagem">
          <a:extLst>
            <a:ext uri="{FF2B5EF4-FFF2-40B4-BE49-F238E27FC236}">
              <a16:creationId xmlns:a16="http://schemas.microsoft.com/office/drawing/2014/main" id="{0A1EE43A-3B26-403E-A2C3-CECFE50013E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15552</xdr:col>
      <xdr:colOff>47625</xdr:colOff>
      <xdr:row>0</xdr:row>
      <xdr:rowOff>0</xdr:rowOff>
    </xdr:from>
    <xdr:ext cx="1200150" cy="571500"/>
    <xdr:pic>
      <xdr:nvPicPr>
        <xdr:cNvPr id="974" name="image1.png" title="Imagem">
          <a:extLst>
            <a:ext uri="{FF2B5EF4-FFF2-40B4-BE49-F238E27FC236}">
              <a16:creationId xmlns:a16="http://schemas.microsoft.com/office/drawing/2014/main" id="{119CCF5E-ACE6-4F0D-8FEC-2543D5B67B0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15568</xdr:col>
      <xdr:colOff>47625</xdr:colOff>
      <xdr:row>0</xdr:row>
      <xdr:rowOff>0</xdr:rowOff>
    </xdr:from>
    <xdr:ext cx="1200150" cy="571500"/>
    <xdr:pic>
      <xdr:nvPicPr>
        <xdr:cNvPr id="975" name="image1.png" title="Imagem">
          <a:extLst>
            <a:ext uri="{FF2B5EF4-FFF2-40B4-BE49-F238E27FC236}">
              <a16:creationId xmlns:a16="http://schemas.microsoft.com/office/drawing/2014/main" id="{35AF06C0-6D42-4EDA-956F-079DF9E7C1E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15584</xdr:col>
      <xdr:colOff>47625</xdr:colOff>
      <xdr:row>0</xdr:row>
      <xdr:rowOff>0</xdr:rowOff>
    </xdr:from>
    <xdr:ext cx="1200150" cy="571500"/>
    <xdr:pic>
      <xdr:nvPicPr>
        <xdr:cNvPr id="976" name="image1.png" title="Imagem">
          <a:extLst>
            <a:ext uri="{FF2B5EF4-FFF2-40B4-BE49-F238E27FC236}">
              <a16:creationId xmlns:a16="http://schemas.microsoft.com/office/drawing/2014/main" id="{59DA22AE-3440-4DDE-9250-134C8B76C54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15600</xdr:col>
      <xdr:colOff>47625</xdr:colOff>
      <xdr:row>0</xdr:row>
      <xdr:rowOff>0</xdr:rowOff>
    </xdr:from>
    <xdr:ext cx="1200150" cy="571500"/>
    <xdr:pic>
      <xdr:nvPicPr>
        <xdr:cNvPr id="977" name="image1.png" title="Imagem">
          <a:extLst>
            <a:ext uri="{FF2B5EF4-FFF2-40B4-BE49-F238E27FC236}">
              <a16:creationId xmlns:a16="http://schemas.microsoft.com/office/drawing/2014/main" id="{7E6442F4-89A2-45B2-9BE3-100AD6C7E9B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15616</xdr:col>
      <xdr:colOff>47625</xdr:colOff>
      <xdr:row>0</xdr:row>
      <xdr:rowOff>0</xdr:rowOff>
    </xdr:from>
    <xdr:ext cx="1200150" cy="571500"/>
    <xdr:pic>
      <xdr:nvPicPr>
        <xdr:cNvPr id="978" name="image1.png" title="Imagem">
          <a:extLst>
            <a:ext uri="{FF2B5EF4-FFF2-40B4-BE49-F238E27FC236}">
              <a16:creationId xmlns:a16="http://schemas.microsoft.com/office/drawing/2014/main" id="{03B8C6E6-5D58-465C-9EC7-830FD4D4041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15632</xdr:col>
      <xdr:colOff>47625</xdr:colOff>
      <xdr:row>0</xdr:row>
      <xdr:rowOff>0</xdr:rowOff>
    </xdr:from>
    <xdr:ext cx="1200150" cy="571500"/>
    <xdr:pic>
      <xdr:nvPicPr>
        <xdr:cNvPr id="979" name="image1.png" title="Imagem">
          <a:extLst>
            <a:ext uri="{FF2B5EF4-FFF2-40B4-BE49-F238E27FC236}">
              <a16:creationId xmlns:a16="http://schemas.microsoft.com/office/drawing/2014/main" id="{1CD68CB5-6E96-4D47-91DC-5016812C868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15648</xdr:col>
      <xdr:colOff>47625</xdr:colOff>
      <xdr:row>0</xdr:row>
      <xdr:rowOff>0</xdr:rowOff>
    </xdr:from>
    <xdr:ext cx="1200150" cy="571500"/>
    <xdr:pic>
      <xdr:nvPicPr>
        <xdr:cNvPr id="980" name="image1.png" title="Imagem">
          <a:extLst>
            <a:ext uri="{FF2B5EF4-FFF2-40B4-BE49-F238E27FC236}">
              <a16:creationId xmlns:a16="http://schemas.microsoft.com/office/drawing/2014/main" id="{AF6A550C-C9FC-46EF-853C-B68371E0205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15664</xdr:col>
      <xdr:colOff>47625</xdr:colOff>
      <xdr:row>0</xdr:row>
      <xdr:rowOff>0</xdr:rowOff>
    </xdr:from>
    <xdr:ext cx="1200150" cy="571500"/>
    <xdr:pic>
      <xdr:nvPicPr>
        <xdr:cNvPr id="981" name="image1.png" title="Imagem">
          <a:extLst>
            <a:ext uri="{FF2B5EF4-FFF2-40B4-BE49-F238E27FC236}">
              <a16:creationId xmlns:a16="http://schemas.microsoft.com/office/drawing/2014/main" id="{CDD843B8-6C16-4A30-8AA2-D71BE1CB370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15680</xdr:col>
      <xdr:colOff>47625</xdr:colOff>
      <xdr:row>0</xdr:row>
      <xdr:rowOff>0</xdr:rowOff>
    </xdr:from>
    <xdr:ext cx="1200150" cy="571500"/>
    <xdr:pic>
      <xdr:nvPicPr>
        <xdr:cNvPr id="982" name="image1.png" title="Imagem">
          <a:extLst>
            <a:ext uri="{FF2B5EF4-FFF2-40B4-BE49-F238E27FC236}">
              <a16:creationId xmlns:a16="http://schemas.microsoft.com/office/drawing/2014/main" id="{34CAF3E4-41CD-4847-B4A7-23850437D0A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15696</xdr:col>
      <xdr:colOff>47625</xdr:colOff>
      <xdr:row>0</xdr:row>
      <xdr:rowOff>0</xdr:rowOff>
    </xdr:from>
    <xdr:ext cx="1200150" cy="571500"/>
    <xdr:pic>
      <xdr:nvPicPr>
        <xdr:cNvPr id="983" name="image1.png" title="Imagem">
          <a:extLst>
            <a:ext uri="{FF2B5EF4-FFF2-40B4-BE49-F238E27FC236}">
              <a16:creationId xmlns:a16="http://schemas.microsoft.com/office/drawing/2014/main" id="{69B68222-D184-42C5-AAAF-C2043508A5A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15712</xdr:col>
      <xdr:colOff>47625</xdr:colOff>
      <xdr:row>0</xdr:row>
      <xdr:rowOff>0</xdr:rowOff>
    </xdr:from>
    <xdr:ext cx="1200150" cy="571500"/>
    <xdr:pic>
      <xdr:nvPicPr>
        <xdr:cNvPr id="984" name="image1.png" title="Imagem">
          <a:extLst>
            <a:ext uri="{FF2B5EF4-FFF2-40B4-BE49-F238E27FC236}">
              <a16:creationId xmlns:a16="http://schemas.microsoft.com/office/drawing/2014/main" id="{6A739D67-0E89-44D4-99B0-C297C635C45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15728</xdr:col>
      <xdr:colOff>47625</xdr:colOff>
      <xdr:row>0</xdr:row>
      <xdr:rowOff>0</xdr:rowOff>
    </xdr:from>
    <xdr:ext cx="1200150" cy="571500"/>
    <xdr:pic>
      <xdr:nvPicPr>
        <xdr:cNvPr id="985" name="image1.png" title="Imagem">
          <a:extLst>
            <a:ext uri="{FF2B5EF4-FFF2-40B4-BE49-F238E27FC236}">
              <a16:creationId xmlns:a16="http://schemas.microsoft.com/office/drawing/2014/main" id="{6F32E068-6E83-43D6-9616-97E6A21F33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15744</xdr:col>
      <xdr:colOff>47625</xdr:colOff>
      <xdr:row>0</xdr:row>
      <xdr:rowOff>0</xdr:rowOff>
    </xdr:from>
    <xdr:ext cx="1200150" cy="571500"/>
    <xdr:pic>
      <xdr:nvPicPr>
        <xdr:cNvPr id="986" name="image1.png" title="Imagem">
          <a:extLst>
            <a:ext uri="{FF2B5EF4-FFF2-40B4-BE49-F238E27FC236}">
              <a16:creationId xmlns:a16="http://schemas.microsoft.com/office/drawing/2014/main" id="{68D5F79A-CE95-455F-A4EF-303E8D981E2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15760</xdr:col>
      <xdr:colOff>47625</xdr:colOff>
      <xdr:row>0</xdr:row>
      <xdr:rowOff>0</xdr:rowOff>
    </xdr:from>
    <xdr:ext cx="1200150" cy="571500"/>
    <xdr:pic>
      <xdr:nvPicPr>
        <xdr:cNvPr id="987" name="image1.png" title="Imagem">
          <a:extLst>
            <a:ext uri="{FF2B5EF4-FFF2-40B4-BE49-F238E27FC236}">
              <a16:creationId xmlns:a16="http://schemas.microsoft.com/office/drawing/2014/main" id="{EF0F9C21-7470-4BFA-9AEE-33AE05B972D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15776</xdr:col>
      <xdr:colOff>47625</xdr:colOff>
      <xdr:row>0</xdr:row>
      <xdr:rowOff>0</xdr:rowOff>
    </xdr:from>
    <xdr:ext cx="1200150" cy="571500"/>
    <xdr:pic>
      <xdr:nvPicPr>
        <xdr:cNvPr id="988" name="image1.png" title="Imagem">
          <a:extLst>
            <a:ext uri="{FF2B5EF4-FFF2-40B4-BE49-F238E27FC236}">
              <a16:creationId xmlns:a16="http://schemas.microsoft.com/office/drawing/2014/main" id="{C1EA0066-6DA0-4881-A56E-5DA95A174EF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15792</xdr:col>
      <xdr:colOff>47625</xdr:colOff>
      <xdr:row>0</xdr:row>
      <xdr:rowOff>0</xdr:rowOff>
    </xdr:from>
    <xdr:ext cx="1200150" cy="571500"/>
    <xdr:pic>
      <xdr:nvPicPr>
        <xdr:cNvPr id="989" name="image1.png" title="Imagem">
          <a:extLst>
            <a:ext uri="{FF2B5EF4-FFF2-40B4-BE49-F238E27FC236}">
              <a16:creationId xmlns:a16="http://schemas.microsoft.com/office/drawing/2014/main" id="{14CD9FAC-4B74-4736-9A4C-4E6396FE5B8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15808</xdr:col>
      <xdr:colOff>47625</xdr:colOff>
      <xdr:row>0</xdr:row>
      <xdr:rowOff>0</xdr:rowOff>
    </xdr:from>
    <xdr:ext cx="1200150" cy="571500"/>
    <xdr:pic>
      <xdr:nvPicPr>
        <xdr:cNvPr id="990" name="image1.png" title="Imagem">
          <a:extLst>
            <a:ext uri="{FF2B5EF4-FFF2-40B4-BE49-F238E27FC236}">
              <a16:creationId xmlns:a16="http://schemas.microsoft.com/office/drawing/2014/main" id="{D328B9F9-9678-4C79-AD26-D52D97028DF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15824</xdr:col>
      <xdr:colOff>47625</xdr:colOff>
      <xdr:row>0</xdr:row>
      <xdr:rowOff>0</xdr:rowOff>
    </xdr:from>
    <xdr:ext cx="1200150" cy="571500"/>
    <xdr:pic>
      <xdr:nvPicPr>
        <xdr:cNvPr id="991" name="image1.png" title="Imagem">
          <a:extLst>
            <a:ext uri="{FF2B5EF4-FFF2-40B4-BE49-F238E27FC236}">
              <a16:creationId xmlns:a16="http://schemas.microsoft.com/office/drawing/2014/main" id="{7DD8AC0D-98E3-4B0A-8519-92BCD3E07CF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15840</xdr:col>
      <xdr:colOff>47625</xdr:colOff>
      <xdr:row>0</xdr:row>
      <xdr:rowOff>0</xdr:rowOff>
    </xdr:from>
    <xdr:ext cx="1200150" cy="571500"/>
    <xdr:pic>
      <xdr:nvPicPr>
        <xdr:cNvPr id="992" name="image1.png" title="Imagem">
          <a:extLst>
            <a:ext uri="{FF2B5EF4-FFF2-40B4-BE49-F238E27FC236}">
              <a16:creationId xmlns:a16="http://schemas.microsoft.com/office/drawing/2014/main" id="{407F3675-3431-469E-87DD-F43D6B6FE62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15856</xdr:col>
      <xdr:colOff>47625</xdr:colOff>
      <xdr:row>0</xdr:row>
      <xdr:rowOff>0</xdr:rowOff>
    </xdr:from>
    <xdr:ext cx="1200150" cy="571500"/>
    <xdr:pic>
      <xdr:nvPicPr>
        <xdr:cNvPr id="993" name="image1.png" title="Imagem">
          <a:extLst>
            <a:ext uri="{FF2B5EF4-FFF2-40B4-BE49-F238E27FC236}">
              <a16:creationId xmlns:a16="http://schemas.microsoft.com/office/drawing/2014/main" id="{3646F682-10A4-445E-BD9D-FCD2F4D81E5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15872</xdr:col>
      <xdr:colOff>47625</xdr:colOff>
      <xdr:row>0</xdr:row>
      <xdr:rowOff>0</xdr:rowOff>
    </xdr:from>
    <xdr:ext cx="1200150" cy="571500"/>
    <xdr:pic>
      <xdr:nvPicPr>
        <xdr:cNvPr id="994" name="image1.png" title="Imagem">
          <a:extLst>
            <a:ext uri="{FF2B5EF4-FFF2-40B4-BE49-F238E27FC236}">
              <a16:creationId xmlns:a16="http://schemas.microsoft.com/office/drawing/2014/main" id="{FEC954C8-C765-42E9-B90B-9DEC6E3BB47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15888</xdr:col>
      <xdr:colOff>47625</xdr:colOff>
      <xdr:row>0</xdr:row>
      <xdr:rowOff>0</xdr:rowOff>
    </xdr:from>
    <xdr:ext cx="1200150" cy="571500"/>
    <xdr:pic>
      <xdr:nvPicPr>
        <xdr:cNvPr id="995" name="image1.png" title="Imagem">
          <a:extLst>
            <a:ext uri="{FF2B5EF4-FFF2-40B4-BE49-F238E27FC236}">
              <a16:creationId xmlns:a16="http://schemas.microsoft.com/office/drawing/2014/main" id="{63187CAC-9864-4C3A-9018-6CD045FA81A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15904</xdr:col>
      <xdr:colOff>47625</xdr:colOff>
      <xdr:row>0</xdr:row>
      <xdr:rowOff>0</xdr:rowOff>
    </xdr:from>
    <xdr:ext cx="1200150" cy="571500"/>
    <xdr:pic>
      <xdr:nvPicPr>
        <xdr:cNvPr id="996" name="image1.png" title="Imagem">
          <a:extLst>
            <a:ext uri="{FF2B5EF4-FFF2-40B4-BE49-F238E27FC236}">
              <a16:creationId xmlns:a16="http://schemas.microsoft.com/office/drawing/2014/main" id="{CC8BB9D8-7361-4536-AFEB-C68532CF827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15920</xdr:col>
      <xdr:colOff>47625</xdr:colOff>
      <xdr:row>0</xdr:row>
      <xdr:rowOff>0</xdr:rowOff>
    </xdr:from>
    <xdr:ext cx="1200150" cy="571500"/>
    <xdr:pic>
      <xdr:nvPicPr>
        <xdr:cNvPr id="997" name="image1.png" title="Imagem">
          <a:extLst>
            <a:ext uri="{FF2B5EF4-FFF2-40B4-BE49-F238E27FC236}">
              <a16:creationId xmlns:a16="http://schemas.microsoft.com/office/drawing/2014/main" id="{05FBD6E0-AB8A-4026-8429-3A502AFFECB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15936</xdr:col>
      <xdr:colOff>47625</xdr:colOff>
      <xdr:row>0</xdr:row>
      <xdr:rowOff>0</xdr:rowOff>
    </xdr:from>
    <xdr:ext cx="1200150" cy="571500"/>
    <xdr:pic>
      <xdr:nvPicPr>
        <xdr:cNvPr id="998" name="image1.png" title="Imagem">
          <a:extLst>
            <a:ext uri="{FF2B5EF4-FFF2-40B4-BE49-F238E27FC236}">
              <a16:creationId xmlns:a16="http://schemas.microsoft.com/office/drawing/2014/main" id="{25083DCD-FEDA-4BA4-BEA8-1253854652F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15952</xdr:col>
      <xdr:colOff>47625</xdr:colOff>
      <xdr:row>0</xdr:row>
      <xdr:rowOff>0</xdr:rowOff>
    </xdr:from>
    <xdr:ext cx="1200150" cy="571500"/>
    <xdr:pic>
      <xdr:nvPicPr>
        <xdr:cNvPr id="999" name="image1.png" title="Imagem">
          <a:extLst>
            <a:ext uri="{FF2B5EF4-FFF2-40B4-BE49-F238E27FC236}">
              <a16:creationId xmlns:a16="http://schemas.microsoft.com/office/drawing/2014/main" id="{43713248-A8C2-4DF7-9EA4-4187D531EBC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15968</xdr:col>
      <xdr:colOff>47625</xdr:colOff>
      <xdr:row>0</xdr:row>
      <xdr:rowOff>0</xdr:rowOff>
    </xdr:from>
    <xdr:ext cx="1200150" cy="571500"/>
    <xdr:pic>
      <xdr:nvPicPr>
        <xdr:cNvPr id="1000" name="image1.png" title="Imagem">
          <a:extLst>
            <a:ext uri="{FF2B5EF4-FFF2-40B4-BE49-F238E27FC236}">
              <a16:creationId xmlns:a16="http://schemas.microsoft.com/office/drawing/2014/main" id="{7126A1AF-7ED5-41F7-AD80-FF535749DCA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15984</xdr:col>
      <xdr:colOff>47625</xdr:colOff>
      <xdr:row>0</xdr:row>
      <xdr:rowOff>0</xdr:rowOff>
    </xdr:from>
    <xdr:ext cx="1200150" cy="571500"/>
    <xdr:pic>
      <xdr:nvPicPr>
        <xdr:cNvPr id="1001" name="image1.png" title="Imagem">
          <a:extLst>
            <a:ext uri="{FF2B5EF4-FFF2-40B4-BE49-F238E27FC236}">
              <a16:creationId xmlns:a16="http://schemas.microsoft.com/office/drawing/2014/main" id="{97E63D33-F972-47DE-A974-1D386E516CA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16000</xdr:col>
      <xdr:colOff>47625</xdr:colOff>
      <xdr:row>0</xdr:row>
      <xdr:rowOff>0</xdr:rowOff>
    </xdr:from>
    <xdr:ext cx="1200150" cy="571500"/>
    <xdr:pic>
      <xdr:nvPicPr>
        <xdr:cNvPr id="1002" name="image1.png" title="Imagem">
          <a:extLst>
            <a:ext uri="{FF2B5EF4-FFF2-40B4-BE49-F238E27FC236}">
              <a16:creationId xmlns:a16="http://schemas.microsoft.com/office/drawing/2014/main" id="{F46135F3-40B5-4BB5-9597-67678A97AA0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16016</xdr:col>
      <xdr:colOff>47625</xdr:colOff>
      <xdr:row>0</xdr:row>
      <xdr:rowOff>0</xdr:rowOff>
    </xdr:from>
    <xdr:ext cx="1200150" cy="571500"/>
    <xdr:pic>
      <xdr:nvPicPr>
        <xdr:cNvPr id="1003" name="image1.png" title="Imagem">
          <a:extLst>
            <a:ext uri="{FF2B5EF4-FFF2-40B4-BE49-F238E27FC236}">
              <a16:creationId xmlns:a16="http://schemas.microsoft.com/office/drawing/2014/main" id="{E61B2DA0-D68D-4308-B0A1-D6CB7F1DECC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16032</xdr:col>
      <xdr:colOff>47625</xdr:colOff>
      <xdr:row>0</xdr:row>
      <xdr:rowOff>0</xdr:rowOff>
    </xdr:from>
    <xdr:ext cx="1200150" cy="571500"/>
    <xdr:pic>
      <xdr:nvPicPr>
        <xdr:cNvPr id="1004" name="image1.png" title="Imagem">
          <a:extLst>
            <a:ext uri="{FF2B5EF4-FFF2-40B4-BE49-F238E27FC236}">
              <a16:creationId xmlns:a16="http://schemas.microsoft.com/office/drawing/2014/main" id="{16398043-84A2-464D-B808-9BA919C5CA5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16048</xdr:col>
      <xdr:colOff>47625</xdr:colOff>
      <xdr:row>0</xdr:row>
      <xdr:rowOff>0</xdr:rowOff>
    </xdr:from>
    <xdr:ext cx="1200150" cy="571500"/>
    <xdr:pic>
      <xdr:nvPicPr>
        <xdr:cNvPr id="1005" name="image1.png" title="Imagem">
          <a:extLst>
            <a:ext uri="{FF2B5EF4-FFF2-40B4-BE49-F238E27FC236}">
              <a16:creationId xmlns:a16="http://schemas.microsoft.com/office/drawing/2014/main" id="{6A1B1F43-77B9-4E8F-9AC2-5E58724D82E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16064</xdr:col>
      <xdr:colOff>47625</xdr:colOff>
      <xdr:row>0</xdr:row>
      <xdr:rowOff>0</xdr:rowOff>
    </xdr:from>
    <xdr:ext cx="1200150" cy="571500"/>
    <xdr:pic>
      <xdr:nvPicPr>
        <xdr:cNvPr id="1006" name="image1.png" title="Imagem">
          <a:extLst>
            <a:ext uri="{FF2B5EF4-FFF2-40B4-BE49-F238E27FC236}">
              <a16:creationId xmlns:a16="http://schemas.microsoft.com/office/drawing/2014/main" id="{436D6F22-F6CA-4AEF-8062-31983E3352A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16080</xdr:col>
      <xdr:colOff>47625</xdr:colOff>
      <xdr:row>0</xdr:row>
      <xdr:rowOff>0</xdr:rowOff>
    </xdr:from>
    <xdr:ext cx="1200150" cy="571500"/>
    <xdr:pic>
      <xdr:nvPicPr>
        <xdr:cNvPr id="1007" name="image1.png" title="Imagem">
          <a:extLst>
            <a:ext uri="{FF2B5EF4-FFF2-40B4-BE49-F238E27FC236}">
              <a16:creationId xmlns:a16="http://schemas.microsoft.com/office/drawing/2014/main" id="{18A2AD7E-00B6-4AEF-9659-2F73BC41F23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16096</xdr:col>
      <xdr:colOff>47625</xdr:colOff>
      <xdr:row>0</xdr:row>
      <xdr:rowOff>0</xdr:rowOff>
    </xdr:from>
    <xdr:ext cx="1200150" cy="571500"/>
    <xdr:pic>
      <xdr:nvPicPr>
        <xdr:cNvPr id="1008" name="image1.png" title="Imagem">
          <a:extLst>
            <a:ext uri="{FF2B5EF4-FFF2-40B4-BE49-F238E27FC236}">
              <a16:creationId xmlns:a16="http://schemas.microsoft.com/office/drawing/2014/main" id="{8904A6D2-6FE3-48FE-8BD3-0D331A5D8B3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16112</xdr:col>
      <xdr:colOff>47625</xdr:colOff>
      <xdr:row>0</xdr:row>
      <xdr:rowOff>0</xdr:rowOff>
    </xdr:from>
    <xdr:ext cx="1200150" cy="571500"/>
    <xdr:pic>
      <xdr:nvPicPr>
        <xdr:cNvPr id="1009" name="image1.png" title="Imagem">
          <a:extLst>
            <a:ext uri="{FF2B5EF4-FFF2-40B4-BE49-F238E27FC236}">
              <a16:creationId xmlns:a16="http://schemas.microsoft.com/office/drawing/2014/main" id="{515396BF-9BA6-483F-8F86-CC4A931CAF3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16128</xdr:col>
      <xdr:colOff>47625</xdr:colOff>
      <xdr:row>0</xdr:row>
      <xdr:rowOff>0</xdr:rowOff>
    </xdr:from>
    <xdr:ext cx="1200150" cy="571500"/>
    <xdr:pic>
      <xdr:nvPicPr>
        <xdr:cNvPr id="1010" name="image1.png" title="Imagem">
          <a:extLst>
            <a:ext uri="{FF2B5EF4-FFF2-40B4-BE49-F238E27FC236}">
              <a16:creationId xmlns:a16="http://schemas.microsoft.com/office/drawing/2014/main" id="{E659AA7E-C9E3-4D21-9D50-2CA4F274290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16144</xdr:col>
      <xdr:colOff>47625</xdr:colOff>
      <xdr:row>0</xdr:row>
      <xdr:rowOff>0</xdr:rowOff>
    </xdr:from>
    <xdr:ext cx="1200150" cy="571500"/>
    <xdr:pic>
      <xdr:nvPicPr>
        <xdr:cNvPr id="1011" name="image1.png" title="Imagem">
          <a:extLst>
            <a:ext uri="{FF2B5EF4-FFF2-40B4-BE49-F238E27FC236}">
              <a16:creationId xmlns:a16="http://schemas.microsoft.com/office/drawing/2014/main" id="{686EADEC-F4CA-4B23-B83A-41711AE1623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16160</xdr:col>
      <xdr:colOff>47625</xdr:colOff>
      <xdr:row>0</xdr:row>
      <xdr:rowOff>0</xdr:rowOff>
    </xdr:from>
    <xdr:ext cx="1200150" cy="571500"/>
    <xdr:pic>
      <xdr:nvPicPr>
        <xdr:cNvPr id="1012" name="image1.png" title="Imagem">
          <a:extLst>
            <a:ext uri="{FF2B5EF4-FFF2-40B4-BE49-F238E27FC236}">
              <a16:creationId xmlns:a16="http://schemas.microsoft.com/office/drawing/2014/main" id="{55510654-1EAC-4D00-9498-6274BC368B6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16176</xdr:col>
      <xdr:colOff>47625</xdr:colOff>
      <xdr:row>0</xdr:row>
      <xdr:rowOff>0</xdr:rowOff>
    </xdr:from>
    <xdr:ext cx="1200150" cy="571500"/>
    <xdr:pic>
      <xdr:nvPicPr>
        <xdr:cNvPr id="1013" name="image1.png" title="Imagem">
          <a:extLst>
            <a:ext uri="{FF2B5EF4-FFF2-40B4-BE49-F238E27FC236}">
              <a16:creationId xmlns:a16="http://schemas.microsoft.com/office/drawing/2014/main" id="{EE75E372-7673-45E0-B369-35362A8E452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16192</xdr:col>
      <xdr:colOff>47625</xdr:colOff>
      <xdr:row>0</xdr:row>
      <xdr:rowOff>0</xdr:rowOff>
    </xdr:from>
    <xdr:ext cx="1200150" cy="571500"/>
    <xdr:pic>
      <xdr:nvPicPr>
        <xdr:cNvPr id="1014" name="image1.png" title="Imagem">
          <a:extLst>
            <a:ext uri="{FF2B5EF4-FFF2-40B4-BE49-F238E27FC236}">
              <a16:creationId xmlns:a16="http://schemas.microsoft.com/office/drawing/2014/main" id="{501E74DD-41C8-4F28-B1C4-1B6DFE5FBDE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16208</xdr:col>
      <xdr:colOff>47625</xdr:colOff>
      <xdr:row>0</xdr:row>
      <xdr:rowOff>0</xdr:rowOff>
    </xdr:from>
    <xdr:ext cx="1200150" cy="571500"/>
    <xdr:pic>
      <xdr:nvPicPr>
        <xdr:cNvPr id="1015" name="image1.png" title="Imagem">
          <a:extLst>
            <a:ext uri="{FF2B5EF4-FFF2-40B4-BE49-F238E27FC236}">
              <a16:creationId xmlns:a16="http://schemas.microsoft.com/office/drawing/2014/main" id="{22D3A29A-579D-45C7-9F06-A5742D916D1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16224</xdr:col>
      <xdr:colOff>47625</xdr:colOff>
      <xdr:row>0</xdr:row>
      <xdr:rowOff>0</xdr:rowOff>
    </xdr:from>
    <xdr:ext cx="1200150" cy="571500"/>
    <xdr:pic>
      <xdr:nvPicPr>
        <xdr:cNvPr id="1016" name="image1.png" title="Imagem">
          <a:extLst>
            <a:ext uri="{FF2B5EF4-FFF2-40B4-BE49-F238E27FC236}">
              <a16:creationId xmlns:a16="http://schemas.microsoft.com/office/drawing/2014/main" id="{A357E1E7-32F7-4088-972A-7F4D2074965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16240</xdr:col>
      <xdr:colOff>47625</xdr:colOff>
      <xdr:row>0</xdr:row>
      <xdr:rowOff>0</xdr:rowOff>
    </xdr:from>
    <xdr:ext cx="1200150" cy="571500"/>
    <xdr:pic>
      <xdr:nvPicPr>
        <xdr:cNvPr id="1017" name="image1.png" title="Imagem">
          <a:extLst>
            <a:ext uri="{FF2B5EF4-FFF2-40B4-BE49-F238E27FC236}">
              <a16:creationId xmlns:a16="http://schemas.microsoft.com/office/drawing/2014/main" id="{F15EB3EB-6444-4662-9ADF-15AD8BD7433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16256</xdr:col>
      <xdr:colOff>47625</xdr:colOff>
      <xdr:row>0</xdr:row>
      <xdr:rowOff>0</xdr:rowOff>
    </xdr:from>
    <xdr:ext cx="1200150" cy="571500"/>
    <xdr:pic>
      <xdr:nvPicPr>
        <xdr:cNvPr id="1018" name="image1.png" title="Imagem">
          <a:extLst>
            <a:ext uri="{FF2B5EF4-FFF2-40B4-BE49-F238E27FC236}">
              <a16:creationId xmlns:a16="http://schemas.microsoft.com/office/drawing/2014/main" id="{5CDFDA8D-3897-402B-801B-B802C9E5695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16272</xdr:col>
      <xdr:colOff>47625</xdr:colOff>
      <xdr:row>0</xdr:row>
      <xdr:rowOff>0</xdr:rowOff>
    </xdr:from>
    <xdr:ext cx="1200150" cy="571500"/>
    <xdr:pic>
      <xdr:nvPicPr>
        <xdr:cNvPr id="1019" name="image1.png" title="Imagem">
          <a:extLst>
            <a:ext uri="{FF2B5EF4-FFF2-40B4-BE49-F238E27FC236}">
              <a16:creationId xmlns:a16="http://schemas.microsoft.com/office/drawing/2014/main" id="{4D6DDEF1-986B-4E4B-BAEE-17757310408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16288</xdr:col>
      <xdr:colOff>47625</xdr:colOff>
      <xdr:row>0</xdr:row>
      <xdr:rowOff>0</xdr:rowOff>
    </xdr:from>
    <xdr:ext cx="1200150" cy="571500"/>
    <xdr:pic>
      <xdr:nvPicPr>
        <xdr:cNvPr id="1020" name="image1.png" title="Imagem">
          <a:extLst>
            <a:ext uri="{FF2B5EF4-FFF2-40B4-BE49-F238E27FC236}">
              <a16:creationId xmlns:a16="http://schemas.microsoft.com/office/drawing/2014/main" id="{7CA4AF6C-7271-47C8-8E25-019EF11DCD2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16304</xdr:col>
      <xdr:colOff>47625</xdr:colOff>
      <xdr:row>0</xdr:row>
      <xdr:rowOff>0</xdr:rowOff>
    </xdr:from>
    <xdr:ext cx="1200150" cy="571500"/>
    <xdr:pic>
      <xdr:nvPicPr>
        <xdr:cNvPr id="1021" name="image1.png" title="Imagem">
          <a:extLst>
            <a:ext uri="{FF2B5EF4-FFF2-40B4-BE49-F238E27FC236}">
              <a16:creationId xmlns:a16="http://schemas.microsoft.com/office/drawing/2014/main" id="{B497996F-5AB5-4D6A-8436-717BB46D503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16320</xdr:col>
      <xdr:colOff>47625</xdr:colOff>
      <xdr:row>0</xdr:row>
      <xdr:rowOff>0</xdr:rowOff>
    </xdr:from>
    <xdr:ext cx="1200150" cy="571500"/>
    <xdr:pic>
      <xdr:nvPicPr>
        <xdr:cNvPr id="1022" name="image1.png" title="Imagem">
          <a:extLst>
            <a:ext uri="{FF2B5EF4-FFF2-40B4-BE49-F238E27FC236}">
              <a16:creationId xmlns:a16="http://schemas.microsoft.com/office/drawing/2014/main" id="{F1AF8DBF-0EDC-494D-A678-21DB99879D0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16336</xdr:col>
      <xdr:colOff>47625</xdr:colOff>
      <xdr:row>0</xdr:row>
      <xdr:rowOff>0</xdr:rowOff>
    </xdr:from>
    <xdr:ext cx="1200150" cy="571500"/>
    <xdr:pic>
      <xdr:nvPicPr>
        <xdr:cNvPr id="1023" name="image1.png" title="Imagem">
          <a:extLst>
            <a:ext uri="{FF2B5EF4-FFF2-40B4-BE49-F238E27FC236}">
              <a16:creationId xmlns:a16="http://schemas.microsoft.com/office/drawing/2014/main" id="{85C4DD03-9691-462D-9DA7-5205FF6F078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16352</xdr:col>
      <xdr:colOff>47625</xdr:colOff>
      <xdr:row>0</xdr:row>
      <xdr:rowOff>0</xdr:rowOff>
    </xdr:from>
    <xdr:ext cx="1200150" cy="571500"/>
    <xdr:pic>
      <xdr:nvPicPr>
        <xdr:cNvPr id="1024" name="image1.png" title="Imagem">
          <a:extLst>
            <a:ext uri="{FF2B5EF4-FFF2-40B4-BE49-F238E27FC236}">
              <a16:creationId xmlns:a16="http://schemas.microsoft.com/office/drawing/2014/main" id="{A4097CF9-A225-4F0A-BDFB-AC2D9203019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16368</xdr:col>
      <xdr:colOff>47625</xdr:colOff>
      <xdr:row>0</xdr:row>
      <xdr:rowOff>0</xdr:rowOff>
    </xdr:from>
    <xdr:ext cx="1200150" cy="571500"/>
    <xdr:pic>
      <xdr:nvPicPr>
        <xdr:cNvPr id="1025" name="image1.png" title="Imagem">
          <a:extLst>
            <a:ext uri="{FF2B5EF4-FFF2-40B4-BE49-F238E27FC236}">
              <a16:creationId xmlns:a16="http://schemas.microsoft.com/office/drawing/2014/main" id="{BF50DBF1-B27F-49DF-B032-C558A6DCA5D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80976"/>
          <a:ext cx="1200150" cy="57150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28575</xdr:rowOff>
    </xdr:from>
    <xdr:to>
      <xdr:col>12</xdr:col>
      <xdr:colOff>390525</xdr:colOff>
      <xdr:row>22</xdr:row>
      <xdr:rowOff>133350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7C7CBC6-96E7-7C9D-CBD5-ADBBCAE29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133350</xdr:colOff>
      <xdr:row>0</xdr:row>
      <xdr:rowOff>209551</xdr:rowOff>
    </xdr:from>
    <xdr:ext cx="1200150" cy="571500"/>
    <xdr:pic>
      <xdr:nvPicPr>
        <xdr:cNvPr id="4" name="image1.png" title="Imagem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3350" y="209551"/>
          <a:ext cx="1200150" cy="57150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342900</xdr:colOff>
      <xdr:row>0</xdr:row>
      <xdr:rowOff>66675</xdr:rowOff>
    </xdr:from>
    <xdr:ext cx="1371600" cy="676275"/>
    <xdr:pic>
      <xdr:nvPicPr>
        <xdr:cNvPr id="3" name="image1.png" title="Imagem">
          <a:extLst>
            <a:ext uri="{FF2B5EF4-FFF2-40B4-BE49-F238E27FC236}">
              <a16:creationId xmlns:a16="http://schemas.microsoft.com/office/drawing/2014/main" id="{34921893-31BD-42A4-88B3-A6FCCCC6306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42900" y="66675"/>
          <a:ext cx="1371600" cy="676275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57150</xdr:rowOff>
    </xdr:from>
    <xdr:ext cx="1371600" cy="676275"/>
    <xdr:pic>
      <xdr:nvPicPr>
        <xdr:cNvPr id="2" name="image1.png" title="Imagem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66700" y="57150"/>
          <a:ext cx="1371600" cy="6762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</xdr:colOff>
      <xdr:row>0</xdr:row>
      <xdr:rowOff>142875</xdr:rowOff>
    </xdr:from>
    <xdr:ext cx="1085850" cy="561975"/>
    <xdr:pic>
      <xdr:nvPicPr>
        <xdr:cNvPr id="3" name="image1.png" title="Imagem">
          <a:extLst>
            <a:ext uri="{FF2B5EF4-FFF2-40B4-BE49-F238E27FC236}">
              <a16:creationId xmlns:a16="http://schemas.microsoft.com/office/drawing/2014/main" id="{2878EDAD-C749-41C0-9923-98DF98F617EB}"/>
            </a:ext>
            <a:ext uri="{147F2762-F138-4A5C-976F-8EAC2B608ADB}">
              <a16:predDERef xmlns:a16="http://schemas.microsoft.com/office/drawing/2014/main" pre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66700" y="142875"/>
          <a:ext cx="1085850" cy="561975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133350</xdr:colOff>
      <xdr:row>0</xdr:row>
      <xdr:rowOff>0</xdr:rowOff>
    </xdr:from>
    <xdr:ext cx="1371600" cy="676275"/>
    <xdr:pic>
      <xdr:nvPicPr>
        <xdr:cNvPr id="2" name="image1.png" title="Imagem">
          <a:extLst>
            <a:ext uri="{FF2B5EF4-FFF2-40B4-BE49-F238E27FC236}">
              <a16:creationId xmlns:a16="http://schemas.microsoft.com/office/drawing/2014/main" id="{1DE753FB-B468-4B7C-92DB-8FA24AA2555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3350" y="0"/>
          <a:ext cx="1371600" cy="676275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0</xdr:row>
      <xdr:rowOff>9525</xdr:rowOff>
    </xdr:from>
    <xdr:ext cx="1371600" cy="676275"/>
    <xdr:pic>
      <xdr:nvPicPr>
        <xdr:cNvPr id="2" name="image1.png" title="Imagem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0" y="9525"/>
          <a:ext cx="1371600" cy="6762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</xdr:colOff>
      <xdr:row>0</xdr:row>
      <xdr:rowOff>142875</xdr:rowOff>
    </xdr:from>
    <xdr:ext cx="1085850" cy="561975"/>
    <xdr:pic>
      <xdr:nvPicPr>
        <xdr:cNvPr id="3" name="image1.png" title="Imagem">
          <a:extLst>
            <a:ext uri="{FF2B5EF4-FFF2-40B4-BE49-F238E27FC236}">
              <a16:creationId xmlns:a16="http://schemas.microsoft.com/office/drawing/2014/main" id="{410D1AA9-75D4-4E23-8211-1D727E607F11}"/>
            </a:ext>
            <a:ext uri="{147F2762-F138-4A5C-976F-8EAC2B608ADB}">
              <a16:predDERef xmlns:a16="http://schemas.microsoft.com/office/drawing/2014/main" pre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66700" y="142875"/>
          <a:ext cx="1085850" cy="561975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142875</xdr:rowOff>
    </xdr:from>
    <xdr:ext cx="1085850" cy="561975"/>
    <xdr:pic>
      <xdr:nvPicPr>
        <xdr:cNvPr id="3" name="image1.png" title="Imagem">
          <a:extLst>
            <a:ext uri="{FF2B5EF4-FFF2-40B4-BE49-F238E27FC236}">
              <a16:creationId xmlns:a16="http://schemas.microsoft.com/office/drawing/2014/main" id="{81DABE1C-EEB6-444B-A7D1-C466DAC3F5F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66700" y="142875"/>
          <a:ext cx="1085850" cy="561975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0</xdr:rowOff>
    </xdr:from>
    <xdr:ext cx="1400175" cy="647700"/>
    <xdr:pic>
      <xdr:nvPicPr>
        <xdr:cNvPr id="2" name="image1.png" title="Imagem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2400" y="0"/>
          <a:ext cx="1400175" cy="647700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0</xdr:rowOff>
    </xdr:from>
    <xdr:ext cx="1371600" cy="676275"/>
    <xdr:pic>
      <xdr:nvPicPr>
        <xdr:cNvPr id="2" name="image1.png" title="Imagem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2875" y="0"/>
          <a:ext cx="1371600" cy="676275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0</xdr:row>
      <xdr:rowOff>161925</xdr:rowOff>
    </xdr:from>
    <xdr:ext cx="1371600" cy="676275"/>
    <xdr:pic>
      <xdr:nvPicPr>
        <xdr:cNvPr id="2" name="image1.png" title="Imagem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1925" y="161925"/>
          <a:ext cx="1371600" cy="676275"/>
        </a:xfrm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0</xdr:row>
      <xdr:rowOff>19050</xdr:rowOff>
    </xdr:from>
    <xdr:ext cx="1371600" cy="676275"/>
    <xdr:pic>
      <xdr:nvPicPr>
        <xdr:cNvPr id="2" name="image1.png" title="Imagem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5725" y="19050"/>
          <a:ext cx="1371600" cy="676275"/>
        </a:xfrm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75811</xdr:colOff>
      <xdr:row>0</xdr:row>
      <xdr:rowOff>14968</xdr:rowOff>
    </xdr:from>
    <xdr:ext cx="1371600" cy="676275"/>
    <xdr:pic>
      <xdr:nvPicPr>
        <xdr:cNvPr id="2" name="image1.png" title="Imagem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811" y="14968"/>
          <a:ext cx="1371600" cy="676275"/>
        </a:xfrm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0</xdr:row>
      <xdr:rowOff>38100</xdr:rowOff>
    </xdr:from>
    <xdr:ext cx="1371600" cy="676275"/>
    <xdr:pic>
      <xdr:nvPicPr>
        <xdr:cNvPr id="2" name="image1.png" title="Imagem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3825" y="38100"/>
          <a:ext cx="1371600" cy="676275"/>
        </a:xfrm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0</xdr:row>
      <xdr:rowOff>38100</xdr:rowOff>
    </xdr:from>
    <xdr:ext cx="1371600" cy="676275"/>
    <xdr:pic>
      <xdr:nvPicPr>
        <xdr:cNvPr id="2" name="image1.png" title="Imagem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0" y="38100"/>
          <a:ext cx="1371600" cy="676275"/>
        </a:xfrm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0</xdr:row>
      <xdr:rowOff>38100</xdr:rowOff>
    </xdr:from>
    <xdr:ext cx="1371600" cy="676275"/>
    <xdr:pic>
      <xdr:nvPicPr>
        <xdr:cNvPr id="3" name="image1.png" title="Imagem">
          <a:extLst>
            <a:ext uri="{FF2B5EF4-FFF2-40B4-BE49-F238E27FC236}">
              <a16:creationId xmlns:a16="http://schemas.microsoft.com/office/drawing/2014/main" id="{EAF2216E-05B2-4719-A81F-429AC6D32D9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0" y="38100"/>
          <a:ext cx="1371600" cy="676275"/>
        </a:xfrm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133350</xdr:colOff>
      <xdr:row>0</xdr:row>
      <xdr:rowOff>209551</xdr:rowOff>
    </xdr:from>
    <xdr:ext cx="1200150" cy="571500"/>
    <xdr:pic>
      <xdr:nvPicPr>
        <xdr:cNvPr id="2" name="image1.png" title="Imagem">
          <a:extLst>
            <a:ext uri="{FF2B5EF4-FFF2-40B4-BE49-F238E27FC236}">
              <a16:creationId xmlns:a16="http://schemas.microsoft.com/office/drawing/2014/main" id="{6EB7D187-D24F-4C18-9CFE-80CD1F1190E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3350" y="209551"/>
          <a:ext cx="1200150" cy="571500"/>
        </a:xfrm>
        <a:prstGeom prst="rect">
          <a:avLst/>
        </a:prstGeom>
        <a:noFill/>
      </xdr:spPr>
    </xdr:pic>
    <xdr:clientData fLocksWithSheet="0"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Mário Garcia" id="{6694A2DC-5AF4-4F1F-A8AE-F8AF47AC4A1A}" userId="cb9a5ee9f8119449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Duncan" refreshedDate="45142.757034027774" createdVersion="8" refreshedVersion="8" minRefreshableVersion="3" recordCount="730" xr:uid="{206EBAF5-57E5-4135-82CD-CA9845698373}">
  <cacheSource type="worksheet">
    <worksheetSource ref="A2:U732" sheet="Compilado 2023"/>
  </cacheSource>
  <cacheFields count="24">
    <cacheField name="Semana" numFmtId="0">
      <sharedItems/>
    </cacheField>
    <cacheField name="Data" numFmtId="14">
      <sharedItems containsSemiMixedTypes="0" containsNonDate="0" containsDate="1" containsString="0" minDate="2022-01-01T00:00:00" maxDate="2024-01-01T00:00:00" count="730"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  <fieldGroup par="23"/>
    </cacheField>
    <cacheField name="Faturamento" numFmtId="44">
      <sharedItems containsSemiMixedTypes="0" containsString="0" containsNumber="1" minValue="0" maxValue="570509.35"/>
    </cacheField>
    <cacheField name="Liquido" numFmtId="44">
      <sharedItems containsSemiMixedTypes="0" containsString="0" containsNumber="1" minValue="0" maxValue="570509.35"/>
    </cacheField>
    <cacheField name="Frete" numFmtId="44">
      <sharedItems containsSemiMixedTypes="0" containsString="0" containsNumber="1" minValue="0" maxValue="139.24"/>
    </cacheField>
    <cacheField name="Pedidos" numFmtId="0">
      <sharedItems containsSemiMixedTypes="0" containsString="0" containsNumber="1" containsInteger="1" minValue="0" maxValue="1824"/>
    </cacheField>
    <cacheField name="Itens" numFmtId="0">
      <sharedItems containsSemiMixedTypes="0" containsString="0" containsNumber="1" containsInteger="1" minValue="0" maxValue="2038"/>
    </cacheField>
    <cacheField name="TKT Médio" numFmtId="44">
      <sharedItems containsSemiMixedTypes="0" containsString="0" containsNumber="1" minValue="0" maxValue="515.47639344262302"/>
    </cacheField>
    <cacheField name="Investimento" numFmtId="44">
      <sharedItems containsSemiMixedTypes="0" containsString="0" containsNumber="1" minValue="0" maxValue="4036.1029032258061"/>
    </cacheField>
    <cacheField name="ROAS" numFmtId="2">
      <sharedItems containsSemiMixedTypes="0" containsString="0" containsNumber="1" minValue="0" maxValue="1310.5629165452729"/>
    </cacheField>
    <cacheField name="Usuários" numFmtId="3">
      <sharedItems containsSemiMixedTypes="0" containsString="0" containsNumber="1" containsInteger="1" minValue="0" maxValue="8992"/>
    </cacheField>
    <cacheField name="Conversão" numFmtId="10">
      <sharedItems containsSemiMixedTypes="0" containsString="0" containsNumber="1" minValue="0" maxValue="132"/>
    </cacheField>
    <cacheField name="espaço" numFmtId="0">
      <sharedItems containsBlank="1"/>
    </cacheField>
    <cacheField name="Google" numFmtId="44">
      <sharedItems containsSemiMixedTypes="0" containsString="0" containsNumber="1" minValue="0" maxValue="2078.35"/>
    </cacheField>
    <cacheField name="Facebooks" numFmtId="44">
      <sharedItems containsSemiMixedTypes="0" containsString="0" containsNumber="1" minValue="0" maxValue="1794.38"/>
    </cacheField>
    <cacheField name="Bing" numFmtId="44">
      <sharedItems containsSemiMixedTypes="0" containsString="0" containsNumber="1" containsInteger="1" minValue="0" maxValue="0"/>
    </cacheField>
    <cacheField name="E-mail" numFmtId="44">
      <sharedItems containsSemiMixedTypes="0" containsString="0" containsNumber="1" minValue="0" maxValue="57.142857142857146"/>
    </cacheField>
    <cacheField name="Linkedin" numFmtId="0">
      <sharedItems containsSemiMixedTypes="0" containsString="0" containsNumber="1" minValue="0" maxValue="335.5"/>
    </cacheField>
    <cacheField name="TikTok" numFmtId="44">
      <sharedItems containsSemiMixedTypes="0" containsString="0" containsNumber="1" containsInteger="1" minValue="0" maxValue="70"/>
    </cacheField>
    <cacheField name="Afiliados" numFmtId="44">
      <sharedItems containsSemiMixedTypes="0" containsString="0" containsNumber="1" containsInteger="1" minValue="0" maxValue="0"/>
    </cacheField>
    <cacheField name="Livelo" numFmtId="44">
      <sharedItems containsSemiMixedTypes="0" containsString="0" containsNumber="1" containsInteger="1" minValue="0" maxValue="0"/>
    </cacheField>
    <cacheField name="Meses (Data)" numFmtId="0" databaseField="0">
      <fieldGroup base="1">
        <rangePr groupBy="months" startDate="2022-01-01T00:00:00" endDate="2024-01-01T00:00:00"/>
        <groupItems count="14">
          <s v="&lt;01/01/202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4"/>
        </groupItems>
      </fieldGroup>
    </cacheField>
    <cacheField name="Trimestres (Data)" numFmtId="0" databaseField="0">
      <fieldGroup base="1">
        <rangePr groupBy="quarters" startDate="2022-01-01T00:00:00" endDate="2024-01-01T00:00:00"/>
        <groupItems count="6">
          <s v="&lt;01/01/2022"/>
          <s v="Trim1"/>
          <s v="Trim2"/>
          <s v="Trim3"/>
          <s v="Trim4"/>
          <s v="&gt;01/01/2024"/>
        </groupItems>
      </fieldGroup>
    </cacheField>
    <cacheField name="Anos (Data)" numFmtId="0" databaseField="0">
      <fieldGroup base="1">
        <rangePr groupBy="years" startDate="2022-01-01T00:00:00" endDate="2024-01-01T00:00:00"/>
        <groupItems count="5">
          <s v="&lt;01/01/2022"/>
          <s v="2022"/>
          <s v="2023"/>
          <s v="2024"/>
          <s v="&gt;01/01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Duncan" refreshedDate="45142.757457870372" createdVersion="8" refreshedVersion="8" minRefreshableVersion="3" recordCount="730" xr:uid="{A24EE4B1-CEA3-44C8-8932-0159D39EC28B}">
  <cacheSource type="worksheet">
    <worksheetSource ref="A2:L732" sheet="Compilado 2023"/>
  </cacheSource>
  <cacheFields count="15">
    <cacheField name="Semana" numFmtId="0">
      <sharedItems/>
    </cacheField>
    <cacheField name="Data" numFmtId="14">
      <sharedItems containsSemiMixedTypes="0" containsNonDate="0" containsDate="1" containsString="0" minDate="2022-01-01T00:00:00" maxDate="2026-01-01T00:00:00" count="1095"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5-12-15T00:00:00" u="1"/>
        <d v="2025-09-29T00:00:00" u="1"/>
        <d v="2025-10-25T00:00:00" u="1"/>
        <d v="2025-11-21T00:00:00" u="1"/>
        <d v="2025-12-17T00:00:00" u="1"/>
        <d v="2025-10-27T00:00:00" u="1"/>
        <d v="2025-11-23T00:00:00" u="1"/>
        <d v="2025-12-19T00:00:00" u="1"/>
        <d v="2025-10-29T00:00:00" u="1"/>
        <d v="2025-11-25T00:00:00" u="1"/>
        <d v="2025-12-21T00:00:00" u="1"/>
        <d v="2025-01-02T00:00:00" u="1"/>
        <d v="2025-10-31T00:00:00" u="1"/>
        <d v="2025-11-27T00:00:00" u="1"/>
        <d v="2025-12-23T00:00:00" u="1"/>
        <d v="2025-01-04T00:00:00" u="1"/>
        <d v="2025-11-29T00:00:00" u="1"/>
        <d v="2025-12-25T00:00:00" u="1"/>
        <d v="2025-01-06T00:00:00" u="1"/>
        <d v="2025-02-02T00:00:00" u="1"/>
        <d v="2025-12-27T00:00:00" u="1"/>
        <d v="2025-01-08T00:00:00" u="1"/>
        <d v="2025-02-04T00:00:00" u="1"/>
        <d v="2025-12-29T00:00:00" u="1"/>
        <d v="2025-01-10T00:00:00" u="1"/>
        <d v="2025-02-06T00:00:00" u="1"/>
        <d v="2025-03-02T00:00:00" u="1"/>
        <d v="2025-12-31T00:00:00" u="1"/>
        <d v="2025-01-12T00:00:00" u="1"/>
        <d v="2025-02-08T00:00:00" u="1"/>
        <d v="2025-03-04T00:00:00" u="1"/>
        <d v="2025-01-14T00:00:00" u="1"/>
        <d v="2025-02-10T00:00:00" u="1"/>
        <d v="2025-03-06T00:00:00" u="1"/>
        <d v="2025-04-02T00:00:00" u="1"/>
        <d v="2025-01-16T00:00:00" u="1"/>
        <d v="2025-02-12T00:00:00" u="1"/>
        <d v="2025-03-08T00:00:00" u="1"/>
        <d v="2025-04-04T00:00:00" u="1"/>
        <d v="2025-01-18T00:00:00" u="1"/>
        <d v="2025-02-14T00:00:00" u="1"/>
        <d v="2025-03-10T00:00:00" u="1"/>
        <d v="2025-04-06T00:00:00" u="1"/>
        <d v="2025-05-02T00:00:00" u="1"/>
        <d v="2025-01-20T00:00:00" u="1"/>
        <d v="2025-02-16T00:00:00" u="1"/>
        <d v="2025-03-12T00:00:00" u="1"/>
        <d v="2025-04-08T00:00:00" u="1"/>
        <d v="2025-05-04T00:00:00" u="1"/>
        <d v="2025-01-22T00:00:00" u="1"/>
        <d v="2025-02-18T00:00:00" u="1"/>
        <d v="2025-03-14T00:00:00" u="1"/>
        <d v="2025-04-10T00:00:00" u="1"/>
        <d v="2025-05-06T00:00:00" u="1"/>
        <d v="2025-06-02T00:00:00" u="1"/>
        <d v="2025-01-24T00:00:00" u="1"/>
        <d v="2025-02-20T00:00:00" u="1"/>
        <d v="2025-03-16T00:00:00" u="1"/>
        <d v="2025-04-12T00:00:00" u="1"/>
        <d v="2025-05-08T00:00:00" u="1"/>
        <d v="2025-06-04T00:00:00" u="1"/>
        <d v="2025-01-26T00:00:00" u="1"/>
        <d v="2025-02-22T00:00:00" u="1"/>
        <d v="2025-03-18T00:00:00" u="1"/>
        <d v="2025-04-14T00:00:00" u="1"/>
        <d v="2025-05-10T00:00:00" u="1"/>
        <d v="2025-06-06T00:00:00" u="1"/>
        <d v="2025-07-02T00:00:00" u="1"/>
        <d v="2025-01-28T00:00:00" u="1"/>
        <d v="2025-02-24T00:00:00" u="1"/>
        <d v="2025-03-20T00:00:00" u="1"/>
        <d v="2025-04-16T00:00:00" u="1"/>
        <d v="2025-05-12T00:00:00" u="1"/>
        <d v="2025-06-08T00:00:00" u="1"/>
        <d v="2025-07-04T00:00:00" u="1"/>
        <d v="2025-01-30T00:00:00" u="1"/>
        <d v="2025-02-26T00:00:00" u="1"/>
        <d v="2025-03-22T00:00:00" u="1"/>
        <d v="2025-04-18T00:00:00" u="1"/>
        <d v="2025-05-14T00:00:00" u="1"/>
        <d v="2025-06-10T00:00:00" u="1"/>
        <d v="2025-07-06T00:00:00" u="1"/>
        <d v="2025-08-02T00:00:00" u="1"/>
        <d v="2025-02-28T00:00:00" u="1"/>
        <d v="2025-03-24T00:00:00" u="1"/>
        <d v="2025-04-20T00:00:00" u="1"/>
        <d v="2025-05-16T00:00:00" u="1"/>
        <d v="2025-06-12T00:00:00" u="1"/>
        <d v="2025-07-08T00:00:00" u="1"/>
        <d v="2025-08-04T00:00:00" u="1"/>
        <d v="2025-03-26T00:00:00" u="1"/>
        <d v="2025-04-22T00:00:00" u="1"/>
        <d v="2025-05-18T00:00:00" u="1"/>
        <d v="2025-06-14T00:00:00" u="1"/>
        <d v="2025-07-10T00:00:00" u="1"/>
        <d v="2025-08-06T00:00:00" u="1"/>
        <d v="2025-09-02T00:00:00" u="1"/>
        <d v="2025-03-28T00:00:00" u="1"/>
        <d v="2025-04-24T00:00:00" u="1"/>
        <d v="2025-05-20T00:00:00" u="1"/>
        <d v="2025-06-16T00:00:00" u="1"/>
        <d v="2025-07-12T00:00:00" u="1"/>
        <d v="2025-08-08T00:00:00" u="1"/>
        <d v="2025-09-04T00:00:00" u="1"/>
        <d v="2025-03-30T00:00:00" u="1"/>
        <d v="2025-04-26T00:00:00" u="1"/>
        <d v="2025-05-22T00:00:00" u="1"/>
        <d v="2025-06-18T00:00:00" u="1"/>
        <d v="2025-07-14T00:00:00" u="1"/>
        <d v="2025-08-10T00:00:00" u="1"/>
        <d v="2025-09-06T00:00:00" u="1"/>
        <d v="2025-10-02T00:00:00" u="1"/>
        <d v="2025-04-28T00:00:00" u="1"/>
        <d v="2025-05-24T00:00:00" u="1"/>
        <d v="2025-06-20T00:00:00" u="1"/>
        <d v="2025-07-16T00:00:00" u="1"/>
        <d v="2025-08-12T00:00:00" u="1"/>
        <d v="2025-09-08T00:00:00" u="1"/>
        <d v="2025-10-04T00:00:00" u="1"/>
        <d v="2025-04-30T00:00:00" u="1"/>
        <d v="2025-05-26T00:00:00" u="1"/>
        <d v="2025-06-22T00:00:00" u="1"/>
        <d v="2025-07-18T00:00:00" u="1"/>
        <d v="2025-08-14T00:00:00" u="1"/>
        <d v="2025-09-10T00:00:00" u="1"/>
        <d v="2025-10-06T00:00:00" u="1"/>
        <d v="2025-11-02T00:00:00" u="1"/>
        <d v="2025-05-28T00:00:00" u="1"/>
        <d v="2025-06-24T00:00:00" u="1"/>
        <d v="2025-07-20T00:00:00" u="1"/>
        <d v="2025-08-16T00:00:00" u="1"/>
        <d v="2025-09-12T00:00:00" u="1"/>
        <d v="2025-10-08T00:00:00" u="1"/>
        <d v="2025-11-04T00:00:00" u="1"/>
        <d v="2025-05-30T00:00:00" u="1"/>
        <d v="2025-06-26T00:00:00" u="1"/>
        <d v="2025-07-22T00:00:00" u="1"/>
        <d v="2025-08-18T00:00:00" u="1"/>
        <d v="2025-09-14T00:00:00" u="1"/>
        <d v="2025-10-10T00:00:00" u="1"/>
        <d v="2025-11-06T00:00:00" u="1"/>
        <d v="2025-12-02T00:00:00" u="1"/>
        <d v="2025-06-28T00:00:00" u="1"/>
        <d v="2025-07-24T00:00:00" u="1"/>
        <d v="2025-08-20T00:00:00" u="1"/>
        <d v="2025-09-16T00:00:00" u="1"/>
        <d v="2025-10-12T00:00:00" u="1"/>
        <d v="2025-11-08T00:00:00" u="1"/>
        <d v="2025-12-04T00:00:00" u="1"/>
        <d v="2025-06-30T00:00:00" u="1"/>
        <d v="2025-07-26T00:00:00" u="1"/>
        <d v="2025-08-22T00:00:00" u="1"/>
        <d v="2025-09-18T00:00:00" u="1"/>
        <d v="2025-10-14T00:00:00" u="1"/>
        <d v="2025-11-10T00:00:00" u="1"/>
        <d v="2025-12-06T00:00:00" u="1"/>
        <d v="2025-07-28T00:00:00" u="1"/>
        <d v="2025-08-24T00:00:00" u="1"/>
        <d v="2025-09-20T00:00:00" u="1"/>
        <d v="2025-10-16T00:00:00" u="1"/>
        <d v="2025-11-12T00:00:00" u="1"/>
        <d v="2025-12-08T00:00:00" u="1"/>
        <d v="2025-07-30T00:00:00" u="1"/>
        <d v="2025-08-26T00:00:00" u="1"/>
        <d v="2025-09-22T00:00:00" u="1"/>
        <d v="2025-10-18T00:00:00" u="1"/>
        <d v="2025-11-14T00:00:00" u="1"/>
        <d v="2025-12-10T00:00:00" u="1"/>
        <d v="2025-08-28T00:00:00" u="1"/>
        <d v="2025-09-24T00:00:00" u="1"/>
        <d v="2025-10-20T00:00:00" u="1"/>
        <d v="2025-11-16T00:00:00" u="1"/>
        <d v="2025-12-12T00:00:00" u="1"/>
        <d v="2025-08-30T00:00:00" u="1"/>
        <d v="2025-09-26T00:00:00" u="1"/>
        <d v="2025-10-22T00:00:00" u="1"/>
        <d v="2025-11-18T00:00:00" u="1"/>
        <d v="2025-12-14T00:00:00" u="1"/>
        <d v="2025-09-28T00:00:00" u="1"/>
        <d v="2025-10-24T00:00:00" u="1"/>
        <d v="2025-11-20T00:00:00" u="1"/>
        <d v="2025-12-16T00:00:00" u="1"/>
        <d v="2025-09-30T00:00:00" u="1"/>
        <d v="2025-10-26T00:00:00" u="1"/>
        <d v="2025-11-22T00:00:00" u="1"/>
        <d v="2025-12-18T00:00:00" u="1"/>
        <d v="2025-10-28T00:00:00" u="1"/>
        <d v="2025-11-24T00:00:00" u="1"/>
        <d v="2025-12-20T00:00:00" u="1"/>
        <d v="2025-01-01T00:00:00" u="1"/>
        <d v="2025-10-30T00:00:00" u="1"/>
        <d v="2025-11-26T00:00:00" u="1"/>
        <d v="2025-12-22T00:00:00" u="1"/>
        <d v="2025-01-03T00:00:00" u="1"/>
        <d v="2025-11-28T00:00:00" u="1"/>
        <d v="2025-12-24T00:00:00" u="1"/>
        <d v="2025-01-05T00:00:00" u="1"/>
        <d v="2025-02-01T00:00:00" u="1"/>
        <d v="2025-11-30T00:00:00" u="1"/>
        <d v="2025-12-26T00:00:00" u="1"/>
        <d v="2025-01-07T00:00:00" u="1"/>
        <d v="2025-02-03T00:00:00" u="1"/>
        <d v="2025-12-28T00:00:00" u="1"/>
        <d v="2025-01-09T00:00:00" u="1"/>
        <d v="2025-02-05T00:00:00" u="1"/>
        <d v="2025-03-01T00:00:00" u="1"/>
        <d v="2025-12-30T00:00:00" u="1"/>
        <d v="2025-01-11T00:00:00" u="1"/>
        <d v="2025-02-07T00:00:00" u="1"/>
        <d v="2025-03-03T00:00:00" u="1"/>
        <d v="2025-01-13T00:00:00" u="1"/>
        <d v="2025-02-09T00:00:00" u="1"/>
        <d v="2025-03-05T00:00:00" u="1"/>
        <d v="2025-04-01T00:00:00" u="1"/>
        <d v="2025-01-15T00:00:00" u="1"/>
        <d v="2025-02-11T00:00:00" u="1"/>
        <d v="2025-03-07T00:00:00" u="1"/>
        <d v="2025-04-03T00:00:00" u="1"/>
        <d v="2025-01-17T00:00:00" u="1"/>
        <d v="2025-02-13T00:00:00" u="1"/>
        <d v="2025-03-09T00:00:00" u="1"/>
        <d v="2025-04-05T00:00:00" u="1"/>
        <d v="2025-05-01T00:00:00" u="1"/>
        <d v="2025-01-19T00:00:00" u="1"/>
        <d v="2025-02-15T00:00:00" u="1"/>
        <d v="2025-03-11T00:00:00" u="1"/>
        <d v="2025-04-07T00:00:00" u="1"/>
        <d v="2025-05-03T00:00:00" u="1"/>
        <d v="2025-01-21T00:00:00" u="1"/>
        <d v="2025-02-17T00:00:00" u="1"/>
        <d v="2025-03-13T00:00:00" u="1"/>
        <d v="2025-04-09T00:00:00" u="1"/>
        <d v="2025-05-05T00:00:00" u="1"/>
        <d v="2025-06-01T00:00:00" u="1"/>
        <d v="2025-01-23T00:00:00" u="1"/>
        <d v="2025-02-19T00:00:00" u="1"/>
        <d v="2025-03-15T00:00:00" u="1"/>
        <d v="2025-04-11T00:00:00" u="1"/>
        <d v="2025-05-07T00:00:00" u="1"/>
        <d v="2025-06-03T00:00:00" u="1"/>
        <d v="2025-01-25T00:00:00" u="1"/>
        <d v="2025-02-21T00:00:00" u="1"/>
        <d v="2025-03-17T00:00:00" u="1"/>
        <d v="2025-04-13T00:00:00" u="1"/>
        <d v="2025-05-09T00:00:00" u="1"/>
        <d v="2025-06-05T00:00:00" u="1"/>
        <d v="2025-07-01T00:00:00" u="1"/>
        <d v="2025-01-27T00:00:00" u="1"/>
        <d v="2025-02-23T00:00:00" u="1"/>
        <d v="2025-03-19T00:00:00" u="1"/>
        <d v="2025-04-15T00:00:00" u="1"/>
        <d v="2025-05-11T00:00:00" u="1"/>
        <d v="2025-06-07T00:00:00" u="1"/>
        <d v="2025-07-03T00:00:00" u="1"/>
        <d v="2025-01-29T00:00:00" u="1"/>
        <d v="2025-02-25T00:00:00" u="1"/>
        <d v="2025-03-21T00:00:00" u="1"/>
        <d v="2025-04-17T00:00:00" u="1"/>
        <d v="2025-05-13T00:00:00" u="1"/>
        <d v="2025-06-09T00:00:00" u="1"/>
        <d v="2025-07-05T00:00:00" u="1"/>
        <d v="2025-08-01T00:00:00" u="1"/>
        <d v="2025-01-31T00:00:00" u="1"/>
        <d v="2025-02-27T00:00:00" u="1"/>
        <d v="2025-03-23T00:00:00" u="1"/>
        <d v="2025-04-19T00:00:00" u="1"/>
        <d v="2025-05-15T00:00:00" u="1"/>
        <d v="2025-06-11T00:00:00" u="1"/>
        <d v="2025-07-07T00:00:00" u="1"/>
        <d v="2025-08-03T00:00:00" u="1"/>
        <d v="2025-03-25T00:00:00" u="1"/>
        <d v="2025-04-21T00:00:00" u="1"/>
        <d v="2025-05-17T00:00:00" u="1"/>
        <d v="2025-06-13T00:00:00" u="1"/>
        <d v="2025-07-09T00:00:00" u="1"/>
        <d v="2025-08-05T00:00:00" u="1"/>
        <d v="2025-09-01T00:00:00" u="1"/>
        <d v="2025-03-27T00:00:00" u="1"/>
        <d v="2025-04-23T00:00:00" u="1"/>
        <d v="2025-05-19T00:00:00" u="1"/>
        <d v="2025-06-15T00:00:00" u="1"/>
        <d v="2025-07-11T00:00:00" u="1"/>
        <d v="2025-08-07T00:00:00" u="1"/>
        <d v="2025-09-03T00:00:00" u="1"/>
        <d v="2025-03-29T00:00:00" u="1"/>
        <d v="2025-04-25T00:00:00" u="1"/>
        <d v="2025-05-21T00:00:00" u="1"/>
        <d v="2025-06-17T00:00:00" u="1"/>
        <d v="2025-07-13T00:00:00" u="1"/>
        <d v="2025-08-09T00:00:00" u="1"/>
        <d v="2025-09-05T00:00:00" u="1"/>
        <d v="2025-10-01T00:00:00" u="1"/>
        <d v="2025-03-31T00:00:00" u="1"/>
        <d v="2025-04-27T00:00:00" u="1"/>
        <d v="2025-05-23T00:00:00" u="1"/>
        <d v="2025-06-19T00:00:00" u="1"/>
        <d v="2025-07-15T00:00:00" u="1"/>
        <d v="2025-08-11T00:00:00" u="1"/>
        <d v="2025-09-07T00:00:00" u="1"/>
        <d v="2025-10-03T00:00:00" u="1"/>
        <d v="2025-04-29T00:00:00" u="1"/>
        <d v="2025-05-25T00:00:00" u="1"/>
        <d v="2025-06-21T00:00:00" u="1"/>
        <d v="2025-07-17T00:00:00" u="1"/>
        <d v="2025-08-13T00:00:00" u="1"/>
        <d v="2025-09-09T00:00:00" u="1"/>
        <d v="2025-10-05T00:00:00" u="1"/>
        <d v="2025-11-01T00:00:00" u="1"/>
        <d v="2025-05-27T00:00:00" u="1"/>
        <d v="2025-06-23T00:00:00" u="1"/>
        <d v="2025-07-19T00:00:00" u="1"/>
        <d v="2025-08-15T00:00:00" u="1"/>
        <d v="2025-09-11T00:00:00" u="1"/>
        <d v="2025-10-07T00:00:00" u="1"/>
        <d v="2025-11-03T00:00:00" u="1"/>
        <d v="2025-05-29T00:00:00" u="1"/>
        <d v="2025-06-25T00:00:00" u="1"/>
        <d v="2025-07-21T00:00:00" u="1"/>
        <d v="2025-08-17T00:00:00" u="1"/>
        <d v="2025-09-13T00:00:00" u="1"/>
        <d v="2025-10-09T00:00:00" u="1"/>
        <d v="2025-11-05T00:00:00" u="1"/>
        <d v="2025-12-01T00:00:00" u="1"/>
        <d v="2025-05-31T00:00:00" u="1"/>
        <d v="2025-06-27T00:00:00" u="1"/>
        <d v="2025-07-23T00:00:00" u="1"/>
        <d v="2025-08-19T00:00:00" u="1"/>
        <d v="2025-09-15T00:00:00" u="1"/>
        <d v="2025-10-11T00:00:00" u="1"/>
        <d v="2025-11-07T00:00:00" u="1"/>
        <d v="2025-12-03T00:00:00" u="1"/>
        <d v="2025-06-29T00:00:00" u="1"/>
        <d v="2025-07-25T00:00:00" u="1"/>
        <d v="2025-08-21T00:00:00" u="1"/>
        <d v="2025-09-17T00:00:00" u="1"/>
        <d v="2025-10-13T00:00:00" u="1"/>
        <d v="2025-11-09T00:00:00" u="1"/>
        <d v="2025-12-05T00:00:00" u="1"/>
        <d v="2025-07-27T00:00:00" u="1"/>
        <d v="2025-08-23T00:00:00" u="1"/>
        <d v="2025-09-19T00:00:00" u="1"/>
        <d v="2025-10-15T00:00:00" u="1"/>
        <d v="2025-11-11T00:00:00" u="1"/>
        <d v="2025-12-07T00:00:00" u="1"/>
        <d v="2025-07-29T00:00:00" u="1"/>
        <d v="2025-08-25T00:00:00" u="1"/>
        <d v="2025-09-21T00:00:00" u="1"/>
        <d v="2025-10-17T00:00:00" u="1"/>
        <d v="2025-11-13T00:00:00" u="1"/>
        <d v="2025-12-09T00:00:00" u="1"/>
        <d v="2025-07-31T00:00:00" u="1"/>
        <d v="2025-08-27T00:00:00" u="1"/>
        <d v="2025-09-23T00:00:00" u="1"/>
        <d v="2025-10-19T00:00:00" u="1"/>
        <d v="2025-11-15T00:00:00" u="1"/>
        <d v="2025-12-11T00:00:00" u="1"/>
        <d v="2025-08-29T00:00:00" u="1"/>
        <d v="2025-09-25T00:00:00" u="1"/>
        <d v="2025-10-21T00:00:00" u="1"/>
        <d v="2025-11-17T00:00:00" u="1"/>
        <d v="2025-12-13T00:00:00" u="1"/>
        <d v="2025-08-31T00:00:00" u="1"/>
        <d v="2025-09-27T00:00:00" u="1"/>
        <d v="2025-10-23T00:00:00" u="1"/>
        <d v="2025-11-19T00:00:00" u="1"/>
      </sharedItems>
      <fieldGroup par="14"/>
    </cacheField>
    <cacheField name="Faturamento" numFmtId="44">
      <sharedItems containsSemiMixedTypes="0" containsString="0" containsNumber="1" minValue="0" maxValue="570509.35" count="581">
        <n v="5604.5"/>
        <n v="14542.06"/>
        <n v="32070.35"/>
        <n v="29496.3"/>
        <n v="31936.07"/>
        <n v="31305.439999999999"/>
        <n v="23900.41"/>
        <n v="11335.06"/>
        <n v="11848.73"/>
        <n v="30538.06"/>
        <n v="23086.73"/>
        <n v="27521.47"/>
        <n v="29283.95"/>
        <n v="29457.77"/>
        <n v="17356.990000000002"/>
        <n v="16479.939999999999"/>
        <n v="29037.33"/>
        <n v="23704.3"/>
        <n v="30359.67"/>
        <n v="23211.75"/>
        <n v="28186.440000000002"/>
        <n v="17544.060000000001"/>
        <n v="13039.53"/>
        <n v="22746.44"/>
        <n v="22863.53"/>
        <n v="31040.799999999999"/>
        <n v="27183.93"/>
        <n v="34283.760000000002"/>
        <n v="20013.039999999997"/>
        <n v="12825.9"/>
        <n v="32690.98"/>
        <n v="34727.58"/>
        <n v="34513.9"/>
        <n v="34177.800000000003"/>
        <n v="43437.4"/>
        <n v="19563.78"/>
        <n v="16604.64"/>
        <n v="33095.360000000001"/>
        <n v="44882.03"/>
        <n v="35537.760000000002"/>
        <n v="32915.71"/>
        <n v="35620.560000000005"/>
        <n v="24216.17"/>
        <n v="17251.7"/>
        <n v="49152.92"/>
        <n v="37487.620000000003"/>
        <n v="34466.01"/>
        <n v="48035.64"/>
        <n v="48224.450000000004"/>
        <n v="22149.7"/>
        <n v="18486.900000000001"/>
        <n v="29771.11"/>
        <n v="41774.85"/>
        <n v="36378.120000000003"/>
        <n v="47748.09"/>
        <n v="52562"/>
        <n v="24624.39"/>
        <n v="14697.45"/>
        <n v="20827.53"/>
        <n v="26424.45"/>
        <n v="33508.92"/>
        <n v="38636.53"/>
        <n v="34604.03"/>
        <n v="20933.25"/>
        <n v="20185.640000000003"/>
        <n v="53461.25"/>
        <n v="69122.89"/>
        <n v="39587.160000000003"/>
        <n v="28431.84"/>
        <n v="31452.85"/>
        <n v="20817.13"/>
        <n v="21368.78"/>
        <n v="55459.98"/>
        <n v="40873.85"/>
        <n v="46762.31"/>
        <n v="37319.58"/>
        <n v="38156.839999999997"/>
        <n v="21362.15"/>
        <n v="18377.780000000002"/>
        <n v="34908.94"/>
        <n v="32690.080000000002"/>
        <n v="35630.86"/>
        <n v="29448.65"/>
        <n v="31942.809999999998"/>
        <n v="23258.31"/>
        <n v="15994.4"/>
        <n v="31252.33"/>
        <n v="52253.94"/>
        <n v="47794.42"/>
        <n v="45492.77"/>
        <n v="48264.800000000003"/>
        <n v="34612.26"/>
        <n v="19526.830000000002"/>
        <n v="55338.26"/>
        <n v="37150.1"/>
        <n v="48005.71"/>
        <n v="48798.1"/>
        <n v="48386.76"/>
        <n v="30618.080000000002"/>
        <n v="24846.03"/>
        <n v="40179.22"/>
        <n v="50744.22"/>
        <n v="39104.629999999997"/>
        <n v="52367.01"/>
        <n v="20921.53"/>
        <n v="27300.05"/>
        <n v="16434.91"/>
        <n v="33019.06"/>
        <n v="48457.27"/>
        <n v="34555.19"/>
        <n v="23262.320000000003"/>
        <n v="34228.5"/>
        <n v="14434.7"/>
        <n v="22858.3"/>
        <n v="60267.72"/>
        <n v="43606.53"/>
        <n v="62249.99"/>
        <n v="68461.149999999994"/>
        <n v="65289.740000000005"/>
        <n v="39173.85"/>
        <n v="42443.15"/>
        <n v="154579.30000000002"/>
        <n v="149914.43"/>
        <n v="164851.48000000001"/>
        <n v="187138.48"/>
        <n v="283599.35999999999"/>
        <n v="328478.06"/>
        <n v="304478.12"/>
        <n v="69381.47"/>
        <n v="53879.05"/>
        <n v="56363.07"/>
        <n v="51690.61"/>
        <n v="41311.440000000002"/>
        <n v="33446.58"/>
        <n v="36932.65"/>
        <n v="46064.13"/>
        <n v="30920.560000000001"/>
        <n v="33362.79"/>
        <n v="39236.49"/>
        <n v="37411.68"/>
        <n v="20893.580000000002"/>
        <n v="17382.490000000002"/>
        <n v="51145"/>
        <n v="33726.129999999997"/>
        <n v="38414.57"/>
        <n v="37953.9"/>
        <n v="39442.199999999997"/>
        <n v="25814.95"/>
        <n v="15903.98"/>
        <n v="37897.050000000003"/>
        <n v="40676.800000000003"/>
        <n v="49373.24"/>
        <n v="51427.799999999996"/>
        <n v="50800.02"/>
        <n v="33834"/>
        <n v="25679.15"/>
        <n v="69575.03"/>
        <n v="75026.94"/>
        <n v="86884.65"/>
        <n v="98967.56"/>
        <n v="131263.9"/>
        <n v="107821.73"/>
        <n v="74115.429999999993"/>
        <n v="56578.89"/>
        <n v="34765.64"/>
        <n v="41865.39"/>
        <n v="25783"/>
        <n v="28389.99"/>
        <n v="18816.2"/>
        <n v="14449.230000000001"/>
        <n v="44265.18"/>
        <n v="35675.360000000001"/>
        <n v="42666.17"/>
        <n v="44840.61"/>
        <n v="30881"/>
        <n v="32339.3"/>
        <n v="22976.75"/>
        <n v="42091.839999999997"/>
        <n v="35210.839999999997"/>
        <n v="55177.34"/>
        <n v="43925.25"/>
        <n v="39442.19"/>
        <n v="26341.55"/>
        <n v="15608.35"/>
        <n v="29378.33"/>
        <n v="36634.06"/>
        <n v="42395.32"/>
        <n v="37505.440000000002"/>
        <n v="50251.18"/>
        <n v="28220.48"/>
        <n v="17813.48"/>
        <n v="41088.559999999998"/>
        <n v="39520.199999999997"/>
        <n v="29366.97"/>
        <n v="43354.31"/>
        <n v="31410.61"/>
        <n v="25911.83"/>
        <n v="16770.150000000001"/>
        <n v="44997.21"/>
        <n v="30103.75"/>
        <n v="38463.339999999997"/>
        <n v="43953.520000000004"/>
        <n v="46043.340000000004"/>
        <n v="29208.240000000002"/>
        <n v="15852.57"/>
        <n v="42420.56"/>
        <n v="41337.86"/>
        <n v="43697.78"/>
        <n v="45484.15"/>
        <n v="54603.91"/>
        <n v="33714.1"/>
        <n v="29380.99"/>
        <n v="52333.59"/>
        <n v="45930.39"/>
        <n v="45753.91"/>
        <n v="44512.45"/>
        <n v="45445.14"/>
        <n v="30357.829999999998"/>
        <n v="24401.55"/>
        <n v="61070.12"/>
        <n v="59006.1"/>
        <n v="57417.25"/>
        <n v="56325.450000000004"/>
        <n v="81631.37"/>
        <n v="64479.040000000001"/>
        <n v="61507.839999999997"/>
        <n v="71912"/>
        <n v="55887"/>
        <n v="48064.41"/>
        <n v="50528.83"/>
        <n v="46428.93"/>
        <n v="26075.7"/>
        <n v="20508.25"/>
        <n v="37077.56"/>
        <n v="38042.04"/>
        <n v="36249.040000000001"/>
        <n v="38652.47"/>
        <n v="43292.67"/>
        <n v="27367.82"/>
        <n v="21585.8"/>
        <n v="39502.67"/>
        <n v="36029.29"/>
        <n v="55833.37"/>
        <n v="78671.47"/>
        <n v="64168.27"/>
        <n v="39457.31"/>
        <n v="43705.19"/>
        <n v="59206.32"/>
        <n v="53971.99"/>
        <n v="28432.95"/>
        <n v="56579.35"/>
        <n v="51745.83"/>
        <n v="37821.11"/>
        <n v="21783.94"/>
        <n v="56171.27"/>
        <n v="54652.83"/>
        <n v="58360.29"/>
        <n v="53315.81"/>
        <n v="47071.95"/>
        <n v="32546.26"/>
        <n v="20304.75"/>
        <n v="71887.569999999992"/>
        <n v="65118.879999999997"/>
        <n v="61030.95"/>
        <n v="58325.86"/>
        <n v="49237.4"/>
        <n v="26717.62"/>
        <n v="16274.91"/>
        <n v="41882.97"/>
        <n v="44967.11"/>
        <n v="66855.64"/>
        <n v="67928.87"/>
        <n v="72018.289999999994"/>
        <n v="27208.94"/>
        <n v="19267.509999999998"/>
        <n v="53382.78"/>
        <n v="53991.78"/>
        <n v="63410.69"/>
        <n v="70591.55"/>
        <n v="56426.45"/>
        <n v="34045.519999999997"/>
        <n v="31413.88"/>
        <n v="83088.41"/>
        <n v="54145.53"/>
        <n v="28637.71"/>
        <n v="75178.97"/>
        <n v="69021.100000000006"/>
        <n v="32945.99"/>
        <n v="33301.060000000005"/>
        <n v="54198.73"/>
        <n v="53864.959999999999"/>
        <n v="54580.46"/>
        <n v="52917.62"/>
        <n v="60429.95"/>
        <n v="44015.68"/>
        <n v="24770.07"/>
        <n v="43638.159999999996"/>
        <n v="42354.62"/>
        <n v="42003.97"/>
        <n v="41668.050000000003"/>
        <n v="46037.66"/>
        <n v="27353.200000000001"/>
        <n v="16529.8"/>
        <n v="40416.239999999998"/>
        <n v="52463.95"/>
        <n v="28179.040000000001"/>
        <n v="41401.97"/>
        <n v="49293.59"/>
        <n v="32532.11"/>
        <n v="18743.48"/>
        <n v="50476.14"/>
        <n v="45692.1"/>
        <n v="64711.35"/>
        <n v="62344.07"/>
        <n v="59936.65"/>
        <n v="34354.720000000001"/>
        <n v="20268.12"/>
        <n v="48541.04"/>
        <n v="45918.36"/>
        <n v="47671.23"/>
        <n v="57858.689999999995"/>
        <n v="60713.560000000005"/>
        <n v="34580.47"/>
        <n v="24648.560000000001"/>
        <n v="77449.23"/>
        <n v="72089.929999999993"/>
        <n v="72712.94"/>
        <n v="72854.37"/>
        <n v="202447.33"/>
        <n v="72318.87"/>
        <n v="105709.64"/>
        <n v="128206.03"/>
        <n v="79620.41"/>
        <n v="72792.55"/>
        <n v="86486.31"/>
        <n v="74098.990000000005"/>
        <n v="37757.5"/>
        <n v="39635.199999999997"/>
        <n v="148777.51"/>
        <n v="82021.700000000012"/>
        <n v="112728.83"/>
        <n v="97402.85"/>
        <n v="72230.45"/>
        <n v="55323.9"/>
        <n v="38946.699999999997"/>
        <n v="122650.9"/>
        <n v="151315.48000000001"/>
        <n v="139784.78999999998"/>
        <n v="140222.94999999998"/>
        <n v="116080.44"/>
        <n v="89484.36"/>
        <n v="65863.39"/>
        <n v="213431.53"/>
        <n v="196362.28"/>
        <n v="208403.15"/>
        <n v="235235.42"/>
        <n v="272208.45"/>
        <n v="266775.34999999998"/>
        <n v="59416.770000000004"/>
        <n v="76654.78"/>
        <n v="69194.400000000009"/>
        <n v="60668.97"/>
        <n v="50730.98"/>
        <n v="62888.12"/>
        <n v="27474.32"/>
        <n v="6682.58"/>
        <n v="42296.450000000004"/>
        <n v="43147.4"/>
        <n v="38413.61"/>
        <n v="49185.479999999996"/>
        <n v="51769.86"/>
        <n v="29276.06"/>
        <n v="20412"/>
        <n v="85246.720000000001"/>
        <n v="49229.68"/>
        <n v="48477.84"/>
        <n v="44063.81"/>
        <n v="52188.93"/>
        <n v="29397.59"/>
        <n v="19339.43"/>
        <n v="51975.040000000001"/>
        <n v="50484.39"/>
        <n v="41546.6"/>
        <n v="48606.590000000004"/>
        <n v="47358.7"/>
        <n v="28997.52"/>
        <n v="21080.97"/>
        <n v="41285.769999999997"/>
        <n v="37590.089999999997"/>
        <n v="30697.73"/>
        <n v="43594.71"/>
        <n v="49211.27"/>
        <n v="30886.31"/>
        <n v="34177.75"/>
        <n v="41810.53"/>
        <n v="44914.39"/>
        <n v="53448.29"/>
        <n v="50248.229999999996"/>
        <n v="56820.639999999999"/>
        <n v="34845.57"/>
        <n v="26623.71"/>
        <n v="56135.29"/>
        <n v="58274.909999999996"/>
        <n v="54102.85"/>
        <n v="59517.48"/>
        <n v="54709.57"/>
        <n v="34589.97"/>
        <n v="23175.759999999998"/>
        <n v="56619.64"/>
        <n v="74816.789999999994"/>
        <n v="87917.3"/>
        <n v="62188.55"/>
        <n v="57524.81"/>
        <n v="35844"/>
        <n v="14837.7"/>
        <n v="18044.34"/>
        <n v="23344.45"/>
        <n v="44515.35"/>
        <n v="68916.42"/>
        <n v="61456.45"/>
        <n v="34613.06"/>
        <n v="31566.06"/>
        <n v="54049.19"/>
        <n v="63122.23"/>
        <n v="99349.72"/>
        <n v="63060.67"/>
        <n v="78154.98"/>
        <n v="52294.899999999994"/>
        <n v="40788.31"/>
        <n v="105622.40999999999"/>
        <n v="99791.739999999991"/>
        <n v="169409.17"/>
        <n v="73347.12"/>
        <n v="73599.06"/>
        <n v="42795.38"/>
        <n v="30194.880000000001"/>
        <n v="63956.98"/>
        <n v="68999.23"/>
        <n v="65612.67"/>
        <n v="71611.850000000006"/>
        <n v="65077.84"/>
        <n v="43165.86"/>
        <n v="27892.32"/>
        <n v="56319.55"/>
        <n v="55669.26"/>
        <n v="51887.43"/>
        <n v="61012.240000000005"/>
        <n v="63681.1"/>
        <n v="47069.79"/>
        <n v="32540.959999999999"/>
        <n v="52831.55"/>
        <n v="50011.32"/>
        <n v="70300.590000000011"/>
        <n v="72330.13"/>
        <n v="69001.09"/>
        <n v="45316.49"/>
        <n v="31392.21"/>
        <n v="63954.95"/>
        <n v="57968.159999999996"/>
        <n v="73847.72"/>
        <n v="117256.14"/>
        <n v="34758.99"/>
        <n v="33919.589999999997"/>
        <n v="28990.42"/>
        <n v="56755.53"/>
        <n v="67143.679999999993"/>
        <n v="87256.459999999992"/>
        <n v="94113.84"/>
        <n v="85203.839999999997"/>
        <n v="54715.27"/>
        <n v="39182.629999999997"/>
        <n v="79877.94"/>
        <n v="112196.78"/>
        <n v="119408.18"/>
        <n v="121632.08"/>
        <n v="57623.18"/>
        <n v="58465.83"/>
        <n v="57441.25"/>
        <n v="63580.01"/>
        <n v="73111.960000000006"/>
        <n v="61907.360000000001"/>
        <n v="72297.61"/>
        <n v="83524.69"/>
        <n v="48457.47"/>
        <n v="35392.46"/>
        <n v="42406.14"/>
        <n v="112788.95"/>
        <n v="120576.68"/>
        <n v="120773.06"/>
        <n v="162231.12"/>
        <n v="87353.95"/>
        <n v="78208.12"/>
        <n v="229192.53999999998"/>
        <n v="242645.95"/>
        <n v="299456.12"/>
        <n v="305603.63"/>
        <n v="527321.22"/>
        <n v="570509.35"/>
        <n v="513678.94"/>
        <n v="157142.85999999999"/>
        <n v="129970.04"/>
        <n v="82948.320000000007"/>
        <n v="56528.28"/>
        <n v="80530.759999999995"/>
        <n v="39327.93"/>
        <n v="32806.550000000003"/>
        <n v="73944.570000000007"/>
        <n v="64301.17"/>
        <n v="63601.87"/>
        <n v="76398.84"/>
        <n v="77451"/>
        <n v="55588.34"/>
        <n v="35907.269999999997"/>
        <n v="85134.89"/>
        <n v="71453.259999999995"/>
        <n v="79730.649999999994"/>
        <n v="69394.260000000009"/>
        <n v="92678.05"/>
        <n v="46583.77"/>
        <n v="53461.599999999999"/>
        <n v="108978.5"/>
        <n v="110507.95"/>
        <n v="112268.97"/>
        <n v="89754.78"/>
        <n v="115721.65"/>
        <n v="102935.45"/>
        <n v="136501.45000000001"/>
        <n v="353104.17"/>
        <n v="76630.16"/>
        <n v="62688.640000000007"/>
        <n v="61925.090000000004"/>
        <n v="66215.08"/>
        <n v="38195.82"/>
        <n v="30682.55"/>
        <n v="53247.97"/>
        <n v="65109.03"/>
        <n v="53562.32"/>
        <n v="56647.799999999996"/>
        <n v="55563.08"/>
        <n v="31043.460000000003"/>
        <n v="24508.92"/>
        <n v="116688.49"/>
        <n v="105816.79000000001"/>
        <n v="68415.91"/>
        <n v="72459.34"/>
        <n v="95968.51"/>
        <n v="42346.6"/>
        <n v="29860.62"/>
        <n v="63094.61"/>
        <n v="51297.189999999995"/>
        <n v="57068.22"/>
        <n v="67730.460000000006"/>
        <n v="58300.55"/>
        <n v="35975.949999999997"/>
        <n v="29340.36"/>
        <n v="61533.279999999999"/>
        <n v="63601.54"/>
        <n v="62310.720000000001"/>
        <n v="60212.45"/>
        <n v="67998.05"/>
        <n v="38647.75"/>
        <n v="26806.639999999999"/>
        <n v="67591.179999999993"/>
        <n v="40260.420000000006"/>
        <n v="47614.62"/>
        <n v="48753.4"/>
        <n v="49015.22"/>
        <n v="33277.61"/>
        <n v="24143.34"/>
        <n v="58669.01"/>
        <n v="69821.009999999995"/>
        <n v="38679.120000000003"/>
        <n v="55341.440000000002"/>
        <n v="56585.719999999994"/>
        <n v="43999.29"/>
        <n v="39462.46"/>
        <n v="51227.97"/>
        <n v="37837.360000000001"/>
        <n v="61652.53"/>
        <n v="35391.74"/>
        <n v="0"/>
      </sharedItems>
    </cacheField>
    <cacheField name="Liquido" numFmtId="44">
      <sharedItems containsSemiMixedTypes="0" containsString="0" containsNumber="1" minValue="0" maxValue="570509.35"/>
    </cacheField>
    <cacheField name="Frete" numFmtId="44">
      <sharedItems containsSemiMixedTypes="0" containsString="0" containsNumber="1" minValue="0" maxValue="139.24"/>
    </cacheField>
    <cacheField name="Pedidos" numFmtId="0">
      <sharedItems containsSemiMixedTypes="0" containsString="0" containsNumber="1" containsInteger="1" minValue="0" maxValue="1824"/>
    </cacheField>
    <cacheField name="Itens" numFmtId="0">
      <sharedItems containsSemiMixedTypes="0" containsString="0" containsNumber="1" containsInteger="1" minValue="0" maxValue="2038"/>
    </cacheField>
    <cacheField name="TKT Médio" numFmtId="44">
      <sharedItems containsSemiMixedTypes="0" containsString="0" containsNumber="1" minValue="0" maxValue="515.47639344262302"/>
    </cacheField>
    <cacheField name="Investimento" numFmtId="44">
      <sharedItems containsSemiMixedTypes="0" containsString="0" containsNumber="1" minValue="0" maxValue="4036.1029032258061"/>
    </cacheField>
    <cacheField name="ROAS" numFmtId="2">
      <sharedItems containsSemiMixedTypes="0" containsString="0" containsNumber="1" minValue="0" maxValue="1310.5629165452729"/>
    </cacheField>
    <cacheField name="Usuários" numFmtId="3">
      <sharedItems containsSemiMixedTypes="0" containsString="0" containsNumber="1" containsInteger="1" minValue="0" maxValue="8992"/>
    </cacheField>
    <cacheField name="Conversão" numFmtId="10">
      <sharedItems containsSemiMixedTypes="0" containsString="0" containsNumber="1" minValue="0" maxValue="132"/>
    </cacheField>
    <cacheField name="Meses (Data)" numFmtId="0" databaseField="0">
      <fieldGroup base="1">
        <rangePr groupBy="months" startDate="2022-01-01T00:00:00" endDate="2024-01-01T00:00:00"/>
        <groupItems count="14">
          <s v="&lt;01/01/202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4"/>
        </groupItems>
      </fieldGroup>
    </cacheField>
    <cacheField name="Trimestres (Data)" numFmtId="0" databaseField="0">
      <fieldGroup base="1">
        <rangePr groupBy="quarters" startDate="2022-01-01T00:00:00" endDate="2024-01-01T00:00:00"/>
        <groupItems count="6">
          <s v="&lt;01/01/2022"/>
          <s v="Trim1"/>
          <s v="Trim2"/>
          <s v="Trim3"/>
          <s v="Trim4"/>
          <s v="&gt;01/01/2024"/>
        </groupItems>
      </fieldGroup>
    </cacheField>
    <cacheField name="Anos (Data)" numFmtId="0" databaseField="0">
      <fieldGroup base="1">
        <rangePr groupBy="years" startDate="2022-01-01T00:00:00" endDate="2024-01-01T00:00:00"/>
        <groupItems count="5">
          <s v="&lt;01/01/2022"/>
          <s v="2022"/>
          <s v="2023"/>
          <s v="2024"/>
          <s v="&gt;01/01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0">
  <r>
    <s v="sábado"/>
    <x v="0"/>
    <n v="5604.5"/>
    <n v="5604.5"/>
    <n v="0"/>
    <n v="16"/>
    <n v="20"/>
    <n v="350.28125"/>
    <n v="864.09290322580648"/>
    <n v="6.4859923962775801"/>
    <n v="1451"/>
    <n v="1.1026878015161957E-2"/>
    <m/>
    <n v="301.44"/>
    <n v="511.04"/>
    <n v="0"/>
    <n v="51.612903225806448"/>
    <n v="0"/>
    <n v="0"/>
    <n v="0"/>
    <n v="0"/>
  </r>
  <r>
    <s v="domingo"/>
    <x v="1"/>
    <n v="14542.06"/>
    <n v="14542.06"/>
    <n v="0"/>
    <n v="49"/>
    <n v="53"/>
    <n v="296.77673469387753"/>
    <n v="623.00290322580645"/>
    <n v="23.341881594296925"/>
    <n v="2330"/>
    <n v="2.1030042918454936E-2"/>
    <m/>
    <n v="407.29"/>
    <n v="164.1"/>
    <n v="0"/>
    <n v="51.612903225806448"/>
    <n v="0"/>
    <n v="0"/>
    <n v="0"/>
    <n v="0"/>
  </r>
  <r>
    <s v="segunda-feira"/>
    <x v="2"/>
    <n v="32070.35"/>
    <n v="32070.35"/>
    <n v="0"/>
    <n v="110"/>
    <n v="132"/>
    <n v="291.54863636363638"/>
    <n v="495.34290322580648"/>
    <n v="64.743735685217729"/>
    <n v="3741"/>
    <n v="2.9403902699812884E-2"/>
    <m/>
    <n v="282.47000000000003"/>
    <n v="161.26"/>
    <n v="0"/>
    <n v="51.612903225806448"/>
    <n v="0"/>
    <n v="0"/>
    <n v="0"/>
    <n v="0"/>
  </r>
  <r>
    <s v="terça-feira"/>
    <x v="3"/>
    <n v="29496.3"/>
    <n v="29496.3"/>
    <n v="0"/>
    <n v="90"/>
    <n v="113"/>
    <n v="327.73666666666668"/>
    <n v="327.95290322580644"/>
    <n v="89.940658277053942"/>
    <n v="3810"/>
    <n v="2.3622047244094488E-2"/>
    <m/>
    <n v="0"/>
    <n v="276.33999999999997"/>
    <n v="0"/>
    <n v="51.612903225806448"/>
    <n v="0"/>
    <n v="0"/>
    <n v="0"/>
    <n v="0"/>
  </r>
  <r>
    <s v="quarta-feira"/>
    <x v="4"/>
    <n v="31936.07"/>
    <n v="31936.07"/>
    <n v="0"/>
    <n v="100"/>
    <n v="112"/>
    <n v="319.36070000000001"/>
    <n v="369.33290322580649"/>
    <n v="86.469604308378123"/>
    <n v="3549"/>
    <n v="2.817695125387433E-2"/>
    <m/>
    <n v="0"/>
    <n v="317.72000000000003"/>
    <n v="0"/>
    <n v="51.612903225806448"/>
    <n v="0"/>
    <n v="0"/>
    <n v="0"/>
    <n v="0"/>
  </r>
  <r>
    <s v="quinta-feira"/>
    <x v="5"/>
    <n v="31305.439999999999"/>
    <n v="31305.439999999999"/>
    <n v="0"/>
    <n v="102"/>
    <n v="125"/>
    <n v="306.91607843137251"/>
    <n v="480.43290322580646"/>
    <n v="65.160899242752834"/>
    <n v="3584"/>
    <n v="2.8459821428571428E-2"/>
    <m/>
    <n v="0"/>
    <n v="428.82"/>
    <n v="0"/>
    <n v="51.612903225806448"/>
    <n v="0"/>
    <n v="0"/>
    <n v="0"/>
    <n v="0"/>
  </r>
  <r>
    <s v="sexta-feira"/>
    <x v="6"/>
    <n v="23900.41"/>
    <n v="23900.41"/>
    <n v="0"/>
    <n v="84"/>
    <n v="103"/>
    <n v="284.52869047619049"/>
    <n v="611.81290322580651"/>
    <n v="39.064900190865849"/>
    <n v="3558"/>
    <n v="2.3608768971332208E-2"/>
    <m/>
    <n v="0"/>
    <n v="560.20000000000005"/>
    <n v="0"/>
    <n v="51.612903225806448"/>
    <n v="0"/>
    <n v="0"/>
    <n v="0"/>
    <n v="0"/>
  </r>
  <r>
    <s v="sábado"/>
    <x v="7"/>
    <n v="11335.06"/>
    <n v="11298.96"/>
    <n v="36.1"/>
    <n v="42"/>
    <n v="51"/>
    <n v="269.88238095238091"/>
    <n v="639.21290322580649"/>
    <n v="17.732839782797392"/>
    <n v="2705"/>
    <n v="1.5526802218114602E-2"/>
    <m/>
    <n v="0"/>
    <n v="587.6"/>
    <n v="0"/>
    <n v="51.612903225806448"/>
    <n v="0"/>
    <n v="0"/>
    <n v="0"/>
    <n v="0"/>
  </r>
  <r>
    <s v="domingo"/>
    <x v="8"/>
    <n v="11848.73"/>
    <n v="11796.75"/>
    <n v="51.98"/>
    <n v="40"/>
    <n v="43"/>
    <n v="296.21825000000001"/>
    <n v="659.0729032258065"/>
    <n v="17.977874590211272"/>
    <n v="2507"/>
    <n v="1.5955325089748704E-2"/>
    <m/>
    <n v="0"/>
    <n v="607.46"/>
    <n v="0"/>
    <n v="51.612903225806448"/>
    <n v="0"/>
    <n v="0"/>
    <n v="0"/>
    <n v="0"/>
  </r>
  <r>
    <s v="segunda-feira"/>
    <x v="9"/>
    <n v="30538.06"/>
    <n v="30538.06"/>
    <n v="0"/>
    <n v="106"/>
    <n v="120"/>
    <n v="288.09490566037738"/>
    <n v="648.41290322580642"/>
    <n v="47.096626004935132"/>
    <n v="3501"/>
    <n v="3.0277063696086834E-2"/>
    <m/>
    <n v="0"/>
    <n v="596.79999999999995"/>
    <n v="0"/>
    <n v="51.612903225806448"/>
    <n v="0"/>
    <n v="0"/>
    <n v="0"/>
    <n v="0"/>
  </r>
  <r>
    <s v="terça-feira"/>
    <x v="10"/>
    <n v="23086.73"/>
    <n v="23086.73"/>
    <n v="0"/>
    <n v="81"/>
    <n v="97"/>
    <n v="285.02135802469138"/>
    <n v="871.80290322580652"/>
    <n v="26.481593390633943"/>
    <n v="3639"/>
    <n v="2.2258862324814509E-2"/>
    <m/>
    <n v="528.15"/>
    <n v="292.04000000000002"/>
    <n v="0"/>
    <n v="51.612903225806448"/>
    <n v="0"/>
    <n v="0"/>
    <n v="0"/>
    <n v="0"/>
  </r>
  <r>
    <s v="quarta-feira"/>
    <x v="11"/>
    <n v="27521.47"/>
    <n v="27521.47"/>
    <n v="0"/>
    <n v="104"/>
    <n v="132"/>
    <n v="264.62951923076923"/>
    <n v="1014.6729032258064"/>
    <n v="27.12348966105715"/>
    <n v="4033"/>
    <n v="2.5787255145053312E-2"/>
    <m/>
    <n v="663.54"/>
    <n v="299.52"/>
    <n v="0"/>
    <n v="51.612903225806448"/>
    <n v="0"/>
    <n v="0"/>
    <n v="0"/>
    <n v="0"/>
  </r>
  <r>
    <s v="quinta-feira"/>
    <x v="12"/>
    <n v="29283.95"/>
    <n v="29283.95"/>
    <n v="0"/>
    <n v="104"/>
    <n v="129"/>
    <n v="281.57644230769233"/>
    <n v="1082.3629032258063"/>
    <n v="27.055574348237506"/>
    <n v="3773"/>
    <n v="2.7564272462231646E-2"/>
    <m/>
    <n v="629.92999999999995"/>
    <n v="400.82"/>
    <n v="0"/>
    <n v="51.612903225806448"/>
    <n v="0"/>
    <n v="0"/>
    <n v="0"/>
    <n v="0"/>
  </r>
  <r>
    <s v="sexta-feira"/>
    <x v="13"/>
    <n v="29457.77"/>
    <n v="29457.77"/>
    <n v="0"/>
    <n v="109"/>
    <n v="133"/>
    <n v="270.25477064220183"/>
    <n v="1021.8629032258065"/>
    <n v="28.82751679017607"/>
    <n v="3470"/>
    <n v="3.1412103746397697E-2"/>
    <m/>
    <n v="542.01"/>
    <n v="428.24"/>
    <n v="0"/>
    <n v="51.612903225806448"/>
    <n v="0"/>
    <n v="0"/>
    <n v="0"/>
    <n v="0"/>
  </r>
  <r>
    <s v="sábado"/>
    <x v="14"/>
    <n v="17356.990000000002"/>
    <n v="17288.830000000002"/>
    <n v="68.16"/>
    <n v="64"/>
    <n v="80"/>
    <n v="271.20296875000003"/>
    <n v="994.23290322580647"/>
    <n v="17.457670072761559"/>
    <n v="2830"/>
    <n v="2.2614840989399292E-2"/>
    <m/>
    <n v="504.22"/>
    <n v="438.4"/>
    <n v="0"/>
    <n v="51.612903225806448"/>
    <n v="0"/>
    <n v="0"/>
    <n v="0"/>
    <n v="0"/>
  </r>
  <r>
    <s v="domingo"/>
    <x v="15"/>
    <n v="16479.939999999999"/>
    <n v="16479.939999999999"/>
    <n v="0"/>
    <n v="57"/>
    <n v="67"/>
    <n v="289.12175438596489"/>
    <n v="855.37290322580645"/>
    <n v="19.266380706999701"/>
    <n v="2426"/>
    <n v="2.3495465787304205E-2"/>
    <m/>
    <n v="367.86"/>
    <n v="435.9"/>
    <n v="0"/>
    <n v="51.612903225806448"/>
    <n v="0"/>
    <n v="0"/>
    <n v="0"/>
    <n v="0"/>
  </r>
  <r>
    <s v="segunda-feira"/>
    <x v="16"/>
    <n v="29037.33"/>
    <n v="29037.33"/>
    <n v="0"/>
    <n v="114"/>
    <n v="147"/>
    <n v="254.71342105263159"/>
    <n v="1122.5129032258064"/>
    <n v="25.868148077901253"/>
    <n v="4395"/>
    <n v="2.5938566552901023E-2"/>
    <m/>
    <n v="558.91999999999996"/>
    <n v="511.98"/>
    <n v="0"/>
    <n v="51.612903225806448"/>
    <n v="0"/>
    <n v="0"/>
    <n v="0"/>
    <n v="0"/>
  </r>
  <r>
    <s v="terça-feira"/>
    <x v="17"/>
    <n v="23704.3"/>
    <n v="23704.3"/>
    <n v="0"/>
    <n v="84"/>
    <n v="104"/>
    <n v="282.19404761904764"/>
    <n v="954.25290322580645"/>
    <n v="24.840689422970307"/>
    <n v="3565"/>
    <n v="2.356241234221599E-2"/>
    <m/>
    <n v="520.02"/>
    <n v="382.62"/>
    <n v="0"/>
    <n v="51.612903225806448"/>
    <n v="0"/>
    <n v="0"/>
    <n v="0"/>
    <n v="0"/>
  </r>
  <r>
    <s v="quarta-feira"/>
    <x v="18"/>
    <n v="30359.67"/>
    <n v="30324.67"/>
    <n v="35"/>
    <n v="95"/>
    <n v="124"/>
    <n v="319.57547368421052"/>
    <n v="920.61290322580646"/>
    <n v="32.977671607274253"/>
    <n v="3392"/>
    <n v="2.8007075471698114E-2"/>
    <m/>
    <n v="488.86"/>
    <n v="380.14"/>
    <n v="0"/>
    <n v="51.612903225806448"/>
    <n v="0"/>
    <n v="0"/>
    <n v="0"/>
    <n v="0"/>
  </r>
  <r>
    <s v="quinta-feira"/>
    <x v="19"/>
    <n v="23211.75"/>
    <n v="23211.75"/>
    <n v="0"/>
    <n v="84"/>
    <n v="104"/>
    <n v="276.33035714285717"/>
    <n v="911.23290322580647"/>
    <n v="25.472905903451615"/>
    <n v="3446"/>
    <n v="2.4376088218224026E-2"/>
    <m/>
    <n v="409.9"/>
    <n v="449.72"/>
    <n v="0"/>
    <n v="51.612903225806448"/>
    <n v="0"/>
    <n v="0"/>
    <n v="0"/>
    <n v="0"/>
  </r>
  <r>
    <s v="sexta-feira"/>
    <x v="20"/>
    <n v="28186.440000000002"/>
    <n v="28164.080000000002"/>
    <n v="22.36"/>
    <n v="101"/>
    <n v="129"/>
    <n v="279.07366336633663"/>
    <n v="984.34290322580648"/>
    <n v="28.634777482145452"/>
    <n v="3195"/>
    <n v="3.1611893583724571E-2"/>
    <m/>
    <n v="367.89"/>
    <n v="564.84"/>
    <n v="0"/>
    <n v="51.612903225806448"/>
    <n v="0"/>
    <n v="0"/>
    <n v="0"/>
    <n v="0"/>
  </r>
  <r>
    <s v="sábado"/>
    <x v="21"/>
    <n v="17544.060000000001"/>
    <n v="17544.060000000001"/>
    <n v="0"/>
    <n v="55"/>
    <n v="62"/>
    <n v="318.98290909090912"/>
    <n v="879.90290322580643"/>
    <n v="19.938631791850934"/>
    <n v="2480"/>
    <n v="2.2177419354838711E-2"/>
    <m/>
    <n v="240.31"/>
    <n v="587.98"/>
    <n v="0"/>
    <n v="51.612903225806448"/>
    <n v="0"/>
    <n v="0"/>
    <n v="0"/>
    <n v="0"/>
  </r>
  <r>
    <s v="domingo"/>
    <x v="22"/>
    <n v="13039.53"/>
    <n v="13039.53"/>
    <n v="0"/>
    <n v="50"/>
    <n v="58"/>
    <n v="260.79060000000004"/>
    <n v="848.08290322580649"/>
    <n v="15.375301106061983"/>
    <n v="2195"/>
    <n v="2.2779043280182234E-2"/>
    <m/>
    <n v="195.31"/>
    <n v="601.16"/>
    <n v="0"/>
    <n v="51.612903225806448"/>
    <n v="0"/>
    <n v="0"/>
    <n v="0"/>
    <n v="0"/>
  </r>
  <r>
    <s v="segunda-feira"/>
    <x v="23"/>
    <n v="22746.44"/>
    <n v="22746.44"/>
    <n v="0"/>
    <n v="85"/>
    <n v="101"/>
    <n v="267.60517647058822"/>
    <n v="1199.4629032258063"/>
    <n v="18.96385452090788"/>
    <n v="4190"/>
    <n v="2.028639618138425E-2"/>
    <m/>
    <n v="368.09"/>
    <n v="779.76"/>
    <n v="0"/>
    <n v="51.612903225806448"/>
    <n v="0"/>
    <n v="0"/>
    <n v="0"/>
    <n v="0"/>
  </r>
  <r>
    <s v="terça-feira"/>
    <x v="24"/>
    <n v="22863.53"/>
    <n v="22863.53"/>
    <n v="0"/>
    <n v="81"/>
    <n v="96"/>
    <n v="282.26580246913579"/>
    <n v="1261.3729032258063"/>
    <n v="18.125908636160908"/>
    <n v="3729"/>
    <n v="2.1721641190667738E-2"/>
    <m/>
    <n v="350.74"/>
    <n v="859.02"/>
    <n v="0"/>
    <n v="51.612903225806448"/>
    <n v="0"/>
    <n v="0"/>
    <n v="0"/>
    <n v="0"/>
  </r>
  <r>
    <s v="quarta-feira"/>
    <x v="25"/>
    <n v="31040.799999999999"/>
    <n v="31040.799999999999"/>
    <n v="0"/>
    <n v="98"/>
    <n v="118"/>
    <n v="316.74285714285713"/>
    <n v="1113.3129032258064"/>
    <n v="27.881469719842261"/>
    <n v="3595"/>
    <n v="2.7260083449235049E-2"/>
    <m/>
    <n v="412.58"/>
    <n v="649.12"/>
    <n v="0"/>
    <n v="51.612903225806448"/>
    <n v="0"/>
    <n v="0"/>
    <n v="0"/>
    <n v="0"/>
  </r>
  <r>
    <s v="quinta-feira"/>
    <x v="26"/>
    <n v="27183.93"/>
    <n v="27183.93"/>
    <n v="0"/>
    <n v="94"/>
    <n v="114"/>
    <n v="289.19074468085108"/>
    <n v="1178.6829032258063"/>
    <n v="23.062971326387547"/>
    <n v="3755"/>
    <n v="2.5033288948069242E-2"/>
    <m/>
    <n v="483.31"/>
    <n v="643.76"/>
    <n v="0"/>
    <n v="51.612903225806448"/>
    <n v="0"/>
    <n v="0"/>
    <n v="0"/>
    <n v="0"/>
  </r>
  <r>
    <s v="sexta-feira"/>
    <x v="27"/>
    <n v="34283.760000000002"/>
    <n v="34248.76"/>
    <n v="35"/>
    <n v="120"/>
    <n v="143"/>
    <n v="285.69800000000004"/>
    <n v="1093.2329032258065"/>
    <n v="31.359978188397715"/>
    <n v="3664"/>
    <n v="3.2751091703056769E-2"/>
    <m/>
    <n v="463.92"/>
    <n v="577.70000000000005"/>
    <n v="0"/>
    <n v="51.612903225806448"/>
    <n v="0"/>
    <n v="0"/>
    <n v="0"/>
    <n v="0"/>
  </r>
  <r>
    <s v="sábado"/>
    <x v="28"/>
    <n v="20013.039999999997"/>
    <n v="19991.099999999999"/>
    <n v="21.94"/>
    <n v="64"/>
    <n v="81"/>
    <n v="312.70374999999996"/>
    <n v="965.64290322580644"/>
    <n v="20.725094062354579"/>
    <n v="3019"/>
    <n v="2.119907254057635E-2"/>
    <m/>
    <n v="338.09"/>
    <n v="575.94000000000005"/>
    <n v="0"/>
    <n v="51.612903225806448"/>
    <n v="0"/>
    <n v="0"/>
    <n v="0"/>
    <n v="0"/>
  </r>
  <r>
    <s v="domingo"/>
    <x v="29"/>
    <n v="12825.9"/>
    <n v="12825.9"/>
    <n v="0"/>
    <n v="50"/>
    <n v="56"/>
    <n v="256.51799999999997"/>
    <n v="904.70290322580638"/>
    <n v="14.1769192452771"/>
    <n v="2728"/>
    <n v="1.8328445747800588E-2"/>
    <m/>
    <n v="259.91000000000003"/>
    <n v="593.17999999999995"/>
    <n v="0"/>
    <n v="51.612903225806448"/>
    <n v="0"/>
    <n v="0"/>
    <n v="0"/>
    <n v="0"/>
  </r>
  <r>
    <s v="segunda-feira"/>
    <x v="30"/>
    <n v="32690.98"/>
    <n v="32667"/>
    <n v="23.98"/>
    <n v="112"/>
    <n v="135"/>
    <n v="291.88375000000002"/>
    <n v="1302.7129032258063"/>
    <n v="25.09453918745249"/>
    <n v="3843"/>
    <n v="2.9143897996357013E-2"/>
    <m/>
    <n v="557.44000000000005"/>
    <n v="693.66"/>
    <n v="0"/>
    <n v="51.612903225806448"/>
    <n v="0"/>
    <n v="0"/>
    <n v="0"/>
    <n v="0"/>
  </r>
  <r>
    <s v="terça-feira"/>
    <x v="31"/>
    <n v="34727.58"/>
    <n v="34692.58"/>
    <n v="35"/>
    <n v="120"/>
    <n v="150"/>
    <n v="289.3965"/>
    <n v="1482.3328571428572"/>
    <n v="23.427653129767464"/>
    <n v="4432"/>
    <n v="2.7075812274368231E-2"/>
    <m/>
    <n v="588.03"/>
    <n v="837.16"/>
    <n v="0"/>
    <n v="57.142857142857146"/>
    <n v="0"/>
    <n v="0"/>
    <n v="0"/>
    <n v="0"/>
  </r>
  <r>
    <s v="quarta-feira"/>
    <x v="32"/>
    <n v="34513.9"/>
    <n v="34513.9"/>
    <n v="0"/>
    <n v="114"/>
    <n v="130"/>
    <n v="302.75350877192983"/>
    <n v="1266.7028571428571"/>
    <n v="27.247037302693609"/>
    <n v="4313"/>
    <n v="2.643171806167401E-2"/>
    <m/>
    <n v="566.9"/>
    <n v="642.66"/>
    <n v="0"/>
    <n v="57.142857142857146"/>
    <n v="0"/>
    <n v="0"/>
    <n v="0"/>
    <n v="0"/>
  </r>
  <r>
    <s v="quinta-feira"/>
    <x v="33"/>
    <n v="34177.800000000003"/>
    <n v="34177.800000000003"/>
    <n v="0"/>
    <n v="113"/>
    <n v="144"/>
    <n v="302.45840707964607"/>
    <n v="1090.242857142857"/>
    <n v="31.348795157042343"/>
    <n v="3709"/>
    <n v="3.0466433000808844E-2"/>
    <m/>
    <n v="568.38"/>
    <n v="464.72"/>
    <n v="0"/>
    <n v="57.142857142857146"/>
    <n v="0"/>
    <n v="0"/>
    <n v="0"/>
    <n v="0"/>
  </r>
  <r>
    <s v="sexta-feira"/>
    <x v="34"/>
    <n v="43437.4"/>
    <n v="43437.4"/>
    <n v="0"/>
    <n v="137"/>
    <n v="200"/>
    <n v="317.06131386861313"/>
    <n v="1040.0128571428572"/>
    <n v="41.766214428667773"/>
    <n v="3739"/>
    <n v="3.6640813051618079E-2"/>
    <m/>
    <n v="469.63"/>
    <n v="513.24"/>
    <n v="0"/>
    <n v="57.142857142857146"/>
    <n v="0"/>
    <n v="0"/>
    <n v="0"/>
    <n v="0"/>
  </r>
  <r>
    <s v="sábado"/>
    <x v="35"/>
    <n v="19563.78"/>
    <n v="19563.78"/>
    <n v="0"/>
    <n v="74"/>
    <n v="82"/>
    <n v="264.37540540540539"/>
    <n v="981.06285714285707"/>
    <n v="19.94141339421968"/>
    <n v="2990"/>
    <n v="2.4749163879598662E-2"/>
    <m/>
    <n v="384.26"/>
    <n v="539.66"/>
    <n v="0"/>
    <n v="57.142857142857146"/>
    <n v="0"/>
    <n v="0"/>
    <n v="0"/>
    <n v="0"/>
  </r>
  <r>
    <s v="domingo"/>
    <x v="36"/>
    <n v="16604.64"/>
    <n v="16604.64"/>
    <n v="0"/>
    <n v="67"/>
    <n v="73"/>
    <n v="247.83044776119402"/>
    <n v="915.63285714285712"/>
    <n v="18.134604793249945"/>
    <n v="2653"/>
    <n v="2.5254428948360347E-2"/>
    <m/>
    <n v="325.14999999999998"/>
    <n v="533.34"/>
    <n v="0"/>
    <n v="57.142857142857146"/>
    <n v="0"/>
    <n v="0"/>
    <n v="0"/>
    <n v="0"/>
  </r>
  <r>
    <s v="segunda-feira"/>
    <x v="37"/>
    <n v="33095.360000000001"/>
    <n v="33000.32"/>
    <n v="95.04"/>
    <n v="133"/>
    <n v="141"/>
    <n v="248.8372932330827"/>
    <n v="1212.0428571428572"/>
    <n v="27.305437101469774"/>
    <n v="3855"/>
    <n v="3.4500648508430612E-2"/>
    <m/>
    <n v="629.72"/>
    <n v="525.17999999999995"/>
    <n v="0"/>
    <n v="57.142857142857146"/>
    <n v="0"/>
    <n v="0"/>
    <n v="0"/>
    <n v="0"/>
  </r>
  <r>
    <s v="terça-feira"/>
    <x v="38"/>
    <n v="44882.03"/>
    <n v="44882.03"/>
    <n v="0"/>
    <n v="141"/>
    <n v="163"/>
    <n v="318.31226950354608"/>
    <n v="1171.222857142857"/>
    <n v="38.320657530102849"/>
    <n v="3847"/>
    <n v="3.6651936573953728E-2"/>
    <m/>
    <n v="571.84"/>
    <n v="542.24"/>
    <n v="0"/>
    <n v="57.142857142857146"/>
    <n v="0"/>
    <n v="0"/>
    <n v="0"/>
    <n v="0"/>
  </r>
  <r>
    <s v="quarta-feira"/>
    <x v="39"/>
    <n v="35537.760000000002"/>
    <n v="35475.599999999999"/>
    <n v="62.16"/>
    <n v="122"/>
    <n v="149"/>
    <n v="291.29311475409838"/>
    <n v="2027.722857142857"/>
    <n v="17.525945360242243"/>
    <n v="3829"/>
    <n v="3.1862104988247583E-2"/>
    <m/>
    <n v="566.54"/>
    <n v="1404.04"/>
    <n v="0"/>
    <n v="57.142857142857146"/>
    <n v="0"/>
    <n v="0"/>
    <n v="0"/>
    <n v="0"/>
  </r>
  <r>
    <s v="quinta-feira"/>
    <x v="40"/>
    <n v="32915.71"/>
    <n v="32915.71"/>
    <n v="0"/>
    <n v="111"/>
    <n v="127"/>
    <n v="296.53792792792791"/>
    <n v="1496.9328571428571"/>
    <n v="21.988768462751931"/>
    <n v="3713"/>
    <n v="2.9894963641260437E-2"/>
    <m/>
    <n v="588.33000000000004"/>
    <n v="851.46"/>
    <n v="0"/>
    <n v="57.142857142857146"/>
    <n v="0"/>
    <n v="0"/>
    <n v="0"/>
    <n v="0"/>
  </r>
  <r>
    <s v="sexta-feira"/>
    <x v="41"/>
    <n v="35620.560000000005"/>
    <n v="35576.080000000002"/>
    <n v="44.48"/>
    <n v="128"/>
    <n v="149"/>
    <n v="278.28562500000004"/>
    <n v="1248.712857142857"/>
    <n v="28.525821445854536"/>
    <n v="3532"/>
    <n v="3.6240090600226503E-2"/>
    <m/>
    <n v="437.91"/>
    <n v="753.66"/>
    <n v="0"/>
    <n v="57.142857142857146"/>
    <n v="0"/>
    <n v="0"/>
    <n v="0"/>
    <n v="0"/>
  </r>
  <r>
    <s v="sábado"/>
    <x v="42"/>
    <n v="24216.17"/>
    <n v="24216.17"/>
    <n v="0"/>
    <n v="86"/>
    <n v="94"/>
    <n v="281.58337209302323"/>
    <n v="1201.6728571428571"/>
    <n v="20.152048751086284"/>
    <n v="2792"/>
    <n v="3.0802292263610316E-2"/>
    <m/>
    <n v="362.67"/>
    <n v="781.86"/>
    <n v="0"/>
    <n v="57.142857142857146"/>
    <n v="0"/>
    <n v="0"/>
    <n v="0"/>
    <n v="0"/>
  </r>
  <r>
    <s v="domingo"/>
    <x v="43"/>
    <n v="17251.7"/>
    <n v="17251.7"/>
    <n v="0"/>
    <n v="56"/>
    <n v="71"/>
    <n v="308.06607142857143"/>
    <n v="1223.6928571428571"/>
    <n v="14.098063823204937"/>
    <n v="2610"/>
    <n v="2.1455938697318006E-2"/>
    <m/>
    <n v="394.01"/>
    <n v="772.54"/>
    <n v="0"/>
    <n v="57.142857142857146"/>
    <n v="0"/>
    <n v="0"/>
    <n v="0"/>
    <n v="0"/>
  </r>
  <r>
    <s v="segunda-feira"/>
    <x v="44"/>
    <n v="49152.92"/>
    <n v="49152.92"/>
    <n v="0"/>
    <n v="161"/>
    <n v="195"/>
    <n v="305.29763975155277"/>
    <n v="1221.3928571428571"/>
    <n v="40.243333430802068"/>
    <n v="3802"/>
    <n v="4.2346133613887428E-2"/>
    <m/>
    <n v="206.89"/>
    <n v="957.36"/>
    <n v="0"/>
    <n v="57.142857142857146"/>
    <n v="0"/>
    <n v="0"/>
    <n v="0"/>
    <n v="0"/>
  </r>
  <r>
    <s v="terça-feira"/>
    <x v="45"/>
    <n v="37487.620000000003"/>
    <n v="37487.620000000003"/>
    <n v="0"/>
    <n v="118"/>
    <n v="150"/>
    <n v="317.69169491525423"/>
    <n v="1015.7828571428571"/>
    <n v="36.905151269675187"/>
    <n v="3685"/>
    <n v="3.2021709633649934E-2"/>
    <m/>
    <n v="0"/>
    <n v="958.64"/>
    <n v="0"/>
    <n v="57.142857142857146"/>
    <n v="0"/>
    <n v="0"/>
    <n v="0"/>
    <n v="0"/>
  </r>
  <r>
    <s v="quarta-feira"/>
    <x v="46"/>
    <n v="34466.01"/>
    <n v="34466.01"/>
    <n v="0"/>
    <n v="119"/>
    <n v="131"/>
    <n v="289.63033613445378"/>
    <n v="1524.242857142857"/>
    <n v="22.61188880662062"/>
    <n v="3950"/>
    <n v="3.0126582278481012E-2"/>
    <m/>
    <n v="462.14"/>
    <n v="1004.96"/>
    <n v="0"/>
    <n v="57.142857142857146"/>
    <n v="0"/>
    <n v="0"/>
    <n v="0"/>
    <n v="0"/>
  </r>
  <r>
    <s v="quinta-feira"/>
    <x v="47"/>
    <n v="48035.64"/>
    <n v="48035.64"/>
    <n v="0"/>
    <n v="146"/>
    <n v="200"/>
    <n v="329.01123287671231"/>
    <n v="1830.972857142857"/>
    <n v="26.235036643283316"/>
    <n v="3982"/>
    <n v="3.6664992466097439E-2"/>
    <m/>
    <n v="757.83"/>
    <n v="1016"/>
    <n v="0"/>
    <n v="57.142857142857146"/>
    <n v="0"/>
    <n v="0"/>
    <n v="0"/>
    <n v="0"/>
  </r>
  <r>
    <s v="sexta-feira"/>
    <x v="48"/>
    <n v="48224.450000000004"/>
    <n v="48202.37"/>
    <n v="22.08"/>
    <n v="163"/>
    <n v="194"/>
    <n v="295.85552147239264"/>
    <n v="1511.992857142857"/>
    <n v="31.89462818701903"/>
    <n v="3717"/>
    <n v="4.385256927629809E-2"/>
    <m/>
    <n v="606.80999999999995"/>
    <n v="848.04"/>
    <n v="0"/>
    <n v="57.142857142857146"/>
    <n v="0"/>
    <n v="0"/>
    <n v="0"/>
    <n v="0"/>
  </r>
  <r>
    <s v="sábado"/>
    <x v="49"/>
    <n v="22149.7"/>
    <n v="22149.7"/>
    <n v="0"/>
    <n v="77"/>
    <n v="93"/>
    <n v="287.65844155844155"/>
    <n v="1368.7728571428572"/>
    <n v="16.182158993300568"/>
    <n v="2874"/>
    <n v="2.6791927627000695E-2"/>
    <m/>
    <n v="444.23"/>
    <n v="867.4"/>
    <n v="0"/>
    <n v="57.142857142857146"/>
    <n v="0"/>
    <n v="0"/>
    <n v="0"/>
    <n v="0"/>
  </r>
  <r>
    <s v="domingo"/>
    <x v="50"/>
    <n v="18486.900000000001"/>
    <n v="18486.900000000001"/>
    <n v="0"/>
    <n v="67"/>
    <n v="76"/>
    <n v="275.92388059701494"/>
    <n v="1394.272857142857"/>
    <n v="13.259169398078468"/>
    <n v="2702"/>
    <n v="2.4796447076239823E-2"/>
    <m/>
    <n v="458.07"/>
    <n v="879.06"/>
    <n v="0"/>
    <n v="57.142857142857146"/>
    <n v="0"/>
    <n v="0"/>
    <n v="0"/>
    <n v="0"/>
  </r>
  <r>
    <s v="segunda-feira"/>
    <x v="51"/>
    <n v="29771.11"/>
    <n v="29736.11"/>
    <n v="35"/>
    <n v="115"/>
    <n v="130"/>
    <n v="258.87921739130434"/>
    <n v="1619.6828571428571"/>
    <n v="18.38082675797202"/>
    <n v="3943"/>
    <n v="2.916560994166878E-2"/>
    <m/>
    <n v="616.54"/>
    <n v="946"/>
    <n v="0"/>
    <n v="57.142857142857146"/>
    <n v="0"/>
    <n v="0"/>
    <n v="0"/>
    <n v="0"/>
  </r>
  <r>
    <s v="terça-feira"/>
    <x v="52"/>
    <n v="41774.85"/>
    <n v="41774.85"/>
    <n v="0"/>
    <n v="135"/>
    <n v="153"/>
    <n v="309.44333333333333"/>
    <n v="1709.5928571428569"/>
    <n v="24.435554831350824"/>
    <n v="4392"/>
    <n v="3.0737704918032786E-2"/>
    <m/>
    <n v="563.65"/>
    <n v="1088.8"/>
    <n v="0"/>
    <n v="57.142857142857146"/>
    <n v="0"/>
    <n v="0"/>
    <n v="0"/>
    <n v="0"/>
  </r>
  <r>
    <s v="quarta-feira"/>
    <x v="53"/>
    <n v="36378.120000000003"/>
    <n v="36378.120000000003"/>
    <n v="0"/>
    <n v="133"/>
    <n v="156"/>
    <n v="273.51969924812033"/>
    <n v="1567.6728571428571"/>
    <n v="23.205173090960123"/>
    <n v="4046"/>
    <n v="3.2871972318339097E-2"/>
    <m/>
    <n v="500.55"/>
    <n v="1009.98"/>
    <n v="0"/>
    <n v="57.142857142857146"/>
    <n v="0"/>
    <n v="0"/>
    <n v="0"/>
    <n v="0"/>
  </r>
  <r>
    <s v="quinta-feira"/>
    <x v="54"/>
    <n v="47748.09"/>
    <n v="47748.09"/>
    <n v="0"/>
    <n v="135"/>
    <n v="253"/>
    <n v="353.68955555555556"/>
    <n v="1731.9528571428571"/>
    <n v="27.568931684877597"/>
    <n v="3927"/>
    <n v="3.4377387318563789E-2"/>
    <m/>
    <n v="547.71"/>
    <n v="1127.0999999999999"/>
    <n v="0"/>
    <n v="57.142857142857146"/>
    <n v="0"/>
    <n v="0"/>
    <n v="0"/>
    <n v="0"/>
  </r>
  <r>
    <s v="sexta-feira"/>
    <x v="55"/>
    <n v="52562"/>
    <n v="52533.82"/>
    <n v="28.18"/>
    <n v="147"/>
    <n v="192"/>
    <n v="357.56462585034012"/>
    <n v="1647.3928571428571"/>
    <n v="31.906172090099076"/>
    <n v="3688"/>
    <n v="3.9859002169197397E-2"/>
    <m/>
    <n v="407.17"/>
    <n v="1183.08"/>
    <n v="0"/>
    <n v="57.142857142857146"/>
    <n v="0"/>
    <n v="0"/>
    <n v="0"/>
    <n v="0"/>
  </r>
  <r>
    <s v="sábado"/>
    <x v="56"/>
    <n v="24624.39"/>
    <n v="24602.11"/>
    <n v="22.28"/>
    <n v="75"/>
    <n v="86"/>
    <n v="328.3252"/>
    <n v="1520.972857142857"/>
    <n v="16.189894437864488"/>
    <n v="2721"/>
    <n v="2.7563395810363836E-2"/>
    <m/>
    <n v="391.77"/>
    <n v="1072.06"/>
    <n v="0"/>
    <n v="57.142857142857146"/>
    <n v="0"/>
    <n v="0"/>
    <n v="0"/>
    <n v="0"/>
  </r>
  <r>
    <s v="domingo"/>
    <x v="57"/>
    <n v="14697.45"/>
    <n v="14697.45"/>
    <n v="0"/>
    <n v="50"/>
    <n v="55"/>
    <n v="293.94900000000001"/>
    <n v="1307.1528571428571"/>
    <n v="11.243864801034309"/>
    <n v="2157"/>
    <n v="2.3180343069077423E-2"/>
    <m/>
    <n v="308.87"/>
    <n v="941.14"/>
    <n v="0"/>
    <n v="57.142857142857146"/>
    <n v="0"/>
    <n v="0"/>
    <n v="0"/>
    <n v="0"/>
  </r>
  <r>
    <s v="segunda-feira"/>
    <x v="58"/>
    <n v="20827.53"/>
    <n v="20827.53"/>
    <n v="0"/>
    <n v="67"/>
    <n v="82"/>
    <n v="310.8586567164179"/>
    <n v="1123.2528571428572"/>
    <n v="18.542156262996372"/>
    <n v="3593"/>
    <n v="1.864736988588923E-2"/>
    <m/>
    <n v="411.65"/>
    <n v="654.46"/>
    <n v="0"/>
    <n v="57.142857142857146"/>
    <n v="0"/>
    <n v="0"/>
    <n v="0"/>
    <n v="0"/>
  </r>
  <r>
    <s v="terça-feira"/>
    <x v="59"/>
    <n v="26424.45"/>
    <n v="26424.45"/>
    <n v="0"/>
    <n v="79"/>
    <n v="106"/>
    <n v="334.48670886075951"/>
    <n v="650.75290322580645"/>
    <n v="40.605965596177924"/>
    <n v="2798"/>
    <n v="2.8234453180843458E-2"/>
    <m/>
    <n v="435.4"/>
    <n v="163.74"/>
    <n v="0"/>
    <n v="51.612903225806448"/>
    <n v="0"/>
    <n v="0"/>
    <n v="0"/>
    <n v="0"/>
  </r>
  <r>
    <s v="quarta-feira"/>
    <x v="60"/>
    <n v="33508.92"/>
    <n v="33508.92"/>
    <n v="0"/>
    <n v="115"/>
    <n v="135"/>
    <n v="291.38191304347822"/>
    <n v="678.90290322580643"/>
    <n v="49.357455743350634"/>
    <n v="4040"/>
    <n v="2.8465346534653466E-2"/>
    <m/>
    <n v="466.11"/>
    <n v="161.18"/>
    <n v="0"/>
    <n v="51.612903225806448"/>
    <n v="0"/>
    <n v="0"/>
    <n v="0"/>
    <n v="0"/>
  </r>
  <r>
    <s v="quinta-feira"/>
    <x v="61"/>
    <n v="38636.53"/>
    <n v="38636.53"/>
    <n v="0"/>
    <n v="131"/>
    <n v="185"/>
    <n v="294.93534351145036"/>
    <n v="795.14290322580644"/>
    <n v="48.590674510526206"/>
    <n v="3937"/>
    <n v="3.3274066548133099E-2"/>
    <m/>
    <n v="506.61"/>
    <n v="236.92"/>
    <n v="0"/>
    <n v="51.612903225806448"/>
    <n v="0"/>
    <n v="0"/>
    <n v="0"/>
    <n v="0"/>
  </r>
  <r>
    <s v="sexta-feira"/>
    <x v="62"/>
    <n v="34604.03"/>
    <n v="34579.99"/>
    <n v="24.04"/>
    <n v="111"/>
    <n v="172"/>
    <n v="311.748018018018"/>
    <n v="842.60290322580647"/>
    <n v="41.068016579960172"/>
    <n v="3680"/>
    <n v="3.0163043478260869E-2"/>
    <m/>
    <n v="519.73"/>
    <n v="271.26"/>
    <n v="0"/>
    <n v="51.612903225806448"/>
    <n v="0"/>
    <n v="0"/>
    <n v="0"/>
    <n v="0"/>
  </r>
  <r>
    <s v="sábado"/>
    <x v="63"/>
    <n v="20933.25"/>
    <n v="20933.25"/>
    <n v="0"/>
    <n v="71"/>
    <n v="87"/>
    <n v="294.83450704225351"/>
    <n v="735.20290322580649"/>
    <n v="28.472752090820659"/>
    <n v="2905"/>
    <n v="2.4440619621342512E-2"/>
    <m/>
    <n v="407.41"/>
    <n v="276.18"/>
    <n v="0"/>
    <n v="51.612903225806448"/>
    <n v="0"/>
    <n v="0"/>
    <n v="0"/>
    <n v="0"/>
  </r>
  <r>
    <s v="domingo"/>
    <x v="64"/>
    <n v="20185.640000000003"/>
    <n v="20161.580000000002"/>
    <n v="24.06"/>
    <n v="57"/>
    <n v="83"/>
    <n v="354.13403508771933"/>
    <n v="738.91290322580642"/>
    <n v="27.318023425869743"/>
    <n v="2521"/>
    <n v="2.2610075366917889E-2"/>
    <m/>
    <n v="406.66"/>
    <n v="280.64"/>
    <n v="0"/>
    <n v="51.612903225806448"/>
    <n v="0"/>
    <n v="0"/>
    <n v="0"/>
    <n v="0"/>
  </r>
  <r>
    <s v="segunda-feira"/>
    <x v="65"/>
    <n v="53461.25"/>
    <n v="53461.25"/>
    <n v="0"/>
    <n v="165"/>
    <n v="273"/>
    <n v="324.00757575757575"/>
    <n v="954.45290322580638"/>
    <n v="56.012454694531982"/>
    <n v="4558"/>
    <n v="3.6200087757788504E-2"/>
    <m/>
    <n v="557.52"/>
    <n v="345.32"/>
    <n v="0"/>
    <n v="51.612903225806448"/>
    <n v="0"/>
    <n v="0"/>
    <n v="0"/>
    <n v="0"/>
  </r>
  <r>
    <s v="terça-feira"/>
    <x v="66"/>
    <n v="69122.89"/>
    <n v="69122.89"/>
    <n v="0"/>
    <n v="227"/>
    <n v="341"/>
    <n v="304.50612334801764"/>
    <n v="925.34290322580648"/>
    <n v="74.699756986337761"/>
    <n v="4622"/>
    <n v="4.91129381220251E-2"/>
    <m/>
    <n v="507.35"/>
    <n v="366.38"/>
    <n v="0"/>
    <n v="51.612903225806448"/>
    <n v="0"/>
    <n v="0"/>
    <n v="0"/>
    <n v="0"/>
  </r>
  <r>
    <s v="quarta-feira"/>
    <x v="67"/>
    <n v="39587.160000000003"/>
    <n v="39587.160000000003"/>
    <n v="0"/>
    <n v="124"/>
    <n v="167"/>
    <n v="319.2512903225807"/>
    <n v="865.85290322580647"/>
    <n v="45.720421855161277"/>
    <n v="4144"/>
    <n v="2.9922779922779922E-2"/>
    <m/>
    <n v="483.98"/>
    <n v="330.26"/>
    <n v="0"/>
    <n v="51.612903225806448"/>
    <n v="0"/>
    <n v="0"/>
    <n v="0"/>
    <n v="0"/>
  </r>
  <r>
    <s v="quinta-feira"/>
    <x v="68"/>
    <n v="28431.84"/>
    <n v="28431.84"/>
    <n v="0"/>
    <n v="105"/>
    <n v="126"/>
    <n v="270.77942857142858"/>
    <n v="951.53290322580654"/>
    <n v="29.880038728679562"/>
    <n v="3802"/>
    <n v="2.7617043661230932E-2"/>
    <m/>
    <n v="460.88"/>
    <n v="439.04"/>
    <n v="0"/>
    <n v="51.612903225806448"/>
    <n v="0"/>
    <n v="0"/>
    <n v="0"/>
    <n v="0"/>
  </r>
  <r>
    <s v="sexta-feira"/>
    <x v="69"/>
    <n v="31452.85"/>
    <n v="31452.85"/>
    <n v="0"/>
    <n v="109"/>
    <n v="123"/>
    <n v="288.55825688073395"/>
    <n v="1050.2929032258064"/>
    <n v="29.946741431268944"/>
    <n v="3694"/>
    <n v="2.9507309149972929E-2"/>
    <m/>
    <n v="454.94"/>
    <n v="543.74"/>
    <n v="0"/>
    <n v="51.612903225806448"/>
    <n v="0"/>
    <n v="0"/>
    <n v="0"/>
    <n v="0"/>
  </r>
  <r>
    <s v="sábado"/>
    <x v="70"/>
    <n v="20817.13"/>
    <n v="20794.89"/>
    <n v="22.24"/>
    <n v="70"/>
    <n v="84"/>
    <n v="297.38757142857145"/>
    <n v="897.20290322580649"/>
    <n v="23.202254389897778"/>
    <n v="2890"/>
    <n v="2.4221453287197232E-2"/>
    <m/>
    <n v="277.64999999999998"/>
    <n v="567.94000000000005"/>
    <n v="0"/>
    <n v="51.612903225806448"/>
    <n v="0"/>
    <n v="0"/>
    <n v="0"/>
    <n v="0"/>
  </r>
  <r>
    <s v="domingo"/>
    <x v="71"/>
    <n v="21368.78"/>
    <n v="21368.78"/>
    <n v="0"/>
    <n v="73"/>
    <n v="83"/>
    <n v="292.7230136986301"/>
    <n v="641.05290322580652"/>
    <n v="33.333879142378663"/>
    <n v="2377"/>
    <n v="3.0710980227177113E-2"/>
    <m/>
    <n v="0"/>
    <n v="589.44000000000005"/>
    <n v="0"/>
    <n v="51.612903225806448"/>
    <n v="0"/>
    <n v="0"/>
    <n v="0"/>
    <n v="0"/>
  </r>
  <r>
    <s v="segunda-feira"/>
    <x v="72"/>
    <n v="55459.98"/>
    <n v="55459.98"/>
    <n v="0"/>
    <n v="260"/>
    <n v="378"/>
    <n v="213.30761538461539"/>
    <n v="752.03290322580642"/>
    <n v="73.746746667741903"/>
    <n v="4381"/>
    <n v="5.9347181008902079E-2"/>
    <m/>
    <n v="0"/>
    <n v="700.42"/>
    <n v="0"/>
    <n v="51.612903225806448"/>
    <n v="0"/>
    <n v="0"/>
    <n v="0"/>
    <n v="0"/>
  </r>
  <r>
    <s v="terça-feira"/>
    <x v="73"/>
    <n v="40873.85"/>
    <n v="40873.85"/>
    <n v="0"/>
    <n v="170"/>
    <n v="244"/>
    <n v="240.43441176470589"/>
    <n v="853.47290322580648"/>
    <n v="47.891209955831314"/>
    <n v="4105"/>
    <n v="4.1412911084043852E-2"/>
    <m/>
    <n v="0"/>
    <n v="801.86"/>
    <n v="0"/>
    <n v="51.612903225806448"/>
    <n v="0"/>
    <n v="0"/>
    <n v="0"/>
    <n v="0"/>
  </r>
  <r>
    <s v="quarta-feira"/>
    <x v="74"/>
    <n v="46762.31"/>
    <n v="46762.31"/>
    <n v="0"/>
    <n v="181"/>
    <n v="238"/>
    <n v="258.35530386740328"/>
    <n v="801.81290322580651"/>
    <n v="58.320725211416061"/>
    <n v="3955"/>
    <n v="4.576485461441214E-2"/>
    <m/>
    <n v="0"/>
    <n v="750.2"/>
    <n v="0"/>
    <n v="51.612903225806448"/>
    <n v="0"/>
    <n v="0"/>
    <n v="0"/>
    <n v="0"/>
  </r>
  <r>
    <s v="quinta-feira"/>
    <x v="75"/>
    <n v="37319.58"/>
    <n v="37297.300000000003"/>
    <n v="22.28"/>
    <n v="151"/>
    <n v="194"/>
    <n v="247.14953642384108"/>
    <n v="786.75290322580645"/>
    <n v="47.434944119029055"/>
    <n v="3631"/>
    <n v="4.1586339851280636E-2"/>
    <m/>
    <n v="0"/>
    <n v="735.14"/>
    <n v="0"/>
    <n v="51.612903225806448"/>
    <n v="0"/>
    <n v="0"/>
    <n v="0"/>
    <n v="0"/>
  </r>
  <r>
    <s v="sexta-feira"/>
    <x v="76"/>
    <n v="38156.839999999997"/>
    <n v="38120.74"/>
    <n v="36.1"/>
    <n v="119"/>
    <n v="171"/>
    <n v="320.64571428571423"/>
    <n v="694.99290322580646"/>
    <n v="54.902488677071659"/>
    <n v="3478"/>
    <n v="3.4215066129959747E-2"/>
    <m/>
    <n v="0"/>
    <n v="643.38"/>
    <n v="0"/>
    <n v="51.612903225806448"/>
    <n v="0"/>
    <n v="0"/>
    <n v="0"/>
    <n v="0"/>
  </r>
  <r>
    <s v="sábado"/>
    <x v="77"/>
    <n v="21362.15"/>
    <n v="21362.15"/>
    <n v="0"/>
    <n v="79"/>
    <n v="89"/>
    <n v="270.40696202531649"/>
    <n v="698.27290322580643"/>
    <n v="30.592838274710971"/>
    <n v="2741"/>
    <n v="2.8821597956950017E-2"/>
    <m/>
    <n v="0"/>
    <n v="646.66"/>
    <n v="0"/>
    <n v="51.612903225806448"/>
    <n v="0"/>
    <n v="0"/>
    <n v="0"/>
    <n v="0"/>
  </r>
  <r>
    <s v="domingo"/>
    <x v="78"/>
    <n v="18377.780000000002"/>
    <n v="18319.2"/>
    <n v="58.58"/>
    <n v="68"/>
    <n v="80"/>
    <n v="270.26147058823534"/>
    <n v="715.1929032258065"/>
    <n v="25.696256096933922"/>
    <n v="2348"/>
    <n v="2.8960817717206135E-2"/>
    <m/>
    <n v="0"/>
    <n v="663.58"/>
    <n v="0"/>
    <n v="51.612903225806448"/>
    <n v="0"/>
    <n v="0"/>
    <n v="0"/>
    <n v="0"/>
  </r>
  <r>
    <s v="segunda-feira"/>
    <x v="79"/>
    <n v="34908.94"/>
    <n v="34908.94"/>
    <n v="0"/>
    <n v="126"/>
    <n v="155"/>
    <n v="277.05507936507939"/>
    <n v="712.09290322580648"/>
    <n v="49.023013488635044"/>
    <n v="3663"/>
    <n v="3.4398034398034398E-2"/>
    <m/>
    <n v="0"/>
    <n v="660.48"/>
    <n v="0"/>
    <n v="51.612903225806448"/>
    <n v="0"/>
    <n v="0"/>
    <n v="0"/>
    <n v="0"/>
  </r>
  <r>
    <s v="terça-feira"/>
    <x v="80"/>
    <n v="32690.080000000002"/>
    <n v="32690.080000000002"/>
    <n v="0"/>
    <n v="110"/>
    <n v="130"/>
    <n v="297.18254545454545"/>
    <n v="792.1929032258065"/>
    <n v="41.265302765129704"/>
    <n v="3443"/>
    <n v="3.1948881789137379E-2"/>
    <m/>
    <n v="0"/>
    <n v="740.58"/>
    <n v="0"/>
    <n v="51.612903225806448"/>
    <n v="0"/>
    <n v="0"/>
    <n v="0"/>
    <n v="0"/>
  </r>
  <r>
    <s v="quarta-feira"/>
    <x v="81"/>
    <n v="35630.86"/>
    <n v="35608.58"/>
    <n v="22.28"/>
    <n v="143"/>
    <n v="182"/>
    <n v="249.16685314685316"/>
    <n v="913.61290322580646"/>
    <n v="38.999952686957137"/>
    <n v="3796"/>
    <n v="3.7671232876712327E-2"/>
    <m/>
    <n v="0"/>
    <n v="862"/>
    <n v="0"/>
    <n v="51.612903225806448"/>
    <n v="0"/>
    <n v="0"/>
    <n v="0"/>
    <n v="0"/>
  </r>
  <r>
    <s v="quinta-feira"/>
    <x v="82"/>
    <n v="29448.65"/>
    <n v="29448.65"/>
    <n v="0"/>
    <n v="119"/>
    <n v="141"/>
    <n v="247.46764705882353"/>
    <n v="1035.2929032258064"/>
    <n v="28.444752116278146"/>
    <n v="3537"/>
    <n v="3.3644331354255021E-2"/>
    <m/>
    <n v="0"/>
    <n v="983.68"/>
    <n v="0"/>
    <n v="51.612903225806448"/>
    <n v="0"/>
    <n v="0"/>
    <n v="0"/>
    <n v="0"/>
  </r>
  <r>
    <s v="sexta-feira"/>
    <x v="83"/>
    <n v="31942.809999999998"/>
    <n v="31899.01"/>
    <n v="43.8"/>
    <n v="125"/>
    <n v="154"/>
    <n v="255.54247999999998"/>
    <n v="1064.6929032258065"/>
    <n v="30.00189998751722"/>
    <n v="3335"/>
    <n v="3.7481259370314844E-2"/>
    <m/>
    <n v="0"/>
    <n v="1013.08"/>
    <n v="0"/>
    <n v="51.612903225806448"/>
    <n v="0"/>
    <n v="0"/>
    <n v="0"/>
    <n v="0"/>
  </r>
  <r>
    <s v="sábado"/>
    <x v="84"/>
    <n v="23258.31"/>
    <n v="23258.31"/>
    <n v="0"/>
    <n v="81"/>
    <n v="103"/>
    <n v="287.13962962962967"/>
    <n v="992.71290322580649"/>
    <n v="23.429039679470723"/>
    <n v="2637"/>
    <n v="3.0716723549488054E-2"/>
    <m/>
    <n v="0"/>
    <n v="941.1"/>
    <n v="0"/>
    <n v="51.612903225806448"/>
    <n v="0"/>
    <n v="0"/>
    <n v="0"/>
    <n v="0"/>
  </r>
  <r>
    <s v="domingo"/>
    <x v="85"/>
    <n v="15994.4"/>
    <n v="15994.4"/>
    <n v="0"/>
    <n v="57"/>
    <n v="73"/>
    <n v="280.6035087719298"/>
    <n v="697.6929032258065"/>
    <n v="22.924699285386673"/>
    <n v="2203"/>
    <n v="2.5873808443032227E-2"/>
    <m/>
    <n v="0"/>
    <n v="646.08000000000004"/>
    <n v="0"/>
    <n v="51.612903225806448"/>
    <n v="0"/>
    <n v="0"/>
    <n v="0"/>
    <n v="0"/>
  </r>
  <r>
    <s v="segunda-feira"/>
    <x v="86"/>
    <n v="31252.33"/>
    <n v="31252.33"/>
    <n v="0"/>
    <n v="125"/>
    <n v="141"/>
    <n v="250.01864"/>
    <n v="452.57290322580644"/>
    <n v="69.054797088474785"/>
    <n v="3477"/>
    <n v="3.5950532067874602E-2"/>
    <m/>
    <n v="0"/>
    <n v="400.96"/>
    <n v="0"/>
    <n v="51.612903225806448"/>
    <n v="0"/>
    <n v="0"/>
    <n v="0"/>
    <n v="0"/>
  </r>
  <r>
    <s v="terça-feira"/>
    <x v="87"/>
    <n v="52253.94"/>
    <n v="52253.94"/>
    <n v="0"/>
    <n v="201"/>
    <n v="282"/>
    <n v="259.96985074626866"/>
    <n v="574.33290322580649"/>
    <n v="90.981971791115868"/>
    <n v="5253"/>
    <n v="3.8263849229011992E-2"/>
    <m/>
    <n v="0"/>
    <n v="522.72"/>
    <n v="0"/>
    <n v="51.612903225806448"/>
    <n v="0"/>
    <n v="0"/>
    <n v="0"/>
    <n v="0"/>
  </r>
  <r>
    <s v="quarta-feira"/>
    <x v="88"/>
    <n v="47794.42"/>
    <n v="47794.42"/>
    <n v="0"/>
    <n v="175"/>
    <n v="231"/>
    <n v="273.11097142857142"/>
    <n v="825.62290322580645"/>
    <n v="57.888922186220292"/>
    <n v="4377"/>
    <n v="3.9981722641078361E-2"/>
    <m/>
    <n v="334.93"/>
    <n v="439.08"/>
    <n v="0"/>
    <n v="51.612903225806448"/>
    <n v="0"/>
    <n v="0"/>
    <n v="0"/>
    <n v="0"/>
  </r>
  <r>
    <s v="quinta-feira"/>
    <x v="89"/>
    <n v="45492.77"/>
    <n v="45492.77"/>
    <n v="0"/>
    <n v="174"/>
    <n v="210"/>
    <n v="261.45270114942525"/>
    <n v="1246.5229032258062"/>
    <n v="36.495735362961909"/>
    <n v="4754"/>
    <n v="3.6600757257046694E-2"/>
    <m/>
    <n v="762.77"/>
    <n v="432.14"/>
    <n v="0"/>
    <n v="51.612903225806448"/>
    <n v="0"/>
    <n v="0"/>
    <n v="0"/>
    <n v="0"/>
  </r>
  <r>
    <s v="sexta-feira"/>
    <x v="90"/>
    <n v="48264.800000000003"/>
    <n v="48264.800000000003"/>
    <n v="0"/>
    <n v="164"/>
    <n v="211"/>
    <n v="294.29756097560977"/>
    <n v="859.78333333333342"/>
    <n v="56.136003256634424"/>
    <n v="3829"/>
    <n v="4.2831026377644292E-2"/>
    <m/>
    <n v="462.83"/>
    <n v="343.62"/>
    <n v="0"/>
    <n v="53.333333333333336"/>
    <n v="0"/>
    <n v="0"/>
    <n v="0"/>
    <n v="0"/>
  </r>
  <r>
    <s v="sábado"/>
    <x v="91"/>
    <n v="34612.26"/>
    <n v="34589.9"/>
    <n v="22.36"/>
    <n v="124"/>
    <n v="173"/>
    <n v="279.13112903225806"/>
    <n v="697.12333333333333"/>
    <n v="49.650124081343812"/>
    <n v="2847"/>
    <n v="4.3554618897084653E-2"/>
    <m/>
    <n v="460.43"/>
    <n v="183.36"/>
    <n v="0"/>
    <n v="53.333333333333336"/>
    <n v="0"/>
    <n v="0"/>
    <n v="0"/>
    <n v="0"/>
  </r>
  <r>
    <s v="domingo"/>
    <x v="92"/>
    <n v="19526.830000000002"/>
    <n v="19526.830000000002"/>
    <n v="0"/>
    <n v="75"/>
    <n v="85"/>
    <n v="260.35773333333333"/>
    <n v="680.63333333333333"/>
    <n v="28.689206131544154"/>
    <n v="2385"/>
    <n v="3.1446540880503145E-2"/>
    <m/>
    <n v="437.7"/>
    <n v="189.6"/>
    <n v="0"/>
    <n v="53.333333333333336"/>
    <n v="0"/>
    <n v="0"/>
    <n v="0"/>
    <n v="0"/>
  </r>
  <r>
    <s v="segunda-feira"/>
    <x v="93"/>
    <n v="55338.26"/>
    <n v="55338.26"/>
    <n v="0"/>
    <n v="232"/>
    <n v="327"/>
    <n v="238.5269827586207"/>
    <n v="971.1633333333333"/>
    <n v="56.981414042951926"/>
    <n v="4984"/>
    <n v="4.6548956661316213E-2"/>
    <m/>
    <n v="622.75"/>
    <n v="295.08"/>
    <n v="0"/>
    <n v="53.333333333333336"/>
    <n v="0"/>
    <n v="0"/>
    <n v="0"/>
    <n v="0"/>
  </r>
  <r>
    <s v="terça-feira"/>
    <x v="94"/>
    <n v="37150.1"/>
    <n v="37100.36"/>
    <n v="49.74"/>
    <n v="157"/>
    <n v="206"/>
    <n v="236.6248407643312"/>
    <n v="1093.8333333333333"/>
    <n v="33.963218040530244"/>
    <n v="4064"/>
    <n v="3.8631889763779528E-2"/>
    <m/>
    <n v="568.38"/>
    <n v="472.12"/>
    <n v="0"/>
    <n v="53.333333333333336"/>
    <n v="0"/>
    <n v="0"/>
    <n v="0"/>
    <n v="0"/>
  </r>
  <r>
    <s v="quarta-feira"/>
    <x v="95"/>
    <n v="48005.71"/>
    <n v="48005.71"/>
    <n v="0"/>
    <n v="201"/>
    <n v="256"/>
    <n v="238.83437810945273"/>
    <n v="1166.5433333333333"/>
    <n v="41.152101793618186"/>
    <n v="4203"/>
    <n v="4.7822983583154892E-2"/>
    <m/>
    <n v="592.04999999999995"/>
    <n v="521.16"/>
    <n v="0"/>
    <n v="53.333333333333336"/>
    <n v="0"/>
    <n v="0"/>
    <n v="0"/>
    <n v="0"/>
  </r>
  <r>
    <s v="quinta-feira"/>
    <x v="96"/>
    <n v="48798.1"/>
    <n v="48798.1"/>
    <n v="0"/>
    <n v="203"/>
    <n v="259"/>
    <n v="240.38472906403939"/>
    <n v="1205.7633333333333"/>
    <n v="40.470711499492715"/>
    <n v="3938"/>
    <n v="5.1549009649568309E-2"/>
    <m/>
    <n v="578.59"/>
    <n v="573.84"/>
    <n v="0"/>
    <n v="53.333333333333336"/>
    <n v="0"/>
    <n v="0"/>
    <n v="0"/>
    <n v="0"/>
  </r>
  <r>
    <s v="sexta-feira"/>
    <x v="97"/>
    <n v="48386.76"/>
    <n v="48386.76"/>
    <n v="0"/>
    <n v="197"/>
    <n v="263"/>
    <n v="245.61807106598985"/>
    <n v="939.97333333333336"/>
    <n v="51.476736928707197"/>
    <n v="3874"/>
    <n v="5.0851832731027363E-2"/>
    <m/>
    <n v="482.64"/>
    <n v="404"/>
    <n v="0"/>
    <n v="53.333333333333336"/>
    <n v="0"/>
    <n v="0"/>
    <n v="0"/>
    <n v="0"/>
  </r>
  <r>
    <s v="sábado"/>
    <x v="98"/>
    <n v="30618.080000000002"/>
    <n v="30586.2"/>
    <n v="31.88"/>
    <n v="130"/>
    <n v="168"/>
    <n v="235.52369230769233"/>
    <n v="867.92333333333329"/>
    <n v="35.277401613813822"/>
    <n v="3047"/>
    <n v="4.2664916311125699E-2"/>
    <m/>
    <n v="408.89"/>
    <n v="405.7"/>
    <n v="0"/>
    <n v="53.333333333333336"/>
    <n v="0"/>
    <n v="0"/>
    <n v="0"/>
    <n v="0"/>
  </r>
  <r>
    <s v="domingo"/>
    <x v="99"/>
    <n v="24846.03"/>
    <n v="24846.03"/>
    <n v="0"/>
    <n v="109"/>
    <n v="140"/>
    <n v="227.94522935779815"/>
    <n v="743.36333333333334"/>
    <n v="33.423803523624606"/>
    <n v="2670"/>
    <n v="4.0823970037453181E-2"/>
    <m/>
    <n v="421.13"/>
    <n v="268.89999999999998"/>
    <n v="0"/>
    <n v="53.333333333333336"/>
    <n v="0"/>
    <n v="0"/>
    <n v="0"/>
    <n v="0"/>
  </r>
  <r>
    <s v="segunda-feira"/>
    <x v="100"/>
    <n v="40179.22"/>
    <n v="40179.22"/>
    <n v="0"/>
    <n v="152"/>
    <n v="190"/>
    <n v="264.33697368421053"/>
    <n v="947.3033333333334"/>
    <n v="42.4143129092758"/>
    <n v="3983"/>
    <n v="3.8162189304544313E-2"/>
    <m/>
    <n v="502.41"/>
    <n v="391.56"/>
    <n v="0"/>
    <n v="53.333333333333336"/>
    <n v="0"/>
    <n v="0"/>
    <n v="0"/>
    <n v="0"/>
  </r>
  <r>
    <s v="terça-feira"/>
    <x v="101"/>
    <n v="50744.22"/>
    <n v="50744.22"/>
    <n v="0"/>
    <n v="177"/>
    <n v="238"/>
    <n v="286.69050847457629"/>
    <n v="901.37333333333333"/>
    <n v="56.296562282738932"/>
    <n v="3978"/>
    <n v="4.4494720965309202E-2"/>
    <m/>
    <n v="474.42"/>
    <n v="373.62"/>
    <n v="0"/>
    <n v="53.333333333333336"/>
    <n v="0"/>
    <n v="0"/>
    <n v="0"/>
    <n v="0"/>
  </r>
  <r>
    <s v="quarta-feira"/>
    <x v="102"/>
    <n v="39104.629999999997"/>
    <n v="39082.35"/>
    <n v="22.28"/>
    <n v="152"/>
    <n v="184"/>
    <n v="257.26730263157896"/>
    <n v="795.81333333333339"/>
    <n v="49.13794273363937"/>
    <n v="3557"/>
    <n v="4.2732639865054822E-2"/>
    <m/>
    <n v="460.7"/>
    <n v="281.77999999999997"/>
    <n v="0"/>
    <n v="53.333333333333336"/>
    <n v="0"/>
    <n v="0"/>
    <n v="0"/>
    <n v="0"/>
  </r>
  <r>
    <s v="quinta-feira"/>
    <x v="103"/>
    <n v="52367.01"/>
    <n v="52344.65"/>
    <n v="22.36"/>
    <n v="195"/>
    <n v="255"/>
    <n v="268.54876923076927"/>
    <n v="906.87333333333333"/>
    <n v="57.74456925259684"/>
    <n v="3916"/>
    <n v="4.979570990806946E-2"/>
    <m/>
    <n v="413.14"/>
    <n v="440.4"/>
    <n v="0"/>
    <n v="53.333333333333336"/>
    <n v="0"/>
    <n v="0"/>
    <n v="0"/>
    <n v="0"/>
  </r>
  <r>
    <s v="sexta-feira"/>
    <x v="104"/>
    <n v="20921.53"/>
    <n v="20921.53"/>
    <n v="0"/>
    <n v="78"/>
    <n v="106"/>
    <n v="268.22474358974358"/>
    <n v="760.18333333333339"/>
    <n v="27.521689943215449"/>
    <n v="2384"/>
    <n v="3.2718120805369129E-2"/>
    <m/>
    <n v="395.37"/>
    <n v="311.48"/>
    <n v="0"/>
    <n v="53.333333333333336"/>
    <n v="0"/>
    <n v="0"/>
    <n v="0"/>
    <n v="0"/>
  </r>
  <r>
    <s v="sábado"/>
    <x v="105"/>
    <n v="27300.05"/>
    <n v="27300.05"/>
    <n v="0"/>
    <n v="114"/>
    <n v="165"/>
    <n v="239.47412280701755"/>
    <n v="622.76333333333343"/>
    <n v="43.836957859861151"/>
    <n v="2545"/>
    <n v="4.4793713163064831E-2"/>
    <m/>
    <n v="440.05"/>
    <n v="129.38"/>
    <n v="0"/>
    <n v="53.333333333333336"/>
    <n v="0"/>
    <n v="0"/>
    <n v="0"/>
    <n v="0"/>
  </r>
  <r>
    <s v="domingo"/>
    <x v="106"/>
    <n v="16434.91"/>
    <n v="16409.150000000001"/>
    <n v="25.76"/>
    <n v="68"/>
    <n v="91"/>
    <n v="241.68985294117647"/>
    <n v="594.66333333333341"/>
    <n v="27.637335411072929"/>
    <n v="2089"/>
    <n v="3.2551460028721876E-2"/>
    <m/>
    <n v="401.75"/>
    <n v="139.58000000000001"/>
    <n v="0"/>
    <n v="53.333333333333336"/>
    <n v="0"/>
    <n v="0"/>
    <n v="0"/>
    <n v="0"/>
  </r>
  <r>
    <s v="segunda-feira"/>
    <x v="107"/>
    <n v="33019.06"/>
    <n v="33019.06"/>
    <n v="0"/>
    <n v="117"/>
    <n v="141"/>
    <n v="282.214188034188"/>
    <n v="842.70333333333338"/>
    <n v="39.182306149653293"/>
    <n v="4088"/>
    <n v="2.8620352250489235E-2"/>
    <m/>
    <n v="491.95"/>
    <n v="297.42"/>
    <n v="0"/>
    <n v="53.333333333333336"/>
    <n v="0"/>
    <n v="0"/>
    <n v="0"/>
    <n v="0"/>
  </r>
  <r>
    <s v="terça-feira"/>
    <x v="108"/>
    <n v="48457.27"/>
    <n v="48457.27"/>
    <n v="0"/>
    <n v="166"/>
    <n v="259"/>
    <n v="291.91126506024096"/>
    <n v="1114.1233333333332"/>
    <n v="43.493631764287016"/>
    <n v="4263"/>
    <n v="3.8939713816561104E-2"/>
    <m/>
    <n v="500.47"/>
    <n v="560.32000000000005"/>
    <n v="0"/>
    <n v="53.333333333333336"/>
    <n v="0"/>
    <n v="0"/>
    <n v="0"/>
    <n v="0"/>
  </r>
  <r>
    <s v="quarta-feira"/>
    <x v="109"/>
    <n v="34555.19"/>
    <n v="34555.19"/>
    <n v="0"/>
    <n v="130"/>
    <n v="163"/>
    <n v="265.80915384615389"/>
    <n v="915.60333333333335"/>
    <n v="37.740349714760029"/>
    <n v="3810"/>
    <n v="3.4120734908136482E-2"/>
    <m/>
    <n v="467.95"/>
    <n v="394.32"/>
    <n v="0"/>
    <n v="53.333333333333336"/>
    <n v="0"/>
    <n v="0"/>
    <n v="0"/>
    <n v="0"/>
  </r>
  <r>
    <s v="quinta-feira"/>
    <x v="110"/>
    <n v="23262.320000000003"/>
    <n v="23240.240000000002"/>
    <n v="22.08"/>
    <n v="83"/>
    <n v="103"/>
    <n v="280.26891566265067"/>
    <n v="1025.7433333333333"/>
    <n v="22.678499819642994"/>
    <n v="2858"/>
    <n v="2.9041287613715886E-2"/>
    <m/>
    <n v="411.67"/>
    <n v="560.74"/>
    <n v="0"/>
    <n v="53.333333333333336"/>
    <n v="0"/>
    <n v="0"/>
    <n v="0"/>
    <n v="0"/>
  </r>
  <r>
    <s v="sexta-feira"/>
    <x v="111"/>
    <n v="34228.5"/>
    <n v="34228.5"/>
    <n v="0"/>
    <n v="133"/>
    <n v="175"/>
    <n v="257.35714285714283"/>
    <n v="1046.3733333333332"/>
    <n v="32.711556104895642"/>
    <n v="3489"/>
    <n v="3.8119805101748352E-2"/>
    <m/>
    <n v="438.18"/>
    <n v="554.86"/>
    <n v="0"/>
    <n v="53.333333333333336"/>
    <n v="0"/>
    <n v="0"/>
    <n v="0"/>
    <n v="0"/>
  </r>
  <r>
    <s v="sábado"/>
    <x v="112"/>
    <n v="14434.7"/>
    <n v="14434.7"/>
    <n v="0"/>
    <n v="55"/>
    <n v="75"/>
    <n v="262.4490909090909"/>
    <n v="1043.5133333333333"/>
    <n v="13.832789231250839"/>
    <n v="2872"/>
    <n v="1.9150417827298049E-2"/>
    <m/>
    <n v="424.52"/>
    <n v="565.66"/>
    <n v="0"/>
    <n v="53.333333333333336"/>
    <n v="0"/>
    <n v="0"/>
    <n v="0"/>
    <n v="0"/>
  </r>
  <r>
    <s v="domingo"/>
    <x v="113"/>
    <n v="22858.3"/>
    <n v="22858.3"/>
    <n v="0"/>
    <n v="87"/>
    <n v="107"/>
    <n v="262.73908045977009"/>
    <n v="825.72333333333336"/>
    <n v="27.682758954775004"/>
    <n v="2756"/>
    <n v="3.1567489114658925E-2"/>
    <m/>
    <n v="330.33"/>
    <n v="442.06"/>
    <n v="0"/>
    <n v="53.333333333333336"/>
    <n v="0"/>
    <n v="0"/>
    <n v="0"/>
    <n v="0"/>
  </r>
  <r>
    <s v="segunda-feira"/>
    <x v="114"/>
    <n v="60267.72"/>
    <n v="60245.74"/>
    <n v="21.98"/>
    <n v="209"/>
    <n v="316"/>
    <n v="288.36229665071772"/>
    <n v="748.65333333333331"/>
    <n v="80.501504924397594"/>
    <n v="4527"/>
    <n v="4.6167439805610777E-2"/>
    <m/>
    <n v="467.18"/>
    <n v="228.14"/>
    <n v="0"/>
    <n v="53.333333333333336"/>
    <n v="0"/>
    <n v="0"/>
    <n v="0"/>
    <n v="0"/>
  </r>
  <r>
    <s v="terça-feira"/>
    <x v="115"/>
    <n v="43606.53"/>
    <n v="43606.53"/>
    <n v="0"/>
    <n v="132"/>
    <n v="173"/>
    <n v="330.35249999999996"/>
    <n v="700.3033333333334"/>
    <n v="62.268060031129359"/>
    <n v="4594"/>
    <n v="2.8733130169786677E-2"/>
    <m/>
    <n v="430.53"/>
    <n v="216.44"/>
    <n v="0"/>
    <n v="53.333333333333336"/>
    <n v="0"/>
    <n v="0"/>
    <n v="0"/>
    <n v="0"/>
  </r>
  <r>
    <s v="quarta-feira"/>
    <x v="116"/>
    <n v="62249.99"/>
    <n v="62249.99"/>
    <n v="0"/>
    <n v="175"/>
    <n v="265"/>
    <n v="355.71422857142858"/>
    <n v="748.68333333333339"/>
    <n v="83.145954008147626"/>
    <n v="5394"/>
    <n v="3.2443455691509082E-2"/>
    <m/>
    <n v="451.69"/>
    <n v="243.66"/>
    <n v="0"/>
    <n v="53.333333333333336"/>
    <n v="0"/>
    <n v="0"/>
    <n v="0"/>
    <n v="0"/>
  </r>
  <r>
    <s v="quinta-feira"/>
    <x v="117"/>
    <n v="68461.149999999994"/>
    <n v="68393.11"/>
    <n v="68.040000000000006"/>
    <n v="187"/>
    <n v="314"/>
    <n v="366.10240641711226"/>
    <n v="830.93333333333339"/>
    <n v="82.390665115532727"/>
    <n v="5106"/>
    <n v="3.6623580101840969E-2"/>
    <m/>
    <n v="474.62"/>
    <n v="302.98"/>
    <n v="0"/>
    <n v="53.333333333333336"/>
    <n v="0"/>
    <n v="0"/>
    <n v="0"/>
    <n v="0"/>
  </r>
  <r>
    <s v="sexta-feira"/>
    <x v="118"/>
    <n v="65289.740000000005"/>
    <n v="65264.76"/>
    <n v="24.98"/>
    <n v="203"/>
    <n v="294"/>
    <n v="321.62433497536949"/>
    <n v="830.36333333333334"/>
    <n v="78.627917899393438"/>
    <n v="4967"/>
    <n v="4.0869740285886851E-2"/>
    <m/>
    <n v="464.01"/>
    <n v="313.02"/>
    <n v="0"/>
    <n v="53.333333333333336"/>
    <n v="0"/>
    <n v="0"/>
    <n v="0"/>
    <n v="0"/>
  </r>
  <r>
    <s v="sábado"/>
    <x v="119"/>
    <n v="39173.85"/>
    <n v="39173.85"/>
    <n v="0"/>
    <n v="141"/>
    <n v="159"/>
    <n v="277.8287234042553"/>
    <n v="641.33333333333337"/>
    <n v="61.081886694386689"/>
    <n v="4101"/>
    <n v="3.4381858083394293E-2"/>
    <m/>
    <n v="350.24"/>
    <n v="237.76"/>
    <n v="0"/>
    <n v="53.333333333333336"/>
    <n v="0"/>
    <n v="0"/>
    <n v="0"/>
    <n v="0"/>
  </r>
  <r>
    <s v="domingo"/>
    <x v="120"/>
    <n v="42443.15"/>
    <n v="42378.51"/>
    <n v="64.64"/>
    <n v="129"/>
    <n v="151"/>
    <n v="329.01666666666665"/>
    <n v="767.46290322580649"/>
    <n v="55.303194228154346"/>
    <n v="3994"/>
    <n v="3.229844767150726E-2"/>
    <m/>
    <n v="453.69"/>
    <n v="262.16000000000003"/>
    <n v="0"/>
    <n v="51.612903225806448"/>
    <n v="0"/>
    <n v="0"/>
    <n v="0"/>
    <n v="0"/>
  </r>
  <r>
    <s v="segunda-feira"/>
    <x v="121"/>
    <n v="154579.30000000002"/>
    <n v="154554.23000000001"/>
    <n v="25.07"/>
    <n v="408"/>
    <n v="625"/>
    <n v="378.87083333333339"/>
    <n v="912.31290322580651"/>
    <n v="169.43671349317756"/>
    <n v="8254"/>
    <n v="4.9430579113157257E-2"/>
    <m/>
    <n v="482.9"/>
    <n v="377.8"/>
    <n v="0"/>
    <n v="51.612903225806448"/>
    <n v="0"/>
    <n v="0"/>
    <n v="0"/>
    <n v="0"/>
  </r>
  <r>
    <s v="terça-feira"/>
    <x v="122"/>
    <n v="149914.43"/>
    <n v="149914.43"/>
    <n v="0"/>
    <n v="452"/>
    <n v="553"/>
    <n v="331.66909292035399"/>
    <n v="963.65290322580643"/>
    <n v="155.56890815994515"/>
    <n v="8428"/>
    <n v="5.3630754627432366E-2"/>
    <m/>
    <n v="517.55999999999995"/>
    <n v="394.48"/>
    <n v="0"/>
    <n v="51.612903225806448"/>
    <n v="0"/>
    <n v="0"/>
    <n v="0"/>
    <n v="0"/>
  </r>
  <r>
    <s v="quarta-feira"/>
    <x v="123"/>
    <n v="164851.48000000001"/>
    <n v="164851.48000000001"/>
    <n v="0"/>
    <n v="483"/>
    <n v="688"/>
    <n v="341.30741200828157"/>
    <n v="1079.9129032258063"/>
    <n v="152.65256995038433"/>
    <n v="7985"/>
    <n v="6.0488415779586725E-2"/>
    <m/>
    <n v="537.1"/>
    <n v="491.2"/>
    <n v="0"/>
    <n v="51.612903225806448"/>
    <n v="0"/>
    <n v="0"/>
    <n v="0"/>
    <n v="0"/>
  </r>
  <r>
    <s v="quinta-feira"/>
    <x v="124"/>
    <n v="187138.48"/>
    <n v="187103.48"/>
    <n v="35"/>
    <n v="569"/>
    <n v="731"/>
    <n v="328.89012302284709"/>
    <n v="1176.5729032258064"/>
    <n v="159.05387544360659"/>
    <n v="7952"/>
    <n v="7.155432595573441E-2"/>
    <m/>
    <n v="512.34"/>
    <n v="612.62"/>
    <n v="0"/>
    <n v="51.612903225806448"/>
    <n v="0"/>
    <n v="0"/>
    <n v="0"/>
    <n v="0"/>
  </r>
  <r>
    <s v="sexta-feira"/>
    <x v="125"/>
    <n v="283599.35999999999"/>
    <n v="283599.35999999999"/>
    <n v="0"/>
    <n v="857"/>
    <n v="1034"/>
    <n v="330.92107351225201"/>
    <n v="1224.5729032258064"/>
    <n v="231.59042573368569"/>
    <n v="8598"/>
    <n v="9.9674342870434987E-2"/>
    <m/>
    <n v="479.24"/>
    <n v="693.72"/>
    <n v="0"/>
    <n v="51.612903225806448"/>
    <n v="0"/>
    <n v="0"/>
    <n v="0"/>
    <n v="0"/>
  </r>
  <r>
    <s v="sábado"/>
    <x v="126"/>
    <n v="328478.06"/>
    <n v="328478.06"/>
    <n v="0"/>
    <n v="1048"/>
    <n v="1168"/>
    <n v="313.43326335877862"/>
    <n v="1274.0029032258062"/>
    <n v="257.83148466010994"/>
    <n v="7301"/>
    <n v="0.14354198055060952"/>
    <m/>
    <n v="506.33"/>
    <n v="716.06"/>
    <n v="0"/>
    <n v="51.612903225806448"/>
    <n v="0"/>
    <n v="0"/>
    <n v="0"/>
    <n v="0"/>
  </r>
  <r>
    <s v="domingo"/>
    <x v="127"/>
    <n v="304478.12"/>
    <n v="304478.12"/>
    <n v="0"/>
    <n v="976"/>
    <n v="1101"/>
    <n v="311.96528688524592"/>
    <n v="1367.8629032258063"/>
    <n v="222.59403283907673"/>
    <n v="6222"/>
    <n v="0.15686274509803921"/>
    <m/>
    <n v="423.19"/>
    <n v="893.06"/>
    <n v="0"/>
    <n v="51.612903225806448"/>
    <n v="0"/>
    <n v="0"/>
    <n v="0"/>
    <n v="0"/>
  </r>
  <r>
    <s v="segunda-feira"/>
    <x v="128"/>
    <n v="69381.47"/>
    <n v="69381.47"/>
    <n v="0"/>
    <n v="281"/>
    <n v="355"/>
    <n v="246.90914590747332"/>
    <n v="966.75290322580656"/>
    <n v="71.767532084456974"/>
    <n v="6002"/>
    <n v="4.6817727424191935E-2"/>
    <m/>
    <n v="592.94000000000005"/>
    <n v="322.2"/>
    <n v="0"/>
    <n v="51.612903225806448"/>
    <n v="0"/>
    <n v="0"/>
    <n v="0"/>
    <n v="0"/>
  </r>
  <r>
    <s v="terça-feira"/>
    <x v="129"/>
    <n v="53879.05"/>
    <n v="53879.05"/>
    <n v="0"/>
    <n v="185"/>
    <n v="246"/>
    <n v="291.23810810810812"/>
    <n v="932.44290322580639"/>
    <n v="57.78268011221305"/>
    <n v="5562"/>
    <n v="3.3261416756562384E-2"/>
    <m/>
    <n v="593.99"/>
    <n v="286.83999999999997"/>
    <n v="0"/>
    <n v="51.612903225806448"/>
    <n v="0"/>
    <n v="0"/>
    <n v="0"/>
    <n v="0"/>
  </r>
  <r>
    <s v="quarta-feira"/>
    <x v="130"/>
    <n v="56363.07"/>
    <n v="56363.07"/>
    <n v="0"/>
    <n v="184"/>
    <n v="280"/>
    <n v="306.32103260869565"/>
    <n v="944.63290322580644"/>
    <n v="59.666638550834904"/>
    <n v="4786"/>
    <n v="3.8445465942331801E-2"/>
    <m/>
    <n v="580.54"/>
    <n v="312.48"/>
    <n v="0"/>
    <n v="51.612903225806448"/>
    <n v="0"/>
    <n v="0"/>
    <n v="0"/>
    <n v="0"/>
  </r>
  <r>
    <s v="quinta-feira"/>
    <x v="131"/>
    <n v="51690.61"/>
    <n v="51690.61"/>
    <n v="0"/>
    <n v="193"/>
    <n v="246"/>
    <n v="267.82699481865285"/>
    <n v="941.34290322580648"/>
    <n v="54.911562856495678"/>
    <n v="4449"/>
    <n v="4.3380534951674536E-2"/>
    <m/>
    <n v="517.47"/>
    <n v="372.26"/>
    <n v="0"/>
    <n v="51.612903225806448"/>
    <n v="0"/>
    <n v="0"/>
    <n v="0"/>
    <n v="0"/>
  </r>
  <r>
    <s v="sexta-feira"/>
    <x v="132"/>
    <n v="41311.440000000002"/>
    <n v="41311.440000000002"/>
    <n v="0"/>
    <n v="164"/>
    <n v="196"/>
    <n v="251.89902439024391"/>
    <n v="928.90290322580643"/>
    <n v="44.473367298710691"/>
    <n v="4162"/>
    <n v="3.9404132628543968E-2"/>
    <m/>
    <n v="440.31"/>
    <n v="436.98"/>
    <n v="0"/>
    <n v="51.612903225806448"/>
    <n v="0"/>
    <n v="0"/>
    <n v="0"/>
    <n v="0"/>
  </r>
  <r>
    <s v="sábado"/>
    <x v="133"/>
    <n v="33446.58"/>
    <n v="33446.58"/>
    <n v="0"/>
    <n v="137"/>
    <n v="180"/>
    <n v="244.13562043795622"/>
    <n v="1036.1029032258064"/>
    <n v="32.281137226685985"/>
    <n v="3136"/>
    <n v="4.3686224489795922E-2"/>
    <m/>
    <n v="488.81"/>
    <n v="495.68"/>
    <n v="0"/>
    <n v="51.612903225806448"/>
    <n v="0"/>
    <n v="0"/>
    <n v="0"/>
    <n v="0"/>
  </r>
  <r>
    <s v="domingo"/>
    <x v="134"/>
    <n v="36932.65"/>
    <n v="36932.65"/>
    <n v="0"/>
    <n v="186"/>
    <n v="252"/>
    <n v="198.56263440860215"/>
    <n v="1523.5929032258064"/>
    <n v="24.240497525162301"/>
    <n v="3385"/>
    <n v="5.4948301329394385E-2"/>
    <m/>
    <n v="439.76"/>
    <n v="1032.22"/>
    <n v="0"/>
    <n v="51.612903225806448"/>
    <n v="0"/>
    <n v="0"/>
    <n v="0"/>
    <n v="0"/>
  </r>
  <r>
    <s v="segunda-feira"/>
    <x v="135"/>
    <n v="46064.13"/>
    <n v="46064.13"/>
    <n v="0"/>
    <n v="169"/>
    <n v="190"/>
    <n v="272.56881656804734"/>
    <n v="805.12290322580645"/>
    <n v="57.213786634859588"/>
    <n v="4326"/>
    <n v="3.9066111881645861E-2"/>
    <m/>
    <n v="482.47"/>
    <n v="271.04000000000002"/>
    <n v="0"/>
    <n v="51.612903225806448"/>
    <n v="0"/>
    <n v="0"/>
    <n v="0"/>
    <n v="0"/>
  </r>
  <r>
    <s v="terça-feira"/>
    <x v="136"/>
    <n v="30920.560000000001"/>
    <n v="30920.560000000001"/>
    <n v="0"/>
    <n v="124"/>
    <n v="139"/>
    <n v="249.35935483870969"/>
    <n v="779.95290322580649"/>
    <n v="39.644137321773769"/>
    <n v="3961"/>
    <n v="3.1305225953042158E-2"/>
    <m/>
    <n v="477.36"/>
    <n v="250.98"/>
    <n v="0"/>
    <n v="51.612903225806448"/>
    <n v="0"/>
    <n v="0"/>
    <n v="0"/>
    <n v="0"/>
  </r>
  <r>
    <s v="quarta-feira"/>
    <x v="137"/>
    <n v="33362.79"/>
    <n v="33336.800000000003"/>
    <n v="25.99"/>
    <n v="142"/>
    <n v="169"/>
    <n v="234.94922535211268"/>
    <n v="891.35290322580647"/>
    <n v="37.429383894145687"/>
    <n v="3461"/>
    <n v="4.1028604449581049E-2"/>
    <m/>
    <n v="518.32000000000005"/>
    <n v="321.42"/>
    <n v="0"/>
    <n v="51.612903225806448"/>
    <n v="0"/>
    <n v="0"/>
    <n v="0"/>
    <n v="0"/>
  </r>
  <r>
    <s v="quinta-feira"/>
    <x v="138"/>
    <n v="39236.49"/>
    <n v="39236.49"/>
    <n v="0"/>
    <n v="144"/>
    <n v="172"/>
    <n v="272.47562499999998"/>
    <n v="1058.7429032258065"/>
    <n v="37.059506968550345"/>
    <n v="3307"/>
    <n v="4.3543997580889025E-2"/>
    <m/>
    <n v="593.27"/>
    <n v="413.86"/>
    <n v="0"/>
    <n v="51.612903225806448"/>
    <n v="0"/>
    <n v="0"/>
    <n v="0"/>
    <n v="0"/>
  </r>
  <r>
    <s v="sexta-feira"/>
    <x v="139"/>
    <n v="37411.68"/>
    <n v="37411.68"/>
    <n v="0"/>
    <n v="138"/>
    <n v="162"/>
    <n v="271.09913043478264"/>
    <n v="856.8229032258065"/>
    <n v="43.663258602391203"/>
    <n v="3004"/>
    <n v="4.5938748335552594E-2"/>
    <m/>
    <n v="346.19"/>
    <n v="459.02"/>
    <n v="0"/>
    <n v="51.612903225806448"/>
    <n v="0"/>
    <n v="0"/>
    <n v="0"/>
    <n v="0"/>
  </r>
  <r>
    <s v="sábado"/>
    <x v="140"/>
    <n v="20893.580000000002"/>
    <n v="20893.580000000002"/>
    <n v="0"/>
    <n v="84"/>
    <n v="96"/>
    <n v="248.73309523809525"/>
    <n v="1100.5429032258064"/>
    <n v="18.98479372204276"/>
    <n v="2600"/>
    <n v="3.2307692307692308E-2"/>
    <m/>
    <n v="383.35"/>
    <n v="665.58"/>
    <n v="0"/>
    <n v="51.612903225806448"/>
    <n v="0"/>
    <n v="0"/>
    <n v="0"/>
    <n v="0"/>
  </r>
  <r>
    <s v="domingo"/>
    <x v="141"/>
    <n v="17382.490000000002"/>
    <n v="17382.490000000002"/>
    <n v="0"/>
    <n v="66"/>
    <n v="78"/>
    <n v="263.37106060606061"/>
    <n v="1187.2829032258064"/>
    <n v="14.640562879135528"/>
    <n v="2424"/>
    <n v="2.7227722772277228E-2"/>
    <m/>
    <n v="423.01"/>
    <n v="712.66"/>
    <n v="0"/>
    <n v="51.612903225806448"/>
    <n v="0"/>
    <n v="0"/>
    <n v="0"/>
    <n v="0"/>
  </r>
  <r>
    <s v="segunda-feira"/>
    <x v="142"/>
    <n v="51145"/>
    <n v="51145"/>
    <n v="0"/>
    <n v="177"/>
    <n v="247"/>
    <n v="288.954802259887"/>
    <n v="991.8229032258065"/>
    <n v="51.566665615056799"/>
    <n v="3827"/>
    <n v="4.6250326626600467E-2"/>
    <m/>
    <n v="474.63"/>
    <n v="465.58"/>
    <n v="0"/>
    <n v="51.612903225806448"/>
    <n v="0"/>
    <n v="0"/>
    <n v="0"/>
    <n v="0"/>
  </r>
  <r>
    <s v="terça-feira"/>
    <x v="143"/>
    <n v="33726.129999999997"/>
    <n v="33726.129999999997"/>
    <n v="0"/>
    <n v="118"/>
    <n v="135"/>
    <n v="285.81466101694912"/>
    <n v="798.02290322580654"/>
    <n v="42.26210784636708"/>
    <n v="3743"/>
    <n v="3.152551429334758E-2"/>
    <m/>
    <n v="434.55"/>
    <n v="311.86"/>
    <n v="0"/>
    <n v="51.612903225806448"/>
    <n v="0"/>
    <n v="0"/>
    <n v="0"/>
    <n v="0"/>
  </r>
  <r>
    <s v="quarta-feira"/>
    <x v="144"/>
    <n v="38414.57"/>
    <n v="38389.64"/>
    <n v="24.93"/>
    <n v="141"/>
    <n v="158"/>
    <n v="272.44375886524824"/>
    <n v="839.49290322580646"/>
    <n v="45.759255203217919"/>
    <n v="3877"/>
    <n v="3.636832602527728E-2"/>
    <m/>
    <n v="434.04"/>
    <n v="353.84"/>
    <n v="0"/>
    <n v="51.612903225806448"/>
    <n v="0"/>
    <n v="0"/>
    <n v="0"/>
    <n v="0"/>
  </r>
  <r>
    <s v="quinta-feira"/>
    <x v="145"/>
    <n v="37953.9"/>
    <n v="37953.9"/>
    <n v="0"/>
    <n v="135"/>
    <n v="149"/>
    <n v="281.14"/>
    <n v="1066.5229032258064"/>
    <n v="35.586577545784145"/>
    <n v="3656"/>
    <n v="3.6925601750547044E-2"/>
    <m/>
    <n v="556.23"/>
    <n v="458.68"/>
    <n v="0"/>
    <n v="51.612903225806448"/>
    <n v="0"/>
    <n v="0"/>
    <n v="0"/>
    <n v="0"/>
  </r>
  <r>
    <s v="sexta-feira"/>
    <x v="146"/>
    <n v="39442.199999999997"/>
    <n v="39442.199999999997"/>
    <n v="0"/>
    <n v="145"/>
    <n v="170"/>
    <n v="272.0151724137931"/>
    <n v="803.70290322580649"/>
    <n v="49.075597265720475"/>
    <n v="3432"/>
    <n v="4.2249417249417248E-2"/>
    <m/>
    <n v="393.99"/>
    <n v="358.1"/>
    <n v="0"/>
    <n v="51.612903225806448"/>
    <n v="0"/>
    <n v="0"/>
    <n v="0"/>
    <n v="0"/>
  </r>
  <r>
    <s v="sábado"/>
    <x v="147"/>
    <n v="25814.95"/>
    <n v="25814.95"/>
    <n v="0"/>
    <n v="90"/>
    <n v="99"/>
    <n v="286.83277777777778"/>
    <n v="700.46290322580637"/>
    <n v="36.854128721329445"/>
    <n v="2620"/>
    <n v="3.4351145038167941E-2"/>
    <m/>
    <n v="431.65"/>
    <n v="217.2"/>
    <n v="0"/>
    <n v="51.612903225806448"/>
    <n v="0"/>
    <n v="0"/>
    <n v="0"/>
    <n v="0"/>
  </r>
  <r>
    <s v="domingo"/>
    <x v="148"/>
    <n v="15903.98"/>
    <n v="15903.98"/>
    <n v="0"/>
    <n v="67"/>
    <n v="74"/>
    <n v="237.37283582089552"/>
    <n v="667.4329032258064"/>
    <n v="23.828582503400124"/>
    <n v="2389"/>
    <n v="2.8045207199665131E-2"/>
    <m/>
    <n v="418.64"/>
    <n v="197.18"/>
    <n v="0"/>
    <n v="51.612903225806448"/>
    <n v="0"/>
    <n v="0"/>
    <n v="0"/>
    <n v="0"/>
  </r>
  <r>
    <s v="segunda-feira"/>
    <x v="149"/>
    <n v="37897.050000000003"/>
    <n v="37897.050000000003"/>
    <n v="0"/>
    <n v="138"/>
    <n v="149"/>
    <n v="274.61630434782609"/>
    <n v="905.21290322580649"/>
    <n v="41.865344456481459"/>
    <n v="4355"/>
    <n v="3.1687715269804823E-2"/>
    <m/>
    <n v="491.48"/>
    <n v="362.12"/>
    <n v="0"/>
    <n v="51.612903225806448"/>
    <n v="0"/>
    <n v="0"/>
    <n v="0"/>
    <n v="0"/>
  </r>
  <r>
    <s v="terça-feira"/>
    <x v="150"/>
    <n v="40676.800000000003"/>
    <n v="40676.800000000003"/>
    <n v="0"/>
    <n v="141"/>
    <n v="156"/>
    <n v="288.48794326241136"/>
    <n v="864.87290322580645"/>
    <n v="47.032112866854206"/>
    <n v="3980"/>
    <n v="3.5427135678391959E-2"/>
    <m/>
    <n v="459.78"/>
    <n v="353.48"/>
    <n v="0"/>
    <n v="51.612903225806448"/>
    <n v="0"/>
    <n v="0"/>
    <n v="0"/>
    <n v="0"/>
  </r>
  <r>
    <s v="quarta-feira"/>
    <x v="151"/>
    <n v="49373.24"/>
    <n v="49373.24"/>
    <n v="0"/>
    <n v="152"/>
    <n v="169"/>
    <n v="324.82394736842105"/>
    <n v="964.94333333333338"/>
    <n v="51.166983898881796"/>
    <n v="4342"/>
    <n v="3.5006909258406264E-2"/>
    <m/>
    <n v="534.61"/>
    <n v="377"/>
    <n v="0"/>
    <n v="53.333333333333336"/>
    <n v="0"/>
    <n v="0"/>
    <n v="0"/>
    <n v="0"/>
  </r>
  <r>
    <s v="quinta-feira"/>
    <x v="152"/>
    <n v="51427.799999999996"/>
    <n v="51405.49"/>
    <n v="22.31"/>
    <n v="164"/>
    <n v="186"/>
    <n v="313.58414634146339"/>
    <n v="968.28333333333342"/>
    <n v="53.11234659276726"/>
    <n v="4311"/>
    <n v="3.8042217582927397E-2"/>
    <m/>
    <n v="541.01"/>
    <n v="373.94"/>
    <n v="0"/>
    <n v="53.333333333333336"/>
    <n v="0"/>
    <n v="0"/>
    <n v="0"/>
    <n v="0"/>
  </r>
  <r>
    <s v="sexta-feira"/>
    <x v="153"/>
    <n v="50800.02"/>
    <n v="50733.2"/>
    <n v="66.819999999999993"/>
    <n v="167"/>
    <n v="201"/>
    <n v="304.1917365269461"/>
    <n v="1055.8633333333332"/>
    <n v="48.112306201244479"/>
    <n v="3998"/>
    <n v="4.177088544272136E-2"/>
    <m/>
    <n v="609.19000000000005"/>
    <n v="393.34"/>
    <n v="0"/>
    <n v="53.333333333333336"/>
    <n v="0"/>
    <n v="0"/>
    <n v="0"/>
    <n v="0"/>
  </r>
  <r>
    <s v="sábado"/>
    <x v="154"/>
    <n v="33834"/>
    <n v="33834"/>
    <n v="0"/>
    <n v="113"/>
    <n v="118"/>
    <n v="299.4159292035398"/>
    <n v="1010.4633333333335"/>
    <n v="33.483649414954854"/>
    <n v="3039"/>
    <n v="3.7183283974991772E-2"/>
    <m/>
    <n v="557.59"/>
    <n v="399.54"/>
    <n v="0"/>
    <n v="53.333333333333336"/>
    <n v="0"/>
    <n v="0"/>
    <n v="0"/>
    <n v="0"/>
  </r>
  <r>
    <s v="domingo"/>
    <x v="155"/>
    <n v="25679.15"/>
    <n v="25679.15"/>
    <n v="0"/>
    <n v="89"/>
    <n v="92"/>
    <n v="288.52977528089889"/>
    <n v="1017.9233333333333"/>
    <n v="25.226998103982947"/>
    <n v="2780"/>
    <n v="3.201438848920863E-2"/>
    <m/>
    <n v="533.51"/>
    <n v="431.08"/>
    <n v="0"/>
    <n v="53.333333333333336"/>
    <n v="0"/>
    <n v="0"/>
    <n v="0"/>
    <n v="0"/>
  </r>
  <r>
    <s v="segunda-feira"/>
    <x v="156"/>
    <n v="69575.03"/>
    <n v="69575.03"/>
    <n v="0"/>
    <n v="227"/>
    <n v="259"/>
    <n v="306.49792951541849"/>
    <n v="1374.7833333333331"/>
    <n v="50.607996411555767"/>
    <n v="5228"/>
    <n v="4.3420045906656463E-2"/>
    <m/>
    <n v="786.05"/>
    <n v="535.4"/>
    <n v="0"/>
    <n v="53.333333333333336"/>
    <n v="0"/>
    <n v="0"/>
    <n v="0"/>
    <n v="0"/>
  </r>
  <r>
    <s v="terça-feira"/>
    <x v="157"/>
    <n v="75026.94"/>
    <n v="75026.94"/>
    <n v="0"/>
    <n v="214"/>
    <n v="298"/>
    <n v="350.59317757009347"/>
    <n v="1396.2533333333333"/>
    <n v="53.734475119128334"/>
    <n v="5142"/>
    <n v="4.1618047452353167E-2"/>
    <m/>
    <n v="785.94"/>
    <n v="556.98"/>
    <n v="0"/>
    <n v="53.333333333333336"/>
    <n v="0"/>
    <n v="0"/>
    <n v="0"/>
    <n v="0"/>
  </r>
  <r>
    <s v="quarta-feira"/>
    <x v="158"/>
    <n v="86884.65"/>
    <n v="86884.65"/>
    <n v="0"/>
    <n v="262"/>
    <n v="304"/>
    <n v="331.62080152671751"/>
    <n v="1466.8933333333332"/>
    <n v="59.230380304861974"/>
    <n v="5370"/>
    <n v="4.8789571694599625E-2"/>
    <m/>
    <n v="861.14"/>
    <n v="552.41999999999996"/>
    <n v="0"/>
    <n v="53.333333333333336"/>
    <n v="0"/>
    <n v="0"/>
    <n v="0"/>
    <n v="0"/>
  </r>
  <r>
    <s v="quinta-feira"/>
    <x v="159"/>
    <n v="98967.56"/>
    <n v="98945.33"/>
    <n v="22.23"/>
    <n v="305"/>
    <n v="337"/>
    <n v="324.48380327868853"/>
    <n v="1445.7933333333333"/>
    <n v="68.452079365884472"/>
    <n v="5422"/>
    <n v="5.6252305422353377E-2"/>
    <m/>
    <n v="850.24"/>
    <n v="542.22"/>
    <n v="0"/>
    <n v="53.333333333333336"/>
    <n v="0"/>
    <n v="0"/>
    <n v="0"/>
    <n v="0"/>
  </r>
  <r>
    <s v="sexta-feira"/>
    <x v="160"/>
    <n v="131263.9"/>
    <n v="131263.9"/>
    <n v="0"/>
    <n v="402"/>
    <n v="441"/>
    <n v="326.52711442786068"/>
    <n v="1400.4633333333334"/>
    <n v="93.728908765908415"/>
    <n v="5312"/>
    <n v="7.5677710843373491E-2"/>
    <m/>
    <n v="721.19"/>
    <n v="625.94000000000005"/>
    <n v="0"/>
    <n v="53.333333333333336"/>
    <n v="0"/>
    <n v="0"/>
    <n v="0"/>
    <n v="0"/>
  </r>
  <r>
    <s v="sábado"/>
    <x v="161"/>
    <n v="107821.73"/>
    <n v="107821.73"/>
    <n v="0"/>
    <n v="326"/>
    <n v="359"/>
    <n v="330.74150306748464"/>
    <n v="1361.2033333333331"/>
    <n v="79.210597975810629"/>
    <n v="4014"/>
    <n v="8.1215744892874933E-2"/>
    <m/>
    <n v="681.83"/>
    <n v="626.04"/>
    <n v="0"/>
    <n v="53.333333333333336"/>
    <n v="0"/>
    <n v="0"/>
    <n v="0"/>
    <n v="0"/>
  </r>
  <r>
    <s v="domingo"/>
    <x v="162"/>
    <n v="74115.429999999993"/>
    <n v="74115.429999999993"/>
    <n v="0"/>
    <n v="229"/>
    <n v="254"/>
    <n v="323.64816593886462"/>
    <n v="1486.6733333333334"/>
    <n v="49.853204694149348"/>
    <n v="3132"/>
    <n v="7.3116219667943808E-2"/>
    <m/>
    <n v="538"/>
    <n v="895.34"/>
    <n v="0"/>
    <n v="53.333333333333336"/>
    <n v="0"/>
    <n v="0"/>
    <n v="0"/>
    <n v="0"/>
  </r>
  <r>
    <s v="segunda-feira"/>
    <x v="163"/>
    <n v="56578.89"/>
    <n v="56557"/>
    <n v="21.89"/>
    <n v="185"/>
    <n v="240"/>
    <n v="305.83183783783784"/>
    <n v="1305.8433333333332"/>
    <n v="43.327471646675328"/>
    <n v="3845"/>
    <n v="4.8114434330299091E-2"/>
    <m/>
    <n v="737.25"/>
    <n v="515.26"/>
    <n v="0"/>
    <n v="53.333333333333336"/>
    <n v="0"/>
    <n v="0"/>
    <n v="0"/>
    <n v="0"/>
  </r>
  <r>
    <s v="terça-feira"/>
    <x v="164"/>
    <n v="34765.64"/>
    <n v="34765.64"/>
    <n v="0"/>
    <n v="132"/>
    <n v="154"/>
    <n v="263.37606060606061"/>
    <n v="1150.8433333333332"/>
    <n v="30.208838156366493"/>
    <n v="3477"/>
    <n v="3.7963761863675581E-2"/>
    <m/>
    <n v="650.33000000000004"/>
    <n v="447.18"/>
    <n v="0"/>
    <n v="53.333333333333336"/>
    <n v="0"/>
    <n v="0"/>
    <n v="0"/>
    <n v="0"/>
  </r>
  <r>
    <s v="quarta-feira"/>
    <x v="165"/>
    <n v="41865.39"/>
    <n v="41865.39"/>
    <n v="0"/>
    <n v="149"/>
    <n v="165"/>
    <n v="280.97577181208055"/>
    <n v="1158.8233333333333"/>
    <n v="36.12750002157361"/>
    <n v="3289"/>
    <n v="4.5302523563393128E-2"/>
    <m/>
    <n v="607.49"/>
    <n v="498"/>
    <n v="0"/>
    <n v="53.333333333333336"/>
    <n v="0"/>
    <n v="0"/>
    <n v="0"/>
    <n v="0"/>
  </r>
  <r>
    <s v="quinta-feira"/>
    <x v="166"/>
    <n v="25783"/>
    <n v="25783"/>
    <n v="0"/>
    <n v="87"/>
    <n v="96"/>
    <n v="296.35632183908046"/>
    <n v="1003.4333333333333"/>
    <n v="25.694781251038105"/>
    <n v="2616"/>
    <n v="3.3256880733944956E-2"/>
    <m/>
    <n v="371.92"/>
    <n v="578.17999999999995"/>
    <n v="0"/>
    <n v="53.333333333333336"/>
    <n v="0"/>
    <n v="0"/>
    <n v="0"/>
    <n v="0"/>
  </r>
  <r>
    <s v="sexta-feira"/>
    <x v="167"/>
    <n v="28389.99"/>
    <n v="28389.99"/>
    <n v="0"/>
    <n v="98"/>
    <n v="118"/>
    <n v="289.69377551020409"/>
    <n v="692.87333333333333"/>
    <n v="40.974285824248781"/>
    <n v="2930"/>
    <n v="3.3447098976109216E-2"/>
    <m/>
    <n v="0"/>
    <n v="639.54"/>
    <n v="0"/>
    <n v="53.333333333333336"/>
    <n v="0"/>
    <n v="0"/>
    <n v="0"/>
    <n v="0"/>
  </r>
  <r>
    <s v="sábado"/>
    <x v="168"/>
    <n v="18816.2"/>
    <n v="18816.2"/>
    <n v="0"/>
    <n v="68"/>
    <n v="78"/>
    <n v="276.7088235294118"/>
    <n v="713.57333333333338"/>
    <n v="26.368978661384954"/>
    <n v="2173"/>
    <n v="3.1293143120110445E-2"/>
    <m/>
    <n v="0"/>
    <n v="660.24"/>
    <n v="0"/>
    <n v="53.333333333333336"/>
    <n v="0"/>
    <n v="0"/>
    <n v="0"/>
    <n v="0"/>
  </r>
  <r>
    <s v="domingo"/>
    <x v="169"/>
    <n v="14449.230000000001"/>
    <n v="14410.2"/>
    <n v="39.03"/>
    <n v="55"/>
    <n v="59"/>
    <n v="262.71327272727274"/>
    <n v="661.65333333333342"/>
    <n v="21.838067265839108"/>
    <n v="1993"/>
    <n v="2.7596588058203714E-2"/>
    <m/>
    <n v="0"/>
    <n v="608.32000000000005"/>
    <n v="0"/>
    <n v="53.333333333333336"/>
    <n v="0"/>
    <n v="0"/>
    <n v="0"/>
    <n v="0"/>
  </r>
  <r>
    <s v="segunda-feira"/>
    <x v="170"/>
    <n v="44265.18"/>
    <n v="44265.18"/>
    <n v="0"/>
    <n v="163"/>
    <n v="187"/>
    <n v="271.56552147239262"/>
    <n v="819.79333333333341"/>
    <n v="53.995535460156617"/>
    <n v="213"/>
    <n v="0.76525821596244137"/>
    <m/>
    <n v="0"/>
    <n v="766.46"/>
    <n v="0"/>
    <n v="53.333333333333336"/>
    <n v="0"/>
    <n v="0"/>
    <n v="0"/>
    <n v="0"/>
  </r>
  <r>
    <s v="terça-feira"/>
    <x v="171"/>
    <n v="35675.360000000001"/>
    <n v="35675.360000000001"/>
    <n v="0"/>
    <n v="140"/>
    <n v="160"/>
    <n v="254.82400000000001"/>
    <n v="676.61333333333334"/>
    <n v="52.726362668978837"/>
    <n v="181"/>
    <n v="0.77348066298342544"/>
    <m/>
    <n v="0"/>
    <n v="623.28"/>
    <n v="0"/>
    <n v="53.333333333333336"/>
    <n v="0"/>
    <n v="0"/>
    <n v="0"/>
    <n v="0"/>
  </r>
  <r>
    <s v="quarta-feira"/>
    <x v="172"/>
    <n v="42666.17"/>
    <n v="42666.17"/>
    <n v="0"/>
    <n v="142"/>
    <n v="183"/>
    <n v="300.46598591549292"/>
    <n v="1428.8833333333334"/>
    <n v="29.859799610418388"/>
    <n v="3613"/>
    <n v="3.9302518682535287E-2"/>
    <m/>
    <n v="862.09"/>
    <n v="513.46"/>
    <n v="0"/>
    <n v="53.333333333333336"/>
    <n v="0"/>
    <n v="0"/>
    <n v="0"/>
    <n v="0"/>
  </r>
  <r>
    <s v="quinta-feira"/>
    <x v="173"/>
    <n v="44840.61"/>
    <n v="44815.68"/>
    <n v="24.93"/>
    <n v="163"/>
    <n v="187"/>
    <n v="275.09576687116567"/>
    <n v="1649.9533333333331"/>
    <n v="27.17689591220762"/>
    <n v="3691"/>
    <n v="4.4161473855323763E-2"/>
    <m/>
    <n v="991.36"/>
    <n v="605.26"/>
    <n v="0"/>
    <n v="53.333333333333336"/>
    <n v="0"/>
    <n v="0"/>
    <n v="0"/>
    <n v="0"/>
  </r>
  <r>
    <s v="sexta-feira"/>
    <x v="174"/>
    <n v="30881"/>
    <n v="30881"/>
    <n v="0"/>
    <n v="122"/>
    <n v="148"/>
    <n v="253.12295081967213"/>
    <n v="1771.2133333333334"/>
    <n v="17.4349410197153"/>
    <n v="3476"/>
    <n v="3.5097813578826235E-2"/>
    <m/>
    <n v="1041"/>
    <n v="676.88"/>
    <n v="0"/>
    <n v="53.333333333333336"/>
    <n v="0"/>
    <n v="0"/>
    <n v="0"/>
    <n v="0"/>
  </r>
  <r>
    <s v="sábado"/>
    <x v="175"/>
    <n v="32339.3"/>
    <n v="32339.3"/>
    <n v="0"/>
    <n v="116"/>
    <n v="144"/>
    <n v="278.78706896551722"/>
    <n v="1562.3633333333335"/>
    <n v="20.698962469250642"/>
    <n v="2733"/>
    <n v="4.2444200512257592E-2"/>
    <m/>
    <n v="859.09"/>
    <n v="649.94000000000005"/>
    <n v="0"/>
    <n v="53.333333333333336"/>
    <n v="0"/>
    <n v="0"/>
    <n v="0"/>
    <n v="0"/>
  </r>
  <r>
    <s v="domingo"/>
    <x v="176"/>
    <n v="22976.75"/>
    <n v="22976.75"/>
    <n v="0"/>
    <n v="82"/>
    <n v="123"/>
    <n v="280.20426829268291"/>
    <n v="1435.0533333333333"/>
    <n v="16.011077404788672"/>
    <n v="2391"/>
    <n v="3.4295273943956504E-2"/>
    <m/>
    <n v="720"/>
    <n v="661.72"/>
    <n v="0"/>
    <n v="53.333333333333336"/>
    <n v="0"/>
    <n v="0"/>
    <n v="0"/>
    <n v="0"/>
  </r>
  <r>
    <s v="segunda-feira"/>
    <x v="177"/>
    <n v="42091.839999999997"/>
    <n v="42069.95"/>
    <n v="21.89"/>
    <n v="156"/>
    <n v="200"/>
    <n v="269.81948717948717"/>
    <n v="1478.6433333333332"/>
    <n v="28.466526748618666"/>
    <n v="3714"/>
    <n v="4.2003231017770599E-2"/>
    <m/>
    <n v="886.39"/>
    <n v="538.91999999999996"/>
    <n v="0"/>
    <n v="53.333333333333336"/>
    <n v="0"/>
    <n v="0"/>
    <n v="0"/>
    <n v="0"/>
  </r>
  <r>
    <s v="terça-feira"/>
    <x v="178"/>
    <n v="35210.839999999997"/>
    <n v="35154.35"/>
    <n v="56.49"/>
    <n v="117"/>
    <n v="179"/>
    <n v="300.94735042735039"/>
    <n v="1561.2233333333331"/>
    <n v="22.553365202928472"/>
    <n v="3531"/>
    <n v="3.3135089209855563E-2"/>
    <m/>
    <n v="816.87"/>
    <n v="691.02"/>
    <n v="0"/>
    <n v="53.333333333333336"/>
    <n v="0"/>
    <n v="0"/>
    <n v="0"/>
    <n v="0"/>
  </r>
  <r>
    <s v="quarta-feira"/>
    <x v="179"/>
    <n v="55177.34"/>
    <n v="55177.34"/>
    <n v="0"/>
    <n v="155"/>
    <n v="198"/>
    <n v="355.98283870967742"/>
    <n v="1469.6133333333335"/>
    <n v="37.545481351103689"/>
    <n v="4086"/>
    <n v="3.7934410181106215E-2"/>
    <m/>
    <n v="771.46"/>
    <n v="644.82000000000005"/>
    <n v="0"/>
    <n v="53.333333333333336"/>
    <n v="0"/>
    <n v="0"/>
    <n v="0"/>
    <n v="0"/>
  </r>
  <r>
    <s v="quinta-feira"/>
    <x v="180"/>
    <n v="43925.25"/>
    <n v="43925.25"/>
    <n v="0"/>
    <n v="160"/>
    <n v="177"/>
    <n v="274.53281249999998"/>
    <n v="1218.4533333333331"/>
    <n v="36.050006018559053"/>
    <n v="3740"/>
    <n v="4.2780748663101602E-2"/>
    <m/>
    <n v="591.4"/>
    <n v="573.72"/>
    <n v="0"/>
    <n v="53.333333333333336"/>
    <n v="0"/>
    <n v="0"/>
    <n v="0"/>
    <n v="0"/>
  </r>
  <r>
    <s v="sexta-feira"/>
    <x v="181"/>
    <n v="39442.19"/>
    <n v="39442.19"/>
    <n v="0"/>
    <n v="134"/>
    <n v="179"/>
    <n v="294.34470149253735"/>
    <n v="988.66290322580653"/>
    <n v="39.894477552771662"/>
    <n v="3383"/>
    <n v="3.9609813774756135E-2"/>
    <m/>
    <n v="608.69000000000005"/>
    <n v="328.36"/>
    <n v="0"/>
    <n v="51.612903225806448"/>
    <n v="0"/>
    <n v="0"/>
    <n v="0"/>
    <n v="0"/>
  </r>
  <r>
    <s v="sábado"/>
    <x v="182"/>
    <n v="26341.55"/>
    <n v="26341.55"/>
    <n v="0"/>
    <n v="90"/>
    <n v="115"/>
    <n v="292.68388888888887"/>
    <n v="821.45290322580649"/>
    <n v="32.067024045514948"/>
    <n v="2584"/>
    <n v="3.4829721362229102E-2"/>
    <m/>
    <n v="505.8"/>
    <n v="264.04000000000002"/>
    <n v="0"/>
    <n v="51.612903225806448"/>
    <n v="0"/>
    <n v="0"/>
    <n v="0"/>
    <n v="0"/>
  </r>
  <r>
    <s v="domingo"/>
    <x v="183"/>
    <n v="15608.35"/>
    <n v="15608.35"/>
    <n v="0"/>
    <n v="59"/>
    <n v="74"/>
    <n v="264.54830508474578"/>
    <n v="840.73290322580647"/>
    <n v="18.56517086474474"/>
    <n v="2372"/>
    <n v="2.4873524451939293E-2"/>
    <m/>
    <n v="543.34"/>
    <n v="245.78"/>
    <n v="0"/>
    <n v="51.612903225806448"/>
    <n v="0"/>
    <n v="0"/>
    <n v="0"/>
    <n v="0"/>
  </r>
  <r>
    <s v="segunda-feira"/>
    <x v="184"/>
    <n v="29378.33"/>
    <n v="29378.33"/>
    <n v="0"/>
    <n v="103"/>
    <n v="132"/>
    <n v="285.22650485436895"/>
    <n v="935.93290322580651"/>
    <n v="31.389354833817698"/>
    <n v="3866"/>
    <n v="2.6642524573202275E-2"/>
    <m/>
    <n v="662.2"/>
    <n v="222.12"/>
    <n v="0"/>
    <n v="51.612903225806448"/>
    <n v="0"/>
    <n v="0"/>
    <n v="0"/>
    <n v="0"/>
  </r>
  <r>
    <s v="terça-feira"/>
    <x v="185"/>
    <n v="36634.06"/>
    <n v="36634.06"/>
    <n v="0"/>
    <n v="128"/>
    <n v="152"/>
    <n v="286.20359374999998"/>
    <n v="916.56290322580651"/>
    <n v="39.968953435784805"/>
    <n v="3732"/>
    <n v="3.4297963558413719E-2"/>
    <m/>
    <n v="612.45000000000005"/>
    <n v="252.5"/>
    <n v="0"/>
    <n v="51.612903225806448"/>
    <n v="0"/>
    <n v="0"/>
    <n v="0"/>
    <n v="0"/>
  </r>
  <r>
    <s v="quarta-feira"/>
    <x v="186"/>
    <n v="42395.32"/>
    <n v="42395.32"/>
    <n v="0"/>
    <n v="142"/>
    <n v="182"/>
    <n v="298.55859154929578"/>
    <n v="379.60290322580647"/>
    <n v="111.68333972087979"/>
    <n v="3529"/>
    <n v="4.0238027769906488E-2"/>
    <m/>
    <n v="70.27"/>
    <n v="257.72000000000003"/>
    <n v="0"/>
    <n v="51.612903225806448"/>
    <n v="0"/>
    <n v="0"/>
    <n v="0"/>
    <n v="0"/>
  </r>
  <r>
    <s v="quinta-feira"/>
    <x v="187"/>
    <n v="37505.440000000002"/>
    <n v="37455.300000000003"/>
    <n v="50.14"/>
    <n v="127"/>
    <n v="156"/>
    <n v="295.3184251968504"/>
    <n v="393.03290322580648"/>
    <n v="95.425700220452697"/>
    <n v="3390"/>
    <n v="3.7463126843657817E-2"/>
    <m/>
    <n v="0"/>
    <n v="341.42"/>
    <n v="0"/>
    <n v="51.612903225806448"/>
    <n v="0"/>
    <n v="0"/>
    <n v="0"/>
    <n v="0"/>
  </r>
  <r>
    <s v="sexta-feira"/>
    <x v="188"/>
    <n v="50251.18"/>
    <n v="50186.29"/>
    <n v="64.89"/>
    <n v="169"/>
    <n v="196"/>
    <n v="297.34426035502958"/>
    <n v="599.97290322580648"/>
    <n v="83.755749184371766"/>
    <n v="3477"/>
    <n v="4.8605119355766467E-2"/>
    <m/>
    <n v="0"/>
    <n v="548.36"/>
    <n v="0"/>
    <n v="51.612903225806448"/>
    <n v="0"/>
    <n v="0"/>
    <n v="0"/>
    <n v="0"/>
  </r>
  <r>
    <s v="sábado"/>
    <x v="189"/>
    <n v="28220.48"/>
    <n v="28220.48"/>
    <n v="0"/>
    <n v="95"/>
    <n v="117"/>
    <n v="297.0576842105263"/>
    <n v="673.17290322580641"/>
    <n v="41.921592305288968"/>
    <n v="2534"/>
    <n v="3.7490134175217051E-2"/>
    <m/>
    <n v="0"/>
    <n v="621.55999999999995"/>
    <n v="0"/>
    <n v="51.612903225806448"/>
    <n v="0"/>
    <n v="0"/>
    <n v="0"/>
    <n v="0"/>
  </r>
  <r>
    <s v="domingo"/>
    <x v="190"/>
    <n v="17813.48"/>
    <n v="17813.48"/>
    <n v="0"/>
    <n v="64"/>
    <n v="79"/>
    <n v="278.33562499999999"/>
    <n v="673.83290322580649"/>
    <n v="26.436049523142042"/>
    <n v="2218"/>
    <n v="2.8854824165915238E-2"/>
    <m/>
    <n v="0"/>
    <n v="622.22"/>
    <n v="0"/>
    <n v="51.612903225806448"/>
    <n v="0"/>
    <n v="0"/>
    <n v="0"/>
    <n v="0"/>
  </r>
  <r>
    <s v="segunda-feira"/>
    <x v="191"/>
    <n v="41088.559999999998"/>
    <n v="41088.559999999998"/>
    <n v="0"/>
    <n v="135"/>
    <n v="198"/>
    <n v="304.3597037037037"/>
    <n v="644.86290322580646"/>
    <n v="63.716736990858266"/>
    <n v="3435"/>
    <n v="3.9301310043668124E-2"/>
    <m/>
    <n v="0"/>
    <n v="593.25"/>
    <n v="0"/>
    <n v="51.612903225806448"/>
    <n v="0"/>
    <n v="0"/>
    <n v="0"/>
    <n v="0"/>
  </r>
  <r>
    <s v="terça-feira"/>
    <x v="192"/>
    <n v="39520.199999999997"/>
    <n v="39520.199999999997"/>
    <n v="0"/>
    <n v="124"/>
    <n v="138"/>
    <n v="318.71129032258062"/>
    <n v="1593.7629032258064"/>
    <n v="24.796787476989433"/>
    <n v="4038"/>
    <n v="3.0708271421495788E-2"/>
    <m/>
    <n v="853.98"/>
    <n v="688.17"/>
    <n v="0"/>
    <n v="51.612903225806448"/>
    <n v="0"/>
    <n v="0"/>
    <n v="0"/>
    <n v="0"/>
  </r>
  <r>
    <s v="quarta-feira"/>
    <x v="193"/>
    <n v="29366.97"/>
    <n v="29344.74"/>
    <n v="22.23"/>
    <n v="108"/>
    <n v="132"/>
    <n v="271.91638888888889"/>
    <n v="1783.0229032258062"/>
    <n v="16.470326851590027"/>
    <n v="3921"/>
    <n v="2.754399387911247E-2"/>
    <m/>
    <n v="788.24"/>
    <n v="943.17"/>
    <n v="0"/>
    <n v="51.612903225806448"/>
    <n v="0"/>
    <n v="0"/>
    <n v="0"/>
    <n v="0"/>
  </r>
  <r>
    <s v="quinta-feira"/>
    <x v="194"/>
    <n v="43354.31"/>
    <n v="43354.31"/>
    <n v="0"/>
    <n v="150"/>
    <n v="188"/>
    <n v="289.02873333333332"/>
    <n v="1391.9429032258063"/>
    <n v="31.146615209235271"/>
    <n v="3954"/>
    <n v="3.7936267071320182E-2"/>
    <m/>
    <n v="644.99"/>
    <n v="695.34"/>
    <n v="0"/>
    <n v="51.612903225806448"/>
    <n v="0"/>
    <n v="0"/>
    <n v="0"/>
    <n v="0"/>
  </r>
  <r>
    <s v="sexta-feira"/>
    <x v="195"/>
    <n v="31410.61"/>
    <n v="31410.61"/>
    <n v="0"/>
    <n v="123"/>
    <n v="132"/>
    <n v="255.37081300813009"/>
    <n v="1209.6329032258063"/>
    <n v="25.967059854469316"/>
    <n v="3743"/>
    <n v="3.2861341170184341E-2"/>
    <m/>
    <n v="566.66"/>
    <n v="591.36"/>
    <n v="0"/>
    <n v="51.612903225806448"/>
    <n v="0"/>
    <n v="0"/>
    <n v="0"/>
    <n v="0"/>
  </r>
  <r>
    <s v="sábado"/>
    <x v="196"/>
    <n v="25911.83"/>
    <n v="25911.83"/>
    <n v="0"/>
    <n v="93"/>
    <n v="108"/>
    <n v="278.62182795698925"/>
    <n v="1127.8329032258064"/>
    <n v="22.974883890944728"/>
    <n v="2786"/>
    <n v="3.3381191672648962E-2"/>
    <m/>
    <n v="463.59"/>
    <n v="612.63"/>
    <n v="0"/>
    <n v="51.612903225806448"/>
    <n v="0"/>
    <n v="0"/>
    <n v="0"/>
    <n v="0"/>
  </r>
  <r>
    <s v="domingo"/>
    <x v="197"/>
    <n v="16770.150000000001"/>
    <n v="16770.150000000001"/>
    <n v="0"/>
    <n v="55"/>
    <n v="64"/>
    <n v="304.91181818181821"/>
    <n v="1078.5229032258062"/>
    <n v="15.549183007464515"/>
    <n v="2429"/>
    <n v="2.2643062988884313E-2"/>
    <m/>
    <n v="428.38"/>
    <n v="598.53"/>
    <n v="0"/>
    <n v="51.612903225806448"/>
    <n v="0"/>
    <n v="0"/>
    <n v="0"/>
    <n v="0"/>
  </r>
  <r>
    <s v="segunda-feira"/>
    <x v="198"/>
    <n v="44997.21"/>
    <n v="44997.21"/>
    <n v="0"/>
    <n v="146"/>
    <n v="175"/>
    <n v="308.2000684931507"/>
    <n v="1412.1529032258063"/>
    <n v="31.864261934534188"/>
    <n v="4268"/>
    <n v="3.420805998125586E-2"/>
    <m/>
    <n v="729.38"/>
    <n v="631.16"/>
    <n v="0"/>
    <n v="51.612903225806448"/>
    <n v="0"/>
    <n v="0"/>
    <n v="0"/>
    <n v="0"/>
  </r>
  <r>
    <s v="terça-feira"/>
    <x v="199"/>
    <n v="30103.75"/>
    <n v="30103.75"/>
    <n v="0"/>
    <n v="110"/>
    <n v="128"/>
    <n v="273.67045454545456"/>
    <n v="1397.8229032258064"/>
    <n v="21.536168802591867"/>
    <n v="4017"/>
    <n v="2.7383619616629325E-2"/>
    <m/>
    <n v="606.92999999999995"/>
    <n v="739.28"/>
    <n v="0"/>
    <n v="51.612903225806448"/>
    <n v="0"/>
    <n v="0"/>
    <n v="0"/>
    <n v="0"/>
  </r>
  <r>
    <s v="quarta-feira"/>
    <x v="200"/>
    <n v="38463.339999999997"/>
    <n v="38441.449999999997"/>
    <n v="21.89"/>
    <n v="139"/>
    <n v="172"/>
    <n v="276.71467625899277"/>
    <n v="1357.9729032258065"/>
    <n v="28.324085045166939"/>
    <n v="3957"/>
    <n v="3.5127621935809955E-2"/>
    <m/>
    <n v="599.52"/>
    <n v="706.84"/>
    <n v="0"/>
    <n v="51.612903225806448"/>
    <n v="0"/>
    <n v="0"/>
    <n v="0"/>
    <n v="0"/>
  </r>
  <r>
    <s v="quinta-feira"/>
    <x v="201"/>
    <n v="43953.520000000004"/>
    <n v="43931.29"/>
    <n v="22.23"/>
    <n v="146"/>
    <n v="178"/>
    <n v="301.0515068493151"/>
    <n v="1386.4429032258063"/>
    <n v="31.702365743107283"/>
    <n v="3647"/>
    <n v="4.0032903756512202E-2"/>
    <m/>
    <n v="621.15"/>
    <n v="713.68"/>
    <n v="0"/>
    <n v="51.612903225806448"/>
    <n v="0"/>
    <n v="0"/>
    <n v="0"/>
    <n v="0"/>
  </r>
  <r>
    <s v="sexta-feira"/>
    <x v="202"/>
    <n v="46043.340000000004"/>
    <n v="45932.66"/>
    <n v="110.68"/>
    <n v="142"/>
    <n v="219"/>
    <n v="324.24887323943665"/>
    <n v="1312.4129032258063"/>
    <n v="35.082968086361497"/>
    <n v="3499"/>
    <n v="4.0583023721063163E-2"/>
    <m/>
    <n v="544"/>
    <n v="716.8"/>
    <n v="0"/>
    <n v="51.612903225806448"/>
    <n v="0"/>
    <n v="0"/>
    <n v="0"/>
    <n v="0"/>
  </r>
  <r>
    <s v="sábado"/>
    <x v="203"/>
    <n v="29208.240000000002"/>
    <n v="29208.240000000002"/>
    <n v="0"/>
    <n v="101"/>
    <n v="116"/>
    <n v="289.19049504950499"/>
    <n v="1217.8029032258064"/>
    <n v="23.98437376247918"/>
    <n v="2695"/>
    <n v="3.7476808905380334E-2"/>
    <m/>
    <n v="425.99"/>
    <n v="740.2"/>
    <n v="0"/>
    <n v="51.612903225806448"/>
    <n v="0"/>
    <n v="0"/>
    <n v="0"/>
    <n v="0"/>
  </r>
  <r>
    <s v="domingo"/>
    <x v="204"/>
    <n v="15852.57"/>
    <n v="15852.57"/>
    <n v="0"/>
    <n v="61"/>
    <n v="75"/>
    <n v="259.8781967213115"/>
    <n v="1201.9929032258065"/>
    <n v="13.188572043525564"/>
    <n v="2359"/>
    <n v="2.5858414582450192E-2"/>
    <m/>
    <n v="362.66"/>
    <n v="787.72"/>
    <n v="0"/>
    <n v="51.612903225806448"/>
    <n v="0"/>
    <n v="0"/>
    <n v="0"/>
    <n v="0"/>
  </r>
  <r>
    <s v="segunda-feira"/>
    <x v="205"/>
    <n v="42420.56"/>
    <n v="42420.56"/>
    <n v="0"/>
    <n v="181"/>
    <n v="233"/>
    <n v="234.36773480662981"/>
    <n v="1291.2829032258064"/>
    <n v="32.851484282822511"/>
    <n v="4677"/>
    <n v="3.870002138122728E-2"/>
    <m/>
    <n v="725.77"/>
    <n v="513.9"/>
    <n v="0"/>
    <n v="51.612903225806448"/>
    <n v="0"/>
    <n v="0"/>
    <n v="0"/>
    <n v="0"/>
  </r>
  <r>
    <s v="terça-feira"/>
    <x v="206"/>
    <n v="41337.86"/>
    <n v="41337.86"/>
    <n v="0"/>
    <n v="163"/>
    <n v="209"/>
    <n v="253.60650306748465"/>
    <n v="1251.8829032258063"/>
    <n v="33.020548402316308"/>
    <n v="4181"/>
    <n v="3.8985888543410667E-2"/>
    <m/>
    <n v="610.45000000000005"/>
    <n v="589.82000000000005"/>
    <n v="0"/>
    <n v="51.612903225806448"/>
    <n v="0"/>
    <n v="0"/>
    <n v="0"/>
    <n v="0"/>
  </r>
  <r>
    <s v="quarta-feira"/>
    <x v="207"/>
    <n v="43697.78"/>
    <n v="43697.78"/>
    <n v="0"/>
    <n v="185"/>
    <n v="247"/>
    <n v="236.2042162162162"/>
    <n v="1293.9929032258065"/>
    <n v="33.769721527116118"/>
    <n v="4202"/>
    <n v="4.4026653974297954E-2"/>
    <m/>
    <n v="611.41999999999996"/>
    <n v="630.96"/>
    <n v="0"/>
    <n v="51.612903225806448"/>
    <n v="0"/>
    <n v="0"/>
    <n v="0"/>
    <n v="0"/>
  </r>
  <r>
    <s v="quinta-feira"/>
    <x v="208"/>
    <n v="45484.15"/>
    <n v="45484.15"/>
    <n v="0"/>
    <n v="175"/>
    <n v="227"/>
    <n v="259.90942857142858"/>
    <n v="1189.7529032258062"/>
    <n v="38.229913015280495"/>
    <n v="4145"/>
    <n v="4.2219541616405308E-2"/>
    <m/>
    <n v="620.84"/>
    <n v="517.29999999999995"/>
    <n v="0"/>
    <n v="51.612903225806448"/>
    <n v="0"/>
    <n v="0"/>
    <n v="0"/>
    <n v="0"/>
  </r>
  <r>
    <s v="sexta-feira"/>
    <x v="209"/>
    <n v="54603.91"/>
    <n v="54603.91"/>
    <n v="0"/>
    <n v="214"/>
    <n v="289"/>
    <n v="255.15845794392524"/>
    <n v="1065.4529032258065"/>
    <n v="51.249482576544764"/>
    <n v="3954"/>
    <n v="5.4122407688416793E-2"/>
    <m/>
    <n v="508.54"/>
    <n v="505.3"/>
    <n v="0"/>
    <n v="51.612903225806448"/>
    <n v="0"/>
    <n v="0"/>
    <n v="0"/>
    <n v="0"/>
  </r>
  <r>
    <s v="sábado"/>
    <x v="210"/>
    <n v="33714.1"/>
    <n v="33714.1"/>
    <n v="0"/>
    <n v="139"/>
    <n v="196"/>
    <n v="242.54748201438849"/>
    <n v="1065.4529032258065"/>
    <n v="31.642975393774687"/>
    <n v="2932"/>
    <n v="4.7407912687585263E-2"/>
    <m/>
    <n v="398.9"/>
    <n v="614.94000000000005"/>
    <n v="0"/>
    <n v="51.612903225806448"/>
    <n v="0"/>
    <n v="0"/>
    <n v="0"/>
    <n v="0"/>
  </r>
  <r>
    <s v="domingo"/>
    <x v="211"/>
    <n v="29380.99"/>
    <n v="29380.99"/>
    <n v="0"/>
    <n v="129"/>
    <n v="183"/>
    <n v="227.75961240310079"/>
    <n v="1028.6129032258063"/>
    <n v="28.563699626807168"/>
    <n v="2518"/>
    <n v="5.1231135822081018E-2"/>
    <m/>
    <n v="392.58"/>
    <n v="584.41999999999996"/>
    <n v="0"/>
    <n v="51.612903225806448"/>
    <n v="0"/>
    <n v="0"/>
    <n v="0"/>
    <n v="0"/>
  </r>
  <r>
    <s v="segunda-feira"/>
    <x v="212"/>
    <n v="52333.59"/>
    <n v="52333.59"/>
    <n v="0"/>
    <n v="187"/>
    <n v="217"/>
    <n v="279.85877005347589"/>
    <n v="943.69290322580639"/>
    <n v="55.456165688127086"/>
    <n v="4452"/>
    <n v="4.200359389038634E-2"/>
    <m/>
    <n v="580.66"/>
    <n v="311.42"/>
    <n v="0"/>
    <n v="51.612903225806448"/>
    <n v="0"/>
    <n v="0"/>
    <n v="0"/>
    <n v="0"/>
  </r>
  <r>
    <s v="terça-feira"/>
    <x v="213"/>
    <n v="45930.39"/>
    <n v="45930.39"/>
    <n v="0"/>
    <n v="158"/>
    <n v="218"/>
    <n v="290.69867088607594"/>
    <n v="957.54290322580653"/>
    <n v="47.966926437727203"/>
    <n v="4378"/>
    <n v="3.6089538602101415E-2"/>
    <m/>
    <n v="600.57000000000005"/>
    <n v="305.36"/>
    <n v="0"/>
    <n v="51.612903225806448"/>
    <n v="0"/>
    <n v="0"/>
    <n v="0"/>
    <n v="0"/>
  </r>
  <r>
    <s v="quarta-feira"/>
    <x v="214"/>
    <n v="45753.91"/>
    <n v="45753.91"/>
    <n v="0"/>
    <n v="152"/>
    <n v="185"/>
    <n v="301.01256578947368"/>
    <n v="1022.1729032258064"/>
    <n v="44.761419379841051"/>
    <n v="4182"/>
    <n v="3.6346245815399331E-2"/>
    <m/>
    <n v="584.9"/>
    <n v="385.66"/>
    <n v="0"/>
    <n v="51.612903225806448"/>
    <n v="0"/>
    <n v="0"/>
    <n v="0"/>
    <n v="0"/>
  </r>
  <r>
    <s v="quinta-feira"/>
    <x v="215"/>
    <n v="44512.45"/>
    <n v="44512.45"/>
    <n v="0"/>
    <n v="164"/>
    <n v="195"/>
    <n v="271.41737804878045"/>
    <n v="1120.0629032258064"/>
    <n v="39.741026929651127"/>
    <n v="4335"/>
    <n v="3.7831603229527104E-2"/>
    <m/>
    <n v="572.59"/>
    <n v="495.86"/>
    <n v="0"/>
    <n v="51.612903225806448"/>
    <n v="0"/>
    <n v="0"/>
    <n v="0"/>
    <n v="0"/>
  </r>
  <r>
    <s v="sexta-feira"/>
    <x v="216"/>
    <n v="45445.14"/>
    <n v="45445.14"/>
    <n v="0"/>
    <n v="170"/>
    <n v="225"/>
    <n v="267.32435294117647"/>
    <n v="1180.6429032258065"/>
    <n v="38.49185886421094"/>
    <n v="4281"/>
    <n v="3.9710348049521137E-2"/>
    <m/>
    <n v="600.07000000000005"/>
    <n v="528.96"/>
    <n v="0"/>
    <n v="51.612903225806448"/>
    <n v="0"/>
    <n v="0"/>
    <n v="0"/>
    <n v="0"/>
  </r>
  <r>
    <s v="sábado"/>
    <x v="217"/>
    <n v="30357.829999999998"/>
    <n v="30290.46"/>
    <n v="67.37"/>
    <n v="125"/>
    <n v="153"/>
    <n v="242.86264"/>
    <n v="1184.0229032258062"/>
    <n v="25.639563151432068"/>
    <n v="3263"/>
    <n v="3.8308305240576157E-2"/>
    <m/>
    <n v="558.65"/>
    <n v="573.76"/>
    <n v="0"/>
    <n v="51.612903225806448"/>
    <n v="0"/>
    <n v="0"/>
    <n v="0"/>
    <n v="0"/>
  </r>
  <r>
    <s v="domingo"/>
    <x v="218"/>
    <n v="24401.55"/>
    <n v="24401.55"/>
    <n v="0"/>
    <n v="84"/>
    <n v="98"/>
    <n v="290.49464285714282"/>
    <n v="1220.2229032258062"/>
    <n v="19.997616775993603"/>
    <n v="2756"/>
    <n v="3.0478955007256895E-2"/>
    <m/>
    <n v="529.92999999999995"/>
    <n v="638.67999999999995"/>
    <n v="0"/>
    <n v="51.612903225806448"/>
    <n v="0"/>
    <n v="0"/>
    <n v="0"/>
    <n v="0"/>
  </r>
  <r>
    <s v="segunda-feira"/>
    <x v="219"/>
    <n v="61070.12"/>
    <n v="61038.25"/>
    <n v="31.87"/>
    <n v="192"/>
    <n v="236"/>
    <n v="318.0735416666667"/>
    <n v="1282.3629032258063"/>
    <n v="47.623118109840085"/>
    <n v="4353"/>
    <n v="4.4107512060647829E-2"/>
    <m/>
    <n v="627.21"/>
    <n v="603.54"/>
    <n v="0"/>
    <n v="51.612903225806448"/>
    <n v="0"/>
    <n v="0"/>
    <n v="0"/>
    <n v="0"/>
  </r>
  <r>
    <s v="terça-feira"/>
    <x v="220"/>
    <n v="59006.1"/>
    <n v="59006.1"/>
    <n v="0"/>
    <n v="199"/>
    <n v="251"/>
    <n v="296.51306532663318"/>
    <n v="1276.1529032258063"/>
    <n v="46.237484435326543"/>
    <n v="4293"/>
    <n v="4.6354530631260188E-2"/>
    <m/>
    <n v="574.20000000000005"/>
    <n v="650.34"/>
    <n v="0"/>
    <n v="51.612903225806448"/>
    <n v="0"/>
    <n v="0"/>
    <n v="0"/>
    <n v="0"/>
  </r>
  <r>
    <s v="quarta-feira"/>
    <x v="221"/>
    <n v="57417.25"/>
    <n v="57417.25"/>
    <n v="0"/>
    <n v="211"/>
    <n v="246"/>
    <n v="272.11966824644549"/>
    <n v="1487.8529032258064"/>
    <n v="38.590676454314774"/>
    <n v="4130"/>
    <n v="5.1089588377723968E-2"/>
    <m/>
    <n v="587.58000000000004"/>
    <n v="848.66"/>
    <n v="0"/>
    <n v="51.612903225806448"/>
    <n v="0"/>
    <n v="0"/>
    <n v="0"/>
    <n v="0"/>
  </r>
  <r>
    <s v="quinta-feira"/>
    <x v="222"/>
    <n v="56325.450000000004"/>
    <n v="56301.440000000002"/>
    <n v="24.01"/>
    <n v="201"/>
    <n v="266"/>
    <n v="280.22611940298509"/>
    <n v="1464.6229032258063"/>
    <n v="38.457305205281294"/>
    <n v="4014"/>
    <n v="5.0074738415545592E-2"/>
    <m/>
    <n v="583.79"/>
    <n v="829.22"/>
    <n v="0"/>
    <n v="51.612903225806448"/>
    <n v="0"/>
    <n v="0"/>
    <n v="0"/>
    <n v="0"/>
  </r>
  <r>
    <s v="sexta-feira"/>
    <x v="223"/>
    <n v="81631.37"/>
    <n v="81631.37"/>
    <n v="0"/>
    <n v="291"/>
    <n v="364"/>
    <n v="280.52017182130584"/>
    <n v="1552.8329032258064"/>
    <n v="52.569320131239841"/>
    <n v="4219"/>
    <n v="6.8973690447973454E-2"/>
    <m/>
    <n v="578.58000000000004"/>
    <n v="922.64"/>
    <n v="0"/>
    <n v="51.612903225806448"/>
    <n v="0"/>
    <n v="0"/>
    <n v="0"/>
    <n v="0"/>
  </r>
  <r>
    <s v="sábado"/>
    <x v="224"/>
    <n v="64479.040000000001"/>
    <n v="64479.040000000001"/>
    <n v="0"/>
    <n v="242"/>
    <n v="273"/>
    <n v="266.4423140495868"/>
    <n v="1508.0829032258061"/>
    <n v="42.755633567676298"/>
    <n v="3373"/>
    <n v="7.1746219982211687E-2"/>
    <m/>
    <n v="529.79"/>
    <n v="926.68"/>
    <n v="0"/>
    <n v="51.612903225806448"/>
    <n v="0"/>
    <n v="0"/>
    <n v="0"/>
    <n v="0"/>
  </r>
  <r>
    <s v="domingo"/>
    <x v="225"/>
    <n v="61507.839999999997"/>
    <n v="61507.839999999997"/>
    <n v="0"/>
    <n v="230"/>
    <n v="263"/>
    <n v="267.42539130434778"/>
    <n v="1979.5829032258064"/>
    <n v="31.071110939466394"/>
    <n v="2660"/>
    <n v="8.646616541353383E-2"/>
    <m/>
    <n v="542.69000000000005"/>
    <n v="1385.28"/>
    <n v="0"/>
    <n v="51.612903225806448"/>
    <n v="0"/>
    <n v="0"/>
    <n v="0"/>
    <n v="0"/>
  </r>
  <r>
    <s v="segunda-feira"/>
    <x v="226"/>
    <n v="71912"/>
    <n v="71912"/>
    <n v="0"/>
    <n v="341"/>
    <n v="500"/>
    <n v="210.88563049853371"/>
    <n v="1684.6929032258063"/>
    <n v="42.68552438388312"/>
    <n v="5224"/>
    <n v="6.5275650842266469E-2"/>
    <m/>
    <n v="601.98"/>
    <n v="1031.0999999999999"/>
    <n v="0"/>
    <n v="51.612903225806448"/>
    <n v="0"/>
    <n v="0"/>
    <n v="0"/>
    <n v="0"/>
  </r>
  <r>
    <s v="terça-feira"/>
    <x v="227"/>
    <n v="55887"/>
    <n v="55887"/>
    <n v="0"/>
    <n v="245"/>
    <n v="326"/>
    <n v="228.11020408163265"/>
    <n v="1195.9729032258065"/>
    <n v="46.729319576773236"/>
    <n v="4660"/>
    <n v="5.257510729613734E-2"/>
    <m/>
    <n v="580.84"/>
    <n v="563.52"/>
    <n v="0"/>
    <n v="51.612903225806448"/>
    <n v="0"/>
    <n v="0"/>
    <n v="0"/>
    <n v="0"/>
  </r>
  <r>
    <s v="quarta-feira"/>
    <x v="228"/>
    <n v="48064.41"/>
    <n v="48064.41"/>
    <n v="0"/>
    <n v="206"/>
    <n v="262"/>
    <n v="233.32237864077672"/>
    <n v="1081.1829032258063"/>
    <n v="44.455392197375225"/>
    <n v="4671"/>
    <n v="4.4101905373581676E-2"/>
    <m/>
    <n v="584.13"/>
    <n v="445.44"/>
    <n v="0"/>
    <n v="51.612903225806448"/>
    <n v="0"/>
    <n v="0"/>
    <n v="0"/>
    <n v="0"/>
  </r>
  <r>
    <s v="quinta-feira"/>
    <x v="229"/>
    <n v="50528.83"/>
    <n v="50528.83"/>
    <n v="0"/>
    <n v="174"/>
    <n v="237"/>
    <n v="290.39557471264368"/>
    <n v="1087.3129032258064"/>
    <n v="46.471287014154463"/>
    <n v="4160"/>
    <n v="4.1826923076923074E-2"/>
    <m/>
    <n v="590.08000000000004"/>
    <n v="445.62"/>
    <n v="0"/>
    <n v="51.612903225806448"/>
    <n v="0"/>
    <n v="0"/>
    <n v="0"/>
    <n v="0"/>
  </r>
  <r>
    <s v="sexta-feira"/>
    <x v="230"/>
    <n v="46428.93"/>
    <n v="46428.93"/>
    <n v="0"/>
    <n v="172"/>
    <n v="213"/>
    <n v="269.93563953488371"/>
    <n v="1074.2729032258064"/>
    <n v="43.218934276927293"/>
    <n v="3560"/>
    <n v="4.8314606741573035E-2"/>
    <m/>
    <n v="548.46"/>
    <n v="474.2"/>
    <n v="0"/>
    <n v="51.612903225806448"/>
    <n v="0"/>
    <n v="0"/>
    <n v="0"/>
    <n v="0"/>
  </r>
  <r>
    <s v="sábado"/>
    <x v="231"/>
    <n v="26075.7"/>
    <n v="26075.7"/>
    <n v="0"/>
    <n v="102"/>
    <n v="119"/>
    <n v="255.64411764705883"/>
    <n v="1087.6729032258063"/>
    <n v="23.973843535740411"/>
    <n v="2763"/>
    <n v="3.691639522258415E-2"/>
    <m/>
    <n v="539.4"/>
    <n v="496.66"/>
    <n v="0"/>
    <n v="51.612903225806448"/>
    <n v="0"/>
    <n v="0"/>
    <n v="0"/>
    <n v="0"/>
  </r>
  <r>
    <s v="domingo"/>
    <x v="232"/>
    <n v="20508.25"/>
    <n v="20508.25"/>
    <n v="0"/>
    <n v="90"/>
    <n v="104"/>
    <n v="227.86944444444444"/>
    <n v="1104.1929032258063"/>
    <n v="18.573068111637813"/>
    <n v="2448"/>
    <n v="3.6764705882352942E-2"/>
    <m/>
    <n v="520.5"/>
    <n v="532.08000000000004"/>
    <n v="0"/>
    <n v="51.612903225806448"/>
    <n v="0"/>
    <n v="0"/>
    <n v="0"/>
    <n v="0"/>
  </r>
  <r>
    <s v="segunda-feira"/>
    <x v="233"/>
    <n v="37077.56"/>
    <n v="37000.129999999997"/>
    <n v="77.430000000000007"/>
    <n v="130"/>
    <n v="151"/>
    <n v="285.21199999999999"/>
    <n v="1195.2229032258065"/>
    <n v="31.021460432134266"/>
    <n v="3827"/>
    <n v="3.3969166448915601E-2"/>
    <m/>
    <n v="603.37"/>
    <n v="540.24"/>
    <n v="0"/>
    <n v="51.612903225806448"/>
    <n v="0"/>
    <n v="0"/>
    <n v="0"/>
    <n v="0"/>
  </r>
  <r>
    <s v="terça-feira"/>
    <x v="234"/>
    <n v="38042.04"/>
    <n v="38042.04"/>
    <n v="0"/>
    <n v="125"/>
    <n v="160"/>
    <n v="304.33632"/>
    <n v="1228.9529032258065"/>
    <n v="30.954839603816939"/>
    <n v="3755"/>
    <n v="3.3288948069241014E-2"/>
    <m/>
    <n v="563.98"/>
    <n v="613.36"/>
    <n v="0"/>
    <n v="51.612903225806448"/>
    <n v="0"/>
    <n v="0"/>
    <n v="0"/>
    <n v="0"/>
  </r>
  <r>
    <s v="quarta-feira"/>
    <x v="235"/>
    <n v="36249.040000000001"/>
    <n v="36249.040000000001"/>
    <n v="0"/>
    <n v="133"/>
    <n v="153"/>
    <n v="272.54917293233086"/>
    <n v="1352.1729032258063"/>
    <n v="26.807991724669687"/>
    <n v="3950"/>
    <n v="3.3670886075949369E-2"/>
    <m/>
    <n v="549.44000000000005"/>
    <n v="751.12"/>
    <n v="0"/>
    <n v="51.612903225806448"/>
    <n v="0"/>
    <n v="0"/>
    <n v="0"/>
    <n v="0"/>
  </r>
  <r>
    <s v="quinta-feira"/>
    <x v="236"/>
    <n v="38652.47"/>
    <n v="38652.47"/>
    <n v="0"/>
    <n v="141"/>
    <n v="169"/>
    <n v="274.13099290780144"/>
    <n v="1335.9429032258063"/>
    <n v="28.932726021949463"/>
    <n v="3866"/>
    <n v="3.6471805483704087E-2"/>
    <m/>
    <n v="551.85"/>
    <n v="732.48"/>
    <n v="0"/>
    <n v="51.612903225806448"/>
    <n v="0"/>
    <n v="0"/>
    <n v="0"/>
    <n v="0"/>
  </r>
  <r>
    <s v="sexta-feira"/>
    <x v="237"/>
    <n v="43292.67"/>
    <n v="43292.67"/>
    <n v="0"/>
    <n v="156"/>
    <n v="184"/>
    <n v="277.51711538461535"/>
    <n v="1227.7129032258063"/>
    <n v="35.262861444437732"/>
    <n v="3938"/>
    <n v="3.9614017267648551E-2"/>
    <m/>
    <n v="544.24"/>
    <n v="631.86"/>
    <n v="0"/>
    <n v="51.612903225806448"/>
    <n v="0"/>
    <n v="0"/>
    <n v="0"/>
    <n v="0"/>
  </r>
  <r>
    <s v="sábado"/>
    <x v="238"/>
    <n v="27367.82"/>
    <n v="27367.82"/>
    <n v="0"/>
    <n v="101"/>
    <n v="119"/>
    <n v="270.96851485148517"/>
    <n v="1336.0729032258064"/>
    <n v="20.483777445020628"/>
    <n v="3181"/>
    <n v="3.1751021691292049E-2"/>
    <m/>
    <n v="511.82"/>
    <n v="772.64"/>
    <n v="0"/>
    <n v="51.612903225806448"/>
    <n v="0"/>
    <n v="0"/>
    <n v="0"/>
    <n v="0"/>
  </r>
  <r>
    <s v="domingo"/>
    <x v="239"/>
    <n v="21585.8"/>
    <n v="21585.8"/>
    <n v="0"/>
    <n v="74"/>
    <n v="82"/>
    <n v="291.7"/>
    <n v="1357.5929032258064"/>
    <n v="15.900053652836212"/>
    <n v="2767"/>
    <n v="2.674376581134803E-2"/>
    <m/>
    <n v="488.88"/>
    <n v="817.1"/>
    <n v="0"/>
    <n v="51.612903225806448"/>
    <n v="0"/>
    <n v="0"/>
    <n v="0"/>
    <n v="0"/>
  </r>
  <r>
    <s v="segunda-feira"/>
    <x v="240"/>
    <n v="39502.67"/>
    <n v="39502.67"/>
    <n v="0"/>
    <n v="149"/>
    <n v="172"/>
    <n v="265.11859060402685"/>
    <n v="1264.0629032258064"/>
    <n v="31.250557151223845"/>
    <n v="3741"/>
    <n v="3.9828922747928361E-2"/>
    <m/>
    <n v="533.21"/>
    <n v="679.24"/>
    <n v="0"/>
    <n v="51.612903225806448"/>
    <n v="0"/>
    <n v="0"/>
    <n v="0"/>
    <n v="0"/>
  </r>
  <r>
    <s v="terça-feira"/>
    <x v="241"/>
    <n v="36029.29"/>
    <n v="36029.29"/>
    <n v="0"/>
    <n v="135"/>
    <n v="162"/>
    <n v="266.88362962962964"/>
    <n v="1151.3729032258063"/>
    <n v="31.292459548992849"/>
    <n v="3717"/>
    <n v="3.6319612590799029E-2"/>
    <m/>
    <n v="495.44"/>
    <n v="604.32000000000005"/>
    <n v="0"/>
    <n v="51.612903225806448"/>
    <n v="0"/>
    <n v="0"/>
    <n v="0"/>
    <n v="0"/>
  </r>
  <r>
    <s v="quarta-feira"/>
    <x v="242"/>
    <n v="55833.37"/>
    <n v="55833.37"/>
    <n v="0"/>
    <n v="226"/>
    <n v="282"/>
    <n v="247.05030973451329"/>
    <n v="991.5729032258065"/>
    <n v="56.307881970515403"/>
    <n v="4281"/>
    <n v="5.2791403877598689E-2"/>
    <m/>
    <n v="473.06"/>
    <n v="466.9"/>
    <n v="0"/>
    <n v="51.612903225806448"/>
    <n v="0"/>
    <n v="0"/>
    <n v="0"/>
    <n v="0"/>
  </r>
  <r>
    <s v="quinta-feira"/>
    <x v="243"/>
    <n v="78671.47"/>
    <n v="78671.47"/>
    <n v="0"/>
    <n v="342"/>
    <n v="516"/>
    <n v="230.0335380116959"/>
    <n v="1110.9233333333332"/>
    <n v="70.816290953171091"/>
    <n v="4990"/>
    <n v="6.8537074148296587E-2"/>
    <m/>
    <n v="583.75"/>
    <n v="473.84"/>
    <n v="0"/>
    <n v="53.333333333333336"/>
    <n v="0"/>
    <n v="0"/>
    <n v="0"/>
    <n v="0"/>
  </r>
  <r>
    <s v="sexta-feira"/>
    <x v="244"/>
    <n v="64168.27"/>
    <n v="64168.27"/>
    <n v="0"/>
    <n v="270"/>
    <n v="412"/>
    <n v="237.66025925925925"/>
    <n v="1203.2133333333334"/>
    <n v="53.330750434946417"/>
    <n v="4768"/>
    <n v="5.6627516778523491E-2"/>
    <m/>
    <n v="643.44000000000005"/>
    <n v="506.44"/>
    <n v="0"/>
    <n v="53.333333333333336"/>
    <n v="0"/>
    <n v="0"/>
    <n v="0"/>
    <n v="0"/>
  </r>
  <r>
    <s v="sábado"/>
    <x v="245"/>
    <n v="39457.31"/>
    <n v="39457.31"/>
    <n v="0"/>
    <n v="192"/>
    <n v="283"/>
    <n v="205.50682291666666"/>
    <n v="1159.8733333333332"/>
    <n v="34.018637092556084"/>
    <n v="3716"/>
    <n v="5.1668460710441337E-2"/>
    <m/>
    <n v="556.98"/>
    <n v="549.55999999999995"/>
    <n v="0"/>
    <n v="53.333333333333336"/>
    <n v="0"/>
    <n v="0"/>
    <n v="0"/>
    <n v="0"/>
  </r>
  <r>
    <s v="domingo"/>
    <x v="246"/>
    <n v="43705.19"/>
    <n v="43705.19"/>
    <n v="0"/>
    <n v="198"/>
    <n v="296"/>
    <n v="220.73328282828285"/>
    <n v="1132.5633333333333"/>
    <n v="38.589621183804297"/>
    <n v="3251"/>
    <n v="6.0904337127037834E-2"/>
    <m/>
    <n v="498.47"/>
    <n v="580.76"/>
    <n v="0"/>
    <n v="53.333333333333336"/>
    <n v="0"/>
    <n v="0"/>
    <n v="0"/>
    <n v="0"/>
  </r>
  <r>
    <s v="segunda-feira"/>
    <x v="247"/>
    <n v="59206.32"/>
    <n v="59206.32"/>
    <n v="0"/>
    <n v="230"/>
    <n v="343"/>
    <n v="257.41878260869566"/>
    <n v="1218.9433333333332"/>
    <n v="48.571839544086004"/>
    <n v="4471"/>
    <n v="5.1442630284052784E-2"/>
    <m/>
    <n v="703.43"/>
    <n v="462.18"/>
    <n v="0"/>
    <n v="53.333333333333336"/>
    <n v="0"/>
    <n v="0"/>
    <n v="0"/>
    <n v="0"/>
  </r>
  <r>
    <s v="terça-feira"/>
    <x v="248"/>
    <n v="53971.99"/>
    <n v="53971.99"/>
    <n v="0"/>
    <n v="254"/>
    <n v="375"/>
    <n v="212.4881496062992"/>
    <n v="1089.1033333333332"/>
    <n v="49.556353697690149"/>
    <n v="4205"/>
    <n v="6.0404280618311532E-2"/>
    <m/>
    <n v="592.53"/>
    <n v="443.24"/>
    <n v="0"/>
    <n v="53.333333333333336"/>
    <n v="0"/>
    <n v="0"/>
    <n v="0"/>
    <n v="0"/>
  </r>
  <r>
    <s v="quarta-feira"/>
    <x v="249"/>
    <n v="28432.95"/>
    <n v="28432.95"/>
    <n v="0"/>
    <n v="121"/>
    <n v="164"/>
    <n v="234.98305785123966"/>
    <n v="944.59333333333336"/>
    <n v="30.10073117884945"/>
    <n v="3079"/>
    <n v="3.9298473530367001E-2"/>
    <m/>
    <n v="559.94000000000005"/>
    <n v="331.32"/>
    <n v="0"/>
    <n v="53.333333333333336"/>
    <n v="0"/>
    <n v="0"/>
    <n v="0"/>
    <n v="0"/>
  </r>
  <r>
    <s v="quinta-feira"/>
    <x v="250"/>
    <n v="56579.35"/>
    <n v="56579.35"/>
    <n v="0"/>
    <n v="216"/>
    <n v="305"/>
    <n v="261.94143518518518"/>
    <n v="1092.1533333333332"/>
    <n v="51.805317324185253"/>
    <n v="4536"/>
    <n v="4.7619047619047616E-2"/>
    <m/>
    <n v="585.38"/>
    <n v="453.44"/>
    <n v="0"/>
    <n v="53.333333333333336"/>
    <n v="0"/>
    <n v="0"/>
    <n v="0"/>
    <n v="0"/>
  </r>
  <r>
    <s v="sexta-feira"/>
    <x v="251"/>
    <n v="51745.83"/>
    <n v="51745.83"/>
    <n v="0"/>
    <n v="210"/>
    <n v="299"/>
    <n v="246.4087142857143"/>
    <n v="1191.9733333333334"/>
    <n v="43.411902391552381"/>
    <n v="4035"/>
    <n v="5.204460966542751E-2"/>
    <m/>
    <n v="673.2"/>
    <n v="465.44"/>
    <n v="0"/>
    <n v="53.333333333333336"/>
    <n v="0"/>
    <n v="0"/>
    <n v="0"/>
    <n v="0"/>
  </r>
  <r>
    <s v="sábado"/>
    <x v="252"/>
    <n v="37821.11"/>
    <n v="37784.699999999997"/>
    <n v="36.409999999999997"/>
    <n v="149"/>
    <n v="181"/>
    <n v="253.83295302013423"/>
    <n v="1060.9333333333334"/>
    <n v="35.648903481211512"/>
    <n v="3298"/>
    <n v="4.5178896300788356E-2"/>
    <m/>
    <n v="518.44000000000005"/>
    <n v="489.16"/>
    <n v="0"/>
    <n v="53.333333333333336"/>
    <n v="0"/>
    <n v="0"/>
    <n v="0"/>
    <n v="0"/>
  </r>
  <r>
    <s v="domingo"/>
    <x v="253"/>
    <n v="21783.94"/>
    <n v="21783.94"/>
    <n v="0"/>
    <n v="93"/>
    <n v="120"/>
    <n v="234.23591397849461"/>
    <n v="1051.2333333333333"/>
    <n v="20.722269080762278"/>
    <n v="2818"/>
    <n v="3.3002129169623848E-2"/>
    <m/>
    <n v="489.8"/>
    <n v="508.1"/>
    <n v="0"/>
    <n v="53.333333333333336"/>
    <n v="0"/>
    <n v="0"/>
    <n v="0"/>
    <n v="0"/>
  </r>
  <r>
    <s v="segunda-feira"/>
    <x v="254"/>
    <n v="56171.27"/>
    <n v="56171.27"/>
    <n v="0"/>
    <n v="212"/>
    <n v="301"/>
    <n v="264.95882075471695"/>
    <n v="1225.0733333333333"/>
    <n v="45.85135311627603"/>
    <n v="4451"/>
    <n v="4.762974612446641E-2"/>
    <m/>
    <n v="667.8"/>
    <n v="503.94"/>
    <n v="0"/>
    <n v="53.333333333333336"/>
    <n v="0"/>
    <n v="0"/>
    <n v="0"/>
    <n v="0"/>
  </r>
  <r>
    <s v="terça-feira"/>
    <x v="255"/>
    <n v="54652.83"/>
    <n v="54652.83"/>
    <n v="0"/>
    <n v="234"/>
    <n v="346"/>
    <n v="233.55910256410257"/>
    <n v="1194.0633333333333"/>
    <n v="45.770461644971377"/>
    <n v="4524"/>
    <n v="5.1724137931034482E-2"/>
    <m/>
    <n v="655.59"/>
    <n v="485.14"/>
    <n v="0"/>
    <n v="53.333333333333336"/>
    <n v="0"/>
    <n v="0"/>
    <n v="0"/>
    <n v="0"/>
  </r>
  <r>
    <s v="quarta-feira"/>
    <x v="256"/>
    <n v="58360.29"/>
    <n v="58360.29"/>
    <n v="0"/>
    <n v="274"/>
    <n v="376"/>
    <n v="212.9937591240876"/>
    <n v="1105.9633333333334"/>
    <n v="52.768738565775237"/>
    <n v="4481"/>
    <n v="6.1147065387190357E-2"/>
    <m/>
    <n v="603.77"/>
    <n v="448.86"/>
    <n v="0"/>
    <n v="53.333333333333336"/>
    <n v="0"/>
    <n v="0"/>
    <n v="0"/>
    <n v="0"/>
  </r>
  <r>
    <s v="quinta-feira"/>
    <x v="257"/>
    <n v="53315.81"/>
    <n v="53315.81"/>
    <n v="0"/>
    <n v="181"/>
    <n v="222"/>
    <n v="294.56248618784531"/>
    <n v="1154.3633333333332"/>
    <n v="46.186333592254321"/>
    <n v="5422"/>
    <n v="3.3382515676872004E-2"/>
    <m/>
    <n v="616.01"/>
    <n v="485.02"/>
    <n v="0"/>
    <n v="53.333333333333336"/>
    <n v="0"/>
    <n v="0"/>
    <n v="0"/>
    <n v="0"/>
  </r>
  <r>
    <s v="sexta-feira"/>
    <x v="258"/>
    <n v="47071.95"/>
    <n v="47071.95"/>
    <n v="0"/>
    <n v="163"/>
    <n v="194"/>
    <n v="288.78496932515338"/>
    <n v="1524.7633333333331"/>
    <n v="30.871643468166646"/>
    <n v="4585"/>
    <n v="3.5550708833151583E-2"/>
    <m/>
    <n v="947.43"/>
    <n v="524"/>
    <n v="0"/>
    <n v="53.333333333333336"/>
    <n v="0"/>
    <n v="0"/>
    <n v="0"/>
    <n v="0"/>
  </r>
  <r>
    <s v="sábado"/>
    <x v="259"/>
    <n v="32546.26"/>
    <n v="32520.55"/>
    <n v="25.71"/>
    <n v="108"/>
    <n v="135"/>
    <n v="301.35425925925927"/>
    <n v="1671.7533333333333"/>
    <n v="19.468338630499716"/>
    <n v="3452"/>
    <n v="3.1286210892236384E-2"/>
    <m/>
    <n v="1065.24"/>
    <n v="553.17999999999995"/>
    <n v="0"/>
    <n v="53.333333333333336"/>
    <n v="0"/>
    <n v="0"/>
    <n v="0"/>
    <n v="0"/>
  </r>
  <r>
    <s v="domingo"/>
    <x v="260"/>
    <n v="20304.75"/>
    <n v="20304.75"/>
    <n v="0"/>
    <n v="73"/>
    <n v="83"/>
    <n v="278.14726027397262"/>
    <n v="1618.9433333333332"/>
    <n v="12.541976968516503"/>
    <n v="2982"/>
    <n v="2.448021462105969E-2"/>
    <m/>
    <n v="978.31"/>
    <n v="587.29999999999995"/>
    <n v="0"/>
    <n v="53.333333333333336"/>
    <n v="0"/>
    <n v="0"/>
    <n v="0"/>
    <n v="0"/>
  </r>
  <r>
    <s v="segunda-feira"/>
    <x v="261"/>
    <n v="71887.569999999992"/>
    <n v="71831.789999999994"/>
    <n v="55.78"/>
    <n v="295"/>
    <n v="415"/>
    <n v="243.68667796610166"/>
    <n v="2359.3833333333337"/>
    <n v="30.46879622500229"/>
    <n v="5581"/>
    <n v="5.2857910768679447E-2"/>
    <m/>
    <n v="1674.01"/>
    <n v="632.04"/>
    <n v="0"/>
    <n v="53.333333333333336"/>
    <n v="0"/>
    <n v="0"/>
    <n v="0"/>
    <n v="0"/>
  </r>
  <r>
    <s v="terça-feira"/>
    <x v="262"/>
    <n v="65118.879999999997"/>
    <n v="65118.879999999997"/>
    <n v="0"/>
    <n v="241"/>
    <n v="337"/>
    <n v="270.20282157676348"/>
    <n v="2206.9233333333336"/>
    <n v="29.50663442469682"/>
    <n v="5118"/>
    <n v="4.7088706525986714E-2"/>
    <m/>
    <n v="1519.65"/>
    <n v="633.94000000000005"/>
    <n v="0"/>
    <n v="53.333333333333336"/>
    <n v="0"/>
    <n v="0"/>
    <n v="0"/>
    <n v="0"/>
  </r>
  <r>
    <s v="quarta-feira"/>
    <x v="263"/>
    <n v="61030.95"/>
    <n v="61030.95"/>
    <n v="0"/>
    <n v="240"/>
    <n v="352"/>
    <n v="254.295625"/>
    <n v="1313.6733333333334"/>
    <n v="46.458239237557784"/>
    <n v="5393"/>
    <n v="4.4502132393843874E-2"/>
    <m/>
    <n v="568.26"/>
    <n v="692.08"/>
    <n v="0"/>
    <n v="53.333333333333336"/>
    <n v="0"/>
    <n v="0"/>
    <n v="0"/>
    <n v="0"/>
  </r>
  <r>
    <s v="quinta-feira"/>
    <x v="264"/>
    <n v="58325.86"/>
    <n v="58301.17"/>
    <n v="24.69"/>
    <n v="257"/>
    <n v="366"/>
    <n v="226.94887159533073"/>
    <n v="1130.6333333333332"/>
    <n v="51.586892302249481"/>
    <n v="5591"/>
    <n v="4.5966732248256127E-2"/>
    <m/>
    <n v="519.64"/>
    <n v="557.66"/>
    <n v="0"/>
    <n v="53.333333333333336"/>
    <n v="0"/>
    <n v="0"/>
    <n v="0"/>
    <n v="0"/>
  </r>
  <r>
    <s v="sexta-feira"/>
    <x v="265"/>
    <n v="49237.4"/>
    <n v="49237.4"/>
    <n v="0"/>
    <n v="158"/>
    <n v="224"/>
    <n v="311.62911392405061"/>
    <n v="916.23333333333335"/>
    <n v="53.73893113108015"/>
    <n v="4236"/>
    <n v="3.7299338999055714E-2"/>
    <m/>
    <n v="444.88"/>
    <n v="418.02"/>
    <n v="0"/>
    <n v="53.333333333333336"/>
    <n v="0"/>
    <n v="0"/>
    <n v="0"/>
    <n v="0"/>
  </r>
  <r>
    <s v="sábado"/>
    <x v="266"/>
    <n v="26717.62"/>
    <n v="26717.62"/>
    <n v="0"/>
    <n v="96"/>
    <n v="138"/>
    <n v="278.30854166666666"/>
    <n v="806.60333333333335"/>
    <n v="33.123617143494734"/>
    <n v="2965"/>
    <n v="3.2377740303541312E-2"/>
    <m/>
    <n v="335.73"/>
    <n v="417.54"/>
    <n v="0"/>
    <n v="53.333333333333336"/>
    <n v="0"/>
    <n v="0"/>
    <n v="0"/>
    <n v="0"/>
  </r>
  <r>
    <s v="domingo"/>
    <x v="267"/>
    <n v="16274.91"/>
    <n v="16274.91"/>
    <n v="0"/>
    <n v="59"/>
    <n v="66"/>
    <n v="275.84593220338985"/>
    <n v="840.99333333333334"/>
    <n v="19.352008339344742"/>
    <n v="2629"/>
    <n v="2.2441993153290225E-2"/>
    <m/>
    <n v="331.38"/>
    <n v="456.28"/>
    <n v="0"/>
    <n v="53.333333333333336"/>
    <n v="0"/>
    <n v="0"/>
    <n v="0"/>
    <n v="0"/>
  </r>
  <r>
    <s v="segunda-feira"/>
    <x v="268"/>
    <n v="41882.97"/>
    <n v="41882.97"/>
    <n v="0"/>
    <n v="148"/>
    <n v="186"/>
    <n v="282.99304054054056"/>
    <n v="1188.0533333333333"/>
    <n v="35.253442606392532"/>
    <n v="4585"/>
    <n v="3.2279171210468922E-2"/>
    <m/>
    <n v="468.78"/>
    <n v="665.94"/>
    <n v="0"/>
    <n v="53.333333333333336"/>
    <n v="0"/>
    <n v="0"/>
    <n v="0"/>
    <n v="0"/>
  </r>
  <r>
    <s v="terça-feira"/>
    <x v="269"/>
    <n v="44967.11"/>
    <n v="44967.11"/>
    <n v="0"/>
    <n v="160"/>
    <n v="209"/>
    <n v="281.04443750000002"/>
    <n v="1055.6833333333334"/>
    <n v="42.595263731232535"/>
    <n v="4252"/>
    <n v="3.7629350893697081E-2"/>
    <m/>
    <n v="459.89"/>
    <n v="542.46"/>
    <n v="0"/>
    <n v="53.333333333333336"/>
    <n v="0"/>
    <n v="0"/>
    <n v="0"/>
    <n v="0"/>
  </r>
  <r>
    <s v="quarta-feira"/>
    <x v="270"/>
    <n v="66855.64"/>
    <n v="66855.64"/>
    <n v="0"/>
    <n v="193"/>
    <n v="328"/>
    <n v="346.40227979274613"/>
    <n v="1416.1033333333332"/>
    <n v="47.210989781819123"/>
    <n v="4736"/>
    <n v="4.0751689189189186E-2"/>
    <m/>
    <n v="415.17"/>
    <n v="947.6"/>
    <n v="0"/>
    <n v="53.333333333333336"/>
    <n v="0"/>
    <n v="0"/>
    <n v="0"/>
    <n v="0"/>
  </r>
  <r>
    <s v="quinta-feira"/>
    <x v="271"/>
    <n v="67928.87"/>
    <n v="67928.87"/>
    <n v="0"/>
    <n v="210"/>
    <n v="301"/>
    <n v="323.47080952380952"/>
    <n v="1687.2833333333333"/>
    <n v="40.259314282327608"/>
    <n v="4408"/>
    <n v="4.7640653357531759E-2"/>
    <m/>
    <n v="352.71"/>
    <n v="1281.24"/>
    <n v="0"/>
    <n v="53.333333333333336"/>
    <n v="0"/>
    <n v="0"/>
    <n v="0"/>
    <n v="0"/>
  </r>
  <r>
    <s v="sexta-feira"/>
    <x v="272"/>
    <n v="72018.289999999994"/>
    <n v="72018.289999999994"/>
    <n v="0"/>
    <n v="213"/>
    <n v="348"/>
    <n v="338.11403755868542"/>
    <n v="1857.9733333333331"/>
    <n v="38.761745773172201"/>
    <n v="4421"/>
    <n v="4.8179144989821308E-2"/>
    <m/>
    <n v="328.14"/>
    <n v="1476.5"/>
    <n v="0"/>
    <n v="53.333333333333336"/>
    <n v="0"/>
    <n v="0"/>
    <n v="0"/>
    <n v="0"/>
  </r>
  <r>
    <s v="sábado"/>
    <x v="273"/>
    <n v="27208.94"/>
    <n v="27208.94"/>
    <n v="0"/>
    <n v="103"/>
    <n v="133"/>
    <n v="264.16446601941749"/>
    <n v="979.89290322580644"/>
    <n v="27.767258963125659"/>
    <n v="3090"/>
    <n v="3.3333333333333333E-2"/>
    <m/>
    <n v="329.44"/>
    <n v="598.84"/>
    <n v="0"/>
    <n v="51.612903225806448"/>
    <n v="0"/>
    <n v="0"/>
    <n v="0"/>
    <n v="0"/>
  </r>
  <r>
    <s v="domingo"/>
    <x v="274"/>
    <n v="19267.509999999998"/>
    <n v="19267.509999999998"/>
    <n v="0"/>
    <n v="78"/>
    <n v="98"/>
    <n v="247.01935897435897"/>
    <n v="871.91290322580642"/>
    <n v="22.097975530257905"/>
    <n v="2075"/>
    <n v="3.7590361445783135E-2"/>
    <m/>
    <n v="313"/>
    <n v="507.3"/>
    <n v="0"/>
    <n v="51.612903225806448"/>
    <n v="0"/>
    <n v="0"/>
    <n v="0"/>
    <n v="0"/>
  </r>
  <r>
    <s v="segunda-feira"/>
    <x v="275"/>
    <n v="53382.78"/>
    <n v="53382.78"/>
    <n v="0"/>
    <n v="165"/>
    <n v="218"/>
    <n v="323.53199999999998"/>
    <n v="1015.6329032258064"/>
    <n v="52.561097450120087"/>
    <n v="4155"/>
    <n v="3.9711191335740074E-2"/>
    <m/>
    <n v="527.64"/>
    <n v="436.38"/>
    <n v="0"/>
    <n v="51.612903225806448"/>
    <n v="0"/>
    <n v="0"/>
    <n v="0"/>
    <n v="0"/>
  </r>
  <r>
    <s v="terça-feira"/>
    <x v="276"/>
    <n v="53991.78"/>
    <n v="53991.78"/>
    <n v="0"/>
    <n v="165"/>
    <n v="233"/>
    <n v="327.22290909090907"/>
    <n v="977.40290322580643"/>
    <n v="55.240044634414637"/>
    <n v="4277"/>
    <n v="3.8578442833761981E-2"/>
    <m/>
    <n v="486.85"/>
    <n v="438.94"/>
    <n v="0"/>
    <n v="51.612903225806448"/>
    <n v="0"/>
    <n v="0"/>
    <n v="0"/>
    <n v="0"/>
  </r>
  <r>
    <s v="quarta-feira"/>
    <x v="277"/>
    <n v="63410.69"/>
    <n v="63410.69"/>
    <n v="0"/>
    <n v="211"/>
    <n v="286"/>
    <n v="300.5245971563981"/>
    <n v="1090.6429032258063"/>
    <n v="58.140652465118983"/>
    <n v="5214"/>
    <n v="4.046797084771768E-2"/>
    <m/>
    <n v="471.43"/>
    <n v="567.6"/>
    <n v="0"/>
    <n v="51.612903225806448"/>
    <n v="0"/>
    <n v="0"/>
    <n v="0"/>
    <n v="0"/>
  </r>
  <r>
    <s v="quinta-feira"/>
    <x v="278"/>
    <n v="70591.55"/>
    <n v="70591.55"/>
    <n v="0"/>
    <n v="205"/>
    <n v="335"/>
    <n v="344.34902439024393"/>
    <n v="1149.9629032258063"/>
    <n v="61.385936713246025"/>
    <n v="4908"/>
    <n v="4.1768541157294212E-2"/>
    <m/>
    <n v="440.09"/>
    <n v="658.26"/>
    <n v="0"/>
    <n v="51.612903225806448"/>
    <n v="0"/>
    <n v="0"/>
    <n v="0"/>
    <n v="0"/>
  </r>
  <r>
    <s v="sexta-feira"/>
    <x v="279"/>
    <n v="56426.45"/>
    <n v="56390.74"/>
    <n v="35.71"/>
    <n v="194"/>
    <n v="269"/>
    <n v="290.85798969072164"/>
    <n v="1105.7529032258062"/>
    <n v="51.029890887365035"/>
    <n v="4596"/>
    <n v="4.2210617928633593E-2"/>
    <m/>
    <n v="394.12"/>
    <n v="660.02"/>
    <n v="0"/>
    <n v="51.612903225806448"/>
    <n v="0"/>
    <n v="0"/>
    <n v="0"/>
    <n v="0"/>
  </r>
  <r>
    <s v="sábado"/>
    <x v="280"/>
    <n v="34045.519999999997"/>
    <n v="34045.519999999997"/>
    <n v="0"/>
    <n v="122"/>
    <n v="153"/>
    <n v="279.06163934426229"/>
    <n v="985.81290322580651"/>
    <n v="34.53547817095437"/>
    <n v="3382"/>
    <n v="3.6073329390892965E-2"/>
    <m/>
    <n v="280.68"/>
    <n v="653.52"/>
    <n v="0"/>
    <n v="51.612903225806448"/>
    <n v="0"/>
    <n v="0"/>
    <n v="0"/>
    <n v="0"/>
  </r>
  <r>
    <s v="domingo"/>
    <x v="281"/>
    <n v="31413.88"/>
    <n v="31413.88"/>
    <n v="0"/>
    <n v="102"/>
    <n v="147"/>
    <n v="307.97921568627453"/>
    <n v="1069.5629032258064"/>
    <n v="29.370764361082085"/>
    <n v="2970"/>
    <n v="3.4343434343434343E-2"/>
    <m/>
    <n v="277.17"/>
    <n v="740.78"/>
    <n v="0"/>
    <n v="51.612903225806448"/>
    <n v="0"/>
    <n v="0"/>
    <n v="0"/>
    <n v="0"/>
  </r>
  <r>
    <s v="segunda-feira"/>
    <x v="282"/>
    <n v="83088.41"/>
    <n v="83088.41"/>
    <n v="0"/>
    <n v="246"/>
    <n v="405"/>
    <n v="337.75776422764227"/>
    <n v="1249.6029032258064"/>
    <n v="66.49185095962099"/>
    <n v="4708"/>
    <n v="5.2251486830926085E-2"/>
    <m/>
    <n v="497.09"/>
    <n v="700.9"/>
    <n v="0"/>
    <n v="51.612903225806448"/>
    <n v="0"/>
    <n v="0"/>
    <n v="0"/>
    <n v="0"/>
  </r>
  <r>
    <s v="terça-feira"/>
    <x v="283"/>
    <n v="54145.53"/>
    <n v="54098.21"/>
    <n v="47.32"/>
    <n v="183"/>
    <n v="272"/>
    <n v="295.87721311475411"/>
    <n v="967.08290322580649"/>
    <n v="55.988509174748003"/>
    <n v="4798"/>
    <n v="3.8140892038349312E-2"/>
    <m/>
    <n v="373.43"/>
    <n v="542.04"/>
    <n v="0"/>
    <n v="51.612903225806448"/>
    <n v="0"/>
    <n v="0"/>
    <n v="0"/>
    <n v="0"/>
  </r>
  <r>
    <s v="quarta-feira"/>
    <x v="284"/>
    <n v="28637.71"/>
    <n v="28614.12"/>
    <n v="23.59"/>
    <n v="109"/>
    <n v="130"/>
    <n v="262.73128440366969"/>
    <n v="876.71290322580637"/>
    <n v="32.66486656535961"/>
    <n v="3119"/>
    <n v="3.494709842898365E-2"/>
    <m/>
    <n v="292.45999999999998"/>
    <n v="532.64"/>
    <n v="0"/>
    <n v="51.612903225806448"/>
    <n v="0"/>
    <n v="0"/>
    <n v="0"/>
    <n v="0"/>
  </r>
  <r>
    <s v="quinta-feira"/>
    <x v="285"/>
    <n v="75178.97"/>
    <n v="75178.97"/>
    <n v="0"/>
    <n v="229"/>
    <n v="356"/>
    <n v="328.29244541484718"/>
    <n v="941.64290322580644"/>
    <n v="79.838089091371884"/>
    <n v="4885"/>
    <n v="4.6878198567041965E-2"/>
    <m/>
    <n v="342.11"/>
    <n v="547.91999999999996"/>
    <n v="0"/>
    <n v="51.612903225806448"/>
    <n v="0"/>
    <n v="0"/>
    <n v="0"/>
    <n v="0"/>
  </r>
  <r>
    <s v="sexta-feira"/>
    <x v="286"/>
    <n v="69021.100000000006"/>
    <n v="69021.100000000006"/>
    <n v="0"/>
    <n v="211"/>
    <n v="277"/>
    <n v="327.11421800947869"/>
    <n v="1079.2429032258065"/>
    <n v="63.953258153191626"/>
    <n v="4811"/>
    <n v="4.3857825815838705E-2"/>
    <m/>
    <n v="374.51"/>
    <n v="653.12"/>
    <n v="0"/>
    <n v="51.612903225806448"/>
    <n v="0"/>
    <n v="0"/>
    <n v="0"/>
    <n v="0"/>
  </r>
  <r>
    <s v="sábado"/>
    <x v="287"/>
    <n v="32945.99"/>
    <n v="32945.99"/>
    <n v="0"/>
    <n v="116"/>
    <n v="142"/>
    <n v="284.01715517241377"/>
    <n v="1167.0929032258064"/>
    <n v="28.22910661948022"/>
    <n v="3633"/>
    <n v="3.1929534819708227E-2"/>
    <m/>
    <n v="309.14"/>
    <n v="806.34"/>
    <n v="0"/>
    <n v="51.612903225806448"/>
    <n v="0"/>
    <n v="0"/>
    <n v="0"/>
    <n v="0"/>
  </r>
  <r>
    <s v="domingo"/>
    <x v="288"/>
    <n v="33301.060000000005"/>
    <n v="33275.550000000003"/>
    <n v="25.51"/>
    <n v="100"/>
    <n v="157"/>
    <n v="333.01060000000007"/>
    <n v="1279.4329032258065"/>
    <n v="26.027984676678834"/>
    <n v="2865"/>
    <n v="3.4904013961605584E-2"/>
    <m/>
    <n v="322.10000000000002"/>
    <n v="905.72"/>
    <n v="0"/>
    <n v="51.612903225806448"/>
    <n v="0"/>
    <n v="0"/>
    <n v="0"/>
    <n v="0"/>
  </r>
  <r>
    <s v="segunda-feira"/>
    <x v="289"/>
    <n v="54198.73"/>
    <n v="54198.73"/>
    <n v="0"/>
    <n v="208"/>
    <n v="256"/>
    <n v="260.57081730769232"/>
    <n v="1418.2229032258062"/>
    <n v="38.215946080635675"/>
    <n v="5160"/>
    <n v="4.0310077519379844E-2"/>
    <m/>
    <n v="463.59"/>
    <n v="903.02"/>
    <n v="0"/>
    <n v="51.612903225806448"/>
    <n v="0"/>
    <n v="0"/>
    <n v="0"/>
    <n v="0"/>
  </r>
  <r>
    <s v="terça-feira"/>
    <x v="290"/>
    <n v="53864.959999999999"/>
    <n v="53839.25"/>
    <n v="25.71"/>
    <n v="186"/>
    <n v="242"/>
    <n v="289.59655913978492"/>
    <n v="1266.6929032258063"/>
    <n v="42.524087616521363"/>
    <n v="4615"/>
    <n v="4.0303358613217766E-2"/>
    <m/>
    <n v="377.88"/>
    <n v="837.2"/>
    <n v="0"/>
    <n v="51.612903225806448"/>
    <n v="0"/>
    <n v="0"/>
    <n v="0"/>
    <n v="0"/>
  </r>
  <r>
    <s v="quarta-feira"/>
    <x v="291"/>
    <n v="54580.46"/>
    <n v="54580.46"/>
    <n v="0"/>
    <n v="203"/>
    <n v="241"/>
    <n v="268.86926108374382"/>
    <n v="1277.9229032258063"/>
    <n v="42.710291725913095"/>
    <n v="4507"/>
    <n v="4.5041047259818064E-2"/>
    <m/>
    <n v="367.31"/>
    <n v="859"/>
    <n v="0"/>
    <n v="51.612903225806448"/>
    <n v="0"/>
    <n v="0"/>
    <n v="0"/>
    <n v="0"/>
  </r>
  <r>
    <s v="quinta-feira"/>
    <x v="292"/>
    <n v="52917.62"/>
    <n v="52917.62"/>
    <n v="0"/>
    <n v="197"/>
    <n v="244"/>
    <n v="268.61736040609139"/>
    <n v="1197.2329032258062"/>
    <n v="44.199937921368154"/>
    <n v="4547"/>
    <n v="4.3325269408401146E-2"/>
    <m/>
    <n v="329.96"/>
    <n v="815.66"/>
    <n v="0"/>
    <n v="51.612903225806448"/>
    <n v="0"/>
    <n v="0"/>
    <n v="0"/>
    <n v="0"/>
  </r>
  <r>
    <s v="sexta-feira"/>
    <x v="293"/>
    <n v="60429.95"/>
    <n v="60429.95"/>
    <n v="0"/>
    <n v="207"/>
    <n v="273"/>
    <n v="291.93212560386473"/>
    <n v="1112.6629032258063"/>
    <n v="54.311103412186114"/>
    <n v="4350"/>
    <n v="4.7586206896551721E-2"/>
    <m/>
    <n v="341.91"/>
    <n v="719.14"/>
    <n v="0"/>
    <n v="51.612903225806448"/>
    <n v="0"/>
    <n v="0"/>
    <n v="0"/>
    <n v="0"/>
  </r>
  <r>
    <s v="sábado"/>
    <x v="294"/>
    <n v="44015.68"/>
    <n v="44015.68"/>
    <n v="0"/>
    <n v="169"/>
    <n v="225"/>
    <n v="260.44781065088756"/>
    <n v="1180.7329032258062"/>
    <n v="37.278270030205412"/>
    <n v="3592"/>
    <n v="4.7048997772828505E-2"/>
    <m/>
    <n v="356.1"/>
    <n v="773.02"/>
    <n v="0"/>
    <n v="51.612903225806448"/>
    <n v="0"/>
    <n v="0"/>
    <n v="0"/>
    <n v="0"/>
  </r>
  <r>
    <s v="domingo"/>
    <x v="295"/>
    <n v="24770.07"/>
    <n v="24770.07"/>
    <n v="0"/>
    <n v="112"/>
    <n v="142"/>
    <n v="221.16133928571429"/>
    <n v="1044.1829032258063"/>
    <n v="23.72196472809269"/>
    <n v="2965"/>
    <n v="3.7774030354131537E-2"/>
    <m/>
    <n v="319.83"/>
    <n v="672.74"/>
    <n v="0"/>
    <n v="51.612903225806448"/>
    <n v="0"/>
    <n v="0"/>
    <n v="0"/>
    <n v="0"/>
  </r>
  <r>
    <s v="segunda-feira"/>
    <x v="296"/>
    <n v="43638.159999999996"/>
    <n v="43539.53"/>
    <n v="98.63"/>
    <n v="151"/>
    <n v="181"/>
    <n v="288.99443708609272"/>
    <n v="876.15290322580643"/>
    <n v="49.806557553291988"/>
    <n v="4493"/>
    <n v="3.3607834409080793E-2"/>
    <m/>
    <n v="341.56"/>
    <n v="482.98"/>
    <n v="0"/>
    <n v="51.612903225806448"/>
    <n v="0"/>
    <n v="0"/>
    <n v="0"/>
    <n v="0"/>
  </r>
  <r>
    <s v="terça-feira"/>
    <x v="297"/>
    <n v="42354.62"/>
    <n v="42354.62"/>
    <n v="0"/>
    <n v="138"/>
    <n v="195"/>
    <n v="306.91753623188407"/>
    <n v="934.30290322580652"/>
    <n v="45.332857099945826"/>
    <n v="4214"/>
    <n v="3.274798291409587E-2"/>
    <m/>
    <n v="402.63"/>
    <n v="480.06"/>
    <n v="0"/>
    <n v="51.612903225806448"/>
    <n v="0"/>
    <n v="0"/>
    <n v="0"/>
    <n v="0"/>
  </r>
  <r>
    <s v="quarta-feira"/>
    <x v="298"/>
    <n v="42003.97"/>
    <n v="42003.97"/>
    <n v="0"/>
    <n v="152"/>
    <n v="218"/>
    <n v="276.34190789473683"/>
    <n v="1005.6329032258064"/>
    <n v="41.768691005696304"/>
    <n v="4060"/>
    <n v="3.7438423645320199E-2"/>
    <m/>
    <n v="468.86"/>
    <n v="485.16"/>
    <n v="0"/>
    <n v="51.612903225806448"/>
    <n v="0"/>
    <n v="0"/>
    <n v="0"/>
    <n v="0"/>
  </r>
  <r>
    <s v="quinta-feira"/>
    <x v="299"/>
    <n v="41668.050000000003"/>
    <n v="41645.82"/>
    <n v="22.23"/>
    <n v="144"/>
    <n v="162"/>
    <n v="289.36145833333336"/>
    <n v="1027.7129032258065"/>
    <n v="40.544445699972691"/>
    <n v="3857"/>
    <n v="3.733471610059632E-2"/>
    <m/>
    <n v="488.88"/>
    <n v="487.22"/>
    <n v="0"/>
    <n v="51.612903225806448"/>
    <n v="0"/>
    <n v="0"/>
    <n v="0"/>
    <n v="0"/>
  </r>
  <r>
    <s v="sexta-feira"/>
    <x v="300"/>
    <n v="46037.66"/>
    <n v="46037.66"/>
    <n v="0"/>
    <n v="161"/>
    <n v="186"/>
    <n v="285.94819875776398"/>
    <n v="1075.4129032258063"/>
    <n v="42.809287355494369"/>
    <n v="3824"/>
    <n v="4.2102510460251048E-2"/>
    <m/>
    <n v="368.96"/>
    <n v="654.84"/>
    <n v="0"/>
    <n v="51.612903225806448"/>
    <n v="0"/>
    <n v="0"/>
    <n v="0"/>
    <n v="0"/>
  </r>
  <r>
    <s v="sábado"/>
    <x v="301"/>
    <n v="27353.200000000001"/>
    <n v="27353.200000000001"/>
    <n v="0"/>
    <n v="101"/>
    <n v="124"/>
    <n v="270.82376237623765"/>
    <n v="1175.0929032258064"/>
    <n v="23.277478678418841"/>
    <n v="2802"/>
    <n v="3.6045681655960025E-2"/>
    <m/>
    <n v="325.94"/>
    <n v="797.54"/>
    <n v="0"/>
    <n v="51.612903225806448"/>
    <n v="0"/>
    <n v="0"/>
    <n v="0"/>
    <n v="0"/>
  </r>
  <r>
    <s v="domingo"/>
    <x v="302"/>
    <n v="16529.8"/>
    <n v="16529.8"/>
    <n v="0"/>
    <n v="59"/>
    <n v="67"/>
    <n v="280.16610169491526"/>
    <n v="1217.4629032258063"/>
    <n v="13.577251476166063"/>
    <n v="1896"/>
    <n v="3.1118143459915613E-2"/>
    <m/>
    <n v="276.83"/>
    <n v="889.02"/>
    <n v="0"/>
    <n v="51.612903225806448"/>
    <n v="0"/>
    <n v="0"/>
    <n v="0"/>
    <n v="0"/>
  </r>
  <r>
    <s v="segunda-feira"/>
    <x v="303"/>
    <n v="40416.239999999998"/>
    <n v="40416.239999999998"/>
    <n v="0"/>
    <n v="142"/>
    <n v="172"/>
    <n v="284.62140845070422"/>
    <n v="1224.3629032258063"/>
    <n v="33.0100167960954"/>
    <n v="3539"/>
    <n v="4.0124328906470753E-2"/>
    <m/>
    <n v="459.05"/>
    <n v="713.7"/>
    <n v="0"/>
    <n v="51.612903225806448"/>
    <n v="0"/>
    <n v="0"/>
    <n v="0"/>
    <n v="0"/>
  </r>
  <r>
    <s v="terça-feira"/>
    <x v="304"/>
    <n v="52463.95"/>
    <n v="52463.95"/>
    <n v="0"/>
    <n v="183"/>
    <n v="245"/>
    <n v="286.6882513661202"/>
    <n v="1290.6233333333332"/>
    <n v="40.650086392363384"/>
    <n v="4309"/>
    <n v="4.2469250406126709E-2"/>
    <m/>
    <n v="476.25"/>
    <n v="761.04"/>
    <n v="0"/>
    <n v="53.333333333333336"/>
    <n v="0"/>
    <n v="0"/>
    <n v="0"/>
    <n v="0"/>
  </r>
  <r>
    <s v="quarta-feira"/>
    <x v="305"/>
    <n v="28179.040000000001"/>
    <n v="28179.040000000001"/>
    <n v="0"/>
    <n v="107"/>
    <n v="139"/>
    <n v="263.35551401869162"/>
    <n v="1316.5033333333333"/>
    <n v="21.404457768178837"/>
    <n v="3361"/>
    <n v="3.1835763165724486E-2"/>
    <m/>
    <n v="426.61"/>
    <n v="836.56"/>
    <n v="0"/>
    <n v="53.333333333333336"/>
    <n v="0"/>
    <n v="0"/>
    <n v="0"/>
    <n v="0"/>
  </r>
  <r>
    <s v="quinta-feira"/>
    <x v="306"/>
    <n v="41401.97"/>
    <n v="41357.79"/>
    <n v="44.18"/>
    <n v="154"/>
    <n v="196"/>
    <n v="268.84396103896103"/>
    <n v="1184.3033333333333"/>
    <n v="34.958923811748683"/>
    <n v="4088"/>
    <n v="3.7671232876712327E-2"/>
    <m/>
    <n v="507.49"/>
    <n v="623.48"/>
    <n v="0"/>
    <n v="53.333333333333336"/>
    <n v="0"/>
    <n v="0"/>
    <n v="0"/>
    <n v="0"/>
  </r>
  <r>
    <s v="sexta-feira"/>
    <x v="307"/>
    <n v="49293.59"/>
    <n v="49293.59"/>
    <n v="0"/>
    <n v="178"/>
    <n v="257"/>
    <n v="276.93028089887639"/>
    <n v="1156.7833333333333"/>
    <n v="42.612638494676325"/>
    <n v="3941"/>
    <n v="4.516620147170769E-2"/>
    <m/>
    <n v="439.85"/>
    <n v="663.6"/>
    <n v="0"/>
    <n v="53.333333333333336"/>
    <n v="0"/>
    <n v="0"/>
    <n v="0"/>
    <n v="0"/>
  </r>
  <r>
    <s v="sábado"/>
    <x v="308"/>
    <n v="32532.11"/>
    <n v="32532.11"/>
    <n v="0"/>
    <n v="112"/>
    <n v="137"/>
    <n v="290.46526785714286"/>
    <n v="1149.0833333333333"/>
    <n v="28.311358329102909"/>
    <n v="2984"/>
    <n v="3.7533512064343161E-2"/>
    <m/>
    <n v="441.25"/>
    <n v="654.5"/>
    <n v="0"/>
    <n v="53.333333333333336"/>
    <n v="0"/>
    <n v="0"/>
    <n v="0"/>
    <n v="0"/>
  </r>
  <r>
    <s v="domingo"/>
    <x v="309"/>
    <n v="18743.48"/>
    <n v="18743.48"/>
    <n v="0"/>
    <n v="66"/>
    <n v="83"/>
    <n v="283.99212121212122"/>
    <n v="1101.9433333333334"/>
    <n v="17.00947719634706"/>
    <n v="2587"/>
    <n v="2.5512176265945111E-2"/>
    <m/>
    <n v="413.47"/>
    <n v="635.14"/>
    <n v="0"/>
    <n v="53.333333333333336"/>
    <n v="0"/>
    <n v="0"/>
    <n v="0"/>
    <n v="0"/>
  </r>
  <r>
    <s v="segunda-feira"/>
    <x v="310"/>
    <n v="50476.14"/>
    <n v="50453.83"/>
    <n v="22.31"/>
    <n v="156"/>
    <n v="236"/>
    <n v="323.565"/>
    <n v="1187.0933333333332"/>
    <n v="42.520784661694677"/>
    <n v="4378"/>
    <n v="3.563270899954317E-2"/>
    <m/>
    <n v="487.54"/>
    <n v="646.22"/>
    <n v="0"/>
    <n v="53.333333333333336"/>
    <n v="0"/>
    <n v="0"/>
    <n v="0"/>
    <n v="0"/>
  </r>
  <r>
    <s v="terça-feira"/>
    <x v="311"/>
    <n v="45692.1"/>
    <n v="45692.1"/>
    <n v="0"/>
    <n v="157"/>
    <n v="187"/>
    <n v="291.03248407643309"/>
    <n v="1211.5633333333333"/>
    <n v="37.713340064764807"/>
    <n v="4432"/>
    <n v="3.5424187725631766E-2"/>
    <m/>
    <n v="499.29"/>
    <n v="658.94"/>
    <n v="0"/>
    <n v="53.333333333333336"/>
    <n v="0"/>
    <n v="0"/>
    <n v="0"/>
    <n v="0"/>
  </r>
  <r>
    <s v="quarta-feira"/>
    <x v="312"/>
    <n v="64711.35"/>
    <n v="64711.35"/>
    <n v="0"/>
    <n v="281"/>
    <n v="407"/>
    <n v="230.28950177935943"/>
    <n v="1378.5033333333333"/>
    <n v="46.943194430674815"/>
    <n v="4915"/>
    <n v="5.7171922685656157E-2"/>
    <m/>
    <n v="566.65"/>
    <n v="758.52"/>
    <n v="0"/>
    <n v="53.333333333333336"/>
    <n v="0"/>
    <n v="0"/>
    <n v="0"/>
    <n v="0"/>
  </r>
  <r>
    <s v="quinta-feira"/>
    <x v="313"/>
    <n v="62344.07"/>
    <n v="62344.07"/>
    <n v="0"/>
    <n v="241"/>
    <n v="356"/>
    <n v="258.68908713692946"/>
    <n v="1323.2633333333331"/>
    <n v="47.113880079298916"/>
    <n v="4853"/>
    <n v="4.9660004121162164E-2"/>
    <m/>
    <n v="547.80999999999995"/>
    <n v="722.12"/>
    <n v="0"/>
    <n v="53.333333333333336"/>
    <n v="0"/>
    <n v="0"/>
    <n v="0"/>
    <n v="0"/>
  </r>
  <r>
    <s v="sexta-feira"/>
    <x v="314"/>
    <n v="59936.65"/>
    <n v="59936.65"/>
    <n v="0"/>
    <n v="246"/>
    <n v="335"/>
    <n v="243.644918699187"/>
    <n v="1412.3433333333332"/>
    <n v="42.43773350672523"/>
    <n v="4453"/>
    <n v="5.5243655962272625E-2"/>
    <m/>
    <n v="638.11"/>
    <n v="720.9"/>
    <n v="0"/>
    <n v="53.333333333333336"/>
    <n v="0"/>
    <n v="0"/>
    <n v="0"/>
    <n v="0"/>
  </r>
  <r>
    <s v="sábado"/>
    <x v="315"/>
    <n v="34354.720000000001"/>
    <n v="34354.720000000001"/>
    <n v="0"/>
    <n v="142"/>
    <n v="200"/>
    <n v="241.93464788732396"/>
    <n v="1237.0833333333333"/>
    <n v="27.770740316604922"/>
    <n v="3630"/>
    <n v="3.911845730027548E-2"/>
    <m/>
    <n v="444.01"/>
    <n v="739.74"/>
    <n v="0"/>
    <n v="53.333333333333336"/>
    <n v="0"/>
    <n v="0"/>
    <n v="0"/>
    <n v="0"/>
  </r>
  <r>
    <s v="domingo"/>
    <x v="316"/>
    <n v="20268.12"/>
    <n v="20268.12"/>
    <n v="0"/>
    <n v="90"/>
    <n v="118"/>
    <n v="225.20133333333331"/>
    <n v="1171.7933333333333"/>
    <n v="17.296667785559457"/>
    <n v="2955"/>
    <n v="3.0456852791878174E-2"/>
    <m/>
    <n v="395.08"/>
    <n v="723.38"/>
    <n v="0"/>
    <n v="53.333333333333336"/>
    <n v="0"/>
    <n v="0"/>
    <n v="0"/>
    <n v="0"/>
  </r>
  <r>
    <s v="segunda-feira"/>
    <x v="317"/>
    <n v="48541.04"/>
    <n v="48516.29"/>
    <n v="24.75"/>
    <n v="190"/>
    <n v="275"/>
    <n v="255.47915789473686"/>
    <n v="1303.8833333333332"/>
    <n v="37.228054657241834"/>
    <n v="4507"/>
    <n v="4.2156645218548922E-2"/>
    <m/>
    <n v="571.53"/>
    <n v="679.02"/>
    <n v="0"/>
    <n v="53.333333333333336"/>
    <n v="0"/>
    <n v="0"/>
    <n v="0"/>
    <n v="0"/>
  </r>
  <r>
    <s v="terça-feira"/>
    <x v="318"/>
    <n v="45918.36"/>
    <n v="45918.36"/>
    <n v="0"/>
    <n v="190"/>
    <n v="287"/>
    <n v="241.67557894736842"/>
    <n v="1243.6033333333332"/>
    <n v="36.923638566423918"/>
    <n v="3551"/>
    <n v="5.3506054632497885E-2"/>
    <m/>
    <n v="601.07000000000005"/>
    <n v="589.20000000000005"/>
    <n v="0"/>
    <n v="53.333333333333336"/>
    <n v="0"/>
    <n v="0"/>
    <n v="0"/>
    <n v="0"/>
  </r>
  <r>
    <s v="quarta-feira"/>
    <x v="319"/>
    <n v="47671.23"/>
    <n v="47671.23"/>
    <n v="0"/>
    <n v="164"/>
    <n v="207"/>
    <n v="290.67823170731708"/>
    <n v="1054.7833333333333"/>
    <n v="45.195281811430469"/>
    <n v="4845"/>
    <n v="3.384932920536636E-2"/>
    <m/>
    <n v="614.89"/>
    <n v="386.56"/>
    <n v="0"/>
    <n v="53.333333333333336"/>
    <n v="0"/>
    <n v="0"/>
    <n v="0"/>
    <n v="0"/>
  </r>
  <r>
    <s v="quinta-feira"/>
    <x v="320"/>
    <n v="57858.689999999995"/>
    <n v="57814.49"/>
    <n v="44.2"/>
    <n v="167"/>
    <n v="256"/>
    <n v="346.45922155688618"/>
    <n v="1097.3933333333332"/>
    <n v="52.723748397718232"/>
    <n v="4496"/>
    <n v="3.7144128113879002E-2"/>
    <m/>
    <n v="624.38"/>
    <n v="419.68"/>
    <n v="0"/>
    <n v="53.333333333333336"/>
    <n v="0"/>
    <n v="0"/>
    <n v="0"/>
    <n v="0"/>
  </r>
  <r>
    <s v="sexta-feira"/>
    <x v="321"/>
    <n v="60713.560000000005"/>
    <n v="60691.73"/>
    <n v="21.83"/>
    <n v="175"/>
    <n v="255"/>
    <n v="346.93462857142862"/>
    <n v="1283.5233333333333"/>
    <n v="47.302264340084719"/>
    <n v="4411"/>
    <n v="3.9673543414191791E-2"/>
    <m/>
    <n v="589.61"/>
    <n v="640.58000000000004"/>
    <n v="0"/>
    <n v="53.333333333333336"/>
    <n v="0"/>
    <n v="0"/>
    <n v="0"/>
    <n v="0"/>
  </r>
  <r>
    <s v="sábado"/>
    <x v="322"/>
    <n v="34580.47"/>
    <n v="34580.47"/>
    <n v="0"/>
    <n v="107"/>
    <n v="137"/>
    <n v="323.18196261682243"/>
    <n v="1391.1533333333334"/>
    <n v="24.857410877305639"/>
    <n v="3399"/>
    <n v="3.1479847013827597E-2"/>
    <m/>
    <n v="472.48"/>
    <n v="865.34"/>
    <n v="0"/>
    <n v="53.333333333333336"/>
    <n v="0"/>
    <n v="0"/>
    <n v="0"/>
    <n v="0"/>
  </r>
  <r>
    <s v="domingo"/>
    <x v="323"/>
    <n v="24648.560000000001"/>
    <n v="24648.560000000001"/>
    <n v="0"/>
    <n v="71"/>
    <n v="87"/>
    <n v="347.16281690140846"/>
    <n v="1425.2833333333333"/>
    <n v="17.293796555070923"/>
    <n v="2928"/>
    <n v="2.424863387978142E-2"/>
    <m/>
    <n v="478.97"/>
    <n v="892.98"/>
    <n v="0"/>
    <n v="53.333333333333336"/>
    <n v="0"/>
    <n v="0"/>
    <n v="0"/>
    <n v="0"/>
  </r>
  <r>
    <s v="segunda-feira"/>
    <x v="324"/>
    <n v="77449.23"/>
    <n v="77449.23"/>
    <n v="0"/>
    <n v="268"/>
    <n v="359"/>
    <n v="288.98966417910447"/>
    <n v="1755.4733333333331"/>
    <n v="44.118716319625101"/>
    <n v="7401"/>
    <n v="3.6211322794216995E-2"/>
    <m/>
    <n v="957.54"/>
    <n v="744.6"/>
    <n v="0"/>
    <n v="53.333333333333336"/>
    <n v="0"/>
    <n v="0"/>
    <n v="0"/>
    <n v="0"/>
  </r>
  <r>
    <s v="terça-feira"/>
    <x v="325"/>
    <n v="72089.929999999993"/>
    <n v="72089.929999999993"/>
    <n v="0"/>
    <n v="240"/>
    <n v="317"/>
    <n v="300.37470833333333"/>
    <n v="2213.7533333333336"/>
    <n v="32.564572084212926"/>
    <n v="5705"/>
    <n v="4.2068361086765996E-2"/>
    <m/>
    <n v="1370.14"/>
    <n v="790.28"/>
    <n v="0"/>
    <n v="53.333333333333336"/>
    <n v="0"/>
    <n v="0"/>
    <n v="0"/>
    <n v="0"/>
  </r>
  <r>
    <s v="quarta-feira"/>
    <x v="326"/>
    <n v="72712.94"/>
    <n v="72680.87"/>
    <n v="32.07"/>
    <n v="235"/>
    <n v="312"/>
    <n v="309.41676595744684"/>
    <n v="2228.4033333333336"/>
    <n v="32.630062481208512"/>
    <n v="6435"/>
    <n v="3.651903651903652E-2"/>
    <m/>
    <n v="1405.67"/>
    <n v="769.4"/>
    <n v="0"/>
    <n v="53.333333333333336"/>
    <n v="0"/>
    <n v="0"/>
    <n v="0"/>
    <n v="0"/>
  </r>
  <r>
    <s v="quinta-feira"/>
    <x v="327"/>
    <n v="72854.37"/>
    <n v="72854.37"/>
    <n v="0"/>
    <n v="230"/>
    <n v="302"/>
    <n v="316.75813043478257"/>
    <n v="1706.9733333333331"/>
    <n v="42.680438280621452"/>
    <n v="5552"/>
    <n v="4.142651296829971E-2"/>
    <m/>
    <n v="889.18"/>
    <n v="764.46"/>
    <n v="0"/>
    <n v="53.333333333333336"/>
    <n v="0"/>
    <n v="0"/>
    <n v="0"/>
    <n v="0"/>
  </r>
  <r>
    <s v="sexta-feira"/>
    <x v="328"/>
    <n v="202447.33"/>
    <n v="202411.28"/>
    <n v="36.049999999999997"/>
    <n v="631"/>
    <n v="958"/>
    <n v="320.83570522979397"/>
    <n v="2849.3333333333335"/>
    <n v="71.050770940570885"/>
    <n v="8661"/>
    <n v="7.2855328484008774E-2"/>
    <m/>
    <n v="1718.64"/>
    <n v="1077.3599999999999"/>
    <n v="0"/>
    <n v="53.333333333333336"/>
    <n v="0"/>
    <n v="0"/>
    <n v="0"/>
    <n v="0"/>
  </r>
  <r>
    <s v="sábado"/>
    <x v="329"/>
    <n v="72318.87"/>
    <n v="72318.87"/>
    <n v="0"/>
    <n v="256"/>
    <n v="331"/>
    <n v="282.49558593749998"/>
    <n v="1715.0233333333333"/>
    <n v="42.167863605354249"/>
    <n v="4639"/>
    <n v="5.5184306962707479E-2"/>
    <m/>
    <n v="415.15"/>
    <n v="1246.54"/>
    <n v="0"/>
    <n v="53.333333333333336"/>
    <n v="0"/>
    <n v="0"/>
    <n v="0"/>
    <n v="0"/>
  </r>
  <r>
    <s v="domingo"/>
    <x v="330"/>
    <n v="105709.64"/>
    <n v="105709.64"/>
    <n v="0"/>
    <n v="330"/>
    <n v="510"/>
    <n v="320.33224242424239"/>
    <n v="1788.5433333333333"/>
    <n v="59.103762279545926"/>
    <n v="4100"/>
    <n v="8.0487804878048783E-2"/>
    <m/>
    <n v="543.11"/>
    <n v="1192.0999999999999"/>
    <n v="0"/>
    <n v="53.333333333333336"/>
    <n v="0"/>
    <n v="0"/>
    <n v="0"/>
    <n v="0"/>
  </r>
  <r>
    <s v="segunda-feira"/>
    <x v="331"/>
    <n v="128206.03"/>
    <n v="128126.18"/>
    <n v="79.849999999999994"/>
    <n v="607"/>
    <n v="1457"/>
    <n v="211.21257001647447"/>
    <n v="1017.5433333333333"/>
    <n v="125.99564637705848"/>
    <n v="7616"/>
    <n v="7.9700630252100835E-2"/>
    <m/>
    <n v="237.03"/>
    <n v="727.18"/>
    <n v="0"/>
    <n v="53.333333333333336"/>
    <n v="0"/>
    <n v="0"/>
    <n v="0"/>
    <n v="0"/>
  </r>
  <r>
    <s v="terça-feira"/>
    <x v="332"/>
    <n v="79620.41"/>
    <n v="79598.100000000006"/>
    <n v="22.31"/>
    <n v="325"/>
    <n v="501"/>
    <n v="244.98587692307694"/>
    <n v="896.08333333333337"/>
    <n v="88.853800799776806"/>
    <n v="6120"/>
    <n v="5.3104575163398691E-2"/>
    <m/>
    <n v="251.49"/>
    <n v="591.26"/>
    <n v="0"/>
    <n v="53.333333333333336"/>
    <n v="0"/>
    <n v="0"/>
    <n v="0"/>
    <n v="0"/>
  </r>
  <r>
    <s v="quarta-feira"/>
    <x v="333"/>
    <n v="72792.55"/>
    <n v="72770.240000000005"/>
    <n v="22.31"/>
    <n v="257"/>
    <n v="392"/>
    <n v="283.23949416342413"/>
    <n v="695.04333333333341"/>
    <n v="104.73095202697193"/>
    <n v="5415"/>
    <n v="4.7460757156048014E-2"/>
    <m/>
    <n v="254.91"/>
    <n v="386.8"/>
    <n v="0"/>
    <n v="53.333333333333336"/>
    <n v="0"/>
    <n v="0"/>
    <n v="0"/>
    <n v="0"/>
  </r>
  <r>
    <s v="quinta-feira"/>
    <x v="334"/>
    <n v="86486.31"/>
    <n v="86486.31"/>
    <n v="0"/>
    <n v="256"/>
    <n v="350"/>
    <n v="337.83714843749999"/>
    <n v="777.51290322580644"/>
    <n v="111.2345655502035"/>
    <n v="6190"/>
    <n v="4.1357027463651053E-2"/>
    <m/>
    <n v="345.84"/>
    <n v="380.06"/>
    <n v="0"/>
    <n v="51.612903225806448"/>
    <n v="0"/>
    <n v="0"/>
    <n v="0"/>
    <n v="0"/>
  </r>
  <r>
    <s v="sexta-feira"/>
    <x v="335"/>
    <n v="74098.990000000005"/>
    <n v="74098.990000000005"/>
    <n v="0"/>
    <n v="217"/>
    <n v="296"/>
    <n v="341.47"/>
    <n v="781.11290322580646"/>
    <n v="94.86335418860601"/>
    <n v="4015"/>
    <n v="5.4047322540473224E-2"/>
    <m/>
    <n v="331.2"/>
    <n v="398.3"/>
    <n v="0"/>
    <n v="51.612903225806448"/>
    <n v="0"/>
    <n v="0"/>
    <n v="0"/>
    <n v="0"/>
  </r>
  <r>
    <s v="sábado"/>
    <x v="336"/>
    <n v="37757.5"/>
    <n v="37735.550000000003"/>
    <n v="21.95"/>
    <n v="140"/>
    <n v="169"/>
    <n v="269.69642857142856"/>
    <n v="826.48290322580647"/>
    <n v="45.684550584931017"/>
    <n v="3860"/>
    <n v="3.6269430051813469E-2"/>
    <m/>
    <n v="329.83"/>
    <n v="445.04"/>
    <n v="0"/>
    <n v="51.612903225806448"/>
    <n v="0"/>
    <n v="0"/>
    <n v="0"/>
    <n v="0"/>
  </r>
  <r>
    <s v="domingo"/>
    <x v="337"/>
    <n v="39635.199999999997"/>
    <n v="39635.199999999997"/>
    <n v="0"/>
    <n v="141"/>
    <n v="159"/>
    <n v="281.10070921985812"/>
    <n v="865.77290322580654"/>
    <n v="45.780134550668123"/>
    <n v="3515"/>
    <n v="4.0113798008534853E-2"/>
    <m/>
    <n v="341.12"/>
    <n v="473.04"/>
    <n v="0"/>
    <n v="51.612903225806448"/>
    <n v="0"/>
    <n v="0"/>
    <n v="0"/>
    <n v="0"/>
  </r>
  <r>
    <s v="segunda-feira"/>
    <x v="338"/>
    <n v="148777.51"/>
    <n v="148777.51"/>
    <n v="0"/>
    <n v="679"/>
    <n v="1098"/>
    <n v="219.11268041237113"/>
    <n v="1000.9629032258065"/>
    <n v="148.63438946691653"/>
    <n v="6626"/>
    <n v="0.10247509809840025"/>
    <m/>
    <n v="356.85"/>
    <n v="592.5"/>
    <n v="0"/>
    <n v="51.612903225806448"/>
    <n v="0"/>
    <n v="0"/>
    <n v="0"/>
    <n v="0"/>
  </r>
  <r>
    <s v="terça-feira"/>
    <x v="339"/>
    <n v="82021.700000000012"/>
    <n v="81996.63"/>
    <n v="25.07"/>
    <n v="267"/>
    <n v="355"/>
    <n v="307.19737827715358"/>
    <n v="975.71290322580637"/>
    <n v="84.063354834017161"/>
    <n v="6022"/>
    <n v="4.4337429425440056E-2"/>
    <m/>
    <n v="497.52"/>
    <n v="426.58"/>
    <n v="0"/>
    <n v="51.612903225806448"/>
    <n v="0"/>
    <n v="0"/>
    <n v="0"/>
    <n v="0"/>
  </r>
  <r>
    <s v="quarta-feira"/>
    <x v="340"/>
    <n v="112728.83"/>
    <n v="112706.6"/>
    <n v="22.23"/>
    <n v="315"/>
    <n v="429"/>
    <n v="357.86930158730161"/>
    <n v="1216.0329032258064"/>
    <n v="92.702121547008232"/>
    <n v="6671"/>
    <n v="4.7219307450157399E-2"/>
    <m/>
    <n v="716.96"/>
    <n v="447.46"/>
    <n v="0"/>
    <n v="51.612903225806448"/>
    <n v="0"/>
    <n v="0"/>
    <n v="0"/>
    <n v="0"/>
  </r>
  <r>
    <s v="quinta-feira"/>
    <x v="341"/>
    <n v="97402.85"/>
    <n v="97402.85"/>
    <n v="0"/>
    <n v="293"/>
    <n v="387"/>
    <n v="332.43293515358363"/>
    <n v="1468.6029032258064"/>
    <n v="66.323476404719969"/>
    <n v="6224"/>
    <n v="4.7075835475578406E-2"/>
    <m/>
    <n v="921.41"/>
    <n v="495.58"/>
    <n v="0"/>
    <n v="51.612903225806448"/>
    <n v="0"/>
    <n v="0"/>
    <n v="0"/>
    <n v="0"/>
  </r>
  <r>
    <s v="sexta-feira"/>
    <x v="342"/>
    <n v="72230.45"/>
    <n v="72230.45"/>
    <n v="0"/>
    <n v="222"/>
    <n v="278"/>
    <n v="325.3623873873874"/>
    <n v="1137.2229032258065"/>
    <n v="63.51476900009105"/>
    <n v="4217"/>
    <n v="5.2644059758121885E-2"/>
    <m/>
    <n v="557.97"/>
    <n v="527.64"/>
    <n v="0"/>
    <n v="51.612903225806448"/>
    <n v="0"/>
    <n v="0"/>
    <n v="0"/>
    <n v="0"/>
  </r>
  <r>
    <s v="sábado"/>
    <x v="343"/>
    <n v="55323.9"/>
    <n v="55323.9"/>
    <n v="0"/>
    <n v="179"/>
    <n v="209"/>
    <n v="309.07206703910617"/>
    <n v="1207.6129032258063"/>
    <n v="45.812610855860676"/>
    <n v="4623"/>
    <n v="3.8719446247025738E-2"/>
    <m/>
    <n v="568.98"/>
    <n v="587.02"/>
    <n v="0"/>
    <n v="51.612903225806448"/>
    <n v="0"/>
    <n v="0"/>
    <n v="0"/>
    <n v="0"/>
  </r>
  <r>
    <s v="domingo"/>
    <x v="344"/>
    <n v="38946.699999999997"/>
    <n v="38946.699999999997"/>
    <n v="0"/>
    <n v="127"/>
    <n v="161"/>
    <n v="306.66692913385822"/>
    <n v="1257.0829032258064"/>
    <n v="30.981807086914227"/>
    <n v="3929"/>
    <n v="3.2323746500381778E-2"/>
    <m/>
    <n v="565.07000000000005"/>
    <n v="640.4"/>
    <n v="0"/>
    <n v="51.612903225806448"/>
    <n v="0"/>
    <n v="0"/>
    <n v="0"/>
    <n v="0"/>
  </r>
  <r>
    <s v="segunda-feira"/>
    <x v="345"/>
    <n v="122650.9"/>
    <n v="122650.9"/>
    <n v="0"/>
    <n v="374"/>
    <n v="599"/>
    <n v="327.94358288770053"/>
    <n v="1667.1929032258063"/>
    <n v="73.567311714610881"/>
    <n v="6766"/>
    <n v="5.5276381909547742E-2"/>
    <m/>
    <n v="994.9"/>
    <n v="620.67999999999995"/>
    <n v="0"/>
    <n v="51.612903225806448"/>
    <n v="0"/>
    <n v="0"/>
    <n v="0"/>
    <n v="0"/>
  </r>
  <r>
    <s v="terça-feira"/>
    <x v="346"/>
    <n v="151315.48000000001"/>
    <n v="151315.48000000001"/>
    <n v="0"/>
    <n v="417"/>
    <n v="622"/>
    <n v="362.86685851318947"/>
    <n v="1589.0729032258064"/>
    <n v="95.222490857927724"/>
    <n v="6563"/>
    <n v="6.3538016151150387E-2"/>
    <m/>
    <n v="938.02"/>
    <n v="599.44000000000005"/>
    <n v="0"/>
    <n v="51.612903225806448"/>
    <n v="0"/>
    <n v="0"/>
    <n v="0"/>
    <n v="0"/>
  </r>
  <r>
    <s v="quarta-feira"/>
    <x v="347"/>
    <n v="139784.78999999998"/>
    <n v="139667.01999999999"/>
    <n v="117.77"/>
    <n v="416"/>
    <n v="793"/>
    <n v="336.02112980769226"/>
    <n v="1592.5129032258064"/>
    <n v="87.77623698800231"/>
    <n v="6787"/>
    <n v="6.1293649624281715E-2"/>
    <m/>
    <n v="840.34"/>
    <n v="700.56"/>
    <n v="0"/>
    <n v="51.612903225806448"/>
    <n v="0"/>
    <n v="0"/>
    <n v="0"/>
    <n v="0"/>
  </r>
  <r>
    <s v="quinta-feira"/>
    <x v="348"/>
    <n v="140222.94999999998"/>
    <n v="140183.35999999999"/>
    <n v="39.590000000000003"/>
    <n v="439"/>
    <n v="575"/>
    <n v="319.41446469248285"/>
    <n v="1645.6829032258063"/>
    <n v="85.206542357060513"/>
    <n v="6860"/>
    <n v="6.3994169096209919E-2"/>
    <m/>
    <n v="792.91"/>
    <n v="801.16"/>
    <n v="0"/>
    <n v="51.612903225806448"/>
    <n v="0"/>
    <n v="0"/>
    <n v="0"/>
    <n v="0"/>
  </r>
  <r>
    <s v="sexta-feira"/>
    <x v="349"/>
    <n v="116080.44"/>
    <n v="116080.44"/>
    <n v="0"/>
    <n v="397"/>
    <n v="476"/>
    <n v="292.39405541561712"/>
    <n v="1961.1929032258063"/>
    <n v="59.188690622461849"/>
    <n v="6406"/>
    <n v="6.1973150171714016E-2"/>
    <m/>
    <n v="700.56"/>
    <n v="873.52"/>
    <n v="0"/>
    <n v="51.612903225806448"/>
    <n v="335.5"/>
    <n v="0"/>
    <n v="0"/>
    <n v="0"/>
  </r>
  <r>
    <s v="sábado"/>
    <x v="350"/>
    <n v="89484.36"/>
    <n v="89484.36"/>
    <n v="0"/>
    <n v="293"/>
    <n v="355"/>
    <n v="305.40737201365187"/>
    <n v="1501.9329032258065"/>
    <n v="59.579465772277956"/>
    <n v="4992"/>
    <n v="5.8693910256410256E-2"/>
    <m/>
    <n v="502.86"/>
    <n v="947.46"/>
    <n v="0"/>
    <n v="51.612903225806448"/>
    <n v="0"/>
    <n v="0"/>
    <n v="0"/>
    <n v="0"/>
  </r>
  <r>
    <s v="domingo"/>
    <x v="351"/>
    <n v="65863.39"/>
    <n v="65816.350000000006"/>
    <n v="47.04"/>
    <n v="209"/>
    <n v="256"/>
    <n v="315.13583732057418"/>
    <n v="1634.6429032258063"/>
    <n v="40.292219095696744"/>
    <n v="4201"/>
    <n v="4.9750059509640565E-2"/>
    <m/>
    <n v="549.71"/>
    <n v="1033.32"/>
    <n v="0"/>
    <n v="51.612903225806448"/>
    <n v="0"/>
    <n v="0"/>
    <n v="0"/>
    <n v="0"/>
  </r>
  <r>
    <s v="segunda-feira"/>
    <x v="352"/>
    <n v="213431.53"/>
    <n v="213390.42"/>
    <n v="41.11"/>
    <n v="654"/>
    <n v="821"/>
    <n v="326.34790519877674"/>
    <n v="1395.9929032258065"/>
    <n v="152.88869270524992"/>
    <n v="0"/>
    <n v="0"/>
    <m/>
    <n v="0"/>
    <n v="1131.46"/>
    <n v="0"/>
    <n v="51.612903225806448"/>
    <n v="212.92000000000002"/>
    <n v="0"/>
    <n v="0"/>
    <n v="0"/>
  </r>
  <r>
    <s v="terça-feira"/>
    <x v="353"/>
    <n v="196362.28"/>
    <n v="196362.28"/>
    <n v="0"/>
    <n v="597"/>
    <n v="807"/>
    <n v="328.91504187604687"/>
    <n v="2529.6029032258066"/>
    <n v="77.625733173216389"/>
    <n v="8120"/>
    <n v="7.3522167487684725E-2"/>
    <m/>
    <n v="1149.32"/>
    <n v="1105.4000000000001"/>
    <n v="0"/>
    <n v="51.612903225806448"/>
    <n v="223.26999999999998"/>
    <n v="0"/>
    <n v="0"/>
    <n v="0"/>
  </r>
  <r>
    <s v="quarta-feira"/>
    <x v="354"/>
    <n v="208403.15"/>
    <n v="208358.09"/>
    <n v="45.06"/>
    <n v="635"/>
    <n v="866"/>
    <n v="328.19393700787401"/>
    <n v="2736.1029032258066"/>
    <n v="76.167877222123906"/>
    <n v="8565"/>
    <n v="7.4138937536485691E-2"/>
    <m/>
    <n v="1403.22"/>
    <n v="1117.1400000000001"/>
    <n v="0"/>
    <n v="51.612903225806448"/>
    <n v="164.13"/>
    <n v="0"/>
    <n v="0"/>
    <n v="0"/>
  </r>
  <r>
    <s v="quinta-feira"/>
    <x v="355"/>
    <n v="235235.42"/>
    <n v="235161.69"/>
    <n v="73.73"/>
    <n v="717"/>
    <n v="943"/>
    <n v="328.08287308228734"/>
    <n v="4036.1029032258061"/>
    <n v="58.282810334689671"/>
    <n v="8198"/>
    <n v="8.7460356184435234E-2"/>
    <m/>
    <n v="2078.35"/>
    <n v="1756.14"/>
    <n v="0"/>
    <n v="51.612903225806448"/>
    <n v="150"/>
    <n v="0"/>
    <n v="0"/>
    <n v="0"/>
  </r>
  <r>
    <s v="sexta-feira"/>
    <x v="356"/>
    <n v="272208.45"/>
    <n v="272208.45"/>
    <n v="0"/>
    <n v="844"/>
    <n v="1071"/>
    <n v="322.52186018957349"/>
    <n v="3623.1929032258067"/>
    <n v="75.129438942554501"/>
    <n v="7850"/>
    <n v="0.10751592356687899"/>
    <m/>
    <n v="1644.76"/>
    <n v="1794.38"/>
    <n v="0"/>
    <n v="51.612903225806448"/>
    <n v="132.44"/>
    <n v="0"/>
    <n v="0"/>
    <n v="0"/>
  </r>
  <r>
    <s v="sábado"/>
    <x v="357"/>
    <n v="266775.34999999998"/>
    <n v="266684.13"/>
    <n v="91.22"/>
    <n v="817"/>
    <n v="1038"/>
    <n v="326.5304161566707"/>
    <n v="2533.5329032258064"/>
    <n v="105.29776410652879"/>
    <n v="4618"/>
    <n v="0.1769164140320485"/>
    <m/>
    <n v="1185.98"/>
    <n v="1295.94"/>
    <n v="0"/>
    <n v="51.612903225806448"/>
    <n v="0"/>
    <n v="0"/>
    <n v="0"/>
    <n v="0"/>
  </r>
  <r>
    <s v="domingo"/>
    <x v="358"/>
    <n v="59416.770000000004"/>
    <n v="59393.62"/>
    <n v="23.15"/>
    <n v="193"/>
    <n v="238"/>
    <n v="307.85891191709845"/>
    <n v="1407.1129032258063"/>
    <n v="42.226014603225551"/>
    <n v="3644"/>
    <n v="5.2963776070252468E-2"/>
    <m/>
    <n v="665.14"/>
    <n v="690.36"/>
    <n v="0"/>
    <n v="51.612903225806448"/>
    <n v="0"/>
    <n v="0"/>
    <n v="0"/>
    <n v="0"/>
  </r>
  <r>
    <s v="segunda-feira"/>
    <x v="359"/>
    <n v="76654.78"/>
    <n v="76654.78"/>
    <n v="0"/>
    <n v="256"/>
    <n v="306"/>
    <n v="299.432734375"/>
    <n v="2247.6129032258063"/>
    <n v="34.104974166140423"/>
    <n v="7683"/>
    <n v="3.3320317584276976E-2"/>
    <m/>
    <n v="1624.1"/>
    <n v="571.9"/>
    <n v="0"/>
    <n v="51.612903225806448"/>
    <n v="0"/>
    <n v="0"/>
    <n v="0"/>
    <n v="0"/>
  </r>
  <r>
    <s v="terça-feira"/>
    <x v="360"/>
    <n v="69194.400000000009"/>
    <n v="69162.710000000006"/>
    <n v="31.69"/>
    <n v="225"/>
    <n v="314"/>
    <n v="307.53066666666672"/>
    <n v="1472.8529032258064"/>
    <n v="46.979844252234642"/>
    <n v="6295"/>
    <n v="3.5742652899126294E-2"/>
    <m/>
    <n v="940.44"/>
    <n v="480.8"/>
    <n v="0"/>
    <n v="51.612903225806448"/>
    <n v="0"/>
    <n v="0"/>
    <n v="0"/>
    <n v="0"/>
  </r>
  <r>
    <s v="quarta-feira"/>
    <x v="361"/>
    <n v="60668.97"/>
    <n v="60668.97"/>
    <n v="0"/>
    <n v="203"/>
    <n v="255"/>
    <n v="298.86192118226603"/>
    <n v="1142.5229032258062"/>
    <n v="53.10087861583068"/>
    <n v="5511"/>
    <n v="3.6835420068953004E-2"/>
    <m/>
    <n v="661.43"/>
    <n v="429.48"/>
    <n v="0"/>
    <n v="51.612903225806448"/>
    <n v="0"/>
    <n v="0"/>
    <n v="0"/>
    <n v="0"/>
  </r>
  <r>
    <s v="quinta-feira"/>
    <x v="362"/>
    <n v="50730.98"/>
    <n v="50673.86"/>
    <n v="57.12"/>
    <n v="168"/>
    <n v="209"/>
    <n v="301.97011904761905"/>
    <n v="914.08290322580649"/>
    <n v="55.499320489388801"/>
    <n v="4715"/>
    <n v="3.5630965005302224E-2"/>
    <m/>
    <n v="499.29"/>
    <n v="363.18"/>
    <n v="0"/>
    <n v="51.612903225806448"/>
    <n v="0"/>
    <n v="0"/>
    <n v="0"/>
    <n v="0"/>
  </r>
  <r>
    <s v="sexta-feira"/>
    <x v="363"/>
    <n v="62888.12"/>
    <n v="62888.12"/>
    <n v="0"/>
    <n v="122"/>
    <n v="298"/>
    <n v="515.47639344262302"/>
    <n v="685.26290322580644"/>
    <n v="91.772252231895934"/>
    <n v="3751"/>
    <n v="3.2524660090642497E-2"/>
    <m/>
    <n v="316.07"/>
    <n v="317.58"/>
    <n v="0"/>
    <n v="51.612903225806448"/>
    <n v="0"/>
    <n v="0"/>
    <n v="0"/>
    <n v="0"/>
  </r>
  <r>
    <s v="sábado"/>
    <x v="364"/>
    <n v="27474.32"/>
    <n v="27474.32"/>
    <n v="0"/>
    <n v="75"/>
    <n v="93"/>
    <n v="366.32426666666669"/>
    <n v="507.43290322580646"/>
    <n v="54.143749499377641"/>
    <n v="1968"/>
    <n v="3.8109756097560975E-2"/>
    <m/>
    <n v="205.7"/>
    <n v="250.12"/>
    <n v="0"/>
    <n v="51.612903225806448"/>
    <n v="0"/>
    <n v="0"/>
    <n v="0"/>
    <n v="0"/>
  </r>
  <r>
    <s v="domingo"/>
    <x v="365"/>
    <n v="6682.58"/>
    <n v="6660.35"/>
    <n v="22.23"/>
    <n v="25"/>
    <n v="33"/>
    <n v="267.3032"/>
    <n v="429.30290322580646"/>
    <n v="15.566118816776484"/>
    <n v="2085"/>
    <n v="1.1990407673860911E-2"/>
    <m/>
    <n v="195.73"/>
    <n v="181.96"/>
    <n v="0"/>
    <n v="51.612903225806448"/>
    <n v="0"/>
    <n v="0"/>
    <n v="0"/>
    <n v="0"/>
  </r>
  <r>
    <s v="segunda-feira"/>
    <x v="366"/>
    <n v="42296.450000000004"/>
    <n v="42272.44"/>
    <n v="24.01"/>
    <n v="141"/>
    <n v="168"/>
    <n v="299.97482269503547"/>
    <n v="688.72290322580636"/>
    <n v="61.412869823108799"/>
    <n v="5236"/>
    <n v="2.6928953399541634E-2"/>
    <m/>
    <n v="367.59"/>
    <n v="269.52"/>
    <n v="0"/>
    <n v="51.612903225806448"/>
    <n v="0"/>
    <n v="0"/>
    <n v="0"/>
    <n v="0"/>
  </r>
  <r>
    <s v="terça-feira"/>
    <x v="367"/>
    <n v="43147.4"/>
    <n v="43147.4"/>
    <n v="0"/>
    <n v="139"/>
    <n v="170"/>
    <n v="310.41294964028776"/>
    <n v="720.4329032258064"/>
    <n v="59.89093475159649"/>
    <n v="5421"/>
    <n v="2.564102564102564E-2"/>
    <m/>
    <n v="355.9"/>
    <n v="312.92"/>
    <n v="0"/>
    <n v="51.612903225806448"/>
    <n v="0"/>
    <n v="0"/>
    <n v="0"/>
    <n v="0"/>
  </r>
  <r>
    <s v="quarta-feira"/>
    <x v="368"/>
    <n v="38413.61"/>
    <n v="38413.61"/>
    <n v="0"/>
    <n v="137"/>
    <n v="164"/>
    <n v="280.39131386861317"/>
    <n v="809.20290322580649"/>
    <n v="47.470924593656278"/>
    <n v="5673"/>
    <n v="2.4149479992949058E-2"/>
    <m/>
    <n v="389.93"/>
    <n v="367.66"/>
    <n v="0"/>
    <n v="51.612903225806448"/>
    <n v="0"/>
    <n v="0"/>
    <n v="0"/>
    <n v="0"/>
  </r>
  <r>
    <s v="quinta-feira"/>
    <x v="369"/>
    <n v="49185.479999999996"/>
    <n v="49163.53"/>
    <n v="21.95"/>
    <n v="162"/>
    <n v="214"/>
    <n v="303.61407407407404"/>
    <n v="816.79290322580653"/>
    <n v="60.217810176544127"/>
    <n v="5412"/>
    <n v="2.9933481152993349E-2"/>
    <m/>
    <n v="383.58"/>
    <n v="381.6"/>
    <n v="0"/>
    <n v="51.612903225806448"/>
    <n v="0"/>
    <n v="0"/>
    <n v="0"/>
    <n v="0"/>
  </r>
  <r>
    <s v="sexta-feira"/>
    <x v="370"/>
    <n v="51769.86"/>
    <n v="51769.86"/>
    <n v="0"/>
    <n v="165"/>
    <n v="208"/>
    <n v="313.75672727272729"/>
    <n v="1016.9929032258065"/>
    <n v="50.904838997195398"/>
    <n v="5139"/>
    <n v="3.2107413893753649E-2"/>
    <m/>
    <n v="256.48"/>
    <n v="708.9"/>
    <n v="0"/>
    <n v="51.612903225806448"/>
    <n v="0"/>
    <n v="0"/>
    <n v="0"/>
    <n v="0"/>
  </r>
  <r>
    <s v="sábado"/>
    <x v="371"/>
    <n v="29276.06"/>
    <n v="29276.06"/>
    <n v="0"/>
    <n v="97"/>
    <n v="114"/>
    <n v="301.81505154639177"/>
    <n v="619.51290322580644"/>
    <n v="47.256578269087576"/>
    <n v="3680"/>
    <n v="2.6358695652173914E-2"/>
    <m/>
    <n v="184.02"/>
    <n v="383.88"/>
    <n v="0"/>
    <n v="51.612903225806448"/>
    <n v="0"/>
    <n v="0"/>
    <n v="0"/>
    <n v="0"/>
  </r>
  <r>
    <s v="domingo"/>
    <x v="372"/>
    <n v="20412"/>
    <n v="20384.97"/>
    <n v="27.03"/>
    <n v="75"/>
    <n v="85"/>
    <n v="272.16000000000003"/>
    <n v="648.75290322580645"/>
    <n v="31.463443012748034"/>
    <n v="3001"/>
    <n v="2.4991669443518827E-2"/>
    <m/>
    <n v="209.58"/>
    <n v="387.56"/>
    <n v="0"/>
    <n v="51.612903225806448"/>
    <n v="0"/>
    <n v="0"/>
    <n v="0"/>
    <n v="0"/>
  </r>
  <r>
    <s v="segunda-feira"/>
    <x v="373"/>
    <n v="85246.720000000001"/>
    <n v="85221.85"/>
    <n v="24.87"/>
    <n v="404"/>
    <n v="621"/>
    <n v="211.00673267326732"/>
    <n v="958.97290322580648"/>
    <n v="88.893773445783395"/>
    <n v="5670"/>
    <n v="7.1252204585537923E-2"/>
    <m/>
    <n v="347.26"/>
    <n v="560.1"/>
    <n v="0"/>
    <n v="51.612903225806448"/>
    <n v="0"/>
    <n v="0"/>
    <n v="0"/>
    <n v="0"/>
  </r>
  <r>
    <s v="terça-feira"/>
    <x v="374"/>
    <n v="49229.68"/>
    <n v="49229.68"/>
    <n v="0"/>
    <n v="156"/>
    <n v="259"/>
    <n v="315.5748717948718"/>
    <n v="696.0729032258065"/>
    <n v="70.724890700176928"/>
    <n v="64"/>
    <n v="2.4375"/>
    <m/>
    <n v="285.18"/>
    <n v="359.28"/>
    <n v="0"/>
    <n v="51.612903225806448"/>
    <n v="0"/>
    <n v="0"/>
    <n v="0"/>
    <n v="0"/>
  </r>
  <r>
    <s v="quarta-feira"/>
    <x v="375"/>
    <n v="48477.84"/>
    <n v="48477.84"/>
    <n v="0"/>
    <n v="155"/>
    <n v="178"/>
    <n v="312.76025806451611"/>
    <n v="690.21290322580649"/>
    <n v="70.236067412579558"/>
    <n v="39"/>
    <n v="3.9743589743589745"/>
    <m/>
    <n v="316.60000000000002"/>
    <n v="322"/>
    <n v="0"/>
    <n v="51.612903225806448"/>
    <n v="0"/>
    <n v="0"/>
    <n v="0"/>
    <n v="0"/>
  </r>
  <r>
    <s v="quinta-feira"/>
    <x v="376"/>
    <n v="44063.81"/>
    <n v="44035.32"/>
    <n v="28.49"/>
    <n v="147"/>
    <n v="180"/>
    <n v="299.75380952380948"/>
    <n v="801.53290322580654"/>
    <n v="54.974424409357546"/>
    <n v="25"/>
    <n v="5.88"/>
    <m/>
    <n v="359.92"/>
    <n v="390"/>
    <n v="0"/>
    <n v="51.612903225806448"/>
    <n v="0"/>
    <n v="0"/>
    <n v="0"/>
    <n v="0"/>
  </r>
  <r>
    <s v="sexta-feira"/>
    <x v="377"/>
    <n v="52188.93"/>
    <n v="52163.22"/>
    <n v="25.71"/>
    <n v="172"/>
    <n v="197"/>
    <n v="303.42401162790696"/>
    <n v="732.24290322580646"/>
    <n v="71.272701681488556"/>
    <n v="14"/>
    <n v="12.285714285714286"/>
    <m/>
    <n v="283.17"/>
    <n v="397.46"/>
    <n v="0"/>
    <n v="51.612903225806448"/>
    <n v="0"/>
    <n v="0"/>
    <n v="0"/>
    <n v="0"/>
  </r>
  <r>
    <s v="sábado"/>
    <x v="378"/>
    <n v="29397.59"/>
    <n v="29397.59"/>
    <n v="0"/>
    <n v="99"/>
    <n v="123"/>
    <n v="296.94535353535355"/>
    <n v="643.10290322580647"/>
    <n v="45.712108983712533"/>
    <n v="9"/>
    <n v="11"/>
    <m/>
    <n v="171.37"/>
    <n v="420.12"/>
    <n v="0"/>
    <n v="51.612903225806448"/>
    <n v="0"/>
    <n v="0"/>
    <n v="0"/>
    <n v="0"/>
  </r>
  <r>
    <s v="domingo"/>
    <x v="379"/>
    <n v="19339.43"/>
    <n v="19339.43"/>
    <n v="0"/>
    <n v="62"/>
    <n v="74"/>
    <n v="311.92629032258066"/>
    <n v="642.91290322580642"/>
    <n v="30.080948605891535"/>
    <n v="10"/>
    <n v="6.2"/>
    <m/>
    <n v="142.52000000000001"/>
    <n v="448.78"/>
    <n v="0"/>
    <n v="51.612903225806448"/>
    <n v="0"/>
    <n v="0"/>
    <n v="0"/>
    <n v="0"/>
  </r>
  <r>
    <s v="segunda-feira"/>
    <x v="380"/>
    <n v="51975.040000000001"/>
    <n v="51975.040000000001"/>
    <n v="0"/>
    <n v="179"/>
    <n v="210"/>
    <n v="290.36335195530728"/>
    <n v="882.0729032258065"/>
    <n v="58.923746336525468"/>
    <n v="18"/>
    <n v="9.9444444444444446"/>
    <m/>
    <n v="192.52"/>
    <n v="637.94000000000005"/>
    <n v="0"/>
    <n v="51.612903225806448"/>
    <n v="0"/>
    <n v="0"/>
    <n v="0"/>
    <n v="0"/>
  </r>
  <r>
    <s v="terça-feira"/>
    <x v="381"/>
    <n v="50484.39"/>
    <n v="50459.519999999997"/>
    <n v="24.87"/>
    <n v="163"/>
    <n v="193"/>
    <n v="309.72018404907976"/>
    <n v="908.74290322580657"/>
    <n v="55.554095466157953"/>
    <n v="18"/>
    <n v="9.0555555555555554"/>
    <m/>
    <n v="143.81"/>
    <n v="713.32"/>
    <n v="0"/>
    <n v="51.612903225806448"/>
    <n v="0"/>
    <n v="0"/>
    <n v="0"/>
    <n v="0"/>
  </r>
  <r>
    <s v="quarta-feira"/>
    <x v="382"/>
    <n v="41546.6"/>
    <n v="41522.589999999997"/>
    <n v="24.01"/>
    <n v="137"/>
    <n v="166"/>
    <n v="303.25985401459855"/>
    <n v="885.56290322580651"/>
    <n v="46.915470203934433"/>
    <n v="17"/>
    <n v="8.0588235294117645"/>
    <m/>
    <n v="139.59"/>
    <n v="694.36"/>
    <n v="0"/>
    <n v="51.612903225806448"/>
    <n v="0"/>
    <n v="0"/>
    <n v="0"/>
    <n v="0"/>
  </r>
  <r>
    <s v="quinta-feira"/>
    <x v="383"/>
    <n v="48606.590000000004"/>
    <n v="48554.23"/>
    <n v="52.36"/>
    <n v="159"/>
    <n v="200"/>
    <n v="305.70182389937111"/>
    <n v="836.41290322580642"/>
    <n v="58.113151784887854"/>
    <n v="10"/>
    <n v="15.9"/>
    <m/>
    <n v="92.66"/>
    <n v="692.14"/>
    <n v="0"/>
    <n v="51.612903225806448"/>
    <n v="0"/>
    <n v="0"/>
    <n v="0"/>
    <n v="0"/>
  </r>
  <r>
    <s v="sexta-feira"/>
    <x v="384"/>
    <n v="47358.7"/>
    <n v="47358.7"/>
    <n v="0"/>
    <n v="156"/>
    <n v="186"/>
    <n v="303.58141025641027"/>
    <n v="861.91290322580642"/>
    <n v="54.946039005512866"/>
    <n v="13"/>
    <n v="12"/>
    <m/>
    <n v="74.64"/>
    <n v="735.66"/>
    <n v="0"/>
    <n v="51.612903225806448"/>
    <n v="0"/>
    <n v="0"/>
    <n v="0"/>
    <n v="0"/>
  </r>
  <r>
    <s v="sábado"/>
    <x v="385"/>
    <n v="28997.52"/>
    <n v="28997.52"/>
    <n v="0"/>
    <n v="107"/>
    <n v="122"/>
    <n v="271.00485981308412"/>
    <n v="1013.9529032258065"/>
    <n v="28.5984880636436"/>
    <n v="9"/>
    <n v="11.888888888888889"/>
    <m/>
    <n v="47.7"/>
    <n v="914.64"/>
    <n v="0"/>
    <n v="51.612903225806448"/>
    <n v="0"/>
    <n v="0"/>
    <n v="0"/>
    <n v="0"/>
  </r>
  <r>
    <s v="domingo"/>
    <x v="386"/>
    <n v="21080.97"/>
    <n v="21080.97"/>
    <n v="0"/>
    <n v="76"/>
    <n v="88"/>
    <n v="277.38118421052633"/>
    <n v="923.8029032258064"/>
    <n v="22.819770241452847"/>
    <n v="3"/>
    <n v="25.333333333333332"/>
    <m/>
    <n v="43.01"/>
    <n v="829.18"/>
    <n v="0"/>
    <n v="51.612903225806448"/>
    <n v="0"/>
    <n v="0"/>
    <n v="0"/>
    <n v="0"/>
  </r>
  <r>
    <s v="segunda-feira"/>
    <x v="387"/>
    <n v="41285.769999999997"/>
    <n v="41285.769999999997"/>
    <n v="0"/>
    <n v="144"/>
    <n v="164"/>
    <n v="286.70673611111107"/>
    <n v="588.34290322580648"/>
    <n v="70.172971873435657"/>
    <n v="17"/>
    <n v="8.4705882352941178"/>
    <m/>
    <n v="56.35"/>
    <n v="480.38"/>
    <n v="0"/>
    <n v="51.612903225806448"/>
    <n v="0"/>
    <n v="0"/>
    <n v="0"/>
    <n v="0"/>
  </r>
  <r>
    <s v="terça-feira"/>
    <x v="388"/>
    <n v="37590.089999999997"/>
    <n v="37563.42"/>
    <n v="26.67"/>
    <n v="139"/>
    <n v="155"/>
    <n v="270.43230215827333"/>
    <n v="565.34290322580648"/>
    <n v="66.490778933481977"/>
    <n v="15"/>
    <n v="9.2666666666666675"/>
    <m/>
    <n v="67.930000000000007"/>
    <n v="445.8"/>
    <n v="0"/>
    <n v="51.612903225806448"/>
    <n v="0"/>
    <n v="0"/>
    <n v="0"/>
    <n v="0"/>
  </r>
  <r>
    <s v="quarta-feira"/>
    <x v="389"/>
    <n v="30697.73"/>
    <n v="30697.73"/>
    <n v="0"/>
    <n v="119"/>
    <n v="135"/>
    <n v="257.9641176470588"/>
    <n v="519.28290322580642"/>
    <n v="59.115618498711314"/>
    <n v="8"/>
    <n v="14.875"/>
    <m/>
    <n v="51.85"/>
    <n v="415.82"/>
    <n v="0"/>
    <n v="51.612903225806448"/>
    <n v="0"/>
    <n v="0"/>
    <n v="0"/>
    <n v="0"/>
  </r>
  <r>
    <s v="quinta-feira"/>
    <x v="390"/>
    <n v="43594.71"/>
    <n v="43594.71"/>
    <n v="0"/>
    <n v="157"/>
    <n v="186"/>
    <n v="277.67331210191082"/>
    <n v="952.92290322580641"/>
    <n v="45.748412439688956"/>
    <n v="5"/>
    <n v="31.4"/>
    <m/>
    <n v="83.43"/>
    <n v="817.88"/>
    <n v="0"/>
    <n v="51.612903225806448"/>
    <n v="0"/>
    <n v="0"/>
    <n v="0"/>
    <n v="0"/>
  </r>
  <r>
    <s v="sexta-feira"/>
    <x v="391"/>
    <n v="49211.27"/>
    <n v="49211.27"/>
    <n v="0"/>
    <n v="170"/>
    <n v="207"/>
    <n v="289.47805882352941"/>
    <n v="1124.5929032258064"/>
    <n v="43.759185976402073"/>
    <n v="4"/>
    <n v="42.5"/>
    <m/>
    <n v="84.48"/>
    <n v="988.5"/>
    <n v="0"/>
    <n v="51.612903225806448"/>
    <n v="0"/>
    <n v="0"/>
    <n v="0"/>
    <n v="0"/>
  </r>
  <r>
    <s v="sábado"/>
    <x v="392"/>
    <n v="30886.31"/>
    <n v="30886.31"/>
    <n v="0"/>
    <n v="119"/>
    <n v="137"/>
    <n v="259.54882352941178"/>
    <n v="1211.6629032258063"/>
    <n v="25.490843961444618"/>
    <n v="2"/>
    <n v="59.5"/>
    <m/>
    <n v="57.81"/>
    <n v="1102.24"/>
    <n v="0"/>
    <n v="51.612903225806448"/>
    <n v="0"/>
    <n v="0"/>
    <n v="0"/>
    <n v="0"/>
  </r>
  <r>
    <s v="domingo"/>
    <x v="393"/>
    <n v="34177.75"/>
    <n v="34177.75"/>
    <n v="0"/>
    <n v="112"/>
    <n v="137"/>
    <n v="305.15848214285717"/>
    <n v="1058.6629032258063"/>
    <n v="32.283883657260915"/>
    <n v="4"/>
    <n v="28"/>
    <m/>
    <n v="55.53"/>
    <n v="951.52"/>
    <n v="0"/>
    <n v="51.612903225806448"/>
    <n v="0"/>
    <n v="0"/>
    <n v="0"/>
    <n v="0"/>
  </r>
  <r>
    <s v="segunda-feira"/>
    <x v="394"/>
    <n v="41810.53"/>
    <n v="41810.53"/>
    <n v="0"/>
    <n v="146"/>
    <n v="172"/>
    <n v="286.37349315068491"/>
    <n v="679.64290322580644"/>
    <n v="61.518379433601993"/>
    <n v="2"/>
    <n v="73"/>
    <m/>
    <n v="84.15"/>
    <n v="543.88"/>
    <n v="0"/>
    <n v="51.612903225806448"/>
    <n v="0"/>
    <n v="0"/>
    <n v="0"/>
    <n v="0"/>
  </r>
  <r>
    <s v="terça-feira"/>
    <x v="395"/>
    <n v="44914.39"/>
    <n v="44892.08"/>
    <n v="22.31"/>
    <n v="155"/>
    <n v="184"/>
    <n v="289.7702580645161"/>
    <n v="660.64290322580655"/>
    <n v="67.985881299398969"/>
    <n v="4"/>
    <n v="38.75"/>
    <m/>
    <n v="88.83"/>
    <n v="520.20000000000005"/>
    <n v="0"/>
    <n v="51.612903225806448"/>
    <n v="0"/>
    <n v="0"/>
    <n v="0"/>
    <n v="0"/>
  </r>
  <r>
    <s v="quarta-feira"/>
    <x v="396"/>
    <n v="53448.29"/>
    <n v="53426.06"/>
    <n v="22.23"/>
    <n v="168"/>
    <n v="202"/>
    <n v="318.14458333333334"/>
    <n v="647.76285714285711"/>
    <n v="82.512125248658023"/>
    <n v="3"/>
    <n v="56"/>
    <m/>
    <n v="104.3"/>
    <n v="486.32"/>
    <n v="0"/>
    <n v="57.142857142857146"/>
    <n v="0"/>
    <n v="0"/>
    <n v="0"/>
    <n v="0"/>
  </r>
  <r>
    <s v="quinta-feira"/>
    <x v="397"/>
    <n v="50248.229999999996"/>
    <n v="50223.6"/>
    <n v="24.63"/>
    <n v="170"/>
    <n v="213"/>
    <n v="295.57782352941172"/>
    <n v="738.63285714285712"/>
    <n v="68.028695872490289"/>
    <n v="136"/>
    <n v="1.25"/>
    <m/>
    <n v="123.43"/>
    <n v="558.05999999999995"/>
    <n v="0"/>
    <n v="57.142857142857146"/>
    <n v="0"/>
    <n v="0"/>
    <n v="0"/>
    <n v="0"/>
  </r>
  <r>
    <s v="sexta-feira"/>
    <x v="398"/>
    <n v="56820.639999999999"/>
    <n v="56820.639999999999"/>
    <n v="0"/>
    <n v="186"/>
    <n v="226"/>
    <n v="305.487311827957"/>
    <n v="765.17285714285708"/>
    <n v="74.258567158494543"/>
    <n v="5"/>
    <n v="37.200000000000003"/>
    <m/>
    <n v="100.19"/>
    <n v="607.84"/>
    <n v="0"/>
    <n v="57.142857142857146"/>
    <n v="0"/>
    <n v="0"/>
    <n v="0"/>
    <n v="0"/>
  </r>
  <r>
    <s v="sábado"/>
    <x v="399"/>
    <n v="34845.57"/>
    <n v="34845.57"/>
    <n v="0"/>
    <n v="132"/>
    <n v="155"/>
    <n v="263.98159090909093"/>
    <n v="746.91285714285721"/>
    <n v="46.65279177720101"/>
    <n v="1"/>
    <n v="132"/>
    <m/>
    <n v="74.83"/>
    <n v="614.94000000000005"/>
    <n v="0"/>
    <n v="57.142857142857146"/>
    <n v="0"/>
    <n v="0"/>
    <n v="0"/>
    <n v="0"/>
  </r>
  <r>
    <s v="domingo"/>
    <x v="400"/>
    <n v="26623.71"/>
    <n v="26623.71"/>
    <n v="0"/>
    <n v="82"/>
    <n v="93"/>
    <n v="324.67939024390245"/>
    <n v="692.59285714285704"/>
    <n v="38.44063611893197"/>
    <n v="0"/>
    <n v="0"/>
    <m/>
    <n v="48.93"/>
    <n v="586.52"/>
    <n v="0"/>
    <n v="57.142857142857146"/>
    <n v="0"/>
    <n v="0"/>
    <n v="0"/>
    <n v="0"/>
  </r>
  <r>
    <s v="segunda-feira"/>
    <x v="401"/>
    <n v="56135.29"/>
    <n v="56135.29"/>
    <n v="0"/>
    <n v="146"/>
    <n v="260"/>
    <n v="384.48828767123291"/>
    <n v="585.10285714285715"/>
    <n v="95.940891955504767"/>
    <n v="3386"/>
    <n v="4.3118724158298878E-2"/>
    <m/>
    <n v="78.040000000000006"/>
    <n v="449.92"/>
    <n v="0"/>
    <n v="57.142857142857146"/>
    <n v="0"/>
    <n v="0"/>
    <n v="0"/>
    <n v="0"/>
  </r>
  <r>
    <s v="terça-feira"/>
    <x v="402"/>
    <n v="58274.909999999996"/>
    <n v="58252.6"/>
    <n v="22.31"/>
    <n v="184"/>
    <n v="216"/>
    <n v="316.71146739130432"/>
    <n v="782.08285714285705"/>
    <n v="74.512450270157714"/>
    <n v="5315"/>
    <n v="3.4619002822201317E-2"/>
    <m/>
    <n v="108.64"/>
    <n v="616.29999999999995"/>
    <n v="0"/>
    <n v="57.142857142857146"/>
    <n v="0"/>
    <n v="0"/>
    <n v="0"/>
    <n v="0"/>
  </r>
  <r>
    <s v="quarta-feira"/>
    <x v="403"/>
    <n v="54102.85"/>
    <n v="54102.85"/>
    <n v="0"/>
    <n v="168"/>
    <n v="200"/>
    <n v="322.04077380952378"/>
    <n v="1200.002857142857"/>
    <n v="45.085600986664318"/>
    <n v="4952"/>
    <n v="3.3925686591276254E-2"/>
    <m/>
    <n v="471.06"/>
    <n v="671.8"/>
    <n v="0"/>
    <n v="57.142857142857146"/>
    <n v="0"/>
    <n v="0"/>
    <n v="0"/>
    <n v="0"/>
  </r>
  <r>
    <s v="quinta-feira"/>
    <x v="404"/>
    <n v="59517.48"/>
    <n v="59490.93"/>
    <n v="26.55"/>
    <n v="205"/>
    <n v="233"/>
    <n v="290.32917073170734"/>
    <n v="1340.532857142857"/>
    <n v="44.398374633541252"/>
    <n v="5382"/>
    <n v="3.8089929394277224E-2"/>
    <m/>
    <n v="597.59"/>
    <n v="685.8"/>
    <n v="0"/>
    <n v="57.142857142857146"/>
    <n v="0"/>
    <n v="0"/>
    <n v="0"/>
    <n v="0"/>
  </r>
  <r>
    <s v="sexta-feira"/>
    <x v="405"/>
    <n v="54709.57"/>
    <n v="54685.72"/>
    <n v="23.85"/>
    <n v="192"/>
    <n v="228"/>
    <n v="284.94567708333335"/>
    <n v="1499.9528571428571"/>
    <n v="36.474192998446618"/>
    <n v="5580"/>
    <n v="3.4408602150537634E-2"/>
    <m/>
    <n v="648.03"/>
    <n v="794.78"/>
    <n v="0"/>
    <n v="57.142857142857146"/>
    <n v="0"/>
    <n v="0"/>
    <n v="0"/>
    <n v="0"/>
  </r>
  <r>
    <s v="sábado"/>
    <x v="406"/>
    <n v="34589.97"/>
    <n v="34589.97"/>
    <n v="0"/>
    <n v="128"/>
    <n v="144"/>
    <n v="270.23414062500001"/>
    <n v="1178.2728571428572"/>
    <n v="29.356502435162362"/>
    <n v="4314"/>
    <n v="2.9670839128419099E-2"/>
    <m/>
    <n v="531.45000000000005"/>
    <n v="589.67999999999995"/>
    <n v="0"/>
    <n v="57.142857142857146"/>
    <n v="0"/>
    <n v="0"/>
    <n v="0"/>
    <n v="0"/>
  </r>
  <r>
    <s v="domingo"/>
    <x v="407"/>
    <n v="23175.759999999998"/>
    <n v="23175.759999999998"/>
    <n v="0"/>
    <n v="82"/>
    <n v="91"/>
    <n v="282.63121951219512"/>
    <n v="1322.3628571428571"/>
    <n v="17.52602160202408"/>
    <n v="3954"/>
    <n v="2.0738492665655032E-2"/>
    <m/>
    <n v="654"/>
    <n v="611.22"/>
    <n v="0"/>
    <n v="57.142857142857146"/>
    <n v="0"/>
    <n v="0"/>
    <n v="0"/>
    <n v="0"/>
  </r>
  <r>
    <s v="segunda-feira"/>
    <x v="408"/>
    <n v="56619.64"/>
    <n v="56619.64"/>
    <n v="0"/>
    <n v="185"/>
    <n v="248"/>
    <n v="306.05210810810809"/>
    <n v="1639.8528571428571"/>
    <n v="34.527268561552127"/>
    <n v="5517"/>
    <n v="3.3532717056371217E-2"/>
    <m/>
    <n v="900.41"/>
    <n v="682.3"/>
    <n v="0"/>
    <n v="57.142857142857146"/>
    <n v="0"/>
    <n v="0"/>
    <n v="0"/>
    <n v="0"/>
  </r>
  <r>
    <s v="terça-feira"/>
    <x v="409"/>
    <n v="74816.789999999994"/>
    <n v="74816.789999999994"/>
    <n v="0"/>
    <n v="242"/>
    <n v="284"/>
    <n v="309.16028925619833"/>
    <n v="2264.1028571428574"/>
    <n v="33.044784058270949"/>
    <n v="6309"/>
    <n v="3.8357901410683154E-2"/>
    <m/>
    <n v="1564.06"/>
    <n v="642.9"/>
    <n v="0"/>
    <n v="57.142857142857146"/>
    <n v="0"/>
    <n v="0"/>
    <n v="0"/>
    <n v="0"/>
  </r>
  <r>
    <s v="quarta-feira"/>
    <x v="410"/>
    <n v="87917.3"/>
    <n v="87917.3"/>
    <n v="0"/>
    <n v="319"/>
    <n v="468"/>
    <n v="275.60282131661444"/>
    <n v="1419.8228571428572"/>
    <n v="61.921316140041618"/>
    <n v="5862"/>
    <n v="5.4418287273967927E-2"/>
    <m/>
    <n v="722.46"/>
    <n v="640.22"/>
    <n v="0"/>
    <n v="57.142857142857146"/>
    <n v="0"/>
    <n v="0"/>
    <n v="0"/>
    <n v="0"/>
  </r>
  <r>
    <s v="quinta-feira"/>
    <x v="411"/>
    <n v="62188.55"/>
    <n v="62188.55"/>
    <n v="0"/>
    <n v="235"/>
    <n v="315"/>
    <n v="264.63212765957451"/>
    <n v="1643.2928571428572"/>
    <n v="37.843863149338652"/>
    <n v="5223"/>
    <n v="4.4993298870381004E-2"/>
    <m/>
    <n v="717.75"/>
    <n v="868.4"/>
    <n v="0"/>
    <n v="57.142857142857146"/>
    <n v="0"/>
    <n v="0"/>
    <n v="0"/>
    <n v="0"/>
  </r>
  <r>
    <s v="sexta-feira"/>
    <x v="412"/>
    <n v="57524.81"/>
    <n v="57501.36"/>
    <n v="23.45"/>
    <n v="214"/>
    <n v="296"/>
    <n v="268.80752336448597"/>
    <n v="1587.2028571428571"/>
    <n v="36.242884607422582"/>
    <n v="4723"/>
    <n v="4.531018420495448E-2"/>
    <m/>
    <n v="571.98"/>
    <n v="958.08"/>
    <n v="0"/>
    <n v="57.142857142857146"/>
    <n v="0"/>
    <n v="0"/>
    <n v="0"/>
    <n v="0"/>
  </r>
  <r>
    <s v="sábado"/>
    <x v="413"/>
    <n v="35844"/>
    <n v="35821.769999999997"/>
    <n v="22.23"/>
    <n v="143"/>
    <n v="195"/>
    <n v="250.65734265734267"/>
    <n v="1299.3928571428571"/>
    <n v="27.585190885853283"/>
    <n v="3548"/>
    <n v="4.0304396843291998E-2"/>
    <m/>
    <n v="442.33"/>
    <n v="799.92"/>
    <n v="0"/>
    <n v="57.142857142857146"/>
    <n v="0"/>
    <n v="0"/>
    <n v="0"/>
    <n v="0"/>
  </r>
  <r>
    <s v="domingo"/>
    <x v="414"/>
    <n v="14837.7"/>
    <n v="14837.7"/>
    <n v="0"/>
    <n v="59"/>
    <n v="75"/>
    <n v="251.4864406779661"/>
    <n v="955.26285714285723"/>
    <n v="15.53258340262366"/>
    <n v="2843"/>
    <n v="2.0752725993668661E-2"/>
    <m/>
    <n v="263.3"/>
    <n v="634.82000000000005"/>
    <n v="0"/>
    <n v="57.142857142857146"/>
    <n v="0"/>
    <n v="0"/>
    <n v="0"/>
    <n v="0"/>
  </r>
  <r>
    <s v="segunda-feira"/>
    <x v="415"/>
    <n v="18044.34"/>
    <n v="18044.34"/>
    <n v="0"/>
    <n v="62"/>
    <n v="74"/>
    <n v="291.03774193548389"/>
    <n v="1017.0628571428571"/>
    <n v="17.74161731821604"/>
    <n v="3229"/>
    <n v="1.9200991018891299E-2"/>
    <m/>
    <n v="303.12"/>
    <n v="656.8"/>
    <n v="0"/>
    <n v="57.142857142857146"/>
    <n v="0"/>
    <n v="0"/>
    <n v="0"/>
    <n v="0"/>
  </r>
  <r>
    <s v="terça-feira"/>
    <x v="416"/>
    <n v="23344.45"/>
    <n v="23344.45"/>
    <n v="0"/>
    <n v="79"/>
    <n v="103"/>
    <n v="295.49936708860758"/>
    <n v="1138.3128571428572"/>
    <n v="20.507938440222937"/>
    <n v="3360"/>
    <n v="2.3511904761904762E-2"/>
    <m/>
    <n v="340.21"/>
    <n v="740.96"/>
    <n v="0"/>
    <n v="57.142857142857146"/>
    <n v="0"/>
    <n v="0"/>
    <n v="0"/>
    <n v="0"/>
  </r>
  <r>
    <s v="quarta-feira"/>
    <x v="417"/>
    <n v="44515.35"/>
    <n v="44491.9"/>
    <n v="23.45"/>
    <n v="148"/>
    <n v="166"/>
    <n v="300.77939189189186"/>
    <n v="1322.4428571428571"/>
    <n v="33.661454451178017"/>
    <n v="5099"/>
    <n v="2.9025299078250636E-2"/>
    <m/>
    <n v="481.54"/>
    <n v="783.76"/>
    <n v="0"/>
    <n v="57.142857142857146"/>
    <n v="0"/>
    <n v="0"/>
    <n v="0"/>
    <n v="0"/>
  </r>
  <r>
    <s v="quinta-feira"/>
    <x v="418"/>
    <n v="68916.42"/>
    <n v="68817.23"/>
    <n v="99.19"/>
    <n v="201"/>
    <n v="294"/>
    <n v="342.86776119402987"/>
    <n v="1315.8928571428571"/>
    <n v="52.372364228524901"/>
    <n v="5529"/>
    <n v="3.6353771025501899E-2"/>
    <m/>
    <n v="462.77"/>
    <n v="795.98"/>
    <n v="0"/>
    <n v="57.142857142857146"/>
    <n v="0"/>
    <n v="0"/>
    <n v="0"/>
    <n v="0"/>
  </r>
  <r>
    <s v="sexta-feira"/>
    <x v="419"/>
    <n v="61456.45"/>
    <n v="61424.28"/>
    <n v="32.17"/>
    <n v="194"/>
    <n v="250"/>
    <n v="316.78582474226801"/>
    <n v="1090.8728571428571"/>
    <n v="56.336950358232137"/>
    <n v="5857"/>
    <n v="3.3122759091685161E-2"/>
    <m/>
    <n v="428.11"/>
    <n v="605.62"/>
    <n v="0"/>
    <n v="57.142857142857146"/>
    <n v="0"/>
    <n v="0"/>
    <n v="0"/>
    <n v="0"/>
  </r>
  <r>
    <s v="sábado"/>
    <x v="420"/>
    <n v="34613.06"/>
    <n v="34528.199999999997"/>
    <n v="84.86"/>
    <n v="123"/>
    <n v="152"/>
    <n v="281.40699186991867"/>
    <n v="999.24285714285713"/>
    <n v="34.639286888644257"/>
    <n v="4521"/>
    <n v="2.7206370272063702E-2"/>
    <m/>
    <n v="324.64"/>
    <n v="617.46"/>
    <n v="0"/>
    <n v="57.142857142857146"/>
    <n v="0"/>
    <n v="0"/>
    <n v="0"/>
    <n v="0"/>
  </r>
  <r>
    <s v="domingo"/>
    <x v="421"/>
    <n v="31566.06"/>
    <n v="31566.06"/>
    <n v="0"/>
    <n v="105"/>
    <n v="124"/>
    <n v="300.62914285714288"/>
    <n v="965.83285714285716"/>
    <n v="32.682735699610845"/>
    <n v="3595"/>
    <n v="2.9207232267037551E-2"/>
    <m/>
    <n v="266.85000000000002"/>
    <n v="641.84"/>
    <n v="0"/>
    <n v="57.142857142857146"/>
    <n v="0"/>
    <n v="0"/>
    <n v="0"/>
    <n v="0"/>
  </r>
  <r>
    <s v="segunda-feira"/>
    <x v="422"/>
    <n v="54049.19"/>
    <n v="54049.19"/>
    <n v="0"/>
    <n v="174"/>
    <n v="229"/>
    <n v="310.62752873563221"/>
    <n v="1193.4428571428573"/>
    <n v="45.28846075579655"/>
    <n v="5470"/>
    <n v="3.1809872029250459E-2"/>
    <m/>
    <n v="494.36"/>
    <n v="641.94000000000005"/>
    <n v="0"/>
    <n v="57.142857142857146"/>
    <n v="0"/>
    <n v="0"/>
    <n v="0"/>
    <n v="0"/>
  </r>
  <r>
    <s v="terça-feira"/>
    <x v="423"/>
    <n v="63122.23"/>
    <n v="63122.23"/>
    <n v="0"/>
    <n v="200"/>
    <n v="258"/>
    <n v="315.61115000000001"/>
    <n v="1224.0428571428572"/>
    <n v="51.568643721625058"/>
    <n v="5639"/>
    <n v="3.5467281432878167E-2"/>
    <m/>
    <n v="398.12"/>
    <n v="768.78"/>
    <n v="0"/>
    <n v="57.142857142857146"/>
    <n v="0"/>
    <n v="0"/>
    <n v="0"/>
    <n v="0"/>
  </r>
  <r>
    <s v="quarta-feira"/>
    <x v="424"/>
    <n v="99349.72"/>
    <n v="99349.72"/>
    <n v="0"/>
    <n v="229"/>
    <n v="459"/>
    <n v="433.84157205240177"/>
    <n v="1517.8629032258063"/>
    <n v="65.453684775389846"/>
    <n v="6848"/>
    <n v="3.3440420560747662E-2"/>
    <m/>
    <n v="526.37"/>
    <n v="939.88"/>
    <n v="0"/>
    <n v="51.612903225806448"/>
    <n v="0"/>
    <n v="0"/>
    <n v="0"/>
    <n v="0"/>
  </r>
  <r>
    <s v="quinta-feira"/>
    <x v="425"/>
    <n v="63060.67"/>
    <n v="63060.67"/>
    <n v="0"/>
    <n v="202"/>
    <n v="255"/>
    <n v="312.18153465346535"/>
    <n v="1570.0229032258062"/>
    <n v="40.165445911925268"/>
    <n v="6781"/>
    <n v="2.9789116649461732E-2"/>
    <m/>
    <n v="524.11"/>
    <n v="994.3"/>
    <n v="0"/>
    <n v="51.612903225806448"/>
    <n v="0"/>
    <n v="0"/>
    <n v="0"/>
    <n v="0"/>
  </r>
  <r>
    <s v="sexta-feira"/>
    <x v="426"/>
    <n v="78154.98"/>
    <n v="78154.98"/>
    <n v="0"/>
    <n v="234"/>
    <n v="307"/>
    <n v="333.99564102564102"/>
    <n v="1651.5729032258064"/>
    <n v="47.321544115521547"/>
    <n v="6189"/>
    <n v="3.7809015996122151E-2"/>
    <m/>
    <n v="542.78"/>
    <n v="1057.18"/>
    <n v="0"/>
    <n v="51.612903225806448"/>
    <n v="0"/>
    <n v="0"/>
    <n v="0"/>
    <n v="0"/>
  </r>
  <r>
    <s v="sábado"/>
    <x v="427"/>
    <n v="52294.899999999994"/>
    <n v="52272.59"/>
    <n v="22.31"/>
    <n v="189"/>
    <n v="211"/>
    <n v="276.69259259259258"/>
    <n v="1439.9729032258065"/>
    <n v="36.316586154398955"/>
    <n v="4758"/>
    <n v="3.9722572509457758E-2"/>
    <m/>
    <n v="408.52"/>
    <n v="979.84"/>
    <n v="0"/>
    <n v="51.612903225806448"/>
    <n v="0"/>
    <n v="0"/>
    <n v="0"/>
    <n v="0"/>
  </r>
  <r>
    <s v="domingo"/>
    <x v="428"/>
    <n v="40788.31"/>
    <n v="40788.31"/>
    <n v="0"/>
    <n v="111"/>
    <n v="164"/>
    <n v="367.46225225225226"/>
    <n v="1201.5529032258064"/>
    <n v="33.946328863669436"/>
    <n v="4189"/>
    <n v="2.6497970876104081E-2"/>
    <m/>
    <n v="306.3"/>
    <n v="843.64"/>
    <n v="0"/>
    <n v="51.612903225806448"/>
    <n v="0"/>
    <n v="0"/>
    <n v="0"/>
    <n v="0"/>
  </r>
  <r>
    <s v="segunda-feira"/>
    <x v="429"/>
    <n v="105622.40999999999"/>
    <n v="105576.65"/>
    <n v="45.76"/>
    <n v="266"/>
    <n v="475"/>
    <n v="397.07672932330826"/>
    <n v="1684.5429032258062"/>
    <n v="62.700931984420777"/>
    <n v="6786"/>
    <n v="3.9198349543177129E-2"/>
    <m/>
    <n v="624.66999999999996"/>
    <n v="1008.26"/>
    <n v="0"/>
    <n v="51.612903225806448"/>
    <n v="0"/>
    <n v="0"/>
    <n v="0"/>
    <n v="0"/>
  </r>
  <r>
    <s v="terça-feira"/>
    <x v="430"/>
    <n v="99791.739999999991"/>
    <n v="99765.15"/>
    <n v="26.59"/>
    <n v="299"/>
    <n v="423"/>
    <n v="333.75163879598659"/>
    <n v="2390.9829032258062"/>
    <n v="41.736701615626558"/>
    <n v="7831"/>
    <n v="3.8181586004341718E-2"/>
    <m/>
    <n v="915.31"/>
    <n v="1424.06"/>
    <n v="0"/>
    <n v="51.612903225806448"/>
    <n v="0"/>
    <n v="0"/>
    <n v="0"/>
    <n v="0"/>
  </r>
  <r>
    <s v="quarta-feira"/>
    <x v="431"/>
    <n v="169409.17"/>
    <n v="169409.17"/>
    <n v="0"/>
    <n v="455"/>
    <n v="704"/>
    <n v="372.32784615384617"/>
    <n v="2732.8829032258063"/>
    <n v="61.98917992426054"/>
    <n v="8178"/>
    <n v="5.5637075079481534E-2"/>
    <m/>
    <n v="1208.83"/>
    <n v="1472.44"/>
    <n v="0"/>
    <n v="51.612903225806448"/>
    <n v="0"/>
    <n v="0"/>
    <n v="0"/>
    <n v="0"/>
  </r>
  <r>
    <s v="quinta-feira"/>
    <x v="432"/>
    <n v="73347.12"/>
    <n v="73347.12"/>
    <n v="0"/>
    <n v="222"/>
    <n v="330"/>
    <n v="330.39243243243243"/>
    <n v="1320.5629032258064"/>
    <n v="55.542314433361142"/>
    <n v="5944"/>
    <n v="3.7348586810228804E-2"/>
    <m/>
    <n v="597.45000000000005"/>
    <n v="671.5"/>
    <n v="0"/>
    <n v="51.612903225806448"/>
    <n v="0"/>
    <n v="0"/>
    <n v="0"/>
    <n v="0"/>
  </r>
  <r>
    <s v="sexta-feira"/>
    <x v="433"/>
    <n v="73599.06"/>
    <n v="73576.75"/>
    <n v="22.31"/>
    <n v="244"/>
    <n v="281"/>
    <n v="301.63549180327868"/>
    <n v="1295.6129032258063"/>
    <n v="56.80636540185241"/>
    <n v="5540"/>
    <n v="4.4043321299638991E-2"/>
    <m/>
    <n v="515.32000000000005"/>
    <n v="728.68"/>
    <n v="0"/>
    <n v="51.612903225806448"/>
    <n v="0"/>
    <n v="0"/>
    <n v="0"/>
    <n v="0"/>
  </r>
  <r>
    <s v="sábado"/>
    <x v="434"/>
    <n v="42795.38"/>
    <n v="42751"/>
    <n v="44.38"/>
    <n v="153"/>
    <n v="174"/>
    <n v="279.7083660130719"/>
    <n v="1395.2629032258064"/>
    <n v="30.671911294321916"/>
    <n v="4609"/>
    <n v="3.3195921024083315E-2"/>
    <m/>
    <n v="506.33"/>
    <n v="837.32"/>
    <n v="0"/>
    <n v="51.612903225806448"/>
    <n v="0"/>
    <n v="0"/>
    <n v="0"/>
    <n v="0"/>
  </r>
  <r>
    <s v="domingo"/>
    <x v="435"/>
    <n v="30194.880000000001"/>
    <n v="30194.880000000001"/>
    <n v="0"/>
    <n v="106"/>
    <n v="114"/>
    <n v="284.85735849056607"/>
    <n v="1200.2829032258064"/>
    <n v="25.156469294738848"/>
    <n v="3753"/>
    <n v="2.8244071409539037E-2"/>
    <m/>
    <n v="389.95"/>
    <n v="758.72"/>
    <n v="0"/>
    <n v="51.612903225806448"/>
    <n v="0"/>
    <n v="0"/>
    <n v="0"/>
    <n v="0"/>
  </r>
  <r>
    <s v="segunda-feira"/>
    <x v="436"/>
    <n v="63956.98"/>
    <n v="63933.15"/>
    <n v="23.83"/>
    <n v="232"/>
    <n v="300"/>
    <n v="275.67663793103452"/>
    <n v="1456.3829032258063"/>
    <n v="43.914948368549837"/>
    <n v="5966"/>
    <n v="3.8887026483405966E-2"/>
    <m/>
    <n v="534.49"/>
    <n v="870.28"/>
    <n v="0"/>
    <n v="51.612903225806448"/>
    <n v="0"/>
    <n v="0"/>
    <n v="0"/>
    <n v="0"/>
  </r>
  <r>
    <s v="terça-feira"/>
    <x v="437"/>
    <n v="68999.23"/>
    <n v="68885.48"/>
    <n v="113.75"/>
    <n v="250"/>
    <n v="342"/>
    <n v="275.99691999999999"/>
    <n v="1674.0929032258064"/>
    <n v="41.215890627721741"/>
    <n v="6248"/>
    <n v="4.0012804097311137E-2"/>
    <m/>
    <n v="462.66"/>
    <n v="1159.82"/>
    <n v="0"/>
    <n v="51.612903225806448"/>
    <n v="0"/>
    <n v="0"/>
    <n v="0"/>
    <n v="0"/>
  </r>
  <r>
    <s v="quarta-feira"/>
    <x v="438"/>
    <n v="65612.67"/>
    <n v="65588.740000000005"/>
    <n v="23.93"/>
    <n v="246"/>
    <n v="302"/>
    <n v="266.71817073170729"/>
    <n v="2033.1329032258063"/>
    <n v="32.271707322181307"/>
    <n v="5702"/>
    <n v="4.3142756927393895E-2"/>
    <m/>
    <n v="502.66"/>
    <n v="1478.86"/>
    <n v="0"/>
    <n v="51.612903225806448"/>
    <n v="0"/>
    <n v="0"/>
    <n v="0"/>
    <n v="0"/>
  </r>
  <r>
    <s v="quinta-feira"/>
    <x v="439"/>
    <n v="71611.850000000006"/>
    <n v="71526.350000000006"/>
    <n v="85.5"/>
    <n v="243"/>
    <n v="329"/>
    <n v="294.69897119341567"/>
    <n v="1862.0629032258062"/>
    <n v="38.458340948601069"/>
    <n v="5641"/>
    <n v="4.307746853394788E-2"/>
    <m/>
    <n v="449.89"/>
    <n v="1360.56"/>
    <n v="0"/>
    <n v="51.612903225806448"/>
    <n v="0"/>
    <n v="0"/>
    <n v="0"/>
    <n v="0"/>
  </r>
  <r>
    <s v="sexta-feira"/>
    <x v="440"/>
    <n v="65077.84"/>
    <n v="65077.84"/>
    <n v="0"/>
    <n v="216"/>
    <n v="280"/>
    <n v="301.28629629629626"/>
    <n v="1120.9429032258063"/>
    <n v="58.056337938998944"/>
    <n v="5066"/>
    <n v="4.2637189103829451E-2"/>
    <m/>
    <n v="419.11"/>
    <n v="650.22"/>
    <n v="0"/>
    <n v="51.612903225806448"/>
    <n v="0"/>
    <n v="0"/>
    <n v="0"/>
    <n v="0"/>
  </r>
  <r>
    <s v="sábado"/>
    <x v="441"/>
    <n v="43165.86"/>
    <n v="43165.86"/>
    <n v="0"/>
    <n v="143"/>
    <n v="168"/>
    <n v="301.85916083916084"/>
    <n v="989.45290322580649"/>
    <n v="43.625987512160513"/>
    <n v="3989"/>
    <n v="3.5848583604913511E-2"/>
    <m/>
    <n v="328.72"/>
    <n v="609.12"/>
    <n v="0"/>
    <n v="51.612903225806448"/>
    <n v="0"/>
    <n v="0"/>
    <n v="0"/>
    <n v="0"/>
  </r>
  <r>
    <s v="domingo"/>
    <x v="442"/>
    <n v="27892.32"/>
    <n v="27870.09"/>
    <n v="22.23"/>
    <n v="95"/>
    <n v="107"/>
    <n v="293.60336842105261"/>
    <n v="946.04290322580653"/>
    <n v="29.48314490272384"/>
    <n v="3422"/>
    <n v="2.7761542957334892E-2"/>
    <m/>
    <n v="266.41000000000003"/>
    <n v="628.02"/>
    <n v="0"/>
    <n v="51.612903225806448"/>
    <n v="0"/>
    <n v="0"/>
    <n v="0"/>
    <n v="0"/>
  </r>
  <r>
    <s v="segunda-feira"/>
    <x v="443"/>
    <n v="56319.55"/>
    <n v="56319.55"/>
    <n v="0"/>
    <n v="196"/>
    <n v="232"/>
    <n v="287.34464285714284"/>
    <n v="1314.3629032258063"/>
    <n v="42.849314950822496"/>
    <n v="5739"/>
    <n v="3.4152291339954698E-2"/>
    <m/>
    <n v="536.09"/>
    <n v="726.66"/>
    <n v="0"/>
    <n v="51.612903225806448"/>
    <n v="0"/>
    <n v="0"/>
    <n v="0"/>
    <n v="0"/>
  </r>
  <r>
    <s v="terça-feira"/>
    <x v="444"/>
    <n v="55669.26"/>
    <n v="55669.26"/>
    <n v="0"/>
    <n v="181"/>
    <n v="237"/>
    <n v="307.56497237569062"/>
    <n v="1345.4829032258065"/>
    <n v="41.374929303473486"/>
    <n v="5783"/>
    <n v="3.1298633927027496E-2"/>
    <m/>
    <n v="447.67"/>
    <n v="846.2"/>
    <n v="0"/>
    <n v="51.612903225806448"/>
    <n v="0"/>
    <n v="0"/>
    <n v="0"/>
    <n v="0"/>
  </r>
  <r>
    <s v="quarta-feira"/>
    <x v="445"/>
    <n v="51887.43"/>
    <n v="51833.55"/>
    <n v="53.88"/>
    <n v="168"/>
    <n v="202"/>
    <n v="308.85374999999999"/>
    <n v="1141.6829032258063"/>
    <n v="45.448197440281291"/>
    <n v="5328"/>
    <n v="3.1531531531531529E-2"/>
    <m/>
    <n v="377.31"/>
    <n v="712.76"/>
    <n v="0"/>
    <n v="51.612903225806448"/>
    <n v="0"/>
    <n v="0"/>
    <n v="0"/>
    <n v="0"/>
  </r>
  <r>
    <s v="quinta-feira"/>
    <x v="446"/>
    <n v="61012.240000000005"/>
    <n v="60937.8"/>
    <n v="74.44"/>
    <n v="196"/>
    <n v="274"/>
    <n v="311.28693877551024"/>
    <n v="1147.5529032258064"/>
    <n v="53.167256889414624"/>
    <n v="5258"/>
    <n v="3.7276531000380371E-2"/>
    <m/>
    <n v="339.08"/>
    <n v="756.86"/>
    <n v="0"/>
    <n v="51.612903225806448"/>
    <n v="0"/>
    <n v="0"/>
    <n v="0"/>
    <n v="0"/>
  </r>
  <r>
    <s v="sexta-feira"/>
    <x v="447"/>
    <n v="63681.1"/>
    <n v="63657.65"/>
    <n v="23.45"/>
    <n v="211"/>
    <n v="259"/>
    <n v="301.80616113744077"/>
    <n v="1145.9629032258063"/>
    <n v="55.569948923077796"/>
    <n v="5536"/>
    <n v="3.8114161849710983E-2"/>
    <m/>
    <n v="338.09"/>
    <n v="756.26"/>
    <n v="0"/>
    <n v="51.612903225806448"/>
    <n v="0"/>
    <n v="0"/>
    <n v="0"/>
    <n v="0"/>
  </r>
  <r>
    <s v="sábado"/>
    <x v="448"/>
    <n v="47069.79"/>
    <n v="47069.79"/>
    <n v="0"/>
    <n v="158"/>
    <n v="191"/>
    <n v="297.91006329113924"/>
    <n v="916.99290322580657"/>
    <n v="51.33059354594505"/>
    <n v="4104"/>
    <n v="3.8499025341130602E-2"/>
    <m/>
    <n v="228.94"/>
    <n v="636.44000000000005"/>
    <n v="0"/>
    <n v="51.612903225806448"/>
    <n v="0"/>
    <n v="0"/>
    <n v="0"/>
    <n v="0"/>
  </r>
  <r>
    <s v="domingo"/>
    <x v="449"/>
    <n v="32540.959999999999"/>
    <n v="32540.959999999999"/>
    <n v="0"/>
    <n v="100"/>
    <n v="121"/>
    <n v="325.40960000000001"/>
    <n v="795.87290322580645"/>
    <n v="40.887131435315901"/>
    <n v="3295"/>
    <n v="3.0349013657056147E-2"/>
    <m/>
    <n v="193.72"/>
    <n v="550.54"/>
    <n v="0"/>
    <n v="51.612903225806448"/>
    <n v="0"/>
    <n v="0"/>
    <n v="0"/>
    <n v="0"/>
  </r>
  <r>
    <s v="segunda-feira"/>
    <x v="450"/>
    <n v="52831.55"/>
    <n v="52831.55"/>
    <n v="0"/>
    <n v="181"/>
    <n v="204"/>
    <n v="291.88701657458563"/>
    <n v="1041.6529032258065"/>
    <n v="50.718958144685679"/>
    <n v="5141"/>
    <n v="3.52071581404396E-2"/>
    <m/>
    <n v="381.6"/>
    <n v="608.44000000000005"/>
    <n v="0"/>
    <n v="51.612903225806448"/>
    <n v="0"/>
    <n v="0"/>
    <n v="0"/>
    <n v="0"/>
  </r>
  <r>
    <s v="terça-feira"/>
    <x v="451"/>
    <n v="50011.32"/>
    <n v="50011.32"/>
    <n v="0"/>
    <n v="163"/>
    <n v="201"/>
    <n v="306.81791411042946"/>
    <n v="1008.7229032258065"/>
    <n v="49.578848502466066"/>
    <n v="5182"/>
    <n v="3.1455036665380159E-2"/>
    <m/>
    <n v="383.75"/>
    <n v="573.36"/>
    <n v="0"/>
    <n v="51.612903225806448"/>
    <n v="0"/>
    <n v="0"/>
    <n v="0"/>
    <n v="0"/>
  </r>
  <r>
    <s v="quarta-feira"/>
    <x v="452"/>
    <n v="70300.590000000011"/>
    <n v="70252.77"/>
    <n v="47.82"/>
    <n v="300"/>
    <n v="412"/>
    <n v="234.33530000000005"/>
    <n v="1198.0829032258064"/>
    <n v="58.677567145576937"/>
    <n v="6017"/>
    <n v="4.9858733588166858E-2"/>
    <m/>
    <n v="427.01"/>
    <n v="719.46"/>
    <n v="0"/>
    <n v="51.612903225806448"/>
    <n v="0"/>
    <n v="0"/>
    <n v="0"/>
    <n v="0"/>
  </r>
  <r>
    <s v="quinta-feira"/>
    <x v="453"/>
    <n v="72330.13"/>
    <n v="72330.13"/>
    <n v="0"/>
    <n v="254"/>
    <n v="338"/>
    <n v="284.76429133858272"/>
    <n v="903.0729032258065"/>
    <n v="80.093345444907456"/>
    <n v="6015"/>
    <n v="4.2227763923524522E-2"/>
    <m/>
    <n v="342.76"/>
    <n v="508.7"/>
    <n v="0"/>
    <n v="51.612903225806448"/>
    <n v="0"/>
    <n v="0"/>
    <n v="0"/>
    <n v="0"/>
  </r>
  <r>
    <s v="sexta-feira"/>
    <x v="454"/>
    <n v="69001.09"/>
    <n v="69001.09"/>
    <n v="0"/>
    <n v="228"/>
    <n v="279"/>
    <n v="302.63635964912277"/>
    <n v="859.79290322580653"/>
    <n v="80.253151359029431"/>
    <n v="5353"/>
    <n v="4.2592938539136933E-2"/>
    <m/>
    <n v="514.70000000000005"/>
    <n v="293.48"/>
    <n v="0"/>
    <n v="51.612903225806448"/>
    <n v="0"/>
    <n v="0"/>
    <n v="0"/>
    <n v="0"/>
  </r>
  <r>
    <s v="sábado"/>
    <x v="455"/>
    <n v="45316.49"/>
    <n v="45316.49"/>
    <n v="0"/>
    <n v="159"/>
    <n v="188"/>
    <n v="285.00937106918235"/>
    <n v="633.77333333333343"/>
    <n v="71.502677087497091"/>
    <n v="4276"/>
    <n v="3.7184284377923295E-2"/>
    <m/>
    <n v="329.7"/>
    <n v="250.74"/>
    <n v="0"/>
    <n v="53.333333333333336"/>
    <n v="0"/>
    <n v="0"/>
    <n v="0"/>
    <n v="0"/>
  </r>
  <r>
    <s v="domingo"/>
    <x v="456"/>
    <n v="31392.21"/>
    <n v="31369.98"/>
    <n v="22.23"/>
    <n v="114"/>
    <n v="138"/>
    <n v="275.37026315789473"/>
    <n v="613.69333333333338"/>
    <n v="51.152926543115989"/>
    <n v="3518"/>
    <n v="3.2404775440591248E-2"/>
    <m/>
    <n v="329.66"/>
    <n v="230.7"/>
    <n v="0"/>
    <n v="53.333333333333336"/>
    <n v="0"/>
    <n v="0"/>
    <n v="0"/>
    <n v="0"/>
  </r>
  <r>
    <s v="segunda-feira"/>
    <x v="457"/>
    <n v="63954.95"/>
    <n v="63954.95"/>
    <n v="0"/>
    <n v="216"/>
    <n v="264"/>
    <n v="296.08773148148146"/>
    <n v="782.81333333333339"/>
    <n v="81.69885115225425"/>
    <n v="5346"/>
    <n v="4.0404040404040407E-2"/>
    <m/>
    <n v="435.7"/>
    <n v="293.77999999999997"/>
    <n v="0"/>
    <n v="53.333333333333336"/>
    <n v="0"/>
    <n v="0"/>
    <n v="0"/>
    <n v="0"/>
  </r>
  <r>
    <s v="terça-feira"/>
    <x v="458"/>
    <n v="57968.159999999996"/>
    <n v="57944.71"/>
    <n v="23.45"/>
    <n v="185"/>
    <n v="234"/>
    <n v="313.3414054054054"/>
    <n v="816.10333333333335"/>
    <n v="71.030416899820693"/>
    <n v="5473"/>
    <n v="3.3802302210853279E-2"/>
    <m/>
    <n v="391.91"/>
    <n v="370.86"/>
    <n v="0"/>
    <n v="53.333333333333336"/>
    <n v="0"/>
    <n v="0"/>
    <n v="0"/>
    <n v="0"/>
  </r>
  <r>
    <s v="quarta-feira"/>
    <x v="459"/>
    <n v="73847.72"/>
    <n v="73823.710000000006"/>
    <n v="24.01"/>
    <n v="287"/>
    <n v="412"/>
    <n v="257.30912891986065"/>
    <n v="1019.4833333333335"/>
    <n v="72.436417139400675"/>
    <n v="5556"/>
    <n v="5.1655867530597553E-2"/>
    <s v="."/>
    <n v="394.95"/>
    <n v="571.20000000000005"/>
    <n v="0"/>
    <n v="53.333333333333336"/>
    <n v="0"/>
    <n v="0"/>
    <n v="0"/>
    <n v="0"/>
  </r>
  <r>
    <s v="quinta-feira"/>
    <x v="460"/>
    <n v="117256.14"/>
    <n v="117256.14"/>
    <n v="0"/>
    <n v="494"/>
    <n v="762"/>
    <n v="237.3606072874494"/>
    <n v="1154.5033333333333"/>
    <n v="101.56414157891849"/>
    <n v="6322"/>
    <n v="7.8139829167984814E-2"/>
    <m/>
    <n v="367.75"/>
    <n v="733.42"/>
    <n v="0"/>
    <n v="53.333333333333336"/>
    <n v="0"/>
    <n v="0"/>
    <n v="0"/>
    <n v="0"/>
  </r>
  <r>
    <s v="sexta-feira"/>
    <x v="461"/>
    <n v="34758.99"/>
    <n v="34734.199999999997"/>
    <n v="24.79"/>
    <n v="131"/>
    <n v="169"/>
    <n v="265.33580152671755"/>
    <n v="775.19333333333338"/>
    <n v="44.839124003474396"/>
    <n v="3733"/>
    <n v="3.5092418965979102E-2"/>
    <m/>
    <n v="251.1"/>
    <n v="470.76"/>
    <n v="0"/>
    <n v="53.333333333333336"/>
    <n v="0"/>
    <n v="0"/>
    <n v="0"/>
    <n v="0"/>
  </r>
  <r>
    <s v="sábado"/>
    <x v="462"/>
    <n v="33919.589999999997"/>
    <n v="33897.279999999999"/>
    <n v="22.31"/>
    <n v="121"/>
    <n v="143"/>
    <n v="280.32719008264462"/>
    <n v="818.54333333333341"/>
    <n v="41.438966782455005"/>
    <n v="3787"/>
    <n v="3.1951412727752836E-2"/>
    <m/>
    <n v="312.87"/>
    <n v="452.34"/>
    <n v="0"/>
    <n v="53.333333333333336"/>
    <n v="0"/>
    <n v="0"/>
    <n v="0"/>
    <n v="0"/>
  </r>
  <r>
    <s v="domingo"/>
    <x v="463"/>
    <n v="28990.42"/>
    <n v="28990.42"/>
    <n v="0"/>
    <n v="88"/>
    <n v="115"/>
    <n v="329.43659090909091"/>
    <n v="662.02333333333331"/>
    <n v="43.790631750139724"/>
    <n v="2946"/>
    <n v="2.9871011541072641E-2"/>
    <m/>
    <n v="253.23"/>
    <n v="355.46"/>
    <n v="0"/>
    <n v="53.333333333333336"/>
    <n v="0"/>
    <n v="0"/>
    <n v="0"/>
    <n v="0"/>
  </r>
  <r>
    <s v="segunda-feira"/>
    <x v="464"/>
    <n v="56755.53"/>
    <n v="56755.53"/>
    <n v="0"/>
    <n v="177"/>
    <n v="226"/>
    <n v="320.6527118644068"/>
    <n v="806.06333333333339"/>
    <n v="70.410757632774917"/>
    <n v="5293"/>
    <n v="3.3440392971849614E-2"/>
    <m/>
    <n v="469.65"/>
    <n v="283.08"/>
    <n v="0"/>
    <n v="53.333333333333336"/>
    <n v="0"/>
    <n v="0"/>
    <n v="0"/>
    <n v="0"/>
  </r>
  <r>
    <s v="terça-feira"/>
    <x v="465"/>
    <n v="67143.679999999993"/>
    <n v="67143.679999999993"/>
    <n v="0"/>
    <n v="229"/>
    <n v="269"/>
    <n v="293.20384279475979"/>
    <n v="855.90333333333331"/>
    <n v="78.447737478142002"/>
    <n v="6059"/>
    <n v="3.7795015679154977E-2"/>
    <m/>
    <n v="500.71"/>
    <n v="301.86"/>
    <n v="0"/>
    <n v="53.333333333333336"/>
    <n v="0"/>
    <n v="0"/>
    <n v="0"/>
    <n v="0"/>
  </r>
  <r>
    <s v="quarta-feira"/>
    <x v="466"/>
    <n v="87256.459999999992"/>
    <n v="87233.29"/>
    <n v="23.17"/>
    <n v="267"/>
    <n v="357"/>
    <n v="326.80322097378274"/>
    <n v="1173.3133333333333"/>
    <n v="74.367568765376674"/>
    <n v="7657"/>
    <n v="3.4870053545775111E-2"/>
    <m/>
    <n v="743.98"/>
    <n v="376"/>
    <n v="0"/>
    <n v="53.333333333333336"/>
    <n v="0"/>
    <n v="0"/>
    <n v="0"/>
    <n v="0"/>
  </r>
  <r>
    <s v="quinta-feira"/>
    <x v="467"/>
    <n v="94113.84"/>
    <n v="94113.84"/>
    <n v="0"/>
    <n v="283"/>
    <n v="404"/>
    <n v="332.55773851590106"/>
    <n v="1537.1833333333332"/>
    <n v="61.224863657555488"/>
    <n v="6821"/>
    <n v="4.1489517666031372E-2"/>
    <m/>
    <n v="860.25"/>
    <n v="623.6"/>
    <n v="0"/>
    <n v="53.333333333333336"/>
    <n v="0"/>
    <n v="0"/>
    <n v="0"/>
    <n v="0"/>
  </r>
  <r>
    <s v="sexta-feira"/>
    <x v="468"/>
    <n v="85203.839999999997"/>
    <n v="85157.58"/>
    <n v="46.26"/>
    <n v="294"/>
    <n v="369"/>
    <n v="289.8089795918367"/>
    <n v="1701.8333333333333"/>
    <n v="50.065913230829494"/>
    <n v="6830"/>
    <n v="4.3045387994143487E-2"/>
    <m/>
    <n v="968.96"/>
    <n v="679.54"/>
    <n v="0"/>
    <n v="53.333333333333336"/>
    <n v="0"/>
    <n v="0"/>
    <n v="0"/>
    <n v="0"/>
  </r>
  <r>
    <s v="sábado"/>
    <x v="469"/>
    <n v="54715.27"/>
    <n v="54715.27"/>
    <n v="0"/>
    <n v="186"/>
    <n v="225"/>
    <n v="294.16811827956985"/>
    <n v="1609.0033333333333"/>
    <n v="34.005690893534506"/>
    <n v="5083"/>
    <n v="3.6592563446783397E-2"/>
    <m/>
    <n v="730.11"/>
    <n v="825.56"/>
    <n v="0"/>
    <n v="53.333333333333336"/>
    <n v="0"/>
    <n v="0"/>
    <n v="0"/>
    <n v="0"/>
  </r>
  <r>
    <s v="domingo"/>
    <x v="470"/>
    <n v="39182.629999999997"/>
    <n v="39098.39"/>
    <n v="84.24"/>
    <n v="137"/>
    <n v="166"/>
    <n v="286.00459854014599"/>
    <n v="1545.3133333333333"/>
    <n v="25.355783293140117"/>
    <n v="4517"/>
    <n v="3.0329864954615895E-2"/>
    <m/>
    <n v="625.67999999999995"/>
    <n v="866.3"/>
    <n v="0"/>
    <n v="53.333333333333336"/>
    <n v="0"/>
    <n v="0"/>
    <n v="0"/>
    <n v="0"/>
  </r>
  <r>
    <s v="segunda-feira"/>
    <x v="471"/>
    <n v="79877.94"/>
    <n v="79811.199999999997"/>
    <n v="66.739999999999995"/>
    <n v="249"/>
    <n v="341"/>
    <n v="320.79493975903614"/>
    <n v="1908.5033333333333"/>
    <n v="41.853707355327302"/>
    <n v="6740"/>
    <n v="3.6943620178041543E-2"/>
    <m/>
    <n v="1073.49"/>
    <n v="781.68"/>
    <n v="0"/>
    <n v="53.333333333333336"/>
    <n v="0"/>
    <n v="0"/>
    <n v="0"/>
    <n v="0"/>
  </r>
  <r>
    <s v="terça-feira"/>
    <x v="472"/>
    <n v="112196.78"/>
    <n v="112196.78"/>
    <n v="0"/>
    <n v="438"/>
    <n v="602"/>
    <n v="256.15703196347033"/>
    <n v="2408.813333333333"/>
    <n v="46.577614980543672"/>
    <n v="7567"/>
    <n v="5.7882912647019953E-2"/>
    <m/>
    <n v="1178.8599999999999"/>
    <n v="1176.6199999999999"/>
    <n v="0"/>
    <n v="53.333333333333336"/>
    <n v="0"/>
    <n v="0"/>
    <n v="0"/>
    <n v="0"/>
  </r>
  <r>
    <s v="quarta-feira"/>
    <x v="473"/>
    <n v="119408.18"/>
    <n v="119385.87"/>
    <n v="22.31"/>
    <n v="490"/>
    <n v="733"/>
    <n v="243.6901632653061"/>
    <n v="2302.3733333333334"/>
    <n v="51.863083311134012"/>
    <n v="7195"/>
    <n v="6.8102849200833912E-2"/>
    <m/>
    <n v="1027.72"/>
    <n v="1221.32"/>
    <n v="0"/>
    <n v="53.333333333333336"/>
    <n v="0"/>
    <n v="0"/>
    <n v="0"/>
    <n v="0"/>
  </r>
  <r>
    <s v="quinta-feira"/>
    <x v="474"/>
    <n v="121632.08"/>
    <n v="121632.08"/>
    <n v="0"/>
    <n v="471"/>
    <n v="651"/>
    <n v="258.24220806794057"/>
    <n v="2133.9933333333333"/>
    <n v="56.997403928159727"/>
    <n v="6997"/>
    <n v="6.7314563384307566E-2"/>
    <m/>
    <n v="905.35"/>
    <n v="1045.6400000000001"/>
    <n v="0"/>
    <n v="53.333333333333336"/>
    <n v="129.66999999999999"/>
    <n v="0"/>
    <n v="0"/>
    <n v="0"/>
  </r>
  <r>
    <s v="sexta-feira"/>
    <x v="475"/>
    <n v="57623.18"/>
    <n v="57623.18"/>
    <n v="0"/>
    <n v="188"/>
    <n v="234"/>
    <n v="306.50627659574468"/>
    <n v="1198.3333333333333"/>
    <n v="48.086102920723228"/>
    <n v="4424"/>
    <n v="4.2495479204339964E-2"/>
    <m/>
    <n v="489.4"/>
    <n v="655.6"/>
    <n v="0"/>
    <n v="53.333333333333336"/>
    <n v="0"/>
    <n v="0"/>
    <n v="0"/>
    <n v="0"/>
  </r>
  <r>
    <s v="sábado"/>
    <x v="476"/>
    <n v="58465.83"/>
    <n v="58465.83"/>
    <n v="0"/>
    <n v="164"/>
    <n v="256"/>
    <n v="356.49896341463415"/>
    <n v="1076.9833333333333"/>
    <n v="54.286661817731627"/>
    <n v="4464"/>
    <n v="3.6738351254480286E-2"/>
    <m/>
    <n v="480.29"/>
    <n v="539.84"/>
    <n v="0"/>
    <n v="53.333333333333336"/>
    <n v="3.52"/>
    <n v="0"/>
    <n v="0"/>
    <n v="0"/>
  </r>
  <r>
    <s v="domingo"/>
    <x v="477"/>
    <n v="57441.25"/>
    <n v="57418.16"/>
    <n v="23.09"/>
    <n v="175"/>
    <n v="229"/>
    <n v="328.23571428571427"/>
    <n v="995.24333333333334"/>
    <n v="57.715784749458258"/>
    <n v="4080"/>
    <n v="4.2892156862745098E-2"/>
    <m/>
    <n v="558.67999999999995"/>
    <n v="381.1"/>
    <n v="0"/>
    <n v="53.333333333333336"/>
    <n v="2.13"/>
    <n v="0"/>
    <n v="0"/>
    <n v="0"/>
  </r>
  <r>
    <s v="segunda-feira"/>
    <x v="478"/>
    <n v="63580.01"/>
    <n v="63525.07"/>
    <n v="54.94"/>
    <n v="217"/>
    <n v="257"/>
    <n v="292.99543778801842"/>
    <n v="979.01333333333332"/>
    <n v="64.942945959197019"/>
    <n v="6453"/>
    <n v="3.3627770029443671E-2"/>
    <m/>
    <n v="588.25"/>
    <n v="271.54000000000002"/>
    <n v="0"/>
    <n v="53.333333333333336"/>
    <n v="65.89"/>
    <n v="0"/>
    <n v="0"/>
    <n v="0"/>
  </r>
  <r>
    <s v="terça-feira"/>
    <x v="479"/>
    <n v="73111.960000000006"/>
    <n v="73089.83"/>
    <n v="22.13"/>
    <n v="221"/>
    <n v="272"/>
    <n v="330.8233484162896"/>
    <n v="1163.9433333333334"/>
    <n v="62.814020155620405"/>
    <n v="6523"/>
    <n v="3.3880116510807912E-2"/>
    <m/>
    <n v="675.36"/>
    <n v="328.3"/>
    <n v="0"/>
    <n v="53.333333333333336"/>
    <n v="106.95"/>
    <n v="0"/>
    <n v="0"/>
    <n v="0"/>
  </r>
  <r>
    <s v="quarta-feira"/>
    <x v="480"/>
    <n v="61907.360000000001"/>
    <n v="61861.08"/>
    <n v="46.28"/>
    <n v="204"/>
    <n v="270"/>
    <n v="303.46745098039219"/>
    <n v="1541.0433333333335"/>
    <n v="40.172368070982209"/>
    <n v="6616"/>
    <n v="3.0834340991535671E-2"/>
    <m/>
    <n v="969.45"/>
    <n v="404.1"/>
    <n v="0"/>
    <n v="53.333333333333336"/>
    <n v="114.16"/>
    <n v="0"/>
    <n v="0"/>
    <n v="0"/>
  </r>
  <r>
    <s v="quinta-feira"/>
    <x v="481"/>
    <n v="72297.61"/>
    <n v="72297.61"/>
    <n v="0"/>
    <n v="214"/>
    <n v="295"/>
    <n v="337.83929906542056"/>
    <n v="1734.0133333333333"/>
    <n v="41.693802815818408"/>
    <n v="6734"/>
    <n v="3.1779031779031776E-2"/>
    <m/>
    <n v="1162.9000000000001"/>
    <n v="388.68"/>
    <n v="0"/>
    <n v="53.333333333333336"/>
    <n v="129.1"/>
    <n v="0"/>
    <n v="0"/>
    <n v="0"/>
  </r>
  <r>
    <s v="sexta-feira"/>
    <x v="482"/>
    <n v="83524.69"/>
    <n v="83524.69"/>
    <n v="0"/>
    <n v="262"/>
    <n v="362"/>
    <n v="318.79652671755724"/>
    <n v="1594.4633333333334"/>
    <n v="52.384202417114224"/>
    <n v="6476"/>
    <n v="4.045707226683138E-2"/>
    <m/>
    <n v="1089.4000000000001"/>
    <n v="358.7"/>
    <n v="0"/>
    <n v="53.333333333333336"/>
    <n v="93.03"/>
    <n v="0"/>
    <n v="0"/>
    <n v="0"/>
  </r>
  <r>
    <s v="sábado"/>
    <x v="483"/>
    <n v="48457.47"/>
    <n v="48457.47"/>
    <n v="0"/>
    <n v="173"/>
    <n v="197"/>
    <n v="280.10098265895954"/>
    <n v="1348.5033333333333"/>
    <n v="35.934260451710664"/>
    <n v="4866"/>
    <n v="3.5552815454171806E-2"/>
    <m/>
    <n v="746.36"/>
    <n v="444.66"/>
    <n v="0"/>
    <n v="53.333333333333336"/>
    <n v="104.15"/>
    <n v="0"/>
    <n v="0"/>
    <n v="0"/>
  </r>
  <r>
    <s v="domingo"/>
    <x v="484"/>
    <n v="35392.46"/>
    <n v="35392.46"/>
    <n v="0"/>
    <n v="115"/>
    <n v="134"/>
    <n v="307.76052173913041"/>
    <n v="1295.0033333333333"/>
    <n v="27.330014594557028"/>
    <n v="4288"/>
    <n v="2.681902985074627E-2"/>
    <m/>
    <n v="740.33"/>
    <n v="477.94"/>
    <n v="0"/>
    <n v="53.333333333333336"/>
    <n v="23.4"/>
    <n v="0"/>
    <n v="0"/>
    <n v="0"/>
  </r>
  <r>
    <s v="segunda-feira"/>
    <x v="485"/>
    <n v="42406.14"/>
    <n v="42344.4"/>
    <n v="61.74"/>
    <n v="140"/>
    <n v="162"/>
    <n v="302.90100000000001"/>
    <n v="1662.0529032258062"/>
    <n v="25.514314206061531"/>
    <n v="4948"/>
    <n v="2.8294260307194827E-2"/>
    <m/>
    <n v="1091.79"/>
    <n v="466.54"/>
    <n v="0"/>
    <n v="51.612903225806448"/>
    <n v="52.11"/>
    <n v="0"/>
    <n v="0"/>
    <n v="0"/>
  </r>
  <r>
    <s v="terça-feira"/>
    <x v="486"/>
    <n v="112788.95"/>
    <n v="112788.95"/>
    <n v="0"/>
    <n v="319"/>
    <n v="456"/>
    <n v="353.57037617554857"/>
    <n v="2723.8429032258064"/>
    <n v="41.40802315229918"/>
    <n v="8840"/>
    <n v="3.608597285067873E-2"/>
    <m/>
    <n v="2042.29"/>
    <n v="479.94"/>
    <n v="0"/>
    <n v="51.612903225806448"/>
    <n v="150"/>
    <n v="0"/>
    <n v="0"/>
    <n v="0"/>
  </r>
  <r>
    <s v="quarta-feira"/>
    <x v="487"/>
    <n v="120576.68"/>
    <n v="120576.68"/>
    <n v="0"/>
    <n v="359"/>
    <n v="438"/>
    <n v="335.86818941504174"/>
    <n v="652.06290322580651"/>
    <n v="184.91571810556567"/>
    <n v="0"/>
    <n v="0"/>
    <m/>
    <n v="0"/>
    <n v="479.62"/>
    <n v="0"/>
    <n v="51.612903225806448"/>
    <n v="120.83"/>
    <n v="0"/>
    <n v="0"/>
    <n v="0"/>
  </r>
  <r>
    <s v="quinta-feira"/>
    <x v="488"/>
    <n v="120773.06"/>
    <n v="120724.16"/>
    <n v="48.9"/>
    <n v="385"/>
    <n v="465"/>
    <n v="313.69625974025973"/>
    <n v="2187.2629032258064"/>
    <n v="55.216526473284105"/>
    <n v="8727"/>
    <n v="4.4115961957144491E-2"/>
    <m/>
    <n v="1544.3"/>
    <n v="494.94"/>
    <n v="0"/>
    <n v="51.612903225806448"/>
    <n v="96.41"/>
    <n v="0"/>
    <n v="0"/>
    <n v="0"/>
  </r>
  <r>
    <s v="sexta-feira"/>
    <x v="489"/>
    <n v="162231.12"/>
    <n v="162168.91"/>
    <n v="62.21"/>
    <n v="430"/>
    <n v="686"/>
    <n v="377.28167441860467"/>
    <n v="2109.5629032258066"/>
    <n v="76.902717502249729"/>
    <n v="8992"/>
    <n v="4.7820284697508895E-2"/>
    <m/>
    <n v="1397.66"/>
    <n v="589.1"/>
    <n v="0"/>
    <n v="51.612903225806448"/>
    <n v="71.19"/>
    <n v="0"/>
    <n v="0"/>
    <n v="0"/>
  </r>
  <r>
    <s v="sábado"/>
    <x v="490"/>
    <n v="87353.95"/>
    <n v="87353.95"/>
    <n v="0"/>
    <n v="312"/>
    <n v="348"/>
    <n v="279.98060897435897"/>
    <n v="1808.8629032258066"/>
    <n v="48.292189443555252"/>
    <n v="6631"/>
    <n v="4.7051726738048562E-2"/>
    <m/>
    <n v="1127.7"/>
    <n v="571.08000000000004"/>
    <n v="0"/>
    <n v="51.612903225806448"/>
    <n v="58.47"/>
    <n v="0"/>
    <n v="0"/>
    <n v="0"/>
  </r>
  <r>
    <s v="domingo"/>
    <x v="491"/>
    <n v="78208.12"/>
    <n v="78208.12"/>
    <n v="0"/>
    <n v="260"/>
    <n v="294"/>
    <n v="300.80046153846155"/>
    <n v="1714.1729032258065"/>
    <n v="45.624405713580288"/>
    <n v="6344"/>
    <n v="4.0983606557377046E-2"/>
    <m/>
    <n v="1128.48"/>
    <n v="476.2"/>
    <n v="0"/>
    <n v="51.612903225806448"/>
    <n v="57.88"/>
    <n v="0"/>
    <n v="0"/>
    <n v="0"/>
  </r>
  <r>
    <s v="segunda-feira"/>
    <x v="492"/>
    <n v="229192.53999999998"/>
    <n v="229170.33"/>
    <n v="22.21"/>
    <n v="664"/>
    <n v="963"/>
    <n v="345.16948795180718"/>
    <n v="721.96290322580649"/>
    <n v="317.45750228431893"/>
    <n v="0"/>
    <n v="0"/>
    <m/>
    <n v="0"/>
    <n v="644.84"/>
    <n v="0"/>
    <n v="51.612903225806448"/>
    <n v="25.51"/>
    <n v="0"/>
    <n v="0"/>
    <n v="0"/>
  </r>
  <r>
    <s v="terça-feira"/>
    <x v="493"/>
    <n v="242645.95"/>
    <n v="242645.95"/>
    <n v="0"/>
    <n v="753"/>
    <n v="990"/>
    <n v="322.2389774236388"/>
    <n v="813.30290322580652"/>
    <n v="298.34634677632704"/>
    <n v="0"/>
    <n v="0"/>
    <m/>
    <n v="0"/>
    <n v="730.12"/>
    <n v="0"/>
    <n v="51.612903225806448"/>
    <n v="31.57"/>
    <n v="0"/>
    <n v="0"/>
    <n v="0"/>
  </r>
  <r>
    <s v="quarta-feira"/>
    <x v="494"/>
    <n v="299456.12"/>
    <n v="299456.12"/>
    <n v="0"/>
    <n v="875"/>
    <n v="1191"/>
    <n v="342.23556571428571"/>
    <n v="937.64290322580655"/>
    <n v="319.37117955009347"/>
    <n v="0"/>
    <n v="0"/>
    <m/>
    <n v="0"/>
    <n v="859.7"/>
    <n v="0"/>
    <n v="51.612903225806448"/>
    <n v="26.33"/>
    <n v="0"/>
    <n v="0"/>
    <n v="0"/>
  </r>
  <r>
    <s v="quinta-feira"/>
    <x v="495"/>
    <n v="305603.63"/>
    <n v="305603.63"/>
    <n v="0"/>
    <n v="909"/>
    <n v="1282"/>
    <n v="336.1976127612761"/>
    <n v="1031.6329032258066"/>
    <n v="296.23292262626552"/>
    <n v="0"/>
    <n v="0"/>
    <m/>
    <n v="0"/>
    <n v="967.94"/>
    <n v="0"/>
    <n v="51.612903225806448"/>
    <n v="12.08"/>
    <n v="0"/>
    <n v="0"/>
    <n v="0"/>
  </r>
  <r>
    <s v="sexta-feira"/>
    <x v="496"/>
    <n v="527321.22"/>
    <n v="527299.01"/>
    <n v="22.21"/>
    <n v="1596"/>
    <n v="1998"/>
    <n v="330.40176691729323"/>
    <n v="1068.7029032258063"/>
    <n v="493.42171562210331"/>
    <n v="0"/>
    <n v="0"/>
    <m/>
    <n v="0"/>
    <n v="979.04"/>
    <n v="0"/>
    <n v="51.612903225806448"/>
    <n v="38.049999999999997"/>
    <n v="0"/>
    <n v="0"/>
    <n v="0"/>
  </r>
  <r>
    <s v="sábado"/>
    <x v="497"/>
    <n v="570509.35"/>
    <n v="570509.35"/>
    <n v="0"/>
    <n v="1824"/>
    <n v="2038"/>
    <n v="312.77924890350874"/>
    <n v="1037.9929032258065"/>
    <n v="549.62740903816234"/>
    <n v="0"/>
    <n v="0"/>
    <m/>
    <n v="0"/>
    <n v="983.48"/>
    <n v="0"/>
    <n v="51.612903225806448"/>
    <n v="2.9"/>
    <n v="0"/>
    <n v="0"/>
    <n v="0"/>
  </r>
  <r>
    <s v="domingo"/>
    <x v="498"/>
    <n v="513678.94"/>
    <n v="513678.94"/>
    <n v="0"/>
    <n v="1648"/>
    <n v="1893"/>
    <n v="311.69838592233009"/>
    <n v="391.95290322580644"/>
    <n v="1310.5629165452729"/>
    <n v="0"/>
    <n v="0"/>
    <m/>
    <n v="0"/>
    <n v="340.34"/>
    <n v="0"/>
    <n v="51.612903225806448"/>
    <n v="0"/>
    <n v="0"/>
    <n v="0"/>
    <n v="0"/>
  </r>
  <r>
    <s v="segunda-feira"/>
    <x v="499"/>
    <n v="157142.85999999999"/>
    <n v="157142.85999999999"/>
    <n v="0"/>
    <n v="653"/>
    <n v="948"/>
    <n v="240.64756508422661"/>
    <n v="1098.1529032258063"/>
    <n v="143.09743164034387"/>
    <n v="8833"/>
    <n v="7.3927318012000448E-2"/>
    <m/>
    <n v="648.38"/>
    <n v="395.4"/>
    <n v="0"/>
    <n v="51.612903225806448"/>
    <n v="2.76"/>
    <n v="0"/>
    <n v="0"/>
    <n v="0"/>
  </r>
  <r>
    <s v="terça-feira"/>
    <x v="500"/>
    <n v="129970.04"/>
    <n v="129970.04"/>
    <n v="0"/>
    <n v="619"/>
    <n v="872"/>
    <n v="209.96775444264944"/>
    <n v="1259.4629032258065"/>
    <n v="103.19481396960045"/>
    <n v="7942"/>
    <n v="7.7940065474691511E-2"/>
    <m/>
    <n v="631.39"/>
    <n v="575.20000000000005"/>
    <n v="0"/>
    <n v="51.612903225806448"/>
    <n v="1.26"/>
    <n v="0"/>
    <n v="0"/>
    <n v="0"/>
  </r>
  <r>
    <s v="quarta-feira"/>
    <x v="501"/>
    <n v="82948.320000000007"/>
    <n v="82948.320000000007"/>
    <n v="0"/>
    <n v="333"/>
    <n v="412"/>
    <n v="249.09405405405408"/>
    <n v="985.58290322580638"/>
    <n v="84.16168718888153"/>
    <n v="6354"/>
    <n v="5.2407932011331447E-2"/>
    <m/>
    <n v="593.16999999999996"/>
    <n v="337.46"/>
    <n v="0"/>
    <n v="51.612903225806448"/>
    <n v="3.34"/>
    <n v="0"/>
    <n v="0"/>
    <n v="0"/>
  </r>
  <r>
    <s v="quinta-feira"/>
    <x v="502"/>
    <n v="56528.28"/>
    <n v="56505.78"/>
    <n v="22.5"/>
    <n v="213"/>
    <n v="239"/>
    <n v="265.39098591549293"/>
    <n v="849.10290322580647"/>
    <n v="66.574121682124471"/>
    <n v="5749"/>
    <n v="3.7049921725517479E-2"/>
    <m/>
    <n v="407.02"/>
    <n v="389.02"/>
    <n v="0"/>
    <n v="51.612903225806448"/>
    <n v="1.45"/>
    <n v="0"/>
    <n v="0"/>
    <n v="0"/>
  </r>
  <r>
    <s v="sexta-feira"/>
    <x v="503"/>
    <n v="80530.759999999995"/>
    <n v="80530.759999999995"/>
    <n v="0"/>
    <n v="241"/>
    <n v="306"/>
    <n v="334.1525311203319"/>
    <n v="603.5529032258064"/>
    <n v="133.42783966341247"/>
    <n v="5291"/>
    <n v="4.5549045549045548E-2"/>
    <m/>
    <n v="358.45"/>
    <n v="192.06"/>
    <n v="0"/>
    <n v="51.612903225806448"/>
    <n v="1.43"/>
    <n v="0"/>
    <n v="0"/>
    <n v="0"/>
  </r>
  <r>
    <s v="sábado"/>
    <x v="504"/>
    <n v="39327.93"/>
    <n v="39327.93"/>
    <n v="0"/>
    <n v="161"/>
    <n v="168"/>
    <n v="244.27285714285713"/>
    <n v="623.62290322580645"/>
    <n v="63.063639575405112"/>
    <n v="3979"/>
    <n v="4.046242774566474E-2"/>
    <m/>
    <n v="361.3"/>
    <n v="209.28"/>
    <n v="0"/>
    <n v="51.612903225806448"/>
    <n v="1.43"/>
    <n v="0"/>
    <n v="0"/>
    <n v="0"/>
  </r>
  <r>
    <s v="domingo"/>
    <x v="505"/>
    <n v="32806.550000000003"/>
    <n v="32806.550000000003"/>
    <n v="0"/>
    <n v="119"/>
    <n v="136"/>
    <n v="275.68529411764706"/>
    <n v="541.36290322580646"/>
    <n v="60.599922537204492"/>
    <n v="3383"/>
    <n v="3.5175879396984924E-2"/>
    <m/>
    <n v="283.88"/>
    <n v="203.26"/>
    <n v="0"/>
    <n v="51.612903225806448"/>
    <n v="2.61"/>
    <n v="0"/>
    <n v="0"/>
    <n v="0"/>
  </r>
  <r>
    <s v="segunda-feira"/>
    <x v="506"/>
    <n v="73944.570000000007"/>
    <n v="73944.570000000007"/>
    <n v="0"/>
    <n v="230"/>
    <n v="273"/>
    <n v="321.49813043478264"/>
    <n v="624.65290322580643"/>
    <n v="118.37705326932533"/>
    <n v="5743"/>
    <n v="4.0048755006094373E-2"/>
    <m/>
    <n v="334.4"/>
    <n v="238.64"/>
    <n v="0"/>
    <n v="51.612903225806448"/>
    <n v="0"/>
    <n v="0"/>
    <n v="0"/>
    <n v="0"/>
  </r>
  <r>
    <s v="terça-feira"/>
    <x v="507"/>
    <n v="64301.17"/>
    <n v="64277.84"/>
    <n v="23.33"/>
    <n v="219"/>
    <n v="264"/>
    <n v="293.61264840182645"/>
    <n v="734.65290322580643"/>
    <n v="87.525918318240258"/>
    <n v="6136"/>
    <n v="3.5691003911342896E-2"/>
    <m/>
    <n v="406.34"/>
    <n v="275.58"/>
    <n v="0"/>
    <n v="51.612903225806448"/>
    <n v="1.1200000000000001"/>
    <n v="0"/>
    <n v="0"/>
    <n v="0"/>
  </r>
  <r>
    <s v="quarta-feira"/>
    <x v="508"/>
    <n v="63601.87"/>
    <n v="63557.29"/>
    <n v="44.58"/>
    <n v="246"/>
    <n v="303"/>
    <n v="258.54418699186994"/>
    <n v="867.02290322580643"/>
    <n v="73.356620411485949"/>
    <n v="6345"/>
    <n v="3.8770685579196218E-2"/>
    <m/>
    <n v="427.69"/>
    <n v="381.14"/>
    <n v="0"/>
    <n v="51.612903225806448"/>
    <n v="6.58"/>
    <n v="0"/>
    <n v="0"/>
    <n v="0"/>
  </r>
  <r>
    <s v="quinta-feira"/>
    <x v="509"/>
    <n v="76398.84"/>
    <n v="76398.84"/>
    <n v="0"/>
    <n v="273"/>
    <n v="391"/>
    <n v="279.84923076923076"/>
    <n v="992.92290322580641"/>
    <n v="76.943375716075806"/>
    <n v="6574"/>
    <n v="4.1527228475813811E-2"/>
    <m/>
    <n v="470.64"/>
    <n v="469.66"/>
    <n v="0"/>
    <n v="51.612903225806448"/>
    <n v="1.01"/>
    <n v="0"/>
    <n v="0"/>
    <n v="0"/>
  </r>
  <r>
    <s v="sexta-feira"/>
    <x v="510"/>
    <n v="77451"/>
    <n v="77451"/>
    <n v="0"/>
    <n v="291"/>
    <n v="345"/>
    <n v="266.15463917525773"/>
    <n v="870.98290322580647"/>
    <n v="88.92367429159566"/>
    <n v="6805"/>
    <n v="4.276267450404115E-2"/>
    <m/>
    <n v="357.98"/>
    <n v="460.28"/>
    <n v="0"/>
    <n v="51.612903225806448"/>
    <n v="1.1100000000000001"/>
    <n v="0"/>
    <n v="0"/>
    <n v="0"/>
  </r>
  <r>
    <s v="sábado"/>
    <x v="511"/>
    <n v="55588.34"/>
    <n v="55449.1"/>
    <n v="139.24"/>
    <n v="207"/>
    <n v="248"/>
    <n v="268.54270531400965"/>
    <n v="865.9329032258064"/>
    <n v="64.194742794644"/>
    <n v="4432"/>
    <n v="4.6705776173285196E-2"/>
    <m/>
    <n v="355.04"/>
    <n v="459.28"/>
    <n v="0"/>
    <n v="51.612903225806448"/>
    <n v="0"/>
    <n v="0"/>
    <n v="0"/>
    <n v="0"/>
  </r>
  <r>
    <s v="domingo"/>
    <x v="512"/>
    <n v="35907.269999999997"/>
    <n v="35907.269999999997"/>
    <n v="0"/>
    <n v="128"/>
    <n v="152"/>
    <n v="280.52554687499997"/>
    <n v="875.97290322580648"/>
    <n v="40.991302205547669"/>
    <n v="3985"/>
    <n v="3.2120451693851942E-2"/>
    <m/>
    <n v="385.83"/>
    <n v="436.4"/>
    <n v="0"/>
    <n v="51.612903225806448"/>
    <n v="2.13"/>
    <n v="0"/>
    <n v="0"/>
    <n v="0"/>
  </r>
  <r>
    <s v="segunda-feira"/>
    <x v="513"/>
    <n v="85134.89"/>
    <n v="85087.69"/>
    <n v="47.2"/>
    <n v="288"/>
    <n v="371"/>
    <n v="295.60725694444443"/>
    <n v="921.88290322580644"/>
    <n v="92.348919480012327"/>
    <n v="6289"/>
    <n v="4.5794243917951977E-2"/>
    <m/>
    <n v="462.01"/>
    <n v="406.74"/>
    <n v="0"/>
    <n v="51.612903225806448"/>
    <n v="1.52"/>
    <n v="0"/>
    <n v="0"/>
    <n v="0"/>
  </r>
  <r>
    <s v="terça-feira"/>
    <x v="514"/>
    <n v="71453.259999999995"/>
    <n v="71428.23"/>
    <n v="25.03"/>
    <n v="233"/>
    <n v="265"/>
    <n v="306.66635193133044"/>
    <n v="716.37290322580645"/>
    <n v="99.7431082027922"/>
    <n v="5843"/>
    <n v="3.9876775628957729E-2"/>
    <m/>
    <n v="413.64"/>
    <n v="250.12"/>
    <n v="0"/>
    <n v="51.612903225806448"/>
    <n v="1"/>
    <n v="0"/>
    <n v="0"/>
    <n v="0"/>
  </r>
  <r>
    <s v="quarta-feira"/>
    <x v="515"/>
    <n v="79730.649999999994"/>
    <n v="79730.649999999994"/>
    <n v="0"/>
    <n v="265"/>
    <n v="300"/>
    <n v="300.87037735849054"/>
    <n v="684.02290322580643"/>
    <n v="116.56137480776675"/>
    <n v="5640"/>
    <n v="4.6985815602836878E-2"/>
    <m/>
    <n v="369.28"/>
    <n v="262.06"/>
    <n v="0"/>
    <n v="51.612903225806448"/>
    <n v="1.07"/>
    <n v="0"/>
    <n v="0"/>
    <n v="0"/>
  </r>
  <r>
    <s v="quinta-feira"/>
    <x v="516"/>
    <n v="69394.260000000009"/>
    <n v="69353.710000000006"/>
    <n v="40.549999999999997"/>
    <n v="238"/>
    <n v="269"/>
    <n v="291.57252100840338"/>
    <n v="947.40333333333331"/>
    <n v="73.246797386540763"/>
    <n v="6421"/>
    <n v="3.7065877589160565E-2"/>
    <m/>
    <n v="627.16999999999996"/>
    <n v="266.60000000000002"/>
    <n v="0"/>
    <n v="53.333333333333336"/>
    <n v="0.3"/>
    <n v="0"/>
    <n v="0"/>
    <n v="0"/>
  </r>
  <r>
    <s v="sexta-feira"/>
    <x v="517"/>
    <n v="92678.05"/>
    <n v="92678.05"/>
    <n v="0"/>
    <n v="290"/>
    <n v="331"/>
    <n v="319.57948275862071"/>
    <n v="1038.4633333333334"/>
    <n v="89.245375378363548"/>
    <n v="6907"/>
    <n v="4.1986390618213409E-2"/>
    <m/>
    <n v="598.37"/>
    <n v="386.76"/>
    <n v="0"/>
    <n v="53.333333333333336"/>
    <n v="0"/>
    <n v="0"/>
    <n v="0"/>
    <n v="0"/>
  </r>
  <r>
    <s v="sábado"/>
    <x v="518"/>
    <n v="46583.77"/>
    <n v="46583.77"/>
    <n v="0"/>
    <n v="161"/>
    <n v="185"/>
    <n v="289.3401863354037"/>
    <n v="1115.3833333333334"/>
    <n v="41.76480731587047"/>
    <n v="4733"/>
    <n v="3.4016480033805196E-2"/>
    <m/>
    <n v="605.16999999999996"/>
    <n v="453.98"/>
    <n v="0"/>
    <n v="53.333333333333336"/>
    <n v="2.9"/>
    <n v="0"/>
    <n v="0"/>
    <n v="0"/>
  </r>
  <r>
    <s v="domingo"/>
    <x v="519"/>
    <n v="53461.599999999999"/>
    <n v="53461.599999999999"/>
    <n v="0"/>
    <n v="147"/>
    <n v="169"/>
    <n v="363.68435374149658"/>
    <n v="1119.2833333333333"/>
    <n v="47.764134788629626"/>
    <n v="4285"/>
    <n v="3.4305717619603264E-2"/>
    <m/>
    <n v="639.79"/>
    <n v="426.16"/>
    <n v="0"/>
    <n v="53.333333333333336"/>
    <n v="0"/>
    <n v="0"/>
    <n v="0"/>
    <n v="0"/>
  </r>
  <r>
    <s v="segunda-feira"/>
    <x v="520"/>
    <n v="108978.5"/>
    <n v="108978.5"/>
    <n v="0"/>
    <n v="341"/>
    <n v="380"/>
    <n v="319.58504398826977"/>
    <n v="1374.9833333333333"/>
    <n v="79.258051612746826"/>
    <n v="7503"/>
    <n v="4.5448487271757966E-2"/>
    <m/>
    <n v="946.83"/>
    <n v="373.58"/>
    <n v="0"/>
    <n v="53.333333333333336"/>
    <n v="1.24"/>
    <n v="0"/>
    <n v="0"/>
    <n v="0"/>
  </r>
  <r>
    <s v="terça-feira"/>
    <x v="521"/>
    <n v="110507.95"/>
    <n v="110507.95"/>
    <n v="0"/>
    <n v="350"/>
    <n v="392"/>
    <n v="315.73699999999997"/>
    <n v="1530.3733333333332"/>
    <n v="72.209798480545061"/>
    <n v="7839"/>
    <n v="4.4648552111238679E-2"/>
    <m/>
    <n v="1051.76"/>
    <n v="425.28"/>
    <n v="0"/>
    <n v="53.333333333333336"/>
    <n v="0"/>
    <n v="0"/>
    <n v="0"/>
    <n v="0"/>
  </r>
  <r>
    <s v="quarta-feira"/>
    <x v="522"/>
    <n v="112268.97"/>
    <n v="112268.97"/>
    <n v="0"/>
    <n v="362"/>
    <n v="407"/>
    <n v="310.13527624309393"/>
    <n v="1770.4633333333334"/>
    <n v="63.412197183788045"/>
    <n v="7176"/>
    <n v="5.0445930880713488E-2"/>
    <m/>
    <n v="1255.71"/>
    <n v="443.42"/>
    <n v="0"/>
    <n v="53.333333333333336"/>
    <n v="0"/>
    <n v="18"/>
    <n v="0"/>
    <n v="0"/>
  </r>
  <r>
    <s v="quinta-feira"/>
    <x v="523"/>
    <n v="89754.78"/>
    <n v="89754.78"/>
    <n v="0"/>
    <n v="279"/>
    <n v="309"/>
    <n v="321.70172043010751"/>
    <n v="1875.6733333333332"/>
    <n v="47.852031803690053"/>
    <n v="5948"/>
    <n v="4.6906523201075995E-2"/>
    <m/>
    <n v="1302.8399999999999"/>
    <n v="485.5"/>
    <n v="0"/>
    <n v="53.333333333333336"/>
    <n v="0"/>
    <n v="34"/>
    <n v="0"/>
    <n v="0"/>
  </r>
  <r>
    <s v="sexta-feira"/>
    <x v="524"/>
    <n v="115721.65"/>
    <n v="115721.65"/>
    <n v="0"/>
    <n v="369"/>
    <n v="402"/>
    <n v="313.60880758807588"/>
    <n v="2595.2033333333334"/>
    <n v="44.590590846446197"/>
    <n v="7013"/>
    <n v="5.2616569228575501E-2"/>
    <m/>
    <n v="1968.09"/>
    <n v="540.78"/>
    <n v="0"/>
    <n v="53.333333333333336"/>
    <n v="0"/>
    <n v="33"/>
    <n v="0"/>
    <n v="0"/>
  </r>
  <r>
    <s v="sábado"/>
    <x v="525"/>
    <n v="102935.45"/>
    <n v="102909.64"/>
    <n v="25.81"/>
    <n v="305"/>
    <n v="362"/>
    <n v="337.49327868852458"/>
    <n v="2192.5433333333331"/>
    <n v="46.947966060724006"/>
    <n v="5485"/>
    <n v="5.5606198723792161E-2"/>
    <m/>
    <n v="1310.3"/>
    <n v="795.98"/>
    <n v="0"/>
    <n v="53.333333333333336"/>
    <n v="0.93"/>
    <n v="32"/>
    <n v="0"/>
    <n v="0"/>
  </r>
  <r>
    <s v="domingo"/>
    <x v="526"/>
    <n v="136501.45000000001"/>
    <n v="136501.45000000001"/>
    <n v="0"/>
    <n v="389"/>
    <n v="456"/>
    <n v="350.90347043701803"/>
    <n v="2302.2233333333334"/>
    <n v="59.29114175137947"/>
    <n v="5470"/>
    <n v="7.1115173674588666E-2"/>
    <m/>
    <n v="1328.31"/>
    <n v="893.58"/>
    <n v="0"/>
    <n v="53.333333333333336"/>
    <n v="0"/>
    <n v="27"/>
    <n v="0"/>
    <n v="0"/>
  </r>
  <r>
    <s v="segunda-feira"/>
    <x v="527"/>
    <n v="353104.17"/>
    <n v="353104.17"/>
    <n v="0"/>
    <n v="1156"/>
    <n v="1261"/>
    <n v="305.45343425605535"/>
    <n v="1205.2733333333333"/>
    <n v="292.96605196055111"/>
    <n v="0"/>
    <n v="0"/>
    <m/>
    <n v="0"/>
    <n v="1146.94"/>
    <n v="0"/>
    <n v="53.333333333333336"/>
    <n v="0"/>
    <n v="5"/>
    <n v="0"/>
    <n v="0"/>
  </r>
  <r>
    <s v="terça-feira"/>
    <x v="528"/>
    <n v="76630.16"/>
    <n v="76630.16"/>
    <n v="0"/>
    <n v="278"/>
    <n v="340"/>
    <n v="275.64805755395685"/>
    <n v="1206.4533333333331"/>
    <n v="63.51688696344106"/>
    <n v="6199"/>
    <n v="4.4845942894015167E-2"/>
    <m/>
    <n v="525.9"/>
    <n v="626.22"/>
    <n v="0"/>
    <n v="53.333333333333336"/>
    <n v="1"/>
    <n v="0"/>
    <n v="0"/>
    <n v="0"/>
  </r>
  <r>
    <s v="quarta-feira"/>
    <x v="529"/>
    <n v="62688.640000000007"/>
    <n v="62634.73"/>
    <n v="53.91"/>
    <n v="266"/>
    <n v="309"/>
    <n v="235.67157894736846"/>
    <n v="1009.1733333333333"/>
    <n v="62.118803509142808"/>
    <n v="5766"/>
    <n v="4.6132500867152273E-2"/>
    <m/>
    <n v="552.04999999999995"/>
    <n v="403.58"/>
    <n v="0"/>
    <n v="53.333333333333336"/>
    <n v="0.21"/>
    <n v="0"/>
    <n v="0"/>
    <n v="0"/>
  </r>
  <r>
    <s v="quinta-feira"/>
    <x v="530"/>
    <n v="61925.090000000004"/>
    <n v="61901.54"/>
    <n v="23.55"/>
    <n v="222"/>
    <n v="278"/>
    <n v="278.94184684684689"/>
    <n v="1113.1433333333332"/>
    <n v="55.630832207891778"/>
    <n v="5253"/>
    <n v="4.22615648201028E-2"/>
    <m/>
    <n v="584.21"/>
    <n v="466.6"/>
    <n v="0"/>
    <n v="53.333333333333336"/>
    <n v="0"/>
    <n v="9"/>
    <n v="0"/>
    <n v="0"/>
  </r>
  <r>
    <s v="sexta-feira"/>
    <x v="531"/>
    <n v="66215.08"/>
    <n v="66215.08"/>
    <n v="0"/>
    <n v="252"/>
    <n v="282"/>
    <n v="262.758253968254"/>
    <n v="1265.9833333333333"/>
    <n v="52.303279400729345"/>
    <n v="4757"/>
    <n v="5.2974563800714733E-2"/>
    <m/>
    <n v="521.51"/>
    <n v="632.14"/>
    <n v="0"/>
    <n v="53.333333333333336"/>
    <n v="0"/>
    <n v="59"/>
    <n v="0"/>
    <n v="0"/>
  </r>
  <r>
    <s v="sábado"/>
    <x v="532"/>
    <n v="38195.82"/>
    <n v="38195.82"/>
    <n v="0"/>
    <n v="154"/>
    <n v="175"/>
    <n v="248.0248051948052"/>
    <n v="834.41333333333341"/>
    <n v="45.775658746264838"/>
    <n v="3433"/>
    <n v="4.485872414797553E-2"/>
    <m/>
    <n v="392.8"/>
    <n v="341.04"/>
    <n v="0"/>
    <n v="53.333333333333336"/>
    <n v="2.2400000000000002"/>
    <n v="45"/>
    <n v="0"/>
    <n v="0"/>
  </r>
  <r>
    <s v="domingo"/>
    <x v="533"/>
    <n v="30682.55"/>
    <n v="30682.55"/>
    <n v="0"/>
    <n v="122"/>
    <n v="137"/>
    <n v="251.49631147540984"/>
    <n v="883.74333333333345"/>
    <n v="34.718847478340237"/>
    <n v="3013"/>
    <n v="4.0491204779289747E-2"/>
    <m/>
    <n v="465.73"/>
    <n v="346.68"/>
    <n v="0"/>
    <n v="53.333333333333336"/>
    <n v="0"/>
    <n v="18"/>
    <n v="0"/>
    <n v="0"/>
  </r>
  <r>
    <s v="segunda-feira"/>
    <x v="534"/>
    <n v="53247.97"/>
    <n v="53247.97"/>
    <n v="0"/>
    <n v="199"/>
    <n v="226"/>
    <n v="267.57773869346732"/>
    <n v="751.06333333333339"/>
    <n v="70.896777457737699"/>
    <n v="4806"/>
    <n v="4.1406575114440285E-2"/>
    <m/>
    <n v="381.25"/>
    <n v="278.48"/>
    <n v="0"/>
    <n v="53.333333333333336"/>
    <n v="0"/>
    <n v="38"/>
    <n v="0"/>
    <n v="0"/>
  </r>
  <r>
    <s v="terça-feira"/>
    <x v="535"/>
    <n v="65109.03"/>
    <n v="65109.03"/>
    <n v="0"/>
    <n v="206"/>
    <n v="256"/>
    <n v="316.06325242718447"/>
    <n v="681.79333333333341"/>
    <n v="95.496724325064278"/>
    <n v="4779"/>
    <n v="4.3105252144800169E-2"/>
    <m/>
    <n v="409.62"/>
    <n v="190.84"/>
    <n v="0"/>
    <n v="53.333333333333336"/>
    <n v="0"/>
    <n v="28"/>
    <n v="0"/>
    <n v="0"/>
  </r>
  <r>
    <s v="quarta-feira"/>
    <x v="536"/>
    <n v="53562.32"/>
    <n v="53562.32"/>
    <n v="0"/>
    <n v="183"/>
    <n v="208"/>
    <n v="292.69027322404372"/>
    <n v="652.72333333333336"/>
    <n v="82.059759877845124"/>
    <n v="4767"/>
    <n v="3.8388923851478921E-2"/>
    <m/>
    <n v="423.45"/>
    <n v="156.94"/>
    <n v="0"/>
    <n v="53.333333333333336"/>
    <n v="0"/>
    <n v="19"/>
    <n v="0"/>
    <n v="0"/>
  </r>
  <r>
    <s v="quinta-feira"/>
    <x v="537"/>
    <n v="56647.799999999996"/>
    <n v="56609.27"/>
    <n v="38.53"/>
    <n v="216"/>
    <n v="243"/>
    <n v="262.25833333333333"/>
    <n v="665.21333333333337"/>
    <n v="85.157343007756893"/>
    <n v="4751"/>
    <n v="4.5464112818354031E-2"/>
    <m/>
    <n v="436.64"/>
    <n v="155.24"/>
    <n v="0"/>
    <n v="53.333333333333336"/>
    <n v="0"/>
    <n v="20"/>
    <n v="0"/>
    <n v="0"/>
  </r>
  <r>
    <s v="sexta-feira"/>
    <x v="538"/>
    <n v="55563.08"/>
    <n v="55563.08"/>
    <n v="0"/>
    <n v="198"/>
    <n v="243"/>
    <n v="280.62161616161615"/>
    <n v="629.98333333333335"/>
    <n v="88.197698351808256"/>
    <n v="4391"/>
    <n v="4.5092234115235712E-2"/>
    <m/>
    <n v="380.04"/>
    <n v="172.26"/>
    <n v="0"/>
    <n v="53.333333333333336"/>
    <n v="4.3499999999999996"/>
    <n v="20"/>
    <n v="0"/>
    <n v="0"/>
  </r>
  <r>
    <s v="sábado"/>
    <x v="539"/>
    <n v="31043.460000000003"/>
    <n v="31017.65"/>
    <n v="25.81"/>
    <n v="126"/>
    <n v="133"/>
    <n v="246.37666666666669"/>
    <n v="618.57333333333338"/>
    <n v="50.185577565581013"/>
    <n v="3355"/>
    <n v="3.7555886736214607E-2"/>
    <m/>
    <n v="324.06"/>
    <n v="221.18"/>
    <n v="0"/>
    <n v="53.333333333333336"/>
    <n v="0"/>
    <n v="20"/>
    <n v="0"/>
    <n v="0"/>
  </r>
  <r>
    <s v="domingo"/>
    <x v="540"/>
    <n v="24508.92"/>
    <n v="24508.92"/>
    <n v="0"/>
    <n v="90"/>
    <n v="109"/>
    <n v="272.32133333333331"/>
    <n v="648.01333333333332"/>
    <n v="37.82162918458468"/>
    <n v="2929"/>
    <n v="3.0727210652099692E-2"/>
    <m/>
    <n v="349.96"/>
    <n v="224.72"/>
    <n v="0"/>
    <n v="53.333333333333336"/>
    <n v="0"/>
    <n v="20"/>
    <n v="0"/>
    <n v="0"/>
  </r>
  <r>
    <s v="segunda-feira"/>
    <x v="541"/>
    <n v="116688.49"/>
    <n v="116688.49"/>
    <n v="0"/>
    <n v="522"/>
    <n v="755"/>
    <n v="223.54116858237549"/>
    <n v="1204.6433333333332"/>
    <n v="96.86559230532967"/>
    <n v="6587"/>
    <n v="7.9247001669955977E-2"/>
    <m/>
    <n v="571.85"/>
    <n v="509.46"/>
    <n v="0"/>
    <n v="53.333333333333336"/>
    <n v="0"/>
    <n v="70"/>
    <n v="0"/>
    <n v="0"/>
  </r>
  <r>
    <s v="terça-feira"/>
    <x v="542"/>
    <n v="105816.79000000001"/>
    <n v="105795.52"/>
    <n v="21.27"/>
    <n v="504"/>
    <n v="704"/>
    <n v="209.95394841269842"/>
    <n v="1086.2433333333333"/>
    <n v="97.415364267674832"/>
    <n v="6722"/>
    <n v="7.4977685212734305E-2"/>
    <m/>
    <n v="508.53"/>
    <n v="469.38"/>
    <n v="0"/>
    <n v="53.333333333333336"/>
    <n v="0"/>
    <n v="55"/>
    <n v="0"/>
    <n v="0"/>
  </r>
  <r>
    <s v="quarta-feira"/>
    <x v="543"/>
    <n v="68415.91"/>
    <n v="68415.91"/>
    <n v="0"/>
    <n v="220"/>
    <n v="291"/>
    <n v="310.9814090909091"/>
    <n v="1088.9033333333332"/>
    <n v="62.830104294534877"/>
    <n v="5691"/>
    <n v="3.8657529432437179E-2"/>
    <m/>
    <n v="561.01"/>
    <n v="454.56"/>
    <n v="0"/>
    <n v="53.333333333333336"/>
    <n v="0"/>
    <n v="20"/>
    <n v="0"/>
    <n v="0"/>
  </r>
  <r>
    <s v="quinta-feira"/>
    <x v="544"/>
    <n v="72459.34"/>
    <n v="72434.87"/>
    <n v="24.47"/>
    <n v="294"/>
    <n v="386"/>
    <n v="246.46034013605441"/>
    <n v="1583.6333333333332"/>
    <n v="45.755124292239366"/>
    <n v="5634"/>
    <n v="5.2183173588924388E-2"/>
    <m/>
    <n v="550.98"/>
    <n v="944.72"/>
    <n v="0"/>
    <n v="53.333333333333336"/>
    <n v="5.6"/>
    <n v="29"/>
    <n v="0"/>
    <n v="0"/>
  </r>
  <r>
    <s v="sexta-feira"/>
    <x v="545"/>
    <n v="95968.51"/>
    <n v="95968.51"/>
    <n v="0"/>
    <n v="327"/>
    <n v="493"/>
    <n v="293.48168195718654"/>
    <n v="1555.0733333333333"/>
    <n v="61.713173226557373"/>
    <n v="5181"/>
    <n v="6.3115228720324268E-2"/>
    <m/>
    <n v="427.5"/>
    <n v="1012"/>
    <n v="0"/>
    <n v="53.333333333333336"/>
    <n v="20.239999999999998"/>
    <n v="42"/>
    <n v="0"/>
    <n v="0"/>
  </r>
  <r>
    <s v="sábado"/>
    <x v="546"/>
    <n v="42346.6"/>
    <n v="42324.13"/>
    <n v="22.47"/>
    <n v="157"/>
    <n v="177"/>
    <n v="269.72356687898088"/>
    <n v="2004.7429032258062"/>
    <n v="21.123207335893607"/>
    <n v="3927"/>
    <n v="3.9979628214922333E-2"/>
    <m/>
    <n v="468.71"/>
    <n v="364.33"/>
    <n v="0"/>
    <n v="51.612903225806448"/>
    <n v="5.42"/>
    <n v="40"/>
    <n v="0"/>
    <n v="0"/>
  </r>
  <r>
    <s v="domingo"/>
    <x v="547"/>
    <n v="29860.62"/>
    <n v="29860.62"/>
    <n v="0"/>
    <n v="116"/>
    <n v="128"/>
    <n v="257.41913793103447"/>
    <n v="1523.1329032258063"/>
    <n v="19.604737010643596"/>
    <n v="3239"/>
    <n v="3.5813522692188945E-2"/>
    <m/>
    <n v="446.52"/>
    <n v="250.25"/>
    <n v="0"/>
    <n v="51.612903225806448"/>
    <n v="4.8"/>
    <n v="42"/>
    <n v="0"/>
    <n v="0"/>
  </r>
  <r>
    <s v="segunda-feira"/>
    <x v="548"/>
    <n v="63094.61"/>
    <n v="63069.1"/>
    <n v="25.51"/>
    <n v="223"/>
    <n v="248"/>
    <n v="282.93547085201794"/>
    <n v="1513.3329032258064"/>
    <n v="41.69248541778753"/>
    <n v="5686"/>
    <n v="3.9219134716848403E-2"/>
    <m/>
    <n v="512.02"/>
    <n v="231.35"/>
    <n v="0"/>
    <n v="51.612903225806448"/>
    <n v="4.8600000000000003"/>
    <n v="42"/>
    <n v="0"/>
    <n v="0"/>
  </r>
  <r>
    <s v="terça-feira"/>
    <x v="549"/>
    <n v="51297.189999999995"/>
    <n v="51273.24"/>
    <n v="23.95"/>
    <n v="182"/>
    <n v="212"/>
    <n v="281.85269230769228"/>
    <n v="1642.3029032258064"/>
    <n v="31.23491403397157"/>
    <n v="5430"/>
    <n v="3.3517495395948435E-2"/>
    <m/>
    <n v="635.12"/>
    <n v="232.43"/>
    <n v="0"/>
    <n v="51.612903225806448"/>
    <n v="5.17"/>
    <n v="42"/>
    <n v="0"/>
    <n v="0"/>
  </r>
  <r>
    <s v="quarta-feira"/>
    <x v="550"/>
    <n v="57068.22"/>
    <n v="57068.22"/>
    <n v="0"/>
    <n v="196"/>
    <n v="222"/>
    <n v="291.16438775510204"/>
    <n v="1657.3129032258062"/>
    <n v="34.434185535466476"/>
    <n v="5074"/>
    <n v="3.8628301143082383E-2"/>
    <m/>
    <n v="622.05999999999995"/>
    <n v="245.91"/>
    <n v="0"/>
    <n v="51.612903225806448"/>
    <n v="0"/>
    <n v="35"/>
    <n v="0"/>
    <n v="0"/>
  </r>
  <r>
    <s v="quinta-feira"/>
    <x v="551"/>
    <n v="67730.460000000006"/>
    <n v="67730.460000000006"/>
    <n v="0"/>
    <n v="248"/>
    <n v="290"/>
    <n v="273.10669354838711"/>
    <n v="2166.2329032258062"/>
    <n v="31.266471808797856"/>
    <n v="5305"/>
    <n v="4.6748350612629594E-2"/>
    <m/>
    <n v="700.95"/>
    <n v="346.48"/>
    <n v="0"/>
    <n v="51.612903225806448"/>
    <n v="5.55"/>
    <n v="17"/>
    <n v="0"/>
    <n v="0"/>
  </r>
  <r>
    <s v="sexta-feira"/>
    <x v="552"/>
    <n v="58300.55"/>
    <n v="58300.55"/>
    <n v="0"/>
    <n v="230"/>
    <n v="273"/>
    <n v="253.48065217391306"/>
    <n v="2886.3629032258068"/>
    <n v="20.198620878491457"/>
    <n v="5122"/>
    <n v="4.4904334244435767E-2"/>
    <m/>
    <n v="633.94000000000005"/>
    <n v="402.54"/>
    <n v="0"/>
    <n v="51.612903225806448"/>
    <n v="113.11"/>
    <n v="5"/>
    <n v="0"/>
    <n v="0"/>
  </r>
  <r>
    <s v="sábado"/>
    <x v="553"/>
    <n v="35975.949999999997"/>
    <n v="35975.949999999997"/>
    <n v="0"/>
    <n v="139"/>
    <n v="154"/>
    <n v="258.81978417266185"/>
    <n v="2913.6129032258063"/>
    <n v="12.347539359181594"/>
    <n v="4070"/>
    <n v="3.4152334152334152E-2"/>
    <m/>
    <n v="546.25"/>
    <n v="485.3"/>
    <n v="0"/>
    <n v="51.612903225806448"/>
    <n v="3.04"/>
    <n v="0"/>
    <n v="0"/>
    <n v="0"/>
  </r>
  <r>
    <s v="domingo"/>
    <x v="554"/>
    <n v="29340.36"/>
    <n v="29303.97"/>
    <n v="36.39"/>
    <n v="102"/>
    <n v="122"/>
    <n v="287.65058823529415"/>
    <n v="2724.0729032258064"/>
    <n v="10.77076900741371"/>
    <n v="3898"/>
    <n v="2.6167265264238071E-2"/>
    <m/>
    <n v="480.25"/>
    <n v="456.99"/>
    <n v="0"/>
    <n v="51.612903225806448"/>
    <n v="4.66"/>
    <n v="0"/>
    <n v="0"/>
    <n v="0"/>
  </r>
  <r>
    <s v="segunda-feira"/>
    <x v="555"/>
    <n v="61533.279999999999"/>
    <n v="61533.279999999999"/>
    <n v="0"/>
    <n v="227"/>
    <n v="268"/>
    <n v="271.07171806167401"/>
    <n v="3480.3329032258066"/>
    <n v="17.680285682719266"/>
    <n v="5968"/>
    <n v="3.8036193029490614E-2"/>
    <m/>
    <n v="764.31"/>
    <n v="529.69000000000005"/>
    <n v="0"/>
    <n v="51.612903225806448"/>
    <n v="109.13"/>
    <n v="0"/>
    <n v="0"/>
    <n v="0"/>
  </r>
  <r>
    <s v="terça-feira"/>
    <x v="556"/>
    <n v="63601.54"/>
    <n v="63601.54"/>
    <n v="0"/>
    <n v="229"/>
    <n v="262"/>
    <n v="277.73598253275111"/>
    <n v="2949.1029032258061"/>
    <n v="21.566402423744172"/>
    <n v="5753"/>
    <n v="3.9805318964018774E-2"/>
    <m/>
    <n v="704.98"/>
    <n v="396.19"/>
    <n v="0"/>
    <n v="51.612903225806448"/>
    <n v="121.55"/>
    <n v="0"/>
    <n v="0"/>
    <n v="0"/>
  </r>
  <r>
    <s v="quarta-feira"/>
    <x v="557"/>
    <n v="62310.720000000001"/>
    <n v="62310.720000000001"/>
    <n v="0"/>
    <n v="211"/>
    <n v="243"/>
    <n v="295.31146919431279"/>
    <n v="2735.4529032258065"/>
    <n v="22.778940893670494"/>
    <n v="5662"/>
    <n v="3.7265983751324623E-2"/>
    <m/>
    <n v="657.05"/>
    <n v="360.56"/>
    <n v="0"/>
    <n v="51.612903225806448"/>
    <n v="0.97"/>
    <n v="0"/>
    <n v="0"/>
    <n v="0"/>
  </r>
  <r>
    <s v="quinta-feira"/>
    <x v="558"/>
    <n v="60212.45"/>
    <n v="60212.45"/>
    <n v="0"/>
    <n v="206"/>
    <n v="229"/>
    <n v="292.29344660194175"/>
    <n v="2107.3429032258064"/>
    <n v="28.572687391230939"/>
    <n v="5299"/>
    <n v="3.8875259482921302E-2"/>
    <m/>
    <n v="661.93"/>
    <n v="204.85"/>
    <n v="0"/>
    <n v="51.612903225806448"/>
    <n v="1.1200000000000001"/>
    <n v="0"/>
    <n v="0"/>
    <n v="0"/>
  </r>
  <r>
    <s v="sexta-feira"/>
    <x v="559"/>
    <n v="67998.05"/>
    <n v="67998.05"/>
    <n v="0"/>
    <n v="234"/>
    <n v="267"/>
    <n v="290.58995726495726"/>
    <n v="2233.8129032258066"/>
    <n v="30.440351518162203"/>
    <n v="5028"/>
    <n v="4.6539379474940336E-2"/>
    <m/>
    <n v="618.20000000000005"/>
    <n v="203.34"/>
    <n v="0"/>
    <n v="51.612903225806448"/>
    <n v="1.05"/>
    <n v="0"/>
    <n v="0"/>
    <n v="0"/>
  </r>
  <r>
    <s v="sábado"/>
    <x v="560"/>
    <n v="38647.75"/>
    <n v="38647.75"/>
    <n v="0"/>
    <n v="145"/>
    <n v="166"/>
    <n v="266.53620689655173"/>
    <n v="2012.7029032258063"/>
    <n v="19.201914966216993"/>
    <n v="3757"/>
    <n v="3.8594623369709875E-2"/>
    <m/>
    <n v="495.95"/>
    <n v="212.55"/>
    <n v="0"/>
    <n v="51.612903225806448"/>
    <n v="2.34"/>
    <n v="0"/>
    <n v="0"/>
    <n v="0"/>
  </r>
  <r>
    <s v="domingo"/>
    <x v="561"/>
    <n v="26806.639999999999"/>
    <n v="26806.639999999999"/>
    <n v="0"/>
    <n v="99"/>
    <n v="106"/>
    <n v="270.77414141414141"/>
    <n v="1798.8329032258061"/>
    <n v="14.902240198035216"/>
    <n v="3159"/>
    <n v="3.1339031339031341E-2"/>
    <m/>
    <n v="501.19"/>
    <n v="220.22"/>
    <n v="0"/>
    <n v="51.612903225806448"/>
    <n v="4.95"/>
    <n v="0"/>
    <n v="0"/>
    <n v="0"/>
  </r>
  <r>
    <s v="segunda-feira"/>
    <x v="562"/>
    <n v="67591.179999999993"/>
    <n v="67591.179999999993"/>
    <n v="0"/>
    <n v="227"/>
    <n v="264"/>
    <n v="297.75850220264311"/>
    <n v="1861.3429032258066"/>
    <n v="36.313126336292399"/>
    <n v="5415"/>
    <n v="4.1920590951061862E-2"/>
    <m/>
    <n v="869.43"/>
    <n v="184.37"/>
    <n v="0"/>
    <n v="51.612903225806448"/>
    <n v="2.1800000000000002"/>
    <n v="0"/>
    <n v="0"/>
    <n v="0"/>
  </r>
  <r>
    <s v="terça-feira"/>
    <x v="563"/>
    <n v="40260.420000000006"/>
    <n v="40213.870000000003"/>
    <n v="46.55"/>
    <n v="147"/>
    <n v="174"/>
    <n v="273.88040816326537"/>
    <n v="1531.7929032258066"/>
    <n v="26.283200500025483"/>
    <n v="5161"/>
    <n v="2.8482852160434023E-2"/>
    <m/>
    <n v="784.38"/>
    <n v="182.08"/>
    <n v="0"/>
    <n v="51.612903225806448"/>
    <n v="0.38"/>
    <n v="0"/>
    <n v="0"/>
    <n v="0"/>
  </r>
  <r>
    <s v="quarta-feira"/>
    <x v="564"/>
    <n v="47614.62"/>
    <n v="47614.62"/>
    <n v="0"/>
    <n v="177"/>
    <n v="199"/>
    <n v="269.00915254237287"/>
    <n v="1457.7429032258062"/>
    <n v="32.6632493937269"/>
    <n v="5204"/>
    <n v="3.4012298232129132E-2"/>
    <m/>
    <n v="785.75"/>
    <n v="206.11"/>
    <n v="0"/>
    <n v="51.612903225806448"/>
    <n v="0.42"/>
    <n v="19"/>
    <n v="0"/>
    <n v="0"/>
  </r>
  <r>
    <s v="quinta-feira"/>
    <x v="565"/>
    <n v="48753.4"/>
    <n v="48753.4"/>
    <n v="0"/>
    <n v="172"/>
    <n v="201"/>
    <n v="283.45"/>
    <n v="1402.1629032258063"/>
    <n v="34.770139680516628"/>
    <n v="5012"/>
    <n v="3.4317637669592976E-2"/>
    <m/>
    <n v="745.56"/>
    <n v="234.62"/>
    <n v="0"/>
    <n v="51.612903225806448"/>
    <n v="0"/>
    <n v="20"/>
    <n v="0"/>
    <n v="0"/>
  </r>
  <r>
    <s v="sexta-feira"/>
    <x v="566"/>
    <n v="49015.22"/>
    <n v="49015.22"/>
    <n v="0"/>
    <n v="178"/>
    <n v="206"/>
    <n v="275.36640449438204"/>
    <n v="468.61290322580641"/>
    <n v="104.59639430026847"/>
    <n v="5214"/>
    <n v="3.4138856923667048E-2"/>
    <m/>
    <n v="112.13"/>
    <n v="55.43"/>
    <n v="0"/>
    <n v="51.612903225806448"/>
    <n v="1.01"/>
    <n v="20"/>
    <n v="0"/>
    <n v="0"/>
  </r>
  <r>
    <s v="sábado"/>
    <x v="567"/>
    <n v="33277.61"/>
    <n v="33277.61"/>
    <n v="0"/>
    <n v="130"/>
    <n v="143"/>
    <n v="255.9816153846154"/>
    <n v="767.97290322580648"/>
    <n v="43.331750196159476"/>
    <n v="3862"/>
    <n v="3.3661315380631794E-2"/>
    <m/>
    <n v="454.25"/>
    <n v="260.13"/>
    <n v="0"/>
    <n v="51.612903225806448"/>
    <n v="0.99"/>
    <n v="19"/>
    <n v="0"/>
    <n v="0"/>
  </r>
  <r>
    <s v="domingo"/>
    <x v="568"/>
    <n v="24143.34"/>
    <n v="24143.34"/>
    <n v="0"/>
    <n v="80"/>
    <n v="100"/>
    <n v="301.79174999999998"/>
    <n v="794.99290322580646"/>
    <n v="30.369252231101271"/>
    <n v="3401"/>
    <n v="2.3522493384298737E-2"/>
    <m/>
    <n v="786.21"/>
    <n v="274.10000000000002"/>
    <n v="0"/>
    <n v="51.612903225806448"/>
    <n v="2.69"/>
    <n v="20"/>
    <n v="0"/>
    <n v="0"/>
  </r>
  <r>
    <s v="segunda-feira"/>
    <x v="569"/>
    <n v="58669.01"/>
    <n v="58669.01"/>
    <n v="0"/>
    <n v="246"/>
    <n v="325"/>
    <n v="238.4919105691057"/>
    <n v="1245.0229032258064"/>
    <n v="47.122835931765479"/>
    <n v="6243"/>
    <n v="3.9404132628543968E-2"/>
    <m/>
    <n v="658.79"/>
    <n v="406.88"/>
    <n v="0"/>
    <n v="51.612903225806448"/>
    <n v="0.32"/>
    <n v="20"/>
    <n v="0"/>
    <n v="0"/>
  </r>
  <r>
    <s v="terça-feira"/>
    <x v="570"/>
    <n v="69821.009999999995"/>
    <n v="69821.009999999995"/>
    <n v="0"/>
    <n v="283"/>
    <n v="360"/>
    <n v="246.71734982332154"/>
    <n v="1196.9429032258063"/>
    <n v="58.33278246759285"/>
    <n v="6101"/>
    <n v="4.6385838387149644E-2"/>
    <m/>
    <n v="675.76"/>
    <n v="485.58"/>
    <n v="0"/>
    <n v="51.612903225806448"/>
    <n v="0.96"/>
    <n v="0"/>
    <n v="0"/>
    <n v="0"/>
  </r>
  <r>
    <s v="quarta-feira"/>
    <x v="571"/>
    <n v="38679.120000000003"/>
    <n v="38679.120000000003"/>
    <n v="0"/>
    <n v="139"/>
    <n v="187"/>
    <n v="278.26705035971224"/>
    <n v="1275.3829032258063"/>
    <n v="30.687170971980446"/>
    <n v="5847"/>
    <n v="2.3772874978621517E-2"/>
    <m/>
    <n v="687.92"/>
    <n v="534"/>
    <n v="0"/>
    <n v="51.612903225806448"/>
    <n v="1.85"/>
    <n v="0"/>
    <n v="0"/>
    <n v="0"/>
  </r>
  <r>
    <s v="quinta-feira"/>
    <x v="572"/>
    <n v="55341.440000000002"/>
    <n v="55341.440000000002"/>
    <n v="0"/>
    <n v="228"/>
    <n v="274"/>
    <n v="242.72561403508772"/>
    <n v="942.20290322580638"/>
    <n v="152.6816661994331"/>
    <n v="5576"/>
    <n v="4.0889526542324243E-2"/>
    <m/>
    <n v="523.17999999999995"/>
    <n v="366.41"/>
    <n v="0"/>
    <n v="51.612903225806448"/>
    <n v="1"/>
    <n v="0"/>
    <n v="0"/>
    <n v="0"/>
  </r>
  <r>
    <s v="sexta-feira"/>
    <x v="573"/>
    <n v="56585.719999999994"/>
    <n v="56559.63"/>
    <n v="26.09"/>
    <n v="218"/>
    <n v="245"/>
    <n v="259.56752293577978"/>
    <n v="792.38290322580633"/>
    <n v="1096.3483249999999"/>
    <n v="5586"/>
    <n v="3.9026136770497676E-2"/>
    <m/>
    <n v="404.09"/>
    <n v="335.52"/>
    <n v="0"/>
    <n v="51.612903225806448"/>
    <n v="1.1599999999999999"/>
    <n v="0"/>
    <n v="0"/>
    <n v="0"/>
  </r>
  <r>
    <s v="sábado"/>
    <x v="574"/>
    <n v="43999.29"/>
    <n v="43999.29"/>
    <n v="0"/>
    <n v="164"/>
    <n v="198"/>
    <n v="268.28835365853661"/>
    <n v="783.50290322580634"/>
    <n v="852.48624375000009"/>
    <n v="4322"/>
    <n v="3.7945395650161959E-2"/>
    <m/>
    <n v="400.02"/>
    <n v="330.82"/>
    <n v="0"/>
    <n v="51.612903225806448"/>
    <n v="1.05"/>
    <n v="0"/>
    <n v="0"/>
    <n v="0"/>
  </r>
  <r>
    <s v="domingo"/>
    <x v="575"/>
    <n v="39462.46"/>
    <n v="39462.46"/>
    <n v="0"/>
    <n v="147"/>
    <n v="187"/>
    <n v="268.45210884353742"/>
    <n v="1095.2429032258065"/>
    <n v="764.58516250000002"/>
    <n v="3813"/>
    <n v="3.8552321007081038E-2"/>
    <m/>
    <n v="686.36"/>
    <n v="352.29"/>
    <n v="0"/>
    <n v="51.612903225806448"/>
    <n v="4.9800000000000004"/>
    <n v="0"/>
    <n v="0"/>
    <n v="0"/>
  </r>
  <r>
    <s v="segunda-feira"/>
    <x v="576"/>
    <n v="51227.97"/>
    <n v="51227.97"/>
    <n v="0"/>
    <n v="182"/>
    <n v="212"/>
    <n v="281.47236263736266"/>
    <n v="991.25290322580645"/>
    <n v="992.54191875000004"/>
    <n v="5222"/>
    <n v="3.4852546916890083E-2"/>
    <m/>
    <n v="730.27"/>
    <n v="207.22"/>
    <n v="0"/>
    <n v="51.612903225806448"/>
    <n v="2.15"/>
    <n v="0"/>
    <n v="0"/>
    <n v="0"/>
  </r>
  <r>
    <s v="terça-feira"/>
    <x v="577"/>
    <n v="37837.360000000001"/>
    <n v="37837.360000000001"/>
    <n v="0"/>
    <n v="129"/>
    <n v="150"/>
    <n v="293.31286821705424"/>
    <n v="484.54290322580647"/>
    <n v="78.645489959435452"/>
    <n v="6068"/>
    <n v="2.1259063941990772E-2"/>
    <m/>
    <n v="220.04"/>
    <n v="209.46"/>
    <n v="0"/>
    <n v="51.612903225806448"/>
    <n v="3.43"/>
    <n v="0"/>
    <n v="0"/>
    <n v="0"/>
  </r>
  <r>
    <s v="quarta-feira"/>
    <x v="578"/>
    <n v="61652.53"/>
    <n v="61652.53"/>
    <n v="0"/>
    <n v="234"/>
    <n v="268"/>
    <n v="263.47235042735042"/>
    <n v="796.29290322580641"/>
    <n v="77.424437352441231"/>
    <n v="5662"/>
    <n v="4.1328152596255739E-2"/>
    <m/>
    <n v="744.68"/>
    <n v="0"/>
    <n v="0"/>
    <n v="51.612903225806448"/>
    <n v="0"/>
    <n v="0"/>
    <n v="0"/>
    <n v="0"/>
  </r>
  <r>
    <s v="quinta-feira"/>
    <x v="579"/>
    <n v="67580.63"/>
    <n v="67580.63"/>
    <n v="0"/>
    <n v="246"/>
    <n v="298"/>
    <n v="274.71800813008133"/>
    <n v="505.95290322580644"/>
    <n v="133.57098964968051"/>
    <n v="3291"/>
    <n v="7.4749316317228809E-2"/>
    <m/>
    <n v="454.34"/>
    <n v="0"/>
    <n v="0"/>
    <n v="51.612903225806448"/>
    <n v="0"/>
    <n v="0"/>
    <n v="0"/>
    <n v="0"/>
  </r>
  <r>
    <s v="sexta-feira"/>
    <x v="580"/>
    <n v="0"/>
    <n v="0"/>
    <n v="0"/>
    <n v="0"/>
    <n v="0"/>
    <n v="0"/>
    <n v="51.612903225806448"/>
    <n v="0"/>
    <n v="0"/>
    <n v="0"/>
    <m/>
    <n v="0"/>
    <n v="0"/>
    <n v="0"/>
    <n v="51.612903225806448"/>
    <n v="0"/>
    <n v="0"/>
    <n v="0"/>
    <n v="0"/>
  </r>
  <r>
    <s v="sábado"/>
    <x v="581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domingo"/>
    <x v="582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gunda-feira"/>
    <x v="583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terça-feira"/>
    <x v="584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arta-feira"/>
    <x v="585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inta-feira"/>
    <x v="586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xta-feira"/>
    <x v="587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ábado"/>
    <x v="588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domingo"/>
    <x v="589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gunda-feira"/>
    <x v="59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terça-feira"/>
    <x v="591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arta-feira"/>
    <x v="592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inta-feira"/>
    <x v="593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xta-feira"/>
    <x v="594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ábado"/>
    <x v="595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domingo"/>
    <x v="596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gunda-feira"/>
    <x v="597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terça-feira"/>
    <x v="598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arta-feira"/>
    <x v="599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inta-feira"/>
    <x v="6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xta-feira"/>
    <x v="601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ábado"/>
    <x v="602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domingo"/>
    <x v="603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gunda-feira"/>
    <x v="604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terça-feira"/>
    <x v="605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arta-feira"/>
    <x v="606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inta-feira"/>
    <x v="607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xta-feira"/>
    <x v="608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ábado"/>
    <x v="609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domingo"/>
    <x v="61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gunda-feira"/>
    <x v="611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terça-feira"/>
    <x v="612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arta-feira"/>
    <x v="613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inta-feira"/>
    <x v="614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xta-feira"/>
    <x v="615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ábado"/>
    <x v="616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domingo"/>
    <x v="617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gunda-feira"/>
    <x v="618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terça-feira"/>
    <x v="619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arta-feira"/>
    <x v="62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inta-feira"/>
    <x v="621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xta-feira"/>
    <x v="622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ábado"/>
    <x v="623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domingo"/>
    <x v="624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gunda-feira"/>
    <x v="625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terça-feira"/>
    <x v="626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arta-feira"/>
    <x v="627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inta-feira"/>
    <x v="628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xta-feira"/>
    <x v="629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ábado"/>
    <x v="63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domingo"/>
    <x v="631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gunda-feira"/>
    <x v="632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terça-feira"/>
    <x v="633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arta-feira"/>
    <x v="634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inta-feira"/>
    <x v="635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xta-feira"/>
    <x v="636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ábado"/>
    <x v="637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domingo"/>
    <x v="638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gunda-feira"/>
    <x v="639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terça-feira"/>
    <x v="64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arta-feira"/>
    <x v="641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inta-feira"/>
    <x v="642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xta-feira"/>
    <x v="643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ábado"/>
    <x v="644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domingo"/>
    <x v="645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gunda-feira"/>
    <x v="646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terça-feira"/>
    <x v="647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arta-feira"/>
    <x v="648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inta-feira"/>
    <x v="649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xta-feira"/>
    <x v="65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ábado"/>
    <x v="651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domingo"/>
    <x v="652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gunda-feira"/>
    <x v="653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terça-feira"/>
    <x v="654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arta-feira"/>
    <x v="655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inta-feira"/>
    <x v="656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xta-feira"/>
    <x v="657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ábado"/>
    <x v="658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domingo"/>
    <x v="659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gunda-feira"/>
    <x v="66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terça-feira"/>
    <x v="661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arta-feira"/>
    <x v="662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inta-feira"/>
    <x v="663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xta-feira"/>
    <x v="664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ábado"/>
    <x v="665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domingo"/>
    <x v="666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gunda-feira"/>
    <x v="667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terça-feira"/>
    <x v="668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arta-feira"/>
    <x v="669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inta-feira"/>
    <x v="67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xta-feira"/>
    <x v="671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ábado"/>
    <x v="672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domingo"/>
    <x v="673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gunda-feira"/>
    <x v="674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terça-feira"/>
    <x v="675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arta-feira"/>
    <x v="676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inta-feira"/>
    <x v="677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xta-feira"/>
    <x v="678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ábado"/>
    <x v="679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domingo"/>
    <x v="68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gunda-feira"/>
    <x v="681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terça-feira"/>
    <x v="682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arta-feira"/>
    <x v="683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inta-feira"/>
    <x v="684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xta-feira"/>
    <x v="685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ábado"/>
    <x v="686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domingo"/>
    <x v="687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gunda-feira"/>
    <x v="688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terça-feira"/>
    <x v="689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arta-feira"/>
    <x v="69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inta-feira"/>
    <x v="691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xta-feira"/>
    <x v="692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ábado"/>
    <x v="693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domingo"/>
    <x v="694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gunda-feira"/>
    <x v="695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terça-feira"/>
    <x v="696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arta-feira"/>
    <x v="697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inta-feira"/>
    <x v="698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xta-feira"/>
    <x v="699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ábado"/>
    <x v="7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domingo"/>
    <x v="701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gunda-feira"/>
    <x v="702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terça-feira"/>
    <x v="703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arta-feira"/>
    <x v="704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inta-feira"/>
    <x v="705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xta-feira"/>
    <x v="706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ábado"/>
    <x v="707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domingo"/>
    <x v="708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gunda-feira"/>
    <x v="709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terça-feira"/>
    <x v="71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arta-feira"/>
    <x v="711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inta-feira"/>
    <x v="712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xta-feira"/>
    <x v="713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ábado"/>
    <x v="714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domingo"/>
    <x v="715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gunda-feira"/>
    <x v="716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terça-feira"/>
    <x v="717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arta-feira"/>
    <x v="718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inta-feira"/>
    <x v="719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xta-feira"/>
    <x v="72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ábado"/>
    <x v="721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domingo"/>
    <x v="722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gunda-feira"/>
    <x v="723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terça-feira"/>
    <x v="724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arta-feira"/>
    <x v="725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quinta-feira"/>
    <x v="726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exta-feira"/>
    <x v="727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sábado"/>
    <x v="728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  <r>
    <s v="domingo"/>
    <x v="729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0">
  <r>
    <s v="sábado"/>
    <x v="0"/>
    <x v="0"/>
    <n v="5604.5"/>
    <n v="0"/>
    <n v="16"/>
    <n v="20"/>
    <n v="350.28125"/>
    <n v="864.09290322580648"/>
    <n v="6.4859923962775801"/>
    <n v="1451"/>
    <n v="1.1026878015161957E-2"/>
  </r>
  <r>
    <s v="domingo"/>
    <x v="1"/>
    <x v="1"/>
    <n v="14542.06"/>
    <n v="0"/>
    <n v="49"/>
    <n v="53"/>
    <n v="296.77673469387753"/>
    <n v="623.00290322580645"/>
    <n v="23.341881594296925"/>
    <n v="2330"/>
    <n v="2.1030042918454936E-2"/>
  </r>
  <r>
    <s v="segunda-feira"/>
    <x v="2"/>
    <x v="2"/>
    <n v="32070.35"/>
    <n v="0"/>
    <n v="110"/>
    <n v="132"/>
    <n v="291.54863636363638"/>
    <n v="495.34290322580648"/>
    <n v="64.743735685217729"/>
    <n v="3741"/>
    <n v="2.9403902699812884E-2"/>
  </r>
  <r>
    <s v="terça-feira"/>
    <x v="3"/>
    <x v="3"/>
    <n v="29496.3"/>
    <n v="0"/>
    <n v="90"/>
    <n v="113"/>
    <n v="327.73666666666668"/>
    <n v="327.95290322580644"/>
    <n v="89.940658277053942"/>
    <n v="3810"/>
    <n v="2.3622047244094488E-2"/>
  </r>
  <r>
    <s v="quarta-feira"/>
    <x v="4"/>
    <x v="4"/>
    <n v="31936.07"/>
    <n v="0"/>
    <n v="100"/>
    <n v="112"/>
    <n v="319.36070000000001"/>
    <n v="369.33290322580649"/>
    <n v="86.469604308378123"/>
    <n v="3549"/>
    <n v="2.817695125387433E-2"/>
  </r>
  <r>
    <s v="quinta-feira"/>
    <x v="5"/>
    <x v="5"/>
    <n v="31305.439999999999"/>
    <n v="0"/>
    <n v="102"/>
    <n v="125"/>
    <n v="306.91607843137251"/>
    <n v="480.43290322580646"/>
    <n v="65.160899242752834"/>
    <n v="3584"/>
    <n v="2.8459821428571428E-2"/>
  </r>
  <r>
    <s v="sexta-feira"/>
    <x v="6"/>
    <x v="6"/>
    <n v="23900.41"/>
    <n v="0"/>
    <n v="84"/>
    <n v="103"/>
    <n v="284.52869047619049"/>
    <n v="611.81290322580651"/>
    <n v="39.064900190865849"/>
    <n v="3558"/>
    <n v="2.3608768971332208E-2"/>
  </r>
  <r>
    <s v="sábado"/>
    <x v="7"/>
    <x v="7"/>
    <n v="11298.96"/>
    <n v="36.1"/>
    <n v="42"/>
    <n v="51"/>
    <n v="269.88238095238091"/>
    <n v="639.21290322580649"/>
    <n v="17.732839782797392"/>
    <n v="2705"/>
    <n v="1.5526802218114602E-2"/>
  </r>
  <r>
    <s v="domingo"/>
    <x v="8"/>
    <x v="8"/>
    <n v="11796.75"/>
    <n v="51.98"/>
    <n v="40"/>
    <n v="43"/>
    <n v="296.21825000000001"/>
    <n v="659.0729032258065"/>
    <n v="17.977874590211272"/>
    <n v="2507"/>
    <n v="1.5955325089748704E-2"/>
  </r>
  <r>
    <s v="segunda-feira"/>
    <x v="9"/>
    <x v="9"/>
    <n v="30538.06"/>
    <n v="0"/>
    <n v="106"/>
    <n v="120"/>
    <n v="288.09490566037738"/>
    <n v="648.41290322580642"/>
    <n v="47.096626004935132"/>
    <n v="3501"/>
    <n v="3.0277063696086834E-2"/>
  </r>
  <r>
    <s v="terça-feira"/>
    <x v="10"/>
    <x v="10"/>
    <n v="23086.73"/>
    <n v="0"/>
    <n v="81"/>
    <n v="97"/>
    <n v="285.02135802469138"/>
    <n v="871.80290322580652"/>
    <n v="26.481593390633943"/>
    <n v="3639"/>
    <n v="2.2258862324814509E-2"/>
  </r>
  <r>
    <s v="quarta-feira"/>
    <x v="11"/>
    <x v="11"/>
    <n v="27521.47"/>
    <n v="0"/>
    <n v="104"/>
    <n v="132"/>
    <n v="264.62951923076923"/>
    <n v="1014.6729032258064"/>
    <n v="27.12348966105715"/>
    <n v="4033"/>
    <n v="2.5787255145053312E-2"/>
  </r>
  <r>
    <s v="quinta-feira"/>
    <x v="12"/>
    <x v="12"/>
    <n v="29283.95"/>
    <n v="0"/>
    <n v="104"/>
    <n v="129"/>
    <n v="281.57644230769233"/>
    <n v="1082.3629032258063"/>
    <n v="27.055574348237506"/>
    <n v="3773"/>
    <n v="2.7564272462231646E-2"/>
  </r>
  <r>
    <s v="sexta-feira"/>
    <x v="13"/>
    <x v="13"/>
    <n v="29457.77"/>
    <n v="0"/>
    <n v="109"/>
    <n v="133"/>
    <n v="270.25477064220183"/>
    <n v="1021.8629032258065"/>
    <n v="28.82751679017607"/>
    <n v="3470"/>
    <n v="3.1412103746397697E-2"/>
  </r>
  <r>
    <s v="sábado"/>
    <x v="14"/>
    <x v="14"/>
    <n v="17288.830000000002"/>
    <n v="68.16"/>
    <n v="64"/>
    <n v="80"/>
    <n v="271.20296875000003"/>
    <n v="994.23290322580647"/>
    <n v="17.457670072761559"/>
    <n v="2830"/>
    <n v="2.2614840989399292E-2"/>
  </r>
  <r>
    <s v="domingo"/>
    <x v="15"/>
    <x v="15"/>
    <n v="16479.939999999999"/>
    <n v="0"/>
    <n v="57"/>
    <n v="67"/>
    <n v="289.12175438596489"/>
    <n v="855.37290322580645"/>
    <n v="19.266380706999701"/>
    <n v="2426"/>
    <n v="2.3495465787304205E-2"/>
  </r>
  <r>
    <s v="segunda-feira"/>
    <x v="16"/>
    <x v="16"/>
    <n v="29037.33"/>
    <n v="0"/>
    <n v="114"/>
    <n v="147"/>
    <n v="254.71342105263159"/>
    <n v="1122.5129032258064"/>
    <n v="25.868148077901253"/>
    <n v="4395"/>
    <n v="2.5938566552901023E-2"/>
  </r>
  <r>
    <s v="terça-feira"/>
    <x v="17"/>
    <x v="17"/>
    <n v="23704.3"/>
    <n v="0"/>
    <n v="84"/>
    <n v="104"/>
    <n v="282.19404761904764"/>
    <n v="954.25290322580645"/>
    <n v="24.840689422970307"/>
    <n v="3565"/>
    <n v="2.356241234221599E-2"/>
  </r>
  <r>
    <s v="quarta-feira"/>
    <x v="18"/>
    <x v="18"/>
    <n v="30324.67"/>
    <n v="35"/>
    <n v="95"/>
    <n v="124"/>
    <n v="319.57547368421052"/>
    <n v="920.61290322580646"/>
    <n v="32.977671607274253"/>
    <n v="3392"/>
    <n v="2.8007075471698114E-2"/>
  </r>
  <r>
    <s v="quinta-feira"/>
    <x v="19"/>
    <x v="19"/>
    <n v="23211.75"/>
    <n v="0"/>
    <n v="84"/>
    <n v="104"/>
    <n v="276.33035714285717"/>
    <n v="911.23290322580647"/>
    <n v="25.472905903451615"/>
    <n v="3446"/>
    <n v="2.4376088218224026E-2"/>
  </r>
  <r>
    <s v="sexta-feira"/>
    <x v="20"/>
    <x v="20"/>
    <n v="28164.080000000002"/>
    <n v="22.36"/>
    <n v="101"/>
    <n v="129"/>
    <n v="279.07366336633663"/>
    <n v="984.34290322580648"/>
    <n v="28.634777482145452"/>
    <n v="3195"/>
    <n v="3.1611893583724571E-2"/>
  </r>
  <r>
    <s v="sábado"/>
    <x v="21"/>
    <x v="21"/>
    <n v="17544.060000000001"/>
    <n v="0"/>
    <n v="55"/>
    <n v="62"/>
    <n v="318.98290909090912"/>
    <n v="879.90290322580643"/>
    <n v="19.938631791850934"/>
    <n v="2480"/>
    <n v="2.2177419354838711E-2"/>
  </r>
  <r>
    <s v="domingo"/>
    <x v="22"/>
    <x v="22"/>
    <n v="13039.53"/>
    <n v="0"/>
    <n v="50"/>
    <n v="58"/>
    <n v="260.79060000000004"/>
    <n v="848.08290322580649"/>
    <n v="15.375301106061983"/>
    <n v="2195"/>
    <n v="2.2779043280182234E-2"/>
  </r>
  <r>
    <s v="segunda-feira"/>
    <x v="23"/>
    <x v="23"/>
    <n v="22746.44"/>
    <n v="0"/>
    <n v="85"/>
    <n v="101"/>
    <n v="267.60517647058822"/>
    <n v="1199.4629032258063"/>
    <n v="18.96385452090788"/>
    <n v="4190"/>
    <n v="2.028639618138425E-2"/>
  </r>
  <r>
    <s v="terça-feira"/>
    <x v="24"/>
    <x v="24"/>
    <n v="22863.53"/>
    <n v="0"/>
    <n v="81"/>
    <n v="96"/>
    <n v="282.26580246913579"/>
    <n v="1261.3729032258063"/>
    <n v="18.125908636160908"/>
    <n v="3729"/>
    <n v="2.1721641190667738E-2"/>
  </r>
  <r>
    <s v="quarta-feira"/>
    <x v="25"/>
    <x v="25"/>
    <n v="31040.799999999999"/>
    <n v="0"/>
    <n v="98"/>
    <n v="118"/>
    <n v="316.74285714285713"/>
    <n v="1113.3129032258064"/>
    <n v="27.881469719842261"/>
    <n v="3595"/>
    <n v="2.7260083449235049E-2"/>
  </r>
  <r>
    <s v="quinta-feira"/>
    <x v="26"/>
    <x v="26"/>
    <n v="27183.93"/>
    <n v="0"/>
    <n v="94"/>
    <n v="114"/>
    <n v="289.19074468085108"/>
    <n v="1178.6829032258063"/>
    <n v="23.062971326387547"/>
    <n v="3755"/>
    <n v="2.5033288948069242E-2"/>
  </r>
  <r>
    <s v="sexta-feira"/>
    <x v="27"/>
    <x v="27"/>
    <n v="34248.76"/>
    <n v="35"/>
    <n v="120"/>
    <n v="143"/>
    <n v="285.69800000000004"/>
    <n v="1093.2329032258065"/>
    <n v="31.359978188397715"/>
    <n v="3664"/>
    <n v="3.2751091703056769E-2"/>
  </r>
  <r>
    <s v="sábado"/>
    <x v="28"/>
    <x v="28"/>
    <n v="19991.099999999999"/>
    <n v="21.94"/>
    <n v="64"/>
    <n v="81"/>
    <n v="312.70374999999996"/>
    <n v="965.64290322580644"/>
    <n v="20.725094062354579"/>
    <n v="3019"/>
    <n v="2.119907254057635E-2"/>
  </r>
  <r>
    <s v="domingo"/>
    <x v="29"/>
    <x v="29"/>
    <n v="12825.9"/>
    <n v="0"/>
    <n v="50"/>
    <n v="56"/>
    <n v="256.51799999999997"/>
    <n v="904.70290322580638"/>
    <n v="14.1769192452771"/>
    <n v="2728"/>
    <n v="1.8328445747800588E-2"/>
  </r>
  <r>
    <s v="segunda-feira"/>
    <x v="30"/>
    <x v="30"/>
    <n v="32667"/>
    <n v="23.98"/>
    <n v="112"/>
    <n v="135"/>
    <n v="291.88375000000002"/>
    <n v="1302.7129032258063"/>
    <n v="25.09453918745249"/>
    <n v="3843"/>
    <n v="2.9143897996357013E-2"/>
  </r>
  <r>
    <s v="terça-feira"/>
    <x v="31"/>
    <x v="31"/>
    <n v="34692.58"/>
    <n v="35"/>
    <n v="120"/>
    <n v="150"/>
    <n v="289.3965"/>
    <n v="1482.3328571428572"/>
    <n v="23.427653129767464"/>
    <n v="4432"/>
    <n v="2.7075812274368231E-2"/>
  </r>
  <r>
    <s v="quarta-feira"/>
    <x v="32"/>
    <x v="32"/>
    <n v="34513.9"/>
    <n v="0"/>
    <n v="114"/>
    <n v="130"/>
    <n v="302.75350877192983"/>
    <n v="1266.7028571428571"/>
    <n v="27.247037302693609"/>
    <n v="4313"/>
    <n v="2.643171806167401E-2"/>
  </r>
  <r>
    <s v="quinta-feira"/>
    <x v="33"/>
    <x v="33"/>
    <n v="34177.800000000003"/>
    <n v="0"/>
    <n v="113"/>
    <n v="144"/>
    <n v="302.45840707964607"/>
    <n v="1090.242857142857"/>
    <n v="31.348795157042343"/>
    <n v="3709"/>
    <n v="3.0466433000808844E-2"/>
  </r>
  <r>
    <s v="sexta-feira"/>
    <x v="34"/>
    <x v="34"/>
    <n v="43437.4"/>
    <n v="0"/>
    <n v="137"/>
    <n v="200"/>
    <n v="317.06131386861313"/>
    <n v="1040.0128571428572"/>
    <n v="41.766214428667773"/>
    <n v="3739"/>
    <n v="3.6640813051618079E-2"/>
  </r>
  <r>
    <s v="sábado"/>
    <x v="35"/>
    <x v="35"/>
    <n v="19563.78"/>
    <n v="0"/>
    <n v="74"/>
    <n v="82"/>
    <n v="264.37540540540539"/>
    <n v="981.06285714285707"/>
    <n v="19.94141339421968"/>
    <n v="2990"/>
    <n v="2.4749163879598662E-2"/>
  </r>
  <r>
    <s v="domingo"/>
    <x v="36"/>
    <x v="36"/>
    <n v="16604.64"/>
    <n v="0"/>
    <n v="67"/>
    <n v="73"/>
    <n v="247.83044776119402"/>
    <n v="915.63285714285712"/>
    <n v="18.134604793249945"/>
    <n v="2653"/>
    <n v="2.5254428948360347E-2"/>
  </r>
  <r>
    <s v="segunda-feira"/>
    <x v="37"/>
    <x v="37"/>
    <n v="33000.32"/>
    <n v="95.04"/>
    <n v="133"/>
    <n v="141"/>
    <n v="248.8372932330827"/>
    <n v="1212.0428571428572"/>
    <n v="27.305437101469774"/>
    <n v="3855"/>
    <n v="3.4500648508430612E-2"/>
  </r>
  <r>
    <s v="terça-feira"/>
    <x v="38"/>
    <x v="38"/>
    <n v="44882.03"/>
    <n v="0"/>
    <n v="141"/>
    <n v="163"/>
    <n v="318.31226950354608"/>
    <n v="1171.222857142857"/>
    <n v="38.320657530102849"/>
    <n v="3847"/>
    <n v="3.6651936573953728E-2"/>
  </r>
  <r>
    <s v="quarta-feira"/>
    <x v="39"/>
    <x v="39"/>
    <n v="35475.599999999999"/>
    <n v="62.16"/>
    <n v="122"/>
    <n v="149"/>
    <n v="291.29311475409838"/>
    <n v="2027.722857142857"/>
    <n v="17.525945360242243"/>
    <n v="3829"/>
    <n v="3.1862104988247583E-2"/>
  </r>
  <r>
    <s v="quinta-feira"/>
    <x v="40"/>
    <x v="40"/>
    <n v="32915.71"/>
    <n v="0"/>
    <n v="111"/>
    <n v="127"/>
    <n v="296.53792792792791"/>
    <n v="1496.9328571428571"/>
    <n v="21.988768462751931"/>
    <n v="3713"/>
    <n v="2.9894963641260437E-2"/>
  </r>
  <r>
    <s v="sexta-feira"/>
    <x v="41"/>
    <x v="41"/>
    <n v="35576.080000000002"/>
    <n v="44.48"/>
    <n v="128"/>
    <n v="149"/>
    <n v="278.28562500000004"/>
    <n v="1248.712857142857"/>
    <n v="28.525821445854536"/>
    <n v="3532"/>
    <n v="3.6240090600226503E-2"/>
  </r>
  <r>
    <s v="sábado"/>
    <x v="42"/>
    <x v="42"/>
    <n v="24216.17"/>
    <n v="0"/>
    <n v="86"/>
    <n v="94"/>
    <n v="281.58337209302323"/>
    <n v="1201.6728571428571"/>
    <n v="20.152048751086284"/>
    <n v="2792"/>
    <n v="3.0802292263610316E-2"/>
  </r>
  <r>
    <s v="domingo"/>
    <x v="43"/>
    <x v="43"/>
    <n v="17251.7"/>
    <n v="0"/>
    <n v="56"/>
    <n v="71"/>
    <n v="308.06607142857143"/>
    <n v="1223.6928571428571"/>
    <n v="14.098063823204937"/>
    <n v="2610"/>
    <n v="2.1455938697318006E-2"/>
  </r>
  <r>
    <s v="segunda-feira"/>
    <x v="44"/>
    <x v="44"/>
    <n v="49152.92"/>
    <n v="0"/>
    <n v="161"/>
    <n v="195"/>
    <n v="305.29763975155277"/>
    <n v="1221.3928571428571"/>
    <n v="40.243333430802068"/>
    <n v="3802"/>
    <n v="4.2346133613887428E-2"/>
  </r>
  <r>
    <s v="terça-feira"/>
    <x v="45"/>
    <x v="45"/>
    <n v="37487.620000000003"/>
    <n v="0"/>
    <n v="118"/>
    <n v="150"/>
    <n v="317.69169491525423"/>
    <n v="1015.7828571428571"/>
    <n v="36.905151269675187"/>
    <n v="3685"/>
    <n v="3.2021709633649934E-2"/>
  </r>
  <r>
    <s v="quarta-feira"/>
    <x v="46"/>
    <x v="46"/>
    <n v="34466.01"/>
    <n v="0"/>
    <n v="119"/>
    <n v="131"/>
    <n v="289.63033613445378"/>
    <n v="1524.242857142857"/>
    <n v="22.61188880662062"/>
    <n v="3950"/>
    <n v="3.0126582278481012E-2"/>
  </r>
  <r>
    <s v="quinta-feira"/>
    <x v="47"/>
    <x v="47"/>
    <n v="48035.64"/>
    <n v="0"/>
    <n v="146"/>
    <n v="200"/>
    <n v="329.01123287671231"/>
    <n v="1830.972857142857"/>
    <n v="26.235036643283316"/>
    <n v="3982"/>
    <n v="3.6664992466097439E-2"/>
  </r>
  <r>
    <s v="sexta-feira"/>
    <x v="48"/>
    <x v="48"/>
    <n v="48202.37"/>
    <n v="22.08"/>
    <n v="163"/>
    <n v="194"/>
    <n v="295.85552147239264"/>
    <n v="1511.992857142857"/>
    <n v="31.89462818701903"/>
    <n v="3717"/>
    <n v="4.385256927629809E-2"/>
  </r>
  <r>
    <s v="sábado"/>
    <x v="49"/>
    <x v="49"/>
    <n v="22149.7"/>
    <n v="0"/>
    <n v="77"/>
    <n v="93"/>
    <n v="287.65844155844155"/>
    <n v="1368.7728571428572"/>
    <n v="16.182158993300568"/>
    <n v="2874"/>
    <n v="2.6791927627000695E-2"/>
  </r>
  <r>
    <s v="domingo"/>
    <x v="50"/>
    <x v="50"/>
    <n v="18486.900000000001"/>
    <n v="0"/>
    <n v="67"/>
    <n v="76"/>
    <n v="275.92388059701494"/>
    <n v="1394.272857142857"/>
    <n v="13.259169398078468"/>
    <n v="2702"/>
    <n v="2.4796447076239823E-2"/>
  </r>
  <r>
    <s v="segunda-feira"/>
    <x v="51"/>
    <x v="51"/>
    <n v="29736.11"/>
    <n v="35"/>
    <n v="115"/>
    <n v="130"/>
    <n v="258.87921739130434"/>
    <n v="1619.6828571428571"/>
    <n v="18.38082675797202"/>
    <n v="3943"/>
    <n v="2.916560994166878E-2"/>
  </r>
  <r>
    <s v="terça-feira"/>
    <x v="52"/>
    <x v="52"/>
    <n v="41774.85"/>
    <n v="0"/>
    <n v="135"/>
    <n v="153"/>
    <n v="309.44333333333333"/>
    <n v="1709.5928571428569"/>
    <n v="24.435554831350824"/>
    <n v="4392"/>
    <n v="3.0737704918032786E-2"/>
  </r>
  <r>
    <s v="quarta-feira"/>
    <x v="53"/>
    <x v="53"/>
    <n v="36378.120000000003"/>
    <n v="0"/>
    <n v="133"/>
    <n v="156"/>
    <n v="273.51969924812033"/>
    <n v="1567.6728571428571"/>
    <n v="23.205173090960123"/>
    <n v="4046"/>
    <n v="3.2871972318339097E-2"/>
  </r>
  <r>
    <s v="quinta-feira"/>
    <x v="54"/>
    <x v="54"/>
    <n v="47748.09"/>
    <n v="0"/>
    <n v="135"/>
    <n v="253"/>
    <n v="353.68955555555556"/>
    <n v="1731.9528571428571"/>
    <n v="27.568931684877597"/>
    <n v="3927"/>
    <n v="3.4377387318563789E-2"/>
  </r>
  <r>
    <s v="sexta-feira"/>
    <x v="55"/>
    <x v="55"/>
    <n v="52533.82"/>
    <n v="28.18"/>
    <n v="147"/>
    <n v="192"/>
    <n v="357.56462585034012"/>
    <n v="1647.3928571428571"/>
    <n v="31.906172090099076"/>
    <n v="3688"/>
    <n v="3.9859002169197397E-2"/>
  </r>
  <r>
    <s v="sábado"/>
    <x v="56"/>
    <x v="56"/>
    <n v="24602.11"/>
    <n v="22.28"/>
    <n v="75"/>
    <n v="86"/>
    <n v="328.3252"/>
    <n v="1520.972857142857"/>
    <n v="16.189894437864488"/>
    <n v="2721"/>
    <n v="2.7563395810363836E-2"/>
  </r>
  <r>
    <s v="domingo"/>
    <x v="57"/>
    <x v="57"/>
    <n v="14697.45"/>
    <n v="0"/>
    <n v="50"/>
    <n v="55"/>
    <n v="293.94900000000001"/>
    <n v="1307.1528571428571"/>
    <n v="11.243864801034309"/>
    <n v="2157"/>
    <n v="2.3180343069077423E-2"/>
  </r>
  <r>
    <s v="segunda-feira"/>
    <x v="58"/>
    <x v="58"/>
    <n v="20827.53"/>
    <n v="0"/>
    <n v="67"/>
    <n v="82"/>
    <n v="310.8586567164179"/>
    <n v="1123.2528571428572"/>
    <n v="18.542156262996372"/>
    <n v="3593"/>
    <n v="1.864736988588923E-2"/>
  </r>
  <r>
    <s v="terça-feira"/>
    <x v="59"/>
    <x v="59"/>
    <n v="26424.45"/>
    <n v="0"/>
    <n v="79"/>
    <n v="106"/>
    <n v="334.48670886075951"/>
    <n v="650.75290322580645"/>
    <n v="40.605965596177924"/>
    <n v="2798"/>
    <n v="2.8234453180843458E-2"/>
  </r>
  <r>
    <s v="quarta-feira"/>
    <x v="60"/>
    <x v="60"/>
    <n v="33508.92"/>
    <n v="0"/>
    <n v="115"/>
    <n v="135"/>
    <n v="291.38191304347822"/>
    <n v="678.90290322580643"/>
    <n v="49.357455743350634"/>
    <n v="4040"/>
    <n v="2.8465346534653466E-2"/>
  </r>
  <r>
    <s v="quinta-feira"/>
    <x v="61"/>
    <x v="61"/>
    <n v="38636.53"/>
    <n v="0"/>
    <n v="131"/>
    <n v="185"/>
    <n v="294.93534351145036"/>
    <n v="795.14290322580644"/>
    <n v="48.590674510526206"/>
    <n v="3937"/>
    <n v="3.3274066548133099E-2"/>
  </r>
  <r>
    <s v="sexta-feira"/>
    <x v="62"/>
    <x v="62"/>
    <n v="34579.99"/>
    <n v="24.04"/>
    <n v="111"/>
    <n v="172"/>
    <n v="311.748018018018"/>
    <n v="842.60290322580647"/>
    <n v="41.068016579960172"/>
    <n v="3680"/>
    <n v="3.0163043478260869E-2"/>
  </r>
  <r>
    <s v="sábado"/>
    <x v="63"/>
    <x v="63"/>
    <n v="20933.25"/>
    <n v="0"/>
    <n v="71"/>
    <n v="87"/>
    <n v="294.83450704225351"/>
    <n v="735.20290322580649"/>
    <n v="28.472752090820659"/>
    <n v="2905"/>
    <n v="2.4440619621342512E-2"/>
  </r>
  <r>
    <s v="domingo"/>
    <x v="64"/>
    <x v="64"/>
    <n v="20161.580000000002"/>
    <n v="24.06"/>
    <n v="57"/>
    <n v="83"/>
    <n v="354.13403508771933"/>
    <n v="738.91290322580642"/>
    <n v="27.318023425869743"/>
    <n v="2521"/>
    <n v="2.2610075366917889E-2"/>
  </r>
  <r>
    <s v="segunda-feira"/>
    <x v="65"/>
    <x v="65"/>
    <n v="53461.25"/>
    <n v="0"/>
    <n v="165"/>
    <n v="273"/>
    <n v="324.00757575757575"/>
    <n v="954.45290322580638"/>
    <n v="56.012454694531982"/>
    <n v="4558"/>
    <n v="3.6200087757788504E-2"/>
  </r>
  <r>
    <s v="terça-feira"/>
    <x v="66"/>
    <x v="66"/>
    <n v="69122.89"/>
    <n v="0"/>
    <n v="227"/>
    <n v="341"/>
    <n v="304.50612334801764"/>
    <n v="925.34290322580648"/>
    <n v="74.699756986337761"/>
    <n v="4622"/>
    <n v="4.91129381220251E-2"/>
  </r>
  <r>
    <s v="quarta-feira"/>
    <x v="67"/>
    <x v="67"/>
    <n v="39587.160000000003"/>
    <n v="0"/>
    <n v="124"/>
    <n v="167"/>
    <n v="319.2512903225807"/>
    <n v="865.85290322580647"/>
    <n v="45.720421855161277"/>
    <n v="4144"/>
    <n v="2.9922779922779922E-2"/>
  </r>
  <r>
    <s v="quinta-feira"/>
    <x v="68"/>
    <x v="68"/>
    <n v="28431.84"/>
    <n v="0"/>
    <n v="105"/>
    <n v="126"/>
    <n v="270.77942857142858"/>
    <n v="951.53290322580654"/>
    <n v="29.880038728679562"/>
    <n v="3802"/>
    <n v="2.7617043661230932E-2"/>
  </r>
  <r>
    <s v="sexta-feira"/>
    <x v="69"/>
    <x v="69"/>
    <n v="31452.85"/>
    <n v="0"/>
    <n v="109"/>
    <n v="123"/>
    <n v="288.55825688073395"/>
    <n v="1050.2929032258064"/>
    <n v="29.946741431268944"/>
    <n v="3694"/>
    <n v="2.9507309149972929E-2"/>
  </r>
  <r>
    <s v="sábado"/>
    <x v="70"/>
    <x v="70"/>
    <n v="20794.89"/>
    <n v="22.24"/>
    <n v="70"/>
    <n v="84"/>
    <n v="297.38757142857145"/>
    <n v="897.20290322580649"/>
    <n v="23.202254389897778"/>
    <n v="2890"/>
    <n v="2.4221453287197232E-2"/>
  </r>
  <r>
    <s v="domingo"/>
    <x v="71"/>
    <x v="71"/>
    <n v="21368.78"/>
    <n v="0"/>
    <n v="73"/>
    <n v="83"/>
    <n v="292.7230136986301"/>
    <n v="641.05290322580652"/>
    <n v="33.333879142378663"/>
    <n v="2377"/>
    <n v="3.0710980227177113E-2"/>
  </r>
  <r>
    <s v="segunda-feira"/>
    <x v="72"/>
    <x v="72"/>
    <n v="55459.98"/>
    <n v="0"/>
    <n v="260"/>
    <n v="378"/>
    <n v="213.30761538461539"/>
    <n v="752.03290322580642"/>
    <n v="73.746746667741903"/>
    <n v="4381"/>
    <n v="5.9347181008902079E-2"/>
  </r>
  <r>
    <s v="terça-feira"/>
    <x v="73"/>
    <x v="73"/>
    <n v="40873.85"/>
    <n v="0"/>
    <n v="170"/>
    <n v="244"/>
    <n v="240.43441176470589"/>
    <n v="853.47290322580648"/>
    <n v="47.891209955831314"/>
    <n v="4105"/>
    <n v="4.1412911084043852E-2"/>
  </r>
  <r>
    <s v="quarta-feira"/>
    <x v="74"/>
    <x v="74"/>
    <n v="46762.31"/>
    <n v="0"/>
    <n v="181"/>
    <n v="238"/>
    <n v="258.35530386740328"/>
    <n v="801.81290322580651"/>
    <n v="58.320725211416061"/>
    <n v="3955"/>
    <n v="4.576485461441214E-2"/>
  </r>
  <r>
    <s v="quinta-feira"/>
    <x v="75"/>
    <x v="75"/>
    <n v="37297.300000000003"/>
    <n v="22.28"/>
    <n v="151"/>
    <n v="194"/>
    <n v="247.14953642384108"/>
    <n v="786.75290322580645"/>
    <n v="47.434944119029055"/>
    <n v="3631"/>
    <n v="4.1586339851280636E-2"/>
  </r>
  <r>
    <s v="sexta-feira"/>
    <x v="76"/>
    <x v="76"/>
    <n v="38120.74"/>
    <n v="36.1"/>
    <n v="119"/>
    <n v="171"/>
    <n v="320.64571428571423"/>
    <n v="694.99290322580646"/>
    <n v="54.902488677071659"/>
    <n v="3478"/>
    <n v="3.4215066129959747E-2"/>
  </r>
  <r>
    <s v="sábado"/>
    <x v="77"/>
    <x v="77"/>
    <n v="21362.15"/>
    <n v="0"/>
    <n v="79"/>
    <n v="89"/>
    <n v="270.40696202531649"/>
    <n v="698.27290322580643"/>
    <n v="30.592838274710971"/>
    <n v="2741"/>
    <n v="2.8821597956950017E-2"/>
  </r>
  <r>
    <s v="domingo"/>
    <x v="78"/>
    <x v="78"/>
    <n v="18319.2"/>
    <n v="58.58"/>
    <n v="68"/>
    <n v="80"/>
    <n v="270.26147058823534"/>
    <n v="715.1929032258065"/>
    <n v="25.696256096933922"/>
    <n v="2348"/>
    <n v="2.8960817717206135E-2"/>
  </r>
  <r>
    <s v="segunda-feira"/>
    <x v="79"/>
    <x v="79"/>
    <n v="34908.94"/>
    <n v="0"/>
    <n v="126"/>
    <n v="155"/>
    <n v="277.05507936507939"/>
    <n v="712.09290322580648"/>
    <n v="49.023013488635044"/>
    <n v="3663"/>
    <n v="3.4398034398034398E-2"/>
  </r>
  <r>
    <s v="terça-feira"/>
    <x v="80"/>
    <x v="80"/>
    <n v="32690.080000000002"/>
    <n v="0"/>
    <n v="110"/>
    <n v="130"/>
    <n v="297.18254545454545"/>
    <n v="792.1929032258065"/>
    <n v="41.265302765129704"/>
    <n v="3443"/>
    <n v="3.1948881789137379E-2"/>
  </r>
  <r>
    <s v="quarta-feira"/>
    <x v="81"/>
    <x v="81"/>
    <n v="35608.58"/>
    <n v="22.28"/>
    <n v="143"/>
    <n v="182"/>
    <n v="249.16685314685316"/>
    <n v="913.61290322580646"/>
    <n v="38.999952686957137"/>
    <n v="3796"/>
    <n v="3.7671232876712327E-2"/>
  </r>
  <r>
    <s v="quinta-feira"/>
    <x v="82"/>
    <x v="82"/>
    <n v="29448.65"/>
    <n v="0"/>
    <n v="119"/>
    <n v="141"/>
    <n v="247.46764705882353"/>
    <n v="1035.2929032258064"/>
    <n v="28.444752116278146"/>
    <n v="3537"/>
    <n v="3.3644331354255021E-2"/>
  </r>
  <r>
    <s v="sexta-feira"/>
    <x v="83"/>
    <x v="83"/>
    <n v="31899.01"/>
    <n v="43.8"/>
    <n v="125"/>
    <n v="154"/>
    <n v="255.54247999999998"/>
    <n v="1064.6929032258065"/>
    <n v="30.00189998751722"/>
    <n v="3335"/>
    <n v="3.7481259370314844E-2"/>
  </r>
  <r>
    <s v="sábado"/>
    <x v="84"/>
    <x v="84"/>
    <n v="23258.31"/>
    <n v="0"/>
    <n v="81"/>
    <n v="103"/>
    <n v="287.13962962962967"/>
    <n v="992.71290322580649"/>
    <n v="23.429039679470723"/>
    <n v="2637"/>
    <n v="3.0716723549488054E-2"/>
  </r>
  <r>
    <s v="domingo"/>
    <x v="85"/>
    <x v="85"/>
    <n v="15994.4"/>
    <n v="0"/>
    <n v="57"/>
    <n v="73"/>
    <n v="280.6035087719298"/>
    <n v="697.6929032258065"/>
    <n v="22.924699285386673"/>
    <n v="2203"/>
    <n v="2.5873808443032227E-2"/>
  </r>
  <r>
    <s v="segunda-feira"/>
    <x v="86"/>
    <x v="86"/>
    <n v="31252.33"/>
    <n v="0"/>
    <n v="125"/>
    <n v="141"/>
    <n v="250.01864"/>
    <n v="452.57290322580644"/>
    <n v="69.054797088474785"/>
    <n v="3477"/>
    <n v="3.5950532067874602E-2"/>
  </r>
  <r>
    <s v="terça-feira"/>
    <x v="87"/>
    <x v="87"/>
    <n v="52253.94"/>
    <n v="0"/>
    <n v="201"/>
    <n v="282"/>
    <n v="259.96985074626866"/>
    <n v="574.33290322580649"/>
    <n v="90.981971791115868"/>
    <n v="5253"/>
    <n v="3.8263849229011992E-2"/>
  </r>
  <r>
    <s v="quarta-feira"/>
    <x v="88"/>
    <x v="88"/>
    <n v="47794.42"/>
    <n v="0"/>
    <n v="175"/>
    <n v="231"/>
    <n v="273.11097142857142"/>
    <n v="825.62290322580645"/>
    <n v="57.888922186220292"/>
    <n v="4377"/>
    <n v="3.9981722641078361E-2"/>
  </r>
  <r>
    <s v="quinta-feira"/>
    <x v="89"/>
    <x v="89"/>
    <n v="45492.77"/>
    <n v="0"/>
    <n v="174"/>
    <n v="210"/>
    <n v="261.45270114942525"/>
    <n v="1246.5229032258062"/>
    <n v="36.495735362961909"/>
    <n v="4754"/>
    <n v="3.6600757257046694E-2"/>
  </r>
  <r>
    <s v="sexta-feira"/>
    <x v="90"/>
    <x v="90"/>
    <n v="48264.800000000003"/>
    <n v="0"/>
    <n v="164"/>
    <n v="211"/>
    <n v="294.29756097560977"/>
    <n v="859.78333333333342"/>
    <n v="56.136003256634424"/>
    <n v="3829"/>
    <n v="4.2831026377644292E-2"/>
  </r>
  <r>
    <s v="sábado"/>
    <x v="91"/>
    <x v="91"/>
    <n v="34589.9"/>
    <n v="22.36"/>
    <n v="124"/>
    <n v="173"/>
    <n v="279.13112903225806"/>
    <n v="697.12333333333333"/>
    <n v="49.650124081343812"/>
    <n v="2847"/>
    <n v="4.3554618897084653E-2"/>
  </r>
  <r>
    <s v="domingo"/>
    <x v="92"/>
    <x v="92"/>
    <n v="19526.830000000002"/>
    <n v="0"/>
    <n v="75"/>
    <n v="85"/>
    <n v="260.35773333333333"/>
    <n v="680.63333333333333"/>
    <n v="28.689206131544154"/>
    <n v="2385"/>
    <n v="3.1446540880503145E-2"/>
  </r>
  <r>
    <s v="segunda-feira"/>
    <x v="93"/>
    <x v="93"/>
    <n v="55338.26"/>
    <n v="0"/>
    <n v="232"/>
    <n v="327"/>
    <n v="238.5269827586207"/>
    <n v="971.1633333333333"/>
    <n v="56.981414042951926"/>
    <n v="4984"/>
    <n v="4.6548956661316213E-2"/>
  </r>
  <r>
    <s v="terça-feira"/>
    <x v="94"/>
    <x v="94"/>
    <n v="37100.36"/>
    <n v="49.74"/>
    <n v="157"/>
    <n v="206"/>
    <n v="236.6248407643312"/>
    <n v="1093.8333333333333"/>
    <n v="33.963218040530244"/>
    <n v="4064"/>
    <n v="3.8631889763779528E-2"/>
  </r>
  <r>
    <s v="quarta-feira"/>
    <x v="95"/>
    <x v="95"/>
    <n v="48005.71"/>
    <n v="0"/>
    <n v="201"/>
    <n v="256"/>
    <n v="238.83437810945273"/>
    <n v="1166.5433333333333"/>
    <n v="41.152101793618186"/>
    <n v="4203"/>
    <n v="4.7822983583154892E-2"/>
  </r>
  <r>
    <s v="quinta-feira"/>
    <x v="96"/>
    <x v="96"/>
    <n v="48798.1"/>
    <n v="0"/>
    <n v="203"/>
    <n v="259"/>
    <n v="240.38472906403939"/>
    <n v="1205.7633333333333"/>
    <n v="40.470711499492715"/>
    <n v="3938"/>
    <n v="5.1549009649568309E-2"/>
  </r>
  <r>
    <s v="sexta-feira"/>
    <x v="97"/>
    <x v="97"/>
    <n v="48386.76"/>
    <n v="0"/>
    <n v="197"/>
    <n v="263"/>
    <n v="245.61807106598985"/>
    <n v="939.97333333333336"/>
    <n v="51.476736928707197"/>
    <n v="3874"/>
    <n v="5.0851832731027363E-2"/>
  </r>
  <r>
    <s v="sábado"/>
    <x v="98"/>
    <x v="98"/>
    <n v="30586.2"/>
    <n v="31.88"/>
    <n v="130"/>
    <n v="168"/>
    <n v="235.52369230769233"/>
    <n v="867.92333333333329"/>
    <n v="35.277401613813822"/>
    <n v="3047"/>
    <n v="4.2664916311125699E-2"/>
  </r>
  <r>
    <s v="domingo"/>
    <x v="99"/>
    <x v="99"/>
    <n v="24846.03"/>
    <n v="0"/>
    <n v="109"/>
    <n v="140"/>
    <n v="227.94522935779815"/>
    <n v="743.36333333333334"/>
    <n v="33.423803523624606"/>
    <n v="2670"/>
    <n v="4.0823970037453181E-2"/>
  </r>
  <r>
    <s v="segunda-feira"/>
    <x v="100"/>
    <x v="100"/>
    <n v="40179.22"/>
    <n v="0"/>
    <n v="152"/>
    <n v="190"/>
    <n v="264.33697368421053"/>
    <n v="947.3033333333334"/>
    <n v="42.4143129092758"/>
    <n v="3983"/>
    <n v="3.8162189304544313E-2"/>
  </r>
  <r>
    <s v="terça-feira"/>
    <x v="101"/>
    <x v="101"/>
    <n v="50744.22"/>
    <n v="0"/>
    <n v="177"/>
    <n v="238"/>
    <n v="286.69050847457629"/>
    <n v="901.37333333333333"/>
    <n v="56.296562282738932"/>
    <n v="3978"/>
    <n v="4.4494720965309202E-2"/>
  </r>
  <r>
    <s v="quarta-feira"/>
    <x v="102"/>
    <x v="102"/>
    <n v="39082.35"/>
    <n v="22.28"/>
    <n v="152"/>
    <n v="184"/>
    <n v="257.26730263157896"/>
    <n v="795.81333333333339"/>
    <n v="49.13794273363937"/>
    <n v="3557"/>
    <n v="4.2732639865054822E-2"/>
  </r>
  <r>
    <s v="quinta-feira"/>
    <x v="103"/>
    <x v="103"/>
    <n v="52344.65"/>
    <n v="22.36"/>
    <n v="195"/>
    <n v="255"/>
    <n v="268.54876923076927"/>
    <n v="906.87333333333333"/>
    <n v="57.74456925259684"/>
    <n v="3916"/>
    <n v="4.979570990806946E-2"/>
  </r>
  <r>
    <s v="sexta-feira"/>
    <x v="104"/>
    <x v="104"/>
    <n v="20921.53"/>
    <n v="0"/>
    <n v="78"/>
    <n v="106"/>
    <n v="268.22474358974358"/>
    <n v="760.18333333333339"/>
    <n v="27.521689943215449"/>
    <n v="2384"/>
    <n v="3.2718120805369129E-2"/>
  </r>
  <r>
    <s v="sábado"/>
    <x v="105"/>
    <x v="105"/>
    <n v="27300.05"/>
    <n v="0"/>
    <n v="114"/>
    <n v="165"/>
    <n v="239.47412280701755"/>
    <n v="622.76333333333343"/>
    <n v="43.836957859861151"/>
    <n v="2545"/>
    <n v="4.4793713163064831E-2"/>
  </r>
  <r>
    <s v="domingo"/>
    <x v="106"/>
    <x v="106"/>
    <n v="16409.150000000001"/>
    <n v="25.76"/>
    <n v="68"/>
    <n v="91"/>
    <n v="241.68985294117647"/>
    <n v="594.66333333333341"/>
    <n v="27.637335411072929"/>
    <n v="2089"/>
    <n v="3.2551460028721876E-2"/>
  </r>
  <r>
    <s v="segunda-feira"/>
    <x v="107"/>
    <x v="107"/>
    <n v="33019.06"/>
    <n v="0"/>
    <n v="117"/>
    <n v="141"/>
    <n v="282.214188034188"/>
    <n v="842.70333333333338"/>
    <n v="39.182306149653293"/>
    <n v="4088"/>
    <n v="2.8620352250489235E-2"/>
  </r>
  <r>
    <s v="terça-feira"/>
    <x v="108"/>
    <x v="108"/>
    <n v="48457.27"/>
    <n v="0"/>
    <n v="166"/>
    <n v="259"/>
    <n v="291.91126506024096"/>
    <n v="1114.1233333333332"/>
    <n v="43.493631764287016"/>
    <n v="4263"/>
    <n v="3.8939713816561104E-2"/>
  </r>
  <r>
    <s v="quarta-feira"/>
    <x v="109"/>
    <x v="109"/>
    <n v="34555.19"/>
    <n v="0"/>
    <n v="130"/>
    <n v="163"/>
    <n v="265.80915384615389"/>
    <n v="915.60333333333335"/>
    <n v="37.740349714760029"/>
    <n v="3810"/>
    <n v="3.4120734908136482E-2"/>
  </r>
  <r>
    <s v="quinta-feira"/>
    <x v="110"/>
    <x v="110"/>
    <n v="23240.240000000002"/>
    <n v="22.08"/>
    <n v="83"/>
    <n v="103"/>
    <n v="280.26891566265067"/>
    <n v="1025.7433333333333"/>
    <n v="22.678499819642994"/>
    <n v="2858"/>
    <n v="2.9041287613715886E-2"/>
  </r>
  <r>
    <s v="sexta-feira"/>
    <x v="111"/>
    <x v="111"/>
    <n v="34228.5"/>
    <n v="0"/>
    <n v="133"/>
    <n v="175"/>
    <n v="257.35714285714283"/>
    <n v="1046.3733333333332"/>
    <n v="32.711556104895642"/>
    <n v="3489"/>
    <n v="3.8119805101748352E-2"/>
  </r>
  <r>
    <s v="sábado"/>
    <x v="112"/>
    <x v="112"/>
    <n v="14434.7"/>
    <n v="0"/>
    <n v="55"/>
    <n v="75"/>
    <n v="262.4490909090909"/>
    <n v="1043.5133333333333"/>
    <n v="13.832789231250839"/>
    <n v="2872"/>
    <n v="1.9150417827298049E-2"/>
  </r>
  <r>
    <s v="domingo"/>
    <x v="113"/>
    <x v="113"/>
    <n v="22858.3"/>
    <n v="0"/>
    <n v="87"/>
    <n v="107"/>
    <n v="262.73908045977009"/>
    <n v="825.72333333333336"/>
    <n v="27.682758954775004"/>
    <n v="2756"/>
    <n v="3.1567489114658925E-2"/>
  </r>
  <r>
    <s v="segunda-feira"/>
    <x v="114"/>
    <x v="114"/>
    <n v="60245.74"/>
    <n v="21.98"/>
    <n v="209"/>
    <n v="316"/>
    <n v="288.36229665071772"/>
    <n v="748.65333333333331"/>
    <n v="80.501504924397594"/>
    <n v="4527"/>
    <n v="4.6167439805610777E-2"/>
  </r>
  <r>
    <s v="terça-feira"/>
    <x v="115"/>
    <x v="115"/>
    <n v="43606.53"/>
    <n v="0"/>
    <n v="132"/>
    <n v="173"/>
    <n v="330.35249999999996"/>
    <n v="700.3033333333334"/>
    <n v="62.268060031129359"/>
    <n v="4594"/>
    <n v="2.8733130169786677E-2"/>
  </r>
  <r>
    <s v="quarta-feira"/>
    <x v="116"/>
    <x v="116"/>
    <n v="62249.99"/>
    <n v="0"/>
    <n v="175"/>
    <n v="265"/>
    <n v="355.71422857142858"/>
    <n v="748.68333333333339"/>
    <n v="83.145954008147626"/>
    <n v="5394"/>
    <n v="3.2443455691509082E-2"/>
  </r>
  <r>
    <s v="quinta-feira"/>
    <x v="117"/>
    <x v="117"/>
    <n v="68393.11"/>
    <n v="68.040000000000006"/>
    <n v="187"/>
    <n v="314"/>
    <n v="366.10240641711226"/>
    <n v="830.93333333333339"/>
    <n v="82.390665115532727"/>
    <n v="5106"/>
    <n v="3.6623580101840969E-2"/>
  </r>
  <r>
    <s v="sexta-feira"/>
    <x v="118"/>
    <x v="118"/>
    <n v="65264.76"/>
    <n v="24.98"/>
    <n v="203"/>
    <n v="294"/>
    <n v="321.62433497536949"/>
    <n v="830.36333333333334"/>
    <n v="78.627917899393438"/>
    <n v="4967"/>
    <n v="4.0869740285886851E-2"/>
  </r>
  <r>
    <s v="sábado"/>
    <x v="119"/>
    <x v="119"/>
    <n v="39173.85"/>
    <n v="0"/>
    <n v="141"/>
    <n v="159"/>
    <n v="277.8287234042553"/>
    <n v="641.33333333333337"/>
    <n v="61.081886694386689"/>
    <n v="4101"/>
    <n v="3.4381858083394293E-2"/>
  </r>
  <r>
    <s v="domingo"/>
    <x v="120"/>
    <x v="120"/>
    <n v="42378.51"/>
    <n v="64.64"/>
    <n v="129"/>
    <n v="151"/>
    <n v="329.01666666666665"/>
    <n v="767.46290322580649"/>
    <n v="55.303194228154346"/>
    <n v="3994"/>
    <n v="3.229844767150726E-2"/>
  </r>
  <r>
    <s v="segunda-feira"/>
    <x v="121"/>
    <x v="121"/>
    <n v="154554.23000000001"/>
    <n v="25.07"/>
    <n v="408"/>
    <n v="625"/>
    <n v="378.87083333333339"/>
    <n v="912.31290322580651"/>
    <n v="169.43671349317756"/>
    <n v="8254"/>
    <n v="4.9430579113157257E-2"/>
  </r>
  <r>
    <s v="terça-feira"/>
    <x v="122"/>
    <x v="122"/>
    <n v="149914.43"/>
    <n v="0"/>
    <n v="452"/>
    <n v="553"/>
    <n v="331.66909292035399"/>
    <n v="963.65290322580643"/>
    <n v="155.56890815994515"/>
    <n v="8428"/>
    <n v="5.3630754627432366E-2"/>
  </r>
  <r>
    <s v="quarta-feira"/>
    <x v="123"/>
    <x v="123"/>
    <n v="164851.48000000001"/>
    <n v="0"/>
    <n v="483"/>
    <n v="688"/>
    <n v="341.30741200828157"/>
    <n v="1079.9129032258063"/>
    <n v="152.65256995038433"/>
    <n v="7985"/>
    <n v="6.0488415779586725E-2"/>
  </r>
  <r>
    <s v="quinta-feira"/>
    <x v="124"/>
    <x v="124"/>
    <n v="187103.48"/>
    <n v="35"/>
    <n v="569"/>
    <n v="731"/>
    <n v="328.89012302284709"/>
    <n v="1176.5729032258064"/>
    <n v="159.05387544360659"/>
    <n v="7952"/>
    <n v="7.155432595573441E-2"/>
  </r>
  <r>
    <s v="sexta-feira"/>
    <x v="125"/>
    <x v="125"/>
    <n v="283599.35999999999"/>
    <n v="0"/>
    <n v="857"/>
    <n v="1034"/>
    <n v="330.92107351225201"/>
    <n v="1224.5729032258064"/>
    <n v="231.59042573368569"/>
    <n v="8598"/>
    <n v="9.9674342870434987E-2"/>
  </r>
  <r>
    <s v="sábado"/>
    <x v="126"/>
    <x v="126"/>
    <n v="328478.06"/>
    <n v="0"/>
    <n v="1048"/>
    <n v="1168"/>
    <n v="313.43326335877862"/>
    <n v="1274.0029032258062"/>
    <n v="257.83148466010994"/>
    <n v="7301"/>
    <n v="0.14354198055060952"/>
  </r>
  <r>
    <s v="domingo"/>
    <x v="127"/>
    <x v="127"/>
    <n v="304478.12"/>
    <n v="0"/>
    <n v="976"/>
    <n v="1101"/>
    <n v="311.96528688524592"/>
    <n v="1367.8629032258063"/>
    <n v="222.59403283907673"/>
    <n v="6222"/>
    <n v="0.15686274509803921"/>
  </r>
  <r>
    <s v="segunda-feira"/>
    <x v="128"/>
    <x v="128"/>
    <n v="69381.47"/>
    <n v="0"/>
    <n v="281"/>
    <n v="355"/>
    <n v="246.90914590747332"/>
    <n v="966.75290322580656"/>
    <n v="71.767532084456974"/>
    <n v="6002"/>
    <n v="4.6817727424191935E-2"/>
  </r>
  <r>
    <s v="terça-feira"/>
    <x v="129"/>
    <x v="129"/>
    <n v="53879.05"/>
    <n v="0"/>
    <n v="185"/>
    <n v="246"/>
    <n v="291.23810810810812"/>
    <n v="932.44290322580639"/>
    <n v="57.78268011221305"/>
    <n v="5562"/>
    <n v="3.3261416756562384E-2"/>
  </r>
  <r>
    <s v="quarta-feira"/>
    <x v="130"/>
    <x v="130"/>
    <n v="56363.07"/>
    <n v="0"/>
    <n v="184"/>
    <n v="280"/>
    <n v="306.32103260869565"/>
    <n v="944.63290322580644"/>
    <n v="59.666638550834904"/>
    <n v="4786"/>
    <n v="3.8445465942331801E-2"/>
  </r>
  <r>
    <s v="quinta-feira"/>
    <x v="131"/>
    <x v="131"/>
    <n v="51690.61"/>
    <n v="0"/>
    <n v="193"/>
    <n v="246"/>
    <n v="267.82699481865285"/>
    <n v="941.34290322580648"/>
    <n v="54.911562856495678"/>
    <n v="4449"/>
    <n v="4.3380534951674536E-2"/>
  </r>
  <r>
    <s v="sexta-feira"/>
    <x v="132"/>
    <x v="132"/>
    <n v="41311.440000000002"/>
    <n v="0"/>
    <n v="164"/>
    <n v="196"/>
    <n v="251.89902439024391"/>
    <n v="928.90290322580643"/>
    <n v="44.473367298710691"/>
    <n v="4162"/>
    <n v="3.9404132628543968E-2"/>
  </r>
  <r>
    <s v="sábado"/>
    <x v="133"/>
    <x v="133"/>
    <n v="33446.58"/>
    <n v="0"/>
    <n v="137"/>
    <n v="180"/>
    <n v="244.13562043795622"/>
    <n v="1036.1029032258064"/>
    <n v="32.281137226685985"/>
    <n v="3136"/>
    <n v="4.3686224489795922E-2"/>
  </r>
  <r>
    <s v="domingo"/>
    <x v="134"/>
    <x v="134"/>
    <n v="36932.65"/>
    <n v="0"/>
    <n v="186"/>
    <n v="252"/>
    <n v="198.56263440860215"/>
    <n v="1523.5929032258064"/>
    <n v="24.240497525162301"/>
    <n v="3385"/>
    <n v="5.4948301329394385E-2"/>
  </r>
  <r>
    <s v="segunda-feira"/>
    <x v="135"/>
    <x v="135"/>
    <n v="46064.13"/>
    <n v="0"/>
    <n v="169"/>
    <n v="190"/>
    <n v="272.56881656804734"/>
    <n v="805.12290322580645"/>
    <n v="57.213786634859588"/>
    <n v="4326"/>
    <n v="3.9066111881645861E-2"/>
  </r>
  <r>
    <s v="terça-feira"/>
    <x v="136"/>
    <x v="136"/>
    <n v="30920.560000000001"/>
    <n v="0"/>
    <n v="124"/>
    <n v="139"/>
    <n v="249.35935483870969"/>
    <n v="779.95290322580649"/>
    <n v="39.644137321773769"/>
    <n v="3961"/>
    <n v="3.1305225953042158E-2"/>
  </r>
  <r>
    <s v="quarta-feira"/>
    <x v="137"/>
    <x v="137"/>
    <n v="33336.800000000003"/>
    <n v="25.99"/>
    <n v="142"/>
    <n v="169"/>
    <n v="234.94922535211268"/>
    <n v="891.35290322580647"/>
    <n v="37.429383894145687"/>
    <n v="3461"/>
    <n v="4.1028604449581049E-2"/>
  </r>
  <r>
    <s v="quinta-feira"/>
    <x v="138"/>
    <x v="138"/>
    <n v="39236.49"/>
    <n v="0"/>
    <n v="144"/>
    <n v="172"/>
    <n v="272.47562499999998"/>
    <n v="1058.7429032258065"/>
    <n v="37.059506968550345"/>
    <n v="3307"/>
    <n v="4.3543997580889025E-2"/>
  </r>
  <r>
    <s v="sexta-feira"/>
    <x v="139"/>
    <x v="139"/>
    <n v="37411.68"/>
    <n v="0"/>
    <n v="138"/>
    <n v="162"/>
    <n v="271.09913043478264"/>
    <n v="856.8229032258065"/>
    <n v="43.663258602391203"/>
    <n v="3004"/>
    <n v="4.5938748335552594E-2"/>
  </r>
  <r>
    <s v="sábado"/>
    <x v="140"/>
    <x v="140"/>
    <n v="20893.580000000002"/>
    <n v="0"/>
    <n v="84"/>
    <n v="96"/>
    <n v="248.73309523809525"/>
    <n v="1100.5429032258064"/>
    <n v="18.98479372204276"/>
    <n v="2600"/>
    <n v="3.2307692307692308E-2"/>
  </r>
  <r>
    <s v="domingo"/>
    <x v="141"/>
    <x v="141"/>
    <n v="17382.490000000002"/>
    <n v="0"/>
    <n v="66"/>
    <n v="78"/>
    <n v="263.37106060606061"/>
    <n v="1187.2829032258064"/>
    <n v="14.640562879135528"/>
    <n v="2424"/>
    <n v="2.7227722772277228E-2"/>
  </r>
  <r>
    <s v="segunda-feira"/>
    <x v="142"/>
    <x v="142"/>
    <n v="51145"/>
    <n v="0"/>
    <n v="177"/>
    <n v="247"/>
    <n v="288.954802259887"/>
    <n v="991.8229032258065"/>
    <n v="51.566665615056799"/>
    <n v="3827"/>
    <n v="4.6250326626600467E-2"/>
  </r>
  <r>
    <s v="terça-feira"/>
    <x v="143"/>
    <x v="143"/>
    <n v="33726.129999999997"/>
    <n v="0"/>
    <n v="118"/>
    <n v="135"/>
    <n v="285.81466101694912"/>
    <n v="798.02290322580654"/>
    <n v="42.26210784636708"/>
    <n v="3743"/>
    <n v="3.152551429334758E-2"/>
  </r>
  <r>
    <s v="quarta-feira"/>
    <x v="144"/>
    <x v="144"/>
    <n v="38389.64"/>
    <n v="24.93"/>
    <n v="141"/>
    <n v="158"/>
    <n v="272.44375886524824"/>
    <n v="839.49290322580646"/>
    <n v="45.759255203217919"/>
    <n v="3877"/>
    <n v="3.636832602527728E-2"/>
  </r>
  <r>
    <s v="quinta-feira"/>
    <x v="145"/>
    <x v="145"/>
    <n v="37953.9"/>
    <n v="0"/>
    <n v="135"/>
    <n v="149"/>
    <n v="281.14"/>
    <n v="1066.5229032258064"/>
    <n v="35.586577545784145"/>
    <n v="3656"/>
    <n v="3.6925601750547044E-2"/>
  </r>
  <r>
    <s v="sexta-feira"/>
    <x v="146"/>
    <x v="146"/>
    <n v="39442.199999999997"/>
    <n v="0"/>
    <n v="145"/>
    <n v="170"/>
    <n v="272.0151724137931"/>
    <n v="803.70290322580649"/>
    <n v="49.075597265720475"/>
    <n v="3432"/>
    <n v="4.2249417249417248E-2"/>
  </r>
  <r>
    <s v="sábado"/>
    <x v="147"/>
    <x v="147"/>
    <n v="25814.95"/>
    <n v="0"/>
    <n v="90"/>
    <n v="99"/>
    <n v="286.83277777777778"/>
    <n v="700.46290322580637"/>
    <n v="36.854128721329445"/>
    <n v="2620"/>
    <n v="3.4351145038167941E-2"/>
  </r>
  <r>
    <s v="domingo"/>
    <x v="148"/>
    <x v="148"/>
    <n v="15903.98"/>
    <n v="0"/>
    <n v="67"/>
    <n v="74"/>
    <n v="237.37283582089552"/>
    <n v="667.4329032258064"/>
    <n v="23.828582503400124"/>
    <n v="2389"/>
    <n v="2.8045207199665131E-2"/>
  </r>
  <r>
    <s v="segunda-feira"/>
    <x v="149"/>
    <x v="149"/>
    <n v="37897.050000000003"/>
    <n v="0"/>
    <n v="138"/>
    <n v="149"/>
    <n v="274.61630434782609"/>
    <n v="905.21290322580649"/>
    <n v="41.865344456481459"/>
    <n v="4355"/>
    <n v="3.1687715269804823E-2"/>
  </r>
  <r>
    <s v="terça-feira"/>
    <x v="150"/>
    <x v="150"/>
    <n v="40676.800000000003"/>
    <n v="0"/>
    <n v="141"/>
    <n v="156"/>
    <n v="288.48794326241136"/>
    <n v="864.87290322580645"/>
    <n v="47.032112866854206"/>
    <n v="3980"/>
    <n v="3.5427135678391959E-2"/>
  </r>
  <r>
    <s v="quarta-feira"/>
    <x v="151"/>
    <x v="151"/>
    <n v="49373.24"/>
    <n v="0"/>
    <n v="152"/>
    <n v="169"/>
    <n v="324.82394736842105"/>
    <n v="964.94333333333338"/>
    <n v="51.166983898881796"/>
    <n v="4342"/>
    <n v="3.5006909258406264E-2"/>
  </r>
  <r>
    <s v="quinta-feira"/>
    <x v="152"/>
    <x v="152"/>
    <n v="51405.49"/>
    <n v="22.31"/>
    <n v="164"/>
    <n v="186"/>
    <n v="313.58414634146339"/>
    <n v="968.28333333333342"/>
    <n v="53.11234659276726"/>
    <n v="4311"/>
    <n v="3.8042217582927397E-2"/>
  </r>
  <r>
    <s v="sexta-feira"/>
    <x v="153"/>
    <x v="153"/>
    <n v="50733.2"/>
    <n v="66.819999999999993"/>
    <n v="167"/>
    <n v="201"/>
    <n v="304.1917365269461"/>
    <n v="1055.8633333333332"/>
    <n v="48.112306201244479"/>
    <n v="3998"/>
    <n v="4.177088544272136E-2"/>
  </r>
  <r>
    <s v="sábado"/>
    <x v="154"/>
    <x v="154"/>
    <n v="33834"/>
    <n v="0"/>
    <n v="113"/>
    <n v="118"/>
    <n v="299.4159292035398"/>
    <n v="1010.4633333333335"/>
    <n v="33.483649414954854"/>
    <n v="3039"/>
    <n v="3.7183283974991772E-2"/>
  </r>
  <r>
    <s v="domingo"/>
    <x v="155"/>
    <x v="155"/>
    <n v="25679.15"/>
    <n v="0"/>
    <n v="89"/>
    <n v="92"/>
    <n v="288.52977528089889"/>
    <n v="1017.9233333333333"/>
    <n v="25.226998103982947"/>
    <n v="2780"/>
    <n v="3.201438848920863E-2"/>
  </r>
  <r>
    <s v="segunda-feira"/>
    <x v="156"/>
    <x v="156"/>
    <n v="69575.03"/>
    <n v="0"/>
    <n v="227"/>
    <n v="259"/>
    <n v="306.49792951541849"/>
    <n v="1374.7833333333331"/>
    <n v="50.607996411555767"/>
    <n v="5228"/>
    <n v="4.3420045906656463E-2"/>
  </r>
  <r>
    <s v="terça-feira"/>
    <x v="157"/>
    <x v="157"/>
    <n v="75026.94"/>
    <n v="0"/>
    <n v="214"/>
    <n v="298"/>
    <n v="350.59317757009347"/>
    <n v="1396.2533333333333"/>
    <n v="53.734475119128334"/>
    <n v="5142"/>
    <n v="4.1618047452353167E-2"/>
  </r>
  <r>
    <s v="quarta-feira"/>
    <x v="158"/>
    <x v="158"/>
    <n v="86884.65"/>
    <n v="0"/>
    <n v="262"/>
    <n v="304"/>
    <n v="331.62080152671751"/>
    <n v="1466.8933333333332"/>
    <n v="59.230380304861974"/>
    <n v="5370"/>
    <n v="4.8789571694599625E-2"/>
  </r>
  <r>
    <s v="quinta-feira"/>
    <x v="159"/>
    <x v="159"/>
    <n v="98945.33"/>
    <n v="22.23"/>
    <n v="305"/>
    <n v="337"/>
    <n v="324.48380327868853"/>
    <n v="1445.7933333333333"/>
    <n v="68.452079365884472"/>
    <n v="5422"/>
    <n v="5.6252305422353377E-2"/>
  </r>
  <r>
    <s v="sexta-feira"/>
    <x v="160"/>
    <x v="160"/>
    <n v="131263.9"/>
    <n v="0"/>
    <n v="402"/>
    <n v="441"/>
    <n v="326.52711442786068"/>
    <n v="1400.4633333333334"/>
    <n v="93.728908765908415"/>
    <n v="5312"/>
    <n v="7.5677710843373491E-2"/>
  </r>
  <r>
    <s v="sábado"/>
    <x v="161"/>
    <x v="161"/>
    <n v="107821.73"/>
    <n v="0"/>
    <n v="326"/>
    <n v="359"/>
    <n v="330.74150306748464"/>
    <n v="1361.2033333333331"/>
    <n v="79.210597975810629"/>
    <n v="4014"/>
    <n v="8.1215744892874933E-2"/>
  </r>
  <r>
    <s v="domingo"/>
    <x v="162"/>
    <x v="162"/>
    <n v="74115.429999999993"/>
    <n v="0"/>
    <n v="229"/>
    <n v="254"/>
    <n v="323.64816593886462"/>
    <n v="1486.6733333333334"/>
    <n v="49.853204694149348"/>
    <n v="3132"/>
    <n v="7.3116219667943808E-2"/>
  </r>
  <r>
    <s v="segunda-feira"/>
    <x v="163"/>
    <x v="163"/>
    <n v="56557"/>
    <n v="21.89"/>
    <n v="185"/>
    <n v="240"/>
    <n v="305.83183783783784"/>
    <n v="1305.8433333333332"/>
    <n v="43.327471646675328"/>
    <n v="3845"/>
    <n v="4.8114434330299091E-2"/>
  </r>
  <r>
    <s v="terça-feira"/>
    <x v="164"/>
    <x v="164"/>
    <n v="34765.64"/>
    <n v="0"/>
    <n v="132"/>
    <n v="154"/>
    <n v="263.37606060606061"/>
    <n v="1150.8433333333332"/>
    <n v="30.208838156366493"/>
    <n v="3477"/>
    <n v="3.7963761863675581E-2"/>
  </r>
  <r>
    <s v="quarta-feira"/>
    <x v="165"/>
    <x v="165"/>
    <n v="41865.39"/>
    <n v="0"/>
    <n v="149"/>
    <n v="165"/>
    <n v="280.97577181208055"/>
    <n v="1158.8233333333333"/>
    <n v="36.12750002157361"/>
    <n v="3289"/>
    <n v="4.5302523563393128E-2"/>
  </r>
  <r>
    <s v="quinta-feira"/>
    <x v="166"/>
    <x v="166"/>
    <n v="25783"/>
    <n v="0"/>
    <n v="87"/>
    <n v="96"/>
    <n v="296.35632183908046"/>
    <n v="1003.4333333333333"/>
    <n v="25.694781251038105"/>
    <n v="2616"/>
    <n v="3.3256880733944956E-2"/>
  </r>
  <r>
    <s v="sexta-feira"/>
    <x v="167"/>
    <x v="167"/>
    <n v="28389.99"/>
    <n v="0"/>
    <n v="98"/>
    <n v="118"/>
    <n v="289.69377551020409"/>
    <n v="692.87333333333333"/>
    <n v="40.974285824248781"/>
    <n v="2930"/>
    <n v="3.3447098976109216E-2"/>
  </r>
  <r>
    <s v="sábado"/>
    <x v="168"/>
    <x v="168"/>
    <n v="18816.2"/>
    <n v="0"/>
    <n v="68"/>
    <n v="78"/>
    <n v="276.7088235294118"/>
    <n v="713.57333333333338"/>
    <n v="26.368978661384954"/>
    <n v="2173"/>
    <n v="3.1293143120110445E-2"/>
  </r>
  <r>
    <s v="domingo"/>
    <x v="169"/>
    <x v="169"/>
    <n v="14410.2"/>
    <n v="39.03"/>
    <n v="55"/>
    <n v="59"/>
    <n v="262.71327272727274"/>
    <n v="661.65333333333342"/>
    <n v="21.838067265839108"/>
    <n v="1993"/>
    <n v="2.7596588058203714E-2"/>
  </r>
  <r>
    <s v="segunda-feira"/>
    <x v="170"/>
    <x v="170"/>
    <n v="44265.18"/>
    <n v="0"/>
    <n v="163"/>
    <n v="187"/>
    <n v="271.56552147239262"/>
    <n v="819.79333333333341"/>
    <n v="53.995535460156617"/>
    <n v="213"/>
    <n v="0.76525821596244137"/>
  </r>
  <r>
    <s v="terça-feira"/>
    <x v="171"/>
    <x v="171"/>
    <n v="35675.360000000001"/>
    <n v="0"/>
    <n v="140"/>
    <n v="160"/>
    <n v="254.82400000000001"/>
    <n v="676.61333333333334"/>
    <n v="52.726362668978837"/>
    <n v="181"/>
    <n v="0.77348066298342544"/>
  </r>
  <r>
    <s v="quarta-feira"/>
    <x v="172"/>
    <x v="172"/>
    <n v="42666.17"/>
    <n v="0"/>
    <n v="142"/>
    <n v="183"/>
    <n v="300.46598591549292"/>
    <n v="1428.8833333333334"/>
    <n v="29.859799610418388"/>
    <n v="3613"/>
    <n v="3.9302518682535287E-2"/>
  </r>
  <r>
    <s v="quinta-feira"/>
    <x v="173"/>
    <x v="173"/>
    <n v="44815.68"/>
    <n v="24.93"/>
    <n v="163"/>
    <n v="187"/>
    <n v="275.09576687116567"/>
    <n v="1649.9533333333331"/>
    <n v="27.17689591220762"/>
    <n v="3691"/>
    <n v="4.4161473855323763E-2"/>
  </r>
  <r>
    <s v="sexta-feira"/>
    <x v="174"/>
    <x v="174"/>
    <n v="30881"/>
    <n v="0"/>
    <n v="122"/>
    <n v="148"/>
    <n v="253.12295081967213"/>
    <n v="1771.2133333333334"/>
    <n v="17.4349410197153"/>
    <n v="3476"/>
    <n v="3.5097813578826235E-2"/>
  </r>
  <r>
    <s v="sábado"/>
    <x v="175"/>
    <x v="175"/>
    <n v="32339.3"/>
    <n v="0"/>
    <n v="116"/>
    <n v="144"/>
    <n v="278.78706896551722"/>
    <n v="1562.3633333333335"/>
    <n v="20.698962469250642"/>
    <n v="2733"/>
    <n v="4.2444200512257592E-2"/>
  </r>
  <r>
    <s v="domingo"/>
    <x v="176"/>
    <x v="176"/>
    <n v="22976.75"/>
    <n v="0"/>
    <n v="82"/>
    <n v="123"/>
    <n v="280.20426829268291"/>
    <n v="1435.0533333333333"/>
    <n v="16.011077404788672"/>
    <n v="2391"/>
    <n v="3.4295273943956504E-2"/>
  </r>
  <r>
    <s v="segunda-feira"/>
    <x v="177"/>
    <x v="177"/>
    <n v="42069.95"/>
    <n v="21.89"/>
    <n v="156"/>
    <n v="200"/>
    <n v="269.81948717948717"/>
    <n v="1478.6433333333332"/>
    <n v="28.466526748618666"/>
    <n v="3714"/>
    <n v="4.2003231017770599E-2"/>
  </r>
  <r>
    <s v="terça-feira"/>
    <x v="178"/>
    <x v="178"/>
    <n v="35154.35"/>
    <n v="56.49"/>
    <n v="117"/>
    <n v="179"/>
    <n v="300.94735042735039"/>
    <n v="1561.2233333333331"/>
    <n v="22.553365202928472"/>
    <n v="3531"/>
    <n v="3.3135089209855563E-2"/>
  </r>
  <r>
    <s v="quarta-feira"/>
    <x v="179"/>
    <x v="179"/>
    <n v="55177.34"/>
    <n v="0"/>
    <n v="155"/>
    <n v="198"/>
    <n v="355.98283870967742"/>
    <n v="1469.6133333333335"/>
    <n v="37.545481351103689"/>
    <n v="4086"/>
    <n v="3.7934410181106215E-2"/>
  </r>
  <r>
    <s v="quinta-feira"/>
    <x v="180"/>
    <x v="180"/>
    <n v="43925.25"/>
    <n v="0"/>
    <n v="160"/>
    <n v="177"/>
    <n v="274.53281249999998"/>
    <n v="1218.4533333333331"/>
    <n v="36.050006018559053"/>
    <n v="3740"/>
    <n v="4.2780748663101602E-2"/>
  </r>
  <r>
    <s v="sexta-feira"/>
    <x v="181"/>
    <x v="181"/>
    <n v="39442.19"/>
    <n v="0"/>
    <n v="134"/>
    <n v="179"/>
    <n v="294.34470149253735"/>
    <n v="988.66290322580653"/>
    <n v="39.894477552771662"/>
    <n v="3383"/>
    <n v="3.9609813774756135E-2"/>
  </r>
  <r>
    <s v="sábado"/>
    <x v="182"/>
    <x v="182"/>
    <n v="26341.55"/>
    <n v="0"/>
    <n v="90"/>
    <n v="115"/>
    <n v="292.68388888888887"/>
    <n v="821.45290322580649"/>
    <n v="32.067024045514948"/>
    <n v="2584"/>
    <n v="3.4829721362229102E-2"/>
  </r>
  <r>
    <s v="domingo"/>
    <x v="183"/>
    <x v="183"/>
    <n v="15608.35"/>
    <n v="0"/>
    <n v="59"/>
    <n v="74"/>
    <n v="264.54830508474578"/>
    <n v="840.73290322580647"/>
    <n v="18.56517086474474"/>
    <n v="2372"/>
    <n v="2.4873524451939293E-2"/>
  </r>
  <r>
    <s v="segunda-feira"/>
    <x v="184"/>
    <x v="184"/>
    <n v="29378.33"/>
    <n v="0"/>
    <n v="103"/>
    <n v="132"/>
    <n v="285.22650485436895"/>
    <n v="935.93290322580651"/>
    <n v="31.389354833817698"/>
    <n v="3866"/>
    <n v="2.6642524573202275E-2"/>
  </r>
  <r>
    <s v="terça-feira"/>
    <x v="185"/>
    <x v="185"/>
    <n v="36634.06"/>
    <n v="0"/>
    <n v="128"/>
    <n v="152"/>
    <n v="286.20359374999998"/>
    <n v="916.56290322580651"/>
    <n v="39.968953435784805"/>
    <n v="3732"/>
    <n v="3.4297963558413719E-2"/>
  </r>
  <r>
    <s v="quarta-feira"/>
    <x v="186"/>
    <x v="186"/>
    <n v="42395.32"/>
    <n v="0"/>
    <n v="142"/>
    <n v="182"/>
    <n v="298.55859154929578"/>
    <n v="379.60290322580647"/>
    <n v="111.68333972087979"/>
    <n v="3529"/>
    <n v="4.0238027769906488E-2"/>
  </r>
  <r>
    <s v="quinta-feira"/>
    <x v="187"/>
    <x v="187"/>
    <n v="37455.300000000003"/>
    <n v="50.14"/>
    <n v="127"/>
    <n v="156"/>
    <n v="295.3184251968504"/>
    <n v="393.03290322580648"/>
    <n v="95.425700220452697"/>
    <n v="3390"/>
    <n v="3.7463126843657817E-2"/>
  </r>
  <r>
    <s v="sexta-feira"/>
    <x v="188"/>
    <x v="188"/>
    <n v="50186.29"/>
    <n v="64.89"/>
    <n v="169"/>
    <n v="196"/>
    <n v="297.34426035502958"/>
    <n v="599.97290322580648"/>
    <n v="83.755749184371766"/>
    <n v="3477"/>
    <n v="4.8605119355766467E-2"/>
  </r>
  <r>
    <s v="sábado"/>
    <x v="189"/>
    <x v="189"/>
    <n v="28220.48"/>
    <n v="0"/>
    <n v="95"/>
    <n v="117"/>
    <n v="297.0576842105263"/>
    <n v="673.17290322580641"/>
    <n v="41.921592305288968"/>
    <n v="2534"/>
    <n v="3.7490134175217051E-2"/>
  </r>
  <r>
    <s v="domingo"/>
    <x v="190"/>
    <x v="190"/>
    <n v="17813.48"/>
    <n v="0"/>
    <n v="64"/>
    <n v="79"/>
    <n v="278.33562499999999"/>
    <n v="673.83290322580649"/>
    <n v="26.436049523142042"/>
    <n v="2218"/>
    <n v="2.8854824165915238E-2"/>
  </r>
  <r>
    <s v="segunda-feira"/>
    <x v="191"/>
    <x v="191"/>
    <n v="41088.559999999998"/>
    <n v="0"/>
    <n v="135"/>
    <n v="198"/>
    <n v="304.3597037037037"/>
    <n v="644.86290322580646"/>
    <n v="63.716736990858266"/>
    <n v="3435"/>
    <n v="3.9301310043668124E-2"/>
  </r>
  <r>
    <s v="terça-feira"/>
    <x v="192"/>
    <x v="192"/>
    <n v="39520.199999999997"/>
    <n v="0"/>
    <n v="124"/>
    <n v="138"/>
    <n v="318.71129032258062"/>
    <n v="1593.7629032258064"/>
    <n v="24.796787476989433"/>
    <n v="4038"/>
    <n v="3.0708271421495788E-2"/>
  </r>
  <r>
    <s v="quarta-feira"/>
    <x v="193"/>
    <x v="193"/>
    <n v="29344.74"/>
    <n v="22.23"/>
    <n v="108"/>
    <n v="132"/>
    <n v="271.91638888888889"/>
    <n v="1783.0229032258062"/>
    <n v="16.470326851590027"/>
    <n v="3921"/>
    <n v="2.754399387911247E-2"/>
  </r>
  <r>
    <s v="quinta-feira"/>
    <x v="194"/>
    <x v="194"/>
    <n v="43354.31"/>
    <n v="0"/>
    <n v="150"/>
    <n v="188"/>
    <n v="289.02873333333332"/>
    <n v="1391.9429032258063"/>
    <n v="31.146615209235271"/>
    <n v="3954"/>
    <n v="3.7936267071320182E-2"/>
  </r>
  <r>
    <s v="sexta-feira"/>
    <x v="195"/>
    <x v="195"/>
    <n v="31410.61"/>
    <n v="0"/>
    <n v="123"/>
    <n v="132"/>
    <n v="255.37081300813009"/>
    <n v="1209.6329032258063"/>
    <n v="25.967059854469316"/>
    <n v="3743"/>
    <n v="3.2861341170184341E-2"/>
  </r>
  <r>
    <s v="sábado"/>
    <x v="196"/>
    <x v="196"/>
    <n v="25911.83"/>
    <n v="0"/>
    <n v="93"/>
    <n v="108"/>
    <n v="278.62182795698925"/>
    <n v="1127.8329032258064"/>
    <n v="22.974883890944728"/>
    <n v="2786"/>
    <n v="3.3381191672648962E-2"/>
  </r>
  <r>
    <s v="domingo"/>
    <x v="197"/>
    <x v="197"/>
    <n v="16770.150000000001"/>
    <n v="0"/>
    <n v="55"/>
    <n v="64"/>
    <n v="304.91181818181821"/>
    <n v="1078.5229032258062"/>
    <n v="15.549183007464515"/>
    <n v="2429"/>
    <n v="2.2643062988884313E-2"/>
  </r>
  <r>
    <s v="segunda-feira"/>
    <x v="198"/>
    <x v="198"/>
    <n v="44997.21"/>
    <n v="0"/>
    <n v="146"/>
    <n v="175"/>
    <n v="308.2000684931507"/>
    <n v="1412.1529032258063"/>
    <n v="31.864261934534188"/>
    <n v="4268"/>
    <n v="3.420805998125586E-2"/>
  </r>
  <r>
    <s v="terça-feira"/>
    <x v="199"/>
    <x v="199"/>
    <n v="30103.75"/>
    <n v="0"/>
    <n v="110"/>
    <n v="128"/>
    <n v="273.67045454545456"/>
    <n v="1397.8229032258064"/>
    <n v="21.536168802591867"/>
    <n v="4017"/>
    <n v="2.7383619616629325E-2"/>
  </r>
  <r>
    <s v="quarta-feira"/>
    <x v="200"/>
    <x v="200"/>
    <n v="38441.449999999997"/>
    <n v="21.89"/>
    <n v="139"/>
    <n v="172"/>
    <n v="276.71467625899277"/>
    <n v="1357.9729032258065"/>
    <n v="28.324085045166939"/>
    <n v="3957"/>
    <n v="3.5127621935809955E-2"/>
  </r>
  <r>
    <s v="quinta-feira"/>
    <x v="201"/>
    <x v="201"/>
    <n v="43931.29"/>
    <n v="22.23"/>
    <n v="146"/>
    <n v="178"/>
    <n v="301.0515068493151"/>
    <n v="1386.4429032258063"/>
    <n v="31.702365743107283"/>
    <n v="3647"/>
    <n v="4.0032903756512202E-2"/>
  </r>
  <r>
    <s v="sexta-feira"/>
    <x v="202"/>
    <x v="202"/>
    <n v="45932.66"/>
    <n v="110.68"/>
    <n v="142"/>
    <n v="219"/>
    <n v="324.24887323943665"/>
    <n v="1312.4129032258063"/>
    <n v="35.082968086361497"/>
    <n v="3499"/>
    <n v="4.0583023721063163E-2"/>
  </r>
  <r>
    <s v="sábado"/>
    <x v="203"/>
    <x v="203"/>
    <n v="29208.240000000002"/>
    <n v="0"/>
    <n v="101"/>
    <n v="116"/>
    <n v="289.19049504950499"/>
    <n v="1217.8029032258064"/>
    <n v="23.98437376247918"/>
    <n v="2695"/>
    <n v="3.7476808905380334E-2"/>
  </r>
  <r>
    <s v="domingo"/>
    <x v="204"/>
    <x v="204"/>
    <n v="15852.57"/>
    <n v="0"/>
    <n v="61"/>
    <n v="75"/>
    <n v="259.8781967213115"/>
    <n v="1201.9929032258065"/>
    <n v="13.188572043525564"/>
    <n v="2359"/>
    <n v="2.5858414582450192E-2"/>
  </r>
  <r>
    <s v="segunda-feira"/>
    <x v="205"/>
    <x v="205"/>
    <n v="42420.56"/>
    <n v="0"/>
    <n v="181"/>
    <n v="233"/>
    <n v="234.36773480662981"/>
    <n v="1291.2829032258064"/>
    <n v="32.851484282822511"/>
    <n v="4677"/>
    <n v="3.870002138122728E-2"/>
  </r>
  <r>
    <s v="terça-feira"/>
    <x v="206"/>
    <x v="206"/>
    <n v="41337.86"/>
    <n v="0"/>
    <n v="163"/>
    <n v="209"/>
    <n v="253.60650306748465"/>
    <n v="1251.8829032258063"/>
    <n v="33.020548402316308"/>
    <n v="4181"/>
    <n v="3.8985888543410667E-2"/>
  </r>
  <r>
    <s v="quarta-feira"/>
    <x v="207"/>
    <x v="207"/>
    <n v="43697.78"/>
    <n v="0"/>
    <n v="185"/>
    <n v="247"/>
    <n v="236.2042162162162"/>
    <n v="1293.9929032258065"/>
    <n v="33.769721527116118"/>
    <n v="4202"/>
    <n v="4.4026653974297954E-2"/>
  </r>
  <r>
    <s v="quinta-feira"/>
    <x v="208"/>
    <x v="208"/>
    <n v="45484.15"/>
    <n v="0"/>
    <n v="175"/>
    <n v="227"/>
    <n v="259.90942857142858"/>
    <n v="1189.7529032258062"/>
    <n v="38.229913015280495"/>
    <n v="4145"/>
    <n v="4.2219541616405308E-2"/>
  </r>
  <r>
    <s v="sexta-feira"/>
    <x v="209"/>
    <x v="209"/>
    <n v="54603.91"/>
    <n v="0"/>
    <n v="214"/>
    <n v="289"/>
    <n v="255.15845794392524"/>
    <n v="1065.4529032258065"/>
    <n v="51.249482576544764"/>
    <n v="3954"/>
    <n v="5.4122407688416793E-2"/>
  </r>
  <r>
    <s v="sábado"/>
    <x v="210"/>
    <x v="210"/>
    <n v="33714.1"/>
    <n v="0"/>
    <n v="139"/>
    <n v="196"/>
    <n v="242.54748201438849"/>
    <n v="1065.4529032258065"/>
    <n v="31.642975393774687"/>
    <n v="2932"/>
    <n v="4.7407912687585263E-2"/>
  </r>
  <r>
    <s v="domingo"/>
    <x v="211"/>
    <x v="211"/>
    <n v="29380.99"/>
    <n v="0"/>
    <n v="129"/>
    <n v="183"/>
    <n v="227.75961240310079"/>
    <n v="1028.6129032258063"/>
    <n v="28.563699626807168"/>
    <n v="2518"/>
    <n v="5.1231135822081018E-2"/>
  </r>
  <r>
    <s v="segunda-feira"/>
    <x v="212"/>
    <x v="212"/>
    <n v="52333.59"/>
    <n v="0"/>
    <n v="187"/>
    <n v="217"/>
    <n v="279.85877005347589"/>
    <n v="943.69290322580639"/>
    <n v="55.456165688127086"/>
    <n v="4452"/>
    <n v="4.200359389038634E-2"/>
  </r>
  <r>
    <s v="terça-feira"/>
    <x v="213"/>
    <x v="213"/>
    <n v="45930.39"/>
    <n v="0"/>
    <n v="158"/>
    <n v="218"/>
    <n v="290.69867088607594"/>
    <n v="957.54290322580653"/>
    <n v="47.966926437727203"/>
    <n v="4378"/>
    <n v="3.6089538602101415E-2"/>
  </r>
  <r>
    <s v="quarta-feira"/>
    <x v="214"/>
    <x v="214"/>
    <n v="45753.91"/>
    <n v="0"/>
    <n v="152"/>
    <n v="185"/>
    <n v="301.01256578947368"/>
    <n v="1022.1729032258064"/>
    <n v="44.761419379841051"/>
    <n v="4182"/>
    <n v="3.6346245815399331E-2"/>
  </r>
  <r>
    <s v="quinta-feira"/>
    <x v="215"/>
    <x v="215"/>
    <n v="44512.45"/>
    <n v="0"/>
    <n v="164"/>
    <n v="195"/>
    <n v="271.41737804878045"/>
    <n v="1120.0629032258064"/>
    <n v="39.741026929651127"/>
    <n v="4335"/>
    <n v="3.7831603229527104E-2"/>
  </r>
  <r>
    <s v="sexta-feira"/>
    <x v="216"/>
    <x v="216"/>
    <n v="45445.14"/>
    <n v="0"/>
    <n v="170"/>
    <n v="225"/>
    <n v="267.32435294117647"/>
    <n v="1180.6429032258065"/>
    <n v="38.49185886421094"/>
    <n v="4281"/>
    <n v="3.9710348049521137E-2"/>
  </r>
  <r>
    <s v="sábado"/>
    <x v="217"/>
    <x v="217"/>
    <n v="30290.46"/>
    <n v="67.37"/>
    <n v="125"/>
    <n v="153"/>
    <n v="242.86264"/>
    <n v="1184.0229032258062"/>
    <n v="25.639563151432068"/>
    <n v="3263"/>
    <n v="3.8308305240576157E-2"/>
  </r>
  <r>
    <s v="domingo"/>
    <x v="218"/>
    <x v="218"/>
    <n v="24401.55"/>
    <n v="0"/>
    <n v="84"/>
    <n v="98"/>
    <n v="290.49464285714282"/>
    <n v="1220.2229032258062"/>
    <n v="19.997616775993603"/>
    <n v="2756"/>
    <n v="3.0478955007256895E-2"/>
  </r>
  <r>
    <s v="segunda-feira"/>
    <x v="219"/>
    <x v="219"/>
    <n v="61038.25"/>
    <n v="31.87"/>
    <n v="192"/>
    <n v="236"/>
    <n v="318.0735416666667"/>
    <n v="1282.3629032258063"/>
    <n v="47.623118109840085"/>
    <n v="4353"/>
    <n v="4.4107512060647829E-2"/>
  </r>
  <r>
    <s v="terça-feira"/>
    <x v="220"/>
    <x v="220"/>
    <n v="59006.1"/>
    <n v="0"/>
    <n v="199"/>
    <n v="251"/>
    <n v="296.51306532663318"/>
    <n v="1276.1529032258063"/>
    <n v="46.237484435326543"/>
    <n v="4293"/>
    <n v="4.6354530631260188E-2"/>
  </r>
  <r>
    <s v="quarta-feira"/>
    <x v="221"/>
    <x v="221"/>
    <n v="57417.25"/>
    <n v="0"/>
    <n v="211"/>
    <n v="246"/>
    <n v="272.11966824644549"/>
    <n v="1487.8529032258064"/>
    <n v="38.590676454314774"/>
    <n v="4130"/>
    <n v="5.1089588377723968E-2"/>
  </r>
  <r>
    <s v="quinta-feira"/>
    <x v="222"/>
    <x v="222"/>
    <n v="56301.440000000002"/>
    <n v="24.01"/>
    <n v="201"/>
    <n v="266"/>
    <n v="280.22611940298509"/>
    <n v="1464.6229032258063"/>
    <n v="38.457305205281294"/>
    <n v="4014"/>
    <n v="5.0074738415545592E-2"/>
  </r>
  <r>
    <s v="sexta-feira"/>
    <x v="223"/>
    <x v="223"/>
    <n v="81631.37"/>
    <n v="0"/>
    <n v="291"/>
    <n v="364"/>
    <n v="280.52017182130584"/>
    <n v="1552.8329032258064"/>
    <n v="52.569320131239841"/>
    <n v="4219"/>
    <n v="6.8973690447973454E-2"/>
  </r>
  <r>
    <s v="sábado"/>
    <x v="224"/>
    <x v="224"/>
    <n v="64479.040000000001"/>
    <n v="0"/>
    <n v="242"/>
    <n v="273"/>
    <n v="266.4423140495868"/>
    <n v="1508.0829032258061"/>
    <n v="42.755633567676298"/>
    <n v="3373"/>
    <n v="7.1746219982211687E-2"/>
  </r>
  <r>
    <s v="domingo"/>
    <x v="225"/>
    <x v="225"/>
    <n v="61507.839999999997"/>
    <n v="0"/>
    <n v="230"/>
    <n v="263"/>
    <n v="267.42539130434778"/>
    <n v="1979.5829032258064"/>
    <n v="31.071110939466394"/>
    <n v="2660"/>
    <n v="8.646616541353383E-2"/>
  </r>
  <r>
    <s v="segunda-feira"/>
    <x v="226"/>
    <x v="226"/>
    <n v="71912"/>
    <n v="0"/>
    <n v="341"/>
    <n v="500"/>
    <n v="210.88563049853371"/>
    <n v="1684.6929032258063"/>
    <n v="42.68552438388312"/>
    <n v="5224"/>
    <n v="6.5275650842266469E-2"/>
  </r>
  <r>
    <s v="terça-feira"/>
    <x v="227"/>
    <x v="227"/>
    <n v="55887"/>
    <n v="0"/>
    <n v="245"/>
    <n v="326"/>
    <n v="228.11020408163265"/>
    <n v="1195.9729032258065"/>
    <n v="46.729319576773236"/>
    <n v="4660"/>
    <n v="5.257510729613734E-2"/>
  </r>
  <r>
    <s v="quarta-feira"/>
    <x v="228"/>
    <x v="228"/>
    <n v="48064.41"/>
    <n v="0"/>
    <n v="206"/>
    <n v="262"/>
    <n v="233.32237864077672"/>
    <n v="1081.1829032258063"/>
    <n v="44.455392197375225"/>
    <n v="4671"/>
    <n v="4.4101905373581676E-2"/>
  </r>
  <r>
    <s v="quinta-feira"/>
    <x v="229"/>
    <x v="229"/>
    <n v="50528.83"/>
    <n v="0"/>
    <n v="174"/>
    <n v="237"/>
    <n v="290.39557471264368"/>
    <n v="1087.3129032258064"/>
    <n v="46.471287014154463"/>
    <n v="4160"/>
    <n v="4.1826923076923074E-2"/>
  </r>
  <r>
    <s v="sexta-feira"/>
    <x v="230"/>
    <x v="230"/>
    <n v="46428.93"/>
    <n v="0"/>
    <n v="172"/>
    <n v="213"/>
    <n v="269.93563953488371"/>
    <n v="1074.2729032258064"/>
    <n v="43.218934276927293"/>
    <n v="3560"/>
    <n v="4.8314606741573035E-2"/>
  </r>
  <r>
    <s v="sábado"/>
    <x v="231"/>
    <x v="231"/>
    <n v="26075.7"/>
    <n v="0"/>
    <n v="102"/>
    <n v="119"/>
    <n v="255.64411764705883"/>
    <n v="1087.6729032258063"/>
    <n v="23.973843535740411"/>
    <n v="2763"/>
    <n v="3.691639522258415E-2"/>
  </r>
  <r>
    <s v="domingo"/>
    <x v="232"/>
    <x v="232"/>
    <n v="20508.25"/>
    <n v="0"/>
    <n v="90"/>
    <n v="104"/>
    <n v="227.86944444444444"/>
    <n v="1104.1929032258063"/>
    <n v="18.573068111637813"/>
    <n v="2448"/>
    <n v="3.6764705882352942E-2"/>
  </r>
  <r>
    <s v="segunda-feira"/>
    <x v="233"/>
    <x v="233"/>
    <n v="37000.129999999997"/>
    <n v="77.430000000000007"/>
    <n v="130"/>
    <n v="151"/>
    <n v="285.21199999999999"/>
    <n v="1195.2229032258065"/>
    <n v="31.021460432134266"/>
    <n v="3827"/>
    <n v="3.3969166448915601E-2"/>
  </r>
  <r>
    <s v="terça-feira"/>
    <x v="234"/>
    <x v="234"/>
    <n v="38042.04"/>
    <n v="0"/>
    <n v="125"/>
    <n v="160"/>
    <n v="304.33632"/>
    <n v="1228.9529032258065"/>
    <n v="30.954839603816939"/>
    <n v="3755"/>
    <n v="3.3288948069241014E-2"/>
  </r>
  <r>
    <s v="quarta-feira"/>
    <x v="235"/>
    <x v="235"/>
    <n v="36249.040000000001"/>
    <n v="0"/>
    <n v="133"/>
    <n v="153"/>
    <n v="272.54917293233086"/>
    <n v="1352.1729032258063"/>
    <n v="26.807991724669687"/>
    <n v="3950"/>
    <n v="3.3670886075949369E-2"/>
  </r>
  <r>
    <s v="quinta-feira"/>
    <x v="236"/>
    <x v="236"/>
    <n v="38652.47"/>
    <n v="0"/>
    <n v="141"/>
    <n v="169"/>
    <n v="274.13099290780144"/>
    <n v="1335.9429032258063"/>
    <n v="28.932726021949463"/>
    <n v="3866"/>
    <n v="3.6471805483704087E-2"/>
  </r>
  <r>
    <s v="sexta-feira"/>
    <x v="237"/>
    <x v="237"/>
    <n v="43292.67"/>
    <n v="0"/>
    <n v="156"/>
    <n v="184"/>
    <n v="277.51711538461535"/>
    <n v="1227.7129032258063"/>
    <n v="35.262861444437732"/>
    <n v="3938"/>
    <n v="3.9614017267648551E-2"/>
  </r>
  <r>
    <s v="sábado"/>
    <x v="238"/>
    <x v="238"/>
    <n v="27367.82"/>
    <n v="0"/>
    <n v="101"/>
    <n v="119"/>
    <n v="270.96851485148517"/>
    <n v="1336.0729032258064"/>
    <n v="20.483777445020628"/>
    <n v="3181"/>
    <n v="3.1751021691292049E-2"/>
  </r>
  <r>
    <s v="domingo"/>
    <x v="239"/>
    <x v="239"/>
    <n v="21585.8"/>
    <n v="0"/>
    <n v="74"/>
    <n v="82"/>
    <n v="291.7"/>
    <n v="1357.5929032258064"/>
    <n v="15.900053652836212"/>
    <n v="2767"/>
    <n v="2.674376581134803E-2"/>
  </r>
  <r>
    <s v="segunda-feira"/>
    <x v="240"/>
    <x v="240"/>
    <n v="39502.67"/>
    <n v="0"/>
    <n v="149"/>
    <n v="172"/>
    <n v="265.11859060402685"/>
    <n v="1264.0629032258064"/>
    <n v="31.250557151223845"/>
    <n v="3741"/>
    <n v="3.9828922747928361E-2"/>
  </r>
  <r>
    <s v="terça-feira"/>
    <x v="241"/>
    <x v="241"/>
    <n v="36029.29"/>
    <n v="0"/>
    <n v="135"/>
    <n v="162"/>
    <n v="266.88362962962964"/>
    <n v="1151.3729032258063"/>
    <n v="31.292459548992849"/>
    <n v="3717"/>
    <n v="3.6319612590799029E-2"/>
  </r>
  <r>
    <s v="quarta-feira"/>
    <x v="242"/>
    <x v="242"/>
    <n v="55833.37"/>
    <n v="0"/>
    <n v="226"/>
    <n v="282"/>
    <n v="247.05030973451329"/>
    <n v="991.5729032258065"/>
    <n v="56.307881970515403"/>
    <n v="4281"/>
    <n v="5.2791403877598689E-2"/>
  </r>
  <r>
    <s v="quinta-feira"/>
    <x v="243"/>
    <x v="243"/>
    <n v="78671.47"/>
    <n v="0"/>
    <n v="342"/>
    <n v="516"/>
    <n v="230.0335380116959"/>
    <n v="1110.9233333333332"/>
    <n v="70.816290953171091"/>
    <n v="4990"/>
    <n v="6.8537074148296587E-2"/>
  </r>
  <r>
    <s v="sexta-feira"/>
    <x v="244"/>
    <x v="244"/>
    <n v="64168.27"/>
    <n v="0"/>
    <n v="270"/>
    <n v="412"/>
    <n v="237.66025925925925"/>
    <n v="1203.2133333333334"/>
    <n v="53.330750434946417"/>
    <n v="4768"/>
    <n v="5.6627516778523491E-2"/>
  </r>
  <r>
    <s v="sábado"/>
    <x v="245"/>
    <x v="245"/>
    <n v="39457.31"/>
    <n v="0"/>
    <n v="192"/>
    <n v="283"/>
    <n v="205.50682291666666"/>
    <n v="1159.8733333333332"/>
    <n v="34.018637092556084"/>
    <n v="3716"/>
    <n v="5.1668460710441337E-2"/>
  </r>
  <r>
    <s v="domingo"/>
    <x v="246"/>
    <x v="246"/>
    <n v="43705.19"/>
    <n v="0"/>
    <n v="198"/>
    <n v="296"/>
    <n v="220.73328282828285"/>
    <n v="1132.5633333333333"/>
    <n v="38.589621183804297"/>
    <n v="3251"/>
    <n v="6.0904337127037834E-2"/>
  </r>
  <r>
    <s v="segunda-feira"/>
    <x v="247"/>
    <x v="247"/>
    <n v="59206.32"/>
    <n v="0"/>
    <n v="230"/>
    <n v="343"/>
    <n v="257.41878260869566"/>
    <n v="1218.9433333333332"/>
    <n v="48.571839544086004"/>
    <n v="4471"/>
    <n v="5.1442630284052784E-2"/>
  </r>
  <r>
    <s v="terça-feira"/>
    <x v="248"/>
    <x v="248"/>
    <n v="53971.99"/>
    <n v="0"/>
    <n v="254"/>
    <n v="375"/>
    <n v="212.4881496062992"/>
    <n v="1089.1033333333332"/>
    <n v="49.556353697690149"/>
    <n v="4205"/>
    <n v="6.0404280618311532E-2"/>
  </r>
  <r>
    <s v="quarta-feira"/>
    <x v="249"/>
    <x v="249"/>
    <n v="28432.95"/>
    <n v="0"/>
    <n v="121"/>
    <n v="164"/>
    <n v="234.98305785123966"/>
    <n v="944.59333333333336"/>
    <n v="30.10073117884945"/>
    <n v="3079"/>
    <n v="3.9298473530367001E-2"/>
  </r>
  <r>
    <s v="quinta-feira"/>
    <x v="250"/>
    <x v="250"/>
    <n v="56579.35"/>
    <n v="0"/>
    <n v="216"/>
    <n v="305"/>
    <n v="261.94143518518518"/>
    <n v="1092.1533333333332"/>
    <n v="51.805317324185253"/>
    <n v="4536"/>
    <n v="4.7619047619047616E-2"/>
  </r>
  <r>
    <s v="sexta-feira"/>
    <x v="251"/>
    <x v="251"/>
    <n v="51745.83"/>
    <n v="0"/>
    <n v="210"/>
    <n v="299"/>
    <n v="246.4087142857143"/>
    <n v="1191.9733333333334"/>
    <n v="43.411902391552381"/>
    <n v="4035"/>
    <n v="5.204460966542751E-2"/>
  </r>
  <r>
    <s v="sábado"/>
    <x v="252"/>
    <x v="252"/>
    <n v="37784.699999999997"/>
    <n v="36.409999999999997"/>
    <n v="149"/>
    <n v="181"/>
    <n v="253.83295302013423"/>
    <n v="1060.9333333333334"/>
    <n v="35.648903481211512"/>
    <n v="3298"/>
    <n v="4.5178896300788356E-2"/>
  </r>
  <r>
    <s v="domingo"/>
    <x v="253"/>
    <x v="253"/>
    <n v="21783.94"/>
    <n v="0"/>
    <n v="93"/>
    <n v="120"/>
    <n v="234.23591397849461"/>
    <n v="1051.2333333333333"/>
    <n v="20.722269080762278"/>
    <n v="2818"/>
    <n v="3.3002129169623848E-2"/>
  </r>
  <r>
    <s v="segunda-feira"/>
    <x v="254"/>
    <x v="254"/>
    <n v="56171.27"/>
    <n v="0"/>
    <n v="212"/>
    <n v="301"/>
    <n v="264.95882075471695"/>
    <n v="1225.0733333333333"/>
    <n v="45.85135311627603"/>
    <n v="4451"/>
    <n v="4.762974612446641E-2"/>
  </r>
  <r>
    <s v="terça-feira"/>
    <x v="255"/>
    <x v="255"/>
    <n v="54652.83"/>
    <n v="0"/>
    <n v="234"/>
    <n v="346"/>
    <n v="233.55910256410257"/>
    <n v="1194.0633333333333"/>
    <n v="45.770461644971377"/>
    <n v="4524"/>
    <n v="5.1724137931034482E-2"/>
  </r>
  <r>
    <s v="quarta-feira"/>
    <x v="256"/>
    <x v="256"/>
    <n v="58360.29"/>
    <n v="0"/>
    <n v="274"/>
    <n v="376"/>
    <n v="212.9937591240876"/>
    <n v="1105.9633333333334"/>
    <n v="52.768738565775237"/>
    <n v="4481"/>
    <n v="6.1147065387190357E-2"/>
  </r>
  <r>
    <s v="quinta-feira"/>
    <x v="257"/>
    <x v="257"/>
    <n v="53315.81"/>
    <n v="0"/>
    <n v="181"/>
    <n v="222"/>
    <n v="294.56248618784531"/>
    <n v="1154.3633333333332"/>
    <n v="46.186333592254321"/>
    <n v="5422"/>
    <n v="3.3382515676872004E-2"/>
  </r>
  <r>
    <s v="sexta-feira"/>
    <x v="258"/>
    <x v="258"/>
    <n v="47071.95"/>
    <n v="0"/>
    <n v="163"/>
    <n v="194"/>
    <n v="288.78496932515338"/>
    <n v="1524.7633333333331"/>
    <n v="30.871643468166646"/>
    <n v="4585"/>
    <n v="3.5550708833151583E-2"/>
  </r>
  <r>
    <s v="sábado"/>
    <x v="259"/>
    <x v="259"/>
    <n v="32520.55"/>
    <n v="25.71"/>
    <n v="108"/>
    <n v="135"/>
    <n v="301.35425925925927"/>
    <n v="1671.7533333333333"/>
    <n v="19.468338630499716"/>
    <n v="3452"/>
    <n v="3.1286210892236384E-2"/>
  </r>
  <r>
    <s v="domingo"/>
    <x v="260"/>
    <x v="260"/>
    <n v="20304.75"/>
    <n v="0"/>
    <n v="73"/>
    <n v="83"/>
    <n v="278.14726027397262"/>
    <n v="1618.9433333333332"/>
    <n v="12.541976968516503"/>
    <n v="2982"/>
    <n v="2.448021462105969E-2"/>
  </r>
  <r>
    <s v="segunda-feira"/>
    <x v="261"/>
    <x v="261"/>
    <n v="71831.789999999994"/>
    <n v="55.78"/>
    <n v="295"/>
    <n v="415"/>
    <n v="243.68667796610166"/>
    <n v="2359.3833333333337"/>
    <n v="30.46879622500229"/>
    <n v="5581"/>
    <n v="5.2857910768679447E-2"/>
  </r>
  <r>
    <s v="terça-feira"/>
    <x v="262"/>
    <x v="262"/>
    <n v="65118.879999999997"/>
    <n v="0"/>
    <n v="241"/>
    <n v="337"/>
    <n v="270.20282157676348"/>
    <n v="2206.9233333333336"/>
    <n v="29.50663442469682"/>
    <n v="5118"/>
    <n v="4.7088706525986714E-2"/>
  </r>
  <r>
    <s v="quarta-feira"/>
    <x v="263"/>
    <x v="263"/>
    <n v="61030.95"/>
    <n v="0"/>
    <n v="240"/>
    <n v="352"/>
    <n v="254.295625"/>
    <n v="1313.6733333333334"/>
    <n v="46.458239237557784"/>
    <n v="5393"/>
    <n v="4.4502132393843874E-2"/>
  </r>
  <r>
    <s v="quinta-feira"/>
    <x v="264"/>
    <x v="264"/>
    <n v="58301.17"/>
    <n v="24.69"/>
    <n v="257"/>
    <n v="366"/>
    <n v="226.94887159533073"/>
    <n v="1130.6333333333332"/>
    <n v="51.586892302249481"/>
    <n v="5591"/>
    <n v="4.5966732248256127E-2"/>
  </r>
  <r>
    <s v="sexta-feira"/>
    <x v="265"/>
    <x v="265"/>
    <n v="49237.4"/>
    <n v="0"/>
    <n v="158"/>
    <n v="224"/>
    <n v="311.62911392405061"/>
    <n v="916.23333333333335"/>
    <n v="53.73893113108015"/>
    <n v="4236"/>
    <n v="3.7299338999055714E-2"/>
  </r>
  <r>
    <s v="sábado"/>
    <x v="266"/>
    <x v="266"/>
    <n v="26717.62"/>
    <n v="0"/>
    <n v="96"/>
    <n v="138"/>
    <n v="278.30854166666666"/>
    <n v="806.60333333333335"/>
    <n v="33.123617143494734"/>
    <n v="2965"/>
    <n v="3.2377740303541312E-2"/>
  </r>
  <r>
    <s v="domingo"/>
    <x v="267"/>
    <x v="267"/>
    <n v="16274.91"/>
    <n v="0"/>
    <n v="59"/>
    <n v="66"/>
    <n v="275.84593220338985"/>
    <n v="840.99333333333334"/>
    <n v="19.352008339344742"/>
    <n v="2629"/>
    <n v="2.2441993153290225E-2"/>
  </r>
  <r>
    <s v="segunda-feira"/>
    <x v="268"/>
    <x v="268"/>
    <n v="41882.97"/>
    <n v="0"/>
    <n v="148"/>
    <n v="186"/>
    <n v="282.99304054054056"/>
    <n v="1188.0533333333333"/>
    <n v="35.253442606392532"/>
    <n v="4585"/>
    <n v="3.2279171210468922E-2"/>
  </r>
  <r>
    <s v="terça-feira"/>
    <x v="269"/>
    <x v="269"/>
    <n v="44967.11"/>
    <n v="0"/>
    <n v="160"/>
    <n v="209"/>
    <n v="281.04443750000002"/>
    <n v="1055.6833333333334"/>
    <n v="42.595263731232535"/>
    <n v="4252"/>
    <n v="3.7629350893697081E-2"/>
  </r>
  <r>
    <s v="quarta-feira"/>
    <x v="270"/>
    <x v="270"/>
    <n v="66855.64"/>
    <n v="0"/>
    <n v="193"/>
    <n v="328"/>
    <n v="346.40227979274613"/>
    <n v="1416.1033333333332"/>
    <n v="47.210989781819123"/>
    <n v="4736"/>
    <n v="4.0751689189189186E-2"/>
  </r>
  <r>
    <s v="quinta-feira"/>
    <x v="271"/>
    <x v="271"/>
    <n v="67928.87"/>
    <n v="0"/>
    <n v="210"/>
    <n v="301"/>
    <n v="323.47080952380952"/>
    <n v="1687.2833333333333"/>
    <n v="40.259314282327608"/>
    <n v="4408"/>
    <n v="4.7640653357531759E-2"/>
  </r>
  <r>
    <s v="sexta-feira"/>
    <x v="272"/>
    <x v="272"/>
    <n v="72018.289999999994"/>
    <n v="0"/>
    <n v="213"/>
    <n v="348"/>
    <n v="338.11403755868542"/>
    <n v="1857.9733333333331"/>
    <n v="38.761745773172201"/>
    <n v="4421"/>
    <n v="4.8179144989821308E-2"/>
  </r>
  <r>
    <s v="sábado"/>
    <x v="273"/>
    <x v="273"/>
    <n v="27208.94"/>
    <n v="0"/>
    <n v="103"/>
    <n v="133"/>
    <n v="264.16446601941749"/>
    <n v="979.89290322580644"/>
    <n v="27.767258963125659"/>
    <n v="3090"/>
    <n v="3.3333333333333333E-2"/>
  </r>
  <r>
    <s v="domingo"/>
    <x v="274"/>
    <x v="274"/>
    <n v="19267.509999999998"/>
    <n v="0"/>
    <n v="78"/>
    <n v="98"/>
    <n v="247.01935897435897"/>
    <n v="871.91290322580642"/>
    <n v="22.097975530257905"/>
    <n v="2075"/>
    <n v="3.7590361445783135E-2"/>
  </r>
  <r>
    <s v="segunda-feira"/>
    <x v="275"/>
    <x v="275"/>
    <n v="53382.78"/>
    <n v="0"/>
    <n v="165"/>
    <n v="218"/>
    <n v="323.53199999999998"/>
    <n v="1015.6329032258064"/>
    <n v="52.561097450120087"/>
    <n v="4155"/>
    <n v="3.9711191335740074E-2"/>
  </r>
  <r>
    <s v="terça-feira"/>
    <x v="276"/>
    <x v="276"/>
    <n v="53991.78"/>
    <n v="0"/>
    <n v="165"/>
    <n v="233"/>
    <n v="327.22290909090907"/>
    <n v="977.40290322580643"/>
    <n v="55.240044634414637"/>
    <n v="4277"/>
    <n v="3.8578442833761981E-2"/>
  </r>
  <r>
    <s v="quarta-feira"/>
    <x v="277"/>
    <x v="277"/>
    <n v="63410.69"/>
    <n v="0"/>
    <n v="211"/>
    <n v="286"/>
    <n v="300.5245971563981"/>
    <n v="1090.6429032258063"/>
    <n v="58.140652465118983"/>
    <n v="5214"/>
    <n v="4.046797084771768E-2"/>
  </r>
  <r>
    <s v="quinta-feira"/>
    <x v="278"/>
    <x v="278"/>
    <n v="70591.55"/>
    <n v="0"/>
    <n v="205"/>
    <n v="335"/>
    <n v="344.34902439024393"/>
    <n v="1149.9629032258063"/>
    <n v="61.385936713246025"/>
    <n v="4908"/>
    <n v="4.1768541157294212E-2"/>
  </r>
  <r>
    <s v="sexta-feira"/>
    <x v="279"/>
    <x v="279"/>
    <n v="56390.74"/>
    <n v="35.71"/>
    <n v="194"/>
    <n v="269"/>
    <n v="290.85798969072164"/>
    <n v="1105.7529032258062"/>
    <n v="51.029890887365035"/>
    <n v="4596"/>
    <n v="4.2210617928633593E-2"/>
  </r>
  <r>
    <s v="sábado"/>
    <x v="280"/>
    <x v="280"/>
    <n v="34045.519999999997"/>
    <n v="0"/>
    <n v="122"/>
    <n v="153"/>
    <n v="279.06163934426229"/>
    <n v="985.81290322580651"/>
    <n v="34.53547817095437"/>
    <n v="3382"/>
    <n v="3.6073329390892965E-2"/>
  </r>
  <r>
    <s v="domingo"/>
    <x v="281"/>
    <x v="281"/>
    <n v="31413.88"/>
    <n v="0"/>
    <n v="102"/>
    <n v="147"/>
    <n v="307.97921568627453"/>
    <n v="1069.5629032258064"/>
    <n v="29.370764361082085"/>
    <n v="2970"/>
    <n v="3.4343434343434343E-2"/>
  </r>
  <r>
    <s v="segunda-feira"/>
    <x v="282"/>
    <x v="282"/>
    <n v="83088.41"/>
    <n v="0"/>
    <n v="246"/>
    <n v="405"/>
    <n v="337.75776422764227"/>
    <n v="1249.6029032258064"/>
    <n v="66.49185095962099"/>
    <n v="4708"/>
    <n v="5.2251486830926085E-2"/>
  </r>
  <r>
    <s v="terça-feira"/>
    <x v="283"/>
    <x v="283"/>
    <n v="54098.21"/>
    <n v="47.32"/>
    <n v="183"/>
    <n v="272"/>
    <n v="295.87721311475411"/>
    <n v="967.08290322580649"/>
    <n v="55.988509174748003"/>
    <n v="4798"/>
    <n v="3.8140892038349312E-2"/>
  </r>
  <r>
    <s v="quarta-feira"/>
    <x v="284"/>
    <x v="284"/>
    <n v="28614.12"/>
    <n v="23.59"/>
    <n v="109"/>
    <n v="130"/>
    <n v="262.73128440366969"/>
    <n v="876.71290322580637"/>
    <n v="32.66486656535961"/>
    <n v="3119"/>
    <n v="3.494709842898365E-2"/>
  </r>
  <r>
    <s v="quinta-feira"/>
    <x v="285"/>
    <x v="285"/>
    <n v="75178.97"/>
    <n v="0"/>
    <n v="229"/>
    <n v="356"/>
    <n v="328.29244541484718"/>
    <n v="941.64290322580644"/>
    <n v="79.838089091371884"/>
    <n v="4885"/>
    <n v="4.6878198567041965E-2"/>
  </r>
  <r>
    <s v="sexta-feira"/>
    <x v="286"/>
    <x v="286"/>
    <n v="69021.100000000006"/>
    <n v="0"/>
    <n v="211"/>
    <n v="277"/>
    <n v="327.11421800947869"/>
    <n v="1079.2429032258065"/>
    <n v="63.953258153191626"/>
    <n v="4811"/>
    <n v="4.3857825815838705E-2"/>
  </r>
  <r>
    <s v="sábado"/>
    <x v="287"/>
    <x v="287"/>
    <n v="32945.99"/>
    <n v="0"/>
    <n v="116"/>
    <n v="142"/>
    <n v="284.01715517241377"/>
    <n v="1167.0929032258064"/>
    <n v="28.22910661948022"/>
    <n v="3633"/>
    <n v="3.1929534819708227E-2"/>
  </r>
  <r>
    <s v="domingo"/>
    <x v="288"/>
    <x v="288"/>
    <n v="33275.550000000003"/>
    <n v="25.51"/>
    <n v="100"/>
    <n v="157"/>
    <n v="333.01060000000007"/>
    <n v="1279.4329032258065"/>
    <n v="26.027984676678834"/>
    <n v="2865"/>
    <n v="3.4904013961605584E-2"/>
  </r>
  <r>
    <s v="segunda-feira"/>
    <x v="289"/>
    <x v="289"/>
    <n v="54198.73"/>
    <n v="0"/>
    <n v="208"/>
    <n v="256"/>
    <n v="260.57081730769232"/>
    <n v="1418.2229032258062"/>
    <n v="38.215946080635675"/>
    <n v="5160"/>
    <n v="4.0310077519379844E-2"/>
  </r>
  <r>
    <s v="terça-feira"/>
    <x v="290"/>
    <x v="290"/>
    <n v="53839.25"/>
    <n v="25.71"/>
    <n v="186"/>
    <n v="242"/>
    <n v="289.59655913978492"/>
    <n v="1266.6929032258063"/>
    <n v="42.524087616521363"/>
    <n v="4615"/>
    <n v="4.0303358613217766E-2"/>
  </r>
  <r>
    <s v="quarta-feira"/>
    <x v="291"/>
    <x v="291"/>
    <n v="54580.46"/>
    <n v="0"/>
    <n v="203"/>
    <n v="241"/>
    <n v="268.86926108374382"/>
    <n v="1277.9229032258063"/>
    <n v="42.710291725913095"/>
    <n v="4507"/>
    <n v="4.5041047259818064E-2"/>
  </r>
  <r>
    <s v="quinta-feira"/>
    <x v="292"/>
    <x v="292"/>
    <n v="52917.62"/>
    <n v="0"/>
    <n v="197"/>
    <n v="244"/>
    <n v="268.61736040609139"/>
    <n v="1197.2329032258062"/>
    <n v="44.199937921368154"/>
    <n v="4547"/>
    <n v="4.3325269408401146E-2"/>
  </r>
  <r>
    <s v="sexta-feira"/>
    <x v="293"/>
    <x v="293"/>
    <n v="60429.95"/>
    <n v="0"/>
    <n v="207"/>
    <n v="273"/>
    <n v="291.93212560386473"/>
    <n v="1112.6629032258063"/>
    <n v="54.311103412186114"/>
    <n v="4350"/>
    <n v="4.7586206896551721E-2"/>
  </r>
  <r>
    <s v="sábado"/>
    <x v="294"/>
    <x v="294"/>
    <n v="44015.68"/>
    <n v="0"/>
    <n v="169"/>
    <n v="225"/>
    <n v="260.44781065088756"/>
    <n v="1180.7329032258062"/>
    <n v="37.278270030205412"/>
    <n v="3592"/>
    <n v="4.7048997772828505E-2"/>
  </r>
  <r>
    <s v="domingo"/>
    <x v="295"/>
    <x v="295"/>
    <n v="24770.07"/>
    <n v="0"/>
    <n v="112"/>
    <n v="142"/>
    <n v="221.16133928571429"/>
    <n v="1044.1829032258063"/>
    <n v="23.72196472809269"/>
    <n v="2965"/>
    <n v="3.7774030354131537E-2"/>
  </r>
  <r>
    <s v="segunda-feira"/>
    <x v="296"/>
    <x v="296"/>
    <n v="43539.53"/>
    <n v="98.63"/>
    <n v="151"/>
    <n v="181"/>
    <n v="288.99443708609272"/>
    <n v="876.15290322580643"/>
    <n v="49.806557553291988"/>
    <n v="4493"/>
    <n v="3.3607834409080793E-2"/>
  </r>
  <r>
    <s v="terça-feira"/>
    <x v="297"/>
    <x v="297"/>
    <n v="42354.62"/>
    <n v="0"/>
    <n v="138"/>
    <n v="195"/>
    <n v="306.91753623188407"/>
    <n v="934.30290322580652"/>
    <n v="45.332857099945826"/>
    <n v="4214"/>
    <n v="3.274798291409587E-2"/>
  </r>
  <r>
    <s v="quarta-feira"/>
    <x v="298"/>
    <x v="298"/>
    <n v="42003.97"/>
    <n v="0"/>
    <n v="152"/>
    <n v="218"/>
    <n v="276.34190789473683"/>
    <n v="1005.6329032258064"/>
    <n v="41.768691005696304"/>
    <n v="4060"/>
    <n v="3.7438423645320199E-2"/>
  </r>
  <r>
    <s v="quinta-feira"/>
    <x v="299"/>
    <x v="299"/>
    <n v="41645.82"/>
    <n v="22.23"/>
    <n v="144"/>
    <n v="162"/>
    <n v="289.36145833333336"/>
    <n v="1027.7129032258065"/>
    <n v="40.544445699972691"/>
    <n v="3857"/>
    <n v="3.733471610059632E-2"/>
  </r>
  <r>
    <s v="sexta-feira"/>
    <x v="300"/>
    <x v="300"/>
    <n v="46037.66"/>
    <n v="0"/>
    <n v="161"/>
    <n v="186"/>
    <n v="285.94819875776398"/>
    <n v="1075.4129032258063"/>
    <n v="42.809287355494369"/>
    <n v="3824"/>
    <n v="4.2102510460251048E-2"/>
  </r>
  <r>
    <s v="sábado"/>
    <x v="301"/>
    <x v="301"/>
    <n v="27353.200000000001"/>
    <n v="0"/>
    <n v="101"/>
    <n v="124"/>
    <n v="270.82376237623765"/>
    <n v="1175.0929032258064"/>
    <n v="23.277478678418841"/>
    <n v="2802"/>
    <n v="3.6045681655960025E-2"/>
  </r>
  <r>
    <s v="domingo"/>
    <x v="302"/>
    <x v="302"/>
    <n v="16529.8"/>
    <n v="0"/>
    <n v="59"/>
    <n v="67"/>
    <n v="280.16610169491526"/>
    <n v="1217.4629032258063"/>
    <n v="13.577251476166063"/>
    <n v="1896"/>
    <n v="3.1118143459915613E-2"/>
  </r>
  <r>
    <s v="segunda-feira"/>
    <x v="303"/>
    <x v="303"/>
    <n v="40416.239999999998"/>
    <n v="0"/>
    <n v="142"/>
    <n v="172"/>
    <n v="284.62140845070422"/>
    <n v="1224.3629032258063"/>
    <n v="33.0100167960954"/>
    <n v="3539"/>
    <n v="4.0124328906470753E-2"/>
  </r>
  <r>
    <s v="terça-feira"/>
    <x v="304"/>
    <x v="304"/>
    <n v="52463.95"/>
    <n v="0"/>
    <n v="183"/>
    <n v="245"/>
    <n v="286.6882513661202"/>
    <n v="1290.6233333333332"/>
    <n v="40.650086392363384"/>
    <n v="4309"/>
    <n v="4.2469250406126709E-2"/>
  </r>
  <r>
    <s v="quarta-feira"/>
    <x v="305"/>
    <x v="305"/>
    <n v="28179.040000000001"/>
    <n v="0"/>
    <n v="107"/>
    <n v="139"/>
    <n v="263.35551401869162"/>
    <n v="1316.5033333333333"/>
    <n v="21.404457768178837"/>
    <n v="3361"/>
    <n v="3.1835763165724486E-2"/>
  </r>
  <r>
    <s v="quinta-feira"/>
    <x v="306"/>
    <x v="306"/>
    <n v="41357.79"/>
    <n v="44.18"/>
    <n v="154"/>
    <n v="196"/>
    <n v="268.84396103896103"/>
    <n v="1184.3033333333333"/>
    <n v="34.958923811748683"/>
    <n v="4088"/>
    <n v="3.7671232876712327E-2"/>
  </r>
  <r>
    <s v="sexta-feira"/>
    <x v="307"/>
    <x v="307"/>
    <n v="49293.59"/>
    <n v="0"/>
    <n v="178"/>
    <n v="257"/>
    <n v="276.93028089887639"/>
    <n v="1156.7833333333333"/>
    <n v="42.612638494676325"/>
    <n v="3941"/>
    <n v="4.516620147170769E-2"/>
  </r>
  <r>
    <s v="sábado"/>
    <x v="308"/>
    <x v="308"/>
    <n v="32532.11"/>
    <n v="0"/>
    <n v="112"/>
    <n v="137"/>
    <n v="290.46526785714286"/>
    <n v="1149.0833333333333"/>
    <n v="28.311358329102909"/>
    <n v="2984"/>
    <n v="3.7533512064343161E-2"/>
  </r>
  <r>
    <s v="domingo"/>
    <x v="309"/>
    <x v="309"/>
    <n v="18743.48"/>
    <n v="0"/>
    <n v="66"/>
    <n v="83"/>
    <n v="283.99212121212122"/>
    <n v="1101.9433333333334"/>
    <n v="17.00947719634706"/>
    <n v="2587"/>
    <n v="2.5512176265945111E-2"/>
  </r>
  <r>
    <s v="segunda-feira"/>
    <x v="310"/>
    <x v="310"/>
    <n v="50453.83"/>
    <n v="22.31"/>
    <n v="156"/>
    <n v="236"/>
    <n v="323.565"/>
    <n v="1187.0933333333332"/>
    <n v="42.520784661694677"/>
    <n v="4378"/>
    <n v="3.563270899954317E-2"/>
  </r>
  <r>
    <s v="terça-feira"/>
    <x v="311"/>
    <x v="311"/>
    <n v="45692.1"/>
    <n v="0"/>
    <n v="157"/>
    <n v="187"/>
    <n v="291.03248407643309"/>
    <n v="1211.5633333333333"/>
    <n v="37.713340064764807"/>
    <n v="4432"/>
    <n v="3.5424187725631766E-2"/>
  </r>
  <r>
    <s v="quarta-feira"/>
    <x v="312"/>
    <x v="312"/>
    <n v="64711.35"/>
    <n v="0"/>
    <n v="281"/>
    <n v="407"/>
    <n v="230.28950177935943"/>
    <n v="1378.5033333333333"/>
    <n v="46.943194430674815"/>
    <n v="4915"/>
    <n v="5.7171922685656157E-2"/>
  </r>
  <r>
    <s v="quinta-feira"/>
    <x v="313"/>
    <x v="313"/>
    <n v="62344.07"/>
    <n v="0"/>
    <n v="241"/>
    <n v="356"/>
    <n v="258.68908713692946"/>
    <n v="1323.2633333333331"/>
    <n v="47.113880079298916"/>
    <n v="4853"/>
    <n v="4.9660004121162164E-2"/>
  </r>
  <r>
    <s v="sexta-feira"/>
    <x v="314"/>
    <x v="314"/>
    <n v="59936.65"/>
    <n v="0"/>
    <n v="246"/>
    <n v="335"/>
    <n v="243.644918699187"/>
    <n v="1412.3433333333332"/>
    <n v="42.43773350672523"/>
    <n v="4453"/>
    <n v="5.5243655962272625E-2"/>
  </r>
  <r>
    <s v="sábado"/>
    <x v="315"/>
    <x v="315"/>
    <n v="34354.720000000001"/>
    <n v="0"/>
    <n v="142"/>
    <n v="200"/>
    <n v="241.93464788732396"/>
    <n v="1237.0833333333333"/>
    <n v="27.770740316604922"/>
    <n v="3630"/>
    <n v="3.911845730027548E-2"/>
  </r>
  <r>
    <s v="domingo"/>
    <x v="316"/>
    <x v="316"/>
    <n v="20268.12"/>
    <n v="0"/>
    <n v="90"/>
    <n v="118"/>
    <n v="225.20133333333331"/>
    <n v="1171.7933333333333"/>
    <n v="17.296667785559457"/>
    <n v="2955"/>
    <n v="3.0456852791878174E-2"/>
  </r>
  <r>
    <s v="segunda-feira"/>
    <x v="317"/>
    <x v="317"/>
    <n v="48516.29"/>
    <n v="24.75"/>
    <n v="190"/>
    <n v="275"/>
    <n v="255.47915789473686"/>
    <n v="1303.8833333333332"/>
    <n v="37.228054657241834"/>
    <n v="4507"/>
    <n v="4.2156645218548922E-2"/>
  </r>
  <r>
    <s v="terça-feira"/>
    <x v="318"/>
    <x v="318"/>
    <n v="45918.36"/>
    <n v="0"/>
    <n v="190"/>
    <n v="287"/>
    <n v="241.67557894736842"/>
    <n v="1243.6033333333332"/>
    <n v="36.923638566423918"/>
    <n v="3551"/>
    <n v="5.3506054632497885E-2"/>
  </r>
  <r>
    <s v="quarta-feira"/>
    <x v="319"/>
    <x v="319"/>
    <n v="47671.23"/>
    <n v="0"/>
    <n v="164"/>
    <n v="207"/>
    <n v="290.67823170731708"/>
    <n v="1054.7833333333333"/>
    <n v="45.195281811430469"/>
    <n v="4845"/>
    <n v="3.384932920536636E-2"/>
  </r>
  <r>
    <s v="quinta-feira"/>
    <x v="320"/>
    <x v="320"/>
    <n v="57814.49"/>
    <n v="44.2"/>
    <n v="167"/>
    <n v="256"/>
    <n v="346.45922155688618"/>
    <n v="1097.3933333333332"/>
    <n v="52.723748397718232"/>
    <n v="4496"/>
    <n v="3.7144128113879002E-2"/>
  </r>
  <r>
    <s v="sexta-feira"/>
    <x v="321"/>
    <x v="321"/>
    <n v="60691.73"/>
    <n v="21.83"/>
    <n v="175"/>
    <n v="255"/>
    <n v="346.93462857142862"/>
    <n v="1283.5233333333333"/>
    <n v="47.302264340084719"/>
    <n v="4411"/>
    <n v="3.9673543414191791E-2"/>
  </r>
  <r>
    <s v="sábado"/>
    <x v="322"/>
    <x v="322"/>
    <n v="34580.47"/>
    <n v="0"/>
    <n v="107"/>
    <n v="137"/>
    <n v="323.18196261682243"/>
    <n v="1391.1533333333334"/>
    <n v="24.857410877305639"/>
    <n v="3399"/>
    <n v="3.1479847013827597E-2"/>
  </r>
  <r>
    <s v="domingo"/>
    <x v="323"/>
    <x v="323"/>
    <n v="24648.560000000001"/>
    <n v="0"/>
    <n v="71"/>
    <n v="87"/>
    <n v="347.16281690140846"/>
    <n v="1425.2833333333333"/>
    <n v="17.293796555070923"/>
    <n v="2928"/>
    <n v="2.424863387978142E-2"/>
  </r>
  <r>
    <s v="segunda-feira"/>
    <x v="324"/>
    <x v="324"/>
    <n v="77449.23"/>
    <n v="0"/>
    <n v="268"/>
    <n v="359"/>
    <n v="288.98966417910447"/>
    <n v="1755.4733333333331"/>
    <n v="44.118716319625101"/>
    <n v="7401"/>
    <n v="3.6211322794216995E-2"/>
  </r>
  <r>
    <s v="terça-feira"/>
    <x v="325"/>
    <x v="325"/>
    <n v="72089.929999999993"/>
    <n v="0"/>
    <n v="240"/>
    <n v="317"/>
    <n v="300.37470833333333"/>
    <n v="2213.7533333333336"/>
    <n v="32.564572084212926"/>
    <n v="5705"/>
    <n v="4.2068361086765996E-2"/>
  </r>
  <r>
    <s v="quarta-feira"/>
    <x v="326"/>
    <x v="326"/>
    <n v="72680.87"/>
    <n v="32.07"/>
    <n v="235"/>
    <n v="312"/>
    <n v="309.41676595744684"/>
    <n v="2228.4033333333336"/>
    <n v="32.630062481208512"/>
    <n v="6435"/>
    <n v="3.651903651903652E-2"/>
  </r>
  <r>
    <s v="quinta-feira"/>
    <x v="327"/>
    <x v="327"/>
    <n v="72854.37"/>
    <n v="0"/>
    <n v="230"/>
    <n v="302"/>
    <n v="316.75813043478257"/>
    <n v="1706.9733333333331"/>
    <n v="42.680438280621452"/>
    <n v="5552"/>
    <n v="4.142651296829971E-2"/>
  </r>
  <r>
    <s v="sexta-feira"/>
    <x v="328"/>
    <x v="328"/>
    <n v="202411.28"/>
    <n v="36.049999999999997"/>
    <n v="631"/>
    <n v="958"/>
    <n v="320.83570522979397"/>
    <n v="2849.3333333333335"/>
    <n v="71.050770940570885"/>
    <n v="8661"/>
    <n v="7.2855328484008774E-2"/>
  </r>
  <r>
    <s v="sábado"/>
    <x v="329"/>
    <x v="329"/>
    <n v="72318.87"/>
    <n v="0"/>
    <n v="256"/>
    <n v="331"/>
    <n v="282.49558593749998"/>
    <n v="1715.0233333333333"/>
    <n v="42.167863605354249"/>
    <n v="4639"/>
    <n v="5.5184306962707479E-2"/>
  </r>
  <r>
    <s v="domingo"/>
    <x v="330"/>
    <x v="330"/>
    <n v="105709.64"/>
    <n v="0"/>
    <n v="330"/>
    <n v="510"/>
    <n v="320.33224242424239"/>
    <n v="1788.5433333333333"/>
    <n v="59.103762279545926"/>
    <n v="4100"/>
    <n v="8.0487804878048783E-2"/>
  </r>
  <r>
    <s v="segunda-feira"/>
    <x v="331"/>
    <x v="331"/>
    <n v="128126.18"/>
    <n v="79.849999999999994"/>
    <n v="607"/>
    <n v="1457"/>
    <n v="211.21257001647447"/>
    <n v="1017.5433333333333"/>
    <n v="125.99564637705848"/>
    <n v="7616"/>
    <n v="7.9700630252100835E-2"/>
  </r>
  <r>
    <s v="terça-feira"/>
    <x v="332"/>
    <x v="332"/>
    <n v="79598.100000000006"/>
    <n v="22.31"/>
    <n v="325"/>
    <n v="501"/>
    <n v="244.98587692307694"/>
    <n v="896.08333333333337"/>
    <n v="88.853800799776806"/>
    <n v="6120"/>
    <n v="5.3104575163398691E-2"/>
  </r>
  <r>
    <s v="quarta-feira"/>
    <x v="333"/>
    <x v="333"/>
    <n v="72770.240000000005"/>
    <n v="22.31"/>
    <n v="257"/>
    <n v="392"/>
    <n v="283.23949416342413"/>
    <n v="695.04333333333341"/>
    <n v="104.73095202697193"/>
    <n v="5415"/>
    <n v="4.7460757156048014E-2"/>
  </r>
  <r>
    <s v="quinta-feira"/>
    <x v="334"/>
    <x v="334"/>
    <n v="86486.31"/>
    <n v="0"/>
    <n v="256"/>
    <n v="350"/>
    <n v="337.83714843749999"/>
    <n v="777.51290322580644"/>
    <n v="111.2345655502035"/>
    <n v="6190"/>
    <n v="4.1357027463651053E-2"/>
  </r>
  <r>
    <s v="sexta-feira"/>
    <x v="335"/>
    <x v="335"/>
    <n v="74098.990000000005"/>
    <n v="0"/>
    <n v="217"/>
    <n v="296"/>
    <n v="341.47"/>
    <n v="781.11290322580646"/>
    <n v="94.86335418860601"/>
    <n v="4015"/>
    <n v="5.4047322540473224E-2"/>
  </r>
  <r>
    <s v="sábado"/>
    <x v="336"/>
    <x v="336"/>
    <n v="37735.550000000003"/>
    <n v="21.95"/>
    <n v="140"/>
    <n v="169"/>
    <n v="269.69642857142856"/>
    <n v="826.48290322580647"/>
    <n v="45.684550584931017"/>
    <n v="3860"/>
    <n v="3.6269430051813469E-2"/>
  </r>
  <r>
    <s v="domingo"/>
    <x v="337"/>
    <x v="337"/>
    <n v="39635.199999999997"/>
    <n v="0"/>
    <n v="141"/>
    <n v="159"/>
    <n v="281.10070921985812"/>
    <n v="865.77290322580654"/>
    <n v="45.780134550668123"/>
    <n v="3515"/>
    <n v="4.0113798008534853E-2"/>
  </r>
  <r>
    <s v="segunda-feira"/>
    <x v="338"/>
    <x v="338"/>
    <n v="148777.51"/>
    <n v="0"/>
    <n v="679"/>
    <n v="1098"/>
    <n v="219.11268041237113"/>
    <n v="1000.9629032258065"/>
    <n v="148.63438946691653"/>
    <n v="6626"/>
    <n v="0.10247509809840025"/>
  </r>
  <r>
    <s v="terça-feira"/>
    <x v="339"/>
    <x v="339"/>
    <n v="81996.63"/>
    <n v="25.07"/>
    <n v="267"/>
    <n v="355"/>
    <n v="307.19737827715358"/>
    <n v="975.71290322580637"/>
    <n v="84.063354834017161"/>
    <n v="6022"/>
    <n v="4.4337429425440056E-2"/>
  </r>
  <r>
    <s v="quarta-feira"/>
    <x v="340"/>
    <x v="340"/>
    <n v="112706.6"/>
    <n v="22.23"/>
    <n v="315"/>
    <n v="429"/>
    <n v="357.86930158730161"/>
    <n v="1216.0329032258064"/>
    <n v="92.702121547008232"/>
    <n v="6671"/>
    <n v="4.7219307450157399E-2"/>
  </r>
  <r>
    <s v="quinta-feira"/>
    <x v="341"/>
    <x v="341"/>
    <n v="97402.85"/>
    <n v="0"/>
    <n v="293"/>
    <n v="387"/>
    <n v="332.43293515358363"/>
    <n v="1468.6029032258064"/>
    <n v="66.323476404719969"/>
    <n v="6224"/>
    <n v="4.7075835475578406E-2"/>
  </r>
  <r>
    <s v="sexta-feira"/>
    <x v="342"/>
    <x v="342"/>
    <n v="72230.45"/>
    <n v="0"/>
    <n v="222"/>
    <n v="278"/>
    <n v="325.3623873873874"/>
    <n v="1137.2229032258065"/>
    <n v="63.51476900009105"/>
    <n v="4217"/>
    <n v="5.2644059758121885E-2"/>
  </r>
  <r>
    <s v="sábado"/>
    <x v="343"/>
    <x v="343"/>
    <n v="55323.9"/>
    <n v="0"/>
    <n v="179"/>
    <n v="209"/>
    <n v="309.07206703910617"/>
    <n v="1207.6129032258063"/>
    <n v="45.812610855860676"/>
    <n v="4623"/>
    <n v="3.8719446247025738E-2"/>
  </r>
  <r>
    <s v="domingo"/>
    <x v="344"/>
    <x v="344"/>
    <n v="38946.699999999997"/>
    <n v="0"/>
    <n v="127"/>
    <n v="161"/>
    <n v="306.66692913385822"/>
    <n v="1257.0829032258064"/>
    <n v="30.981807086914227"/>
    <n v="3929"/>
    <n v="3.2323746500381778E-2"/>
  </r>
  <r>
    <s v="segunda-feira"/>
    <x v="345"/>
    <x v="345"/>
    <n v="122650.9"/>
    <n v="0"/>
    <n v="374"/>
    <n v="599"/>
    <n v="327.94358288770053"/>
    <n v="1667.1929032258063"/>
    <n v="73.567311714610881"/>
    <n v="6766"/>
    <n v="5.5276381909547742E-2"/>
  </r>
  <r>
    <s v="terça-feira"/>
    <x v="346"/>
    <x v="346"/>
    <n v="151315.48000000001"/>
    <n v="0"/>
    <n v="417"/>
    <n v="622"/>
    <n v="362.86685851318947"/>
    <n v="1589.0729032258064"/>
    <n v="95.222490857927724"/>
    <n v="6563"/>
    <n v="6.3538016151150387E-2"/>
  </r>
  <r>
    <s v="quarta-feira"/>
    <x v="347"/>
    <x v="347"/>
    <n v="139667.01999999999"/>
    <n v="117.77"/>
    <n v="416"/>
    <n v="793"/>
    <n v="336.02112980769226"/>
    <n v="1592.5129032258064"/>
    <n v="87.77623698800231"/>
    <n v="6787"/>
    <n v="6.1293649624281715E-2"/>
  </r>
  <r>
    <s v="quinta-feira"/>
    <x v="348"/>
    <x v="348"/>
    <n v="140183.35999999999"/>
    <n v="39.590000000000003"/>
    <n v="439"/>
    <n v="575"/>
    <n v="319.41446469248285"/>
    <n v="1645.6829032258063"/>
    <n v="85.206542357060513"/>
    <n v="6860"/>
    <n v="6.3994169096209919E-2"/>
  </r>
  <r>
    <s v="sexta-feira"/>
    <x v="349"/>
    <x v="349"/>
    <n v="116080.44"/>
    <n v="0"/>
    <n v="397"/>
    <n v="476"/>
    <n v="292.39405541561712"/>
    <n v="1961.1929032258063"/>
    <n v="59.188690622461849"/>
    <n v="6406"/>
    <n v="6.1973150171714016E-2"/>
  </r>
  <r>
    <s v="sábado"/>
    <x v="350"/>
    <x v="350"/>
    <n v="89484.36"/>
    <n v="0"/>
    <n v="293"/>
    <n v="355"/>
    <n v="305.40737201365187"/>
    <n v="1501.9329032258065"/>
    <n v="59.579465772277956"/>
    <n v="4992"/>
    <n v="5.8693910256410256E-2"/>
  </r>
  <r>
    <s v="domingo"/>
    <x v="351"/>
    <x v="351"/>
    <n v="65816.350000000006"/>
    <n v="47.04"/>
    <n v="209"/>
    <n v="256"/>
    <n v="315.13583732057418"/>
    <n v="1634.6429032258063"/>
    <n v="40.292219095696744"/>
    <n v="4201"/>
    <n v="4.9750059509640565E-2"/>
  </r>
  <r>
    <s v="segunda-feira"/>
    <x v="352"/>
    <x v="352"/>
    <n v="213390.42"/>
    <n v="41.11"/>
    <n v="654"/>
    <n v="821"/>
    <n v="326.34790519877674"/>
    <n v="1395.9929032258065"/>
    <n v="152.88869270524992"/>
    <n v="0"/>
    <n v="0"/>
  </r>
  <r>
    <s v="terça-feira"/>
    <x v="353"/>
    <x v="353"/>
    <n v="196362.28"/>
    <n v="0"/>
    <n v="597"/>
    <n v="807"/>
    <n v="328.91504187604687"/>
    <n v="2529.6029032258066"/>
    <n v="77.625733173216389"/>
    <n v="8120"/>
    <n v="7.3522167487684725E-2"/>
  </r>
  <r>
    <s v="quarta-feira"/>
    <x v="354"/>
    <x v="354"/>
    <n v="208358.09"/>
    <n v="45.06"/>
    <n v="635"/>
    <n v="866"/>
    <n v="328.19393700787401"/>
    <n v="2736.1029032258066"/>
    <n v="76.167877222123906"/>
    <n v="8565"/>
    <n v="7.4138937536485691E-2"/>
  </r>
  <r>
    <s v="quinta-feira"/>
    <x v="355"/>
    <x v="355"/>
    <n v="235161.69"/>
    <n v="73.73"/>
    <n v="717"/>
    <n v="943"/>
    <n v="328.08287308228734"/>
    <n v="4036.1029032258061"/>
    <n v="58.282810334689671"/>
    <n v="8198"/>
    <n v="8.7460356184435234E-2"/>
  </r>
  <r>
    <s v="sexta-feira"/>
    <x v="356"/>
    <x v="356"/>
    <n v="272208.45"/>
    <n v="0"/>
    <n v="844"/>
    <n v="1071"/>
    <n v="322.52186018957349"/>
    <n v="3623.1929032258067"/>
    <n v="75.129438942554501"/>
    <n v="7850"/>
    <n v="0.10751592356687899"/>
  </r>
  <r>
    <s v="sábado"/>
    <x v="357"/>
    <x v="357"/>
    <n v="266684.13"/>
    <n v="91.22"/>
    <n v="817"/>
    <n v="1038"/>
    <n v="326.5304161566707"/>
    <n v="2533.5329032258064"/>
    <n v="105.29776410652879"/>
    <n v="4618"/>
    <n v="0.1769164140320485"/>
  </r>
  <r>
    <s v="domingo"/>
    <x v="358"/>
    <x v="358"/>
    <n v="59393.62"/>
    <n v="23.15"/>
    <n v="193"/>
    <n v="238"/>
    <n v="307.85891191709845"/>
    <n v="1407.1129032258063"/>
    <n v="42.226014603225551"/>
    <n v="3644"/>
    <n v="5.2963776070252468E-2"/>
  </r>
  <r>
    <s v="segunda-feira"/>
    <x v="359"/>
    <x v="359"/>
    <n v="76654.78"/>
    <n v="0"/>
    <n v="256"/>
    <n v="306"/>
    <n v="299.432734375"/>
    <n v="2247.6129032258063"/>
    <n v="34.104974166140423"/>
    <n v="7683"/>
    <n v="3.3320317584276976E-2"/>
  </r>
  <r>
    <s v="terça-feira"/>
    <x v="360"/>
    <x v="360"/>
    <n v="69162.710000000006"/>
    <n v="31.69"/>
    <n v="225"/>
    <n v="314"/>
    <n v="307.53066666666672"/>
    <n v="1472.8529032258064"/>
    <n v="46.979844252234642"/>
    <n v="6295"/>
    <n v="3.5742652899126294E-2"/>
  </r>
  <r>
    <s v="quarta-feira"/>
    <x v="361"/>
    <x v="361"/>
    <n v="60668.97"/>
    <n v="0"/>
    <n v="203"/>
    <n v="255"/>
    <n v="298.86192118226603"/>
    <n v="1142.5229032258062"/>
    <n v="53.10087861583068"/>
    <n v="5511"/>
    <n v="3.6835420068953004E-2"/>
  </r>
  <r>
    <s v="quinta-feira"/>
    <x v="362"/>
    <x v="362"/>
    <n v="50673.86"/>
    <n v="57.12"/>
    <n v="168"/>
    <n v="209"/>
    <n v="301.97011904761905"/>
    <n v="914.08290322580649"/>
    <n v="55.499320489388801"/>
    <n v="4715"/>
    <n v="3.5630965005302224E-2"/>
  </r>
  <r>
    <s v="sexta-feira"/>
    <x v="363"/>
    <x v="363"/>
    <n v="62888.12"/>
    <n v="0"/>
    <n v="122"/>
    <n v="298"/>
    <n v="515.47639344262302"/>
    <n v="685.26290322580644"/>
    <n v="91.772252231895934"/>
    <n v="3751"/>
    <n v="3.2524660090642497E-2"/>
  </r>
  <r>
    <s v="sábado"/>
    <x v="364"/>
    <x v="364"/>
    <n v="27474.32"/>
    <n v="0"/>
    <n v="75"/>
    <n v="93"/>
    <n v="366.32426666666669"/>
    <n v="507.43290322580646"/>
    <n v="54.143749499377641"/>
    <n v="1968"/>
    <n v="3.8109756097560975E-2"/>
  </r>
  <r>
    <s v="domingo"/>
    <x v="365"/>
    <x v="365"/>
    <n v="6660.35"/>
    <n v="22.23"/>
    <n v="25"/>
    <n v="33"/>
    <n v="267.3032"/>
    <n v="429.30290322580646"/>
    <n v="15.566118816776484"/>
    <n v="2085"/>
    <n v="1.1990407673860911E-2"/>
  </r>
  <r>
    <s v="segunda-feira"/>
    <x v="366"/>
    <x v="366"/>
    <n v="42272.44"/>
    <n v="24.01"/>
    <n v="141"/>
    <n v="168"/>
    <n v="299.97482269503547"/>
    <n v="688.72290322580636"/>
    <n v="61.412869823108799"/>
    <n v="5236"/>
    <n v="2.6928953399541634E-2"/>
  </r>
  <r>
    <s v="terça-feira"/>
    <x v="367"/>
    <x v="367"/>
    <n v="43147.4"/>
    <n v="0"/>
    <n v="139"/>
    <n v="170"/>
    <n v="310.41294964028776"/>
    <n v="720.4329032258064"/>
    <n v="59.89093475159649"/>
    <n v="5421"/>
    <n v="2.564102564102564E-2"/>
  </r>
  <r>
    <s v="quarta-feira"/>
    <x v="368"/>
    <x v="368"/>
    <n v="38413.61"/>
    <n v="0"/>
    <n v="137"/>
    <n v="164"/>
    <n v="280.39131386861317"/>
    <n v="809.20290322580649"/>
    <n v="47.470924593656278"/>
    <n v="5673"/>
    <n v="2.4149479992949058E-2"/>
  </r>
  <r>
    <s v="quinta-feira"/>
    <x v="369"/>
    <x v="369"/>
    <n v="49163.53"/>
    <n v="21.95"/>
    <n v="162"/>
    <n v="214"/>
    <n v="303.61407407407404"/>
    <n v="816.79290322580653"/>
    <n v="60.217810176544127"/>
    <n v="5412"/>
    <n v="2.9933481152993349E-2"/>
  </r>
  <r>
    <s v="sexta-feira"/>
    <x v="370"/>
    <x v="370"/>
    <n v="51769.86"/>
    <n v="0"/>
    <n v="165"/>
    <n v="208"/>
    <n v="313.75672727272729"/>
    <n v="1016.9929032258065"/>
    <n v="50.904838997195398"/>
    <n v="5139"/>
    <n v="3.2107413893753649E-2"/>
  </r>
  <r>
    <s v="sábado"/>
    <x v="371"/>
    <x v="371"/>
    <n v="29276.06"/>
    <n v="0"/>
    <n v="97"/>
    <n v="114"/>
    <n v="301.81505154639177"/>
    <n v="619.51290322580644"/>
    <n v="47.256578269087576"/>
    <n v="3680"/>
    <n v="2.6358695652173914E-2"/>
  </r>
  <r>
    <s v="domingo"/>
    <x v="372"/>
    <x v="372"/>
    <n v="20384.97"/>
    <n v="27.03"/>
    <n v="75"/>
    <n v="85"/>
    <n v="272.16000000000003"/>
    <n v="648.75290322580645"/>
    <n v="31.463443012748034"/>
    <n v="3001"/>
    <n v="2.4991669443518827E-2"/>
  </r>
  <r>
    <s v="segunda-feira"/>
    <x v="373"/>
    <x v="373"/>
    <n v="85221.85"/>
    <n v="24.87"/>
    <n v="404"/>
    <n v="621"/>
    <n v="211.00673267326732"/>
    <n v="958.97290322580648"/>
    <n v="88.893773445783395"/>
    <n v="5670"/>
    <n v="7.1252204585537923E-2"/>
  </r>
  <r>
    <s v="terça-feira"/>
    <x v="374"/>
    <x v="374"/>
    <n v="49229.68"/>
    <n v="0"/>
    <n v="156"/>
    <n v="259"/>
    <n v="315.5748717948718"/>
    <n v="696.0729032258065"/>
    <n v="70.724890700176928"/>
    <n v="64"/>
    <n v="2.4375"/>
  </r>
  <r>
    <s v="quarta-feira"/>
    <x v="375"/>
    <x v="375"/>
    <n v="48477.84"/>
    <n v="0"/>
    <n v="155"/>
    <n v="178"/>
    <n v="312.76025806451611"/>
    <n v="690.21290322580649"/>
    <n v="70.236067412579558"/>
    <n v="39"/>
    <n v="3.9743589743589745"/>
  </r>
  <r>
    <s v="quinta-feira"/>
    <x v="376"/>
    <x v="376"/>
    <n v="44035.32"/>
    <n v="28.49"/>
    <n v="147"/>
    <n v="180"/>
    <n v="299.75380952380948"/>
    <n v="801.53290322580654"/>
    <n v="54.974424409357546"/>
    <n v="25"/>
    <n v="5.88"/>
  </r>
  <r>
    <s v="sexta-feira"/>
    <x v="377"/>
    <x v="377"/>
    <n v="52163.22"/>
    <n v="25.71"/>
    <n v="172"/>
    <n v="197"/>
    <n v="303.42401162790696"/>
    <n v="732.24290322580646"/>
    <n v="71.272701681488556"/>
    <n v="14"/>
    <n v="12.285714285714286"/>
  </r>
  <r>
    <s v="sábado"/>
    <x v="378"/>
    <x v="378"/>
    <n v="29397.59"/>
    <n v="0"/>
    <n v="99"/>
    <n v="123"/>
    <n v="296.94535353535355"/>
    <n v="643.10290322580647"/>
    <n v="45.712108983712533"/>
    <n v="9"/>
    <n v="11"/>
  </r>
  <r>
    <s v="domingo"/>
    <x v="379"/>
    <x v="379"/>
    <n v="19339.43"/>
    <n v="0"/>
    <n v="62"/>
    <n v="74"/>
    <n v="311.92629032258066"/>
    <n v="642.91290322580642"/>
    <n v="30.080948605891535"/>
    <n v="10"/>
    <n v="6.2"/>
  </r>
  <r>
    <s v="segunda-feira"/>
    <x v="380"/>
    <x v="380"/>
    <n v="51975.040000000001"/>
    <n v="0"/>
    <n v="179"/>
    <n v="210"/>
    <n v="290.36335195530728"/>
    <n v="882.0729032258065"/>
    <n v="58.923746336525468"/>
    <n v="18"/>
    <n v="9.9444444444444446"/>
  </r>
  <r>
    <s v="terça-feira"/>
    <x v="381"/>
    <x v="381"/>
    <n v="50459.519999999997"/>
    <n v="24.87"/>
    <n v="163"/>
    <n v="193"/>
    <n v="309.72018404907976"/>
    <n v="908.74290322580657"/>
    <n v="55.554095466157953"/>
    <n v="18"/>
    <n v="9.0555555555555554"/>
  </r>
  <r>
    <s v="quarta-feira"/>
    <x v="382"/>
    <x v="382"/>
    <n v="41522.589999999997"/>
    <n v="24.01"/>
    <n v="137"/>
    <n v="166"/>
    <n v="303.25985401459855"/>
    <n v="885.56290322580651"/>
    <n v="46.915470203934433"/>
    <n v="17"/>
    <n v="8.0588235294117645"/>
  </r>
  <r>
    <s v="quinta-feira"/>
    <x v="383"/>
    <x v="383"/>
    <n v="48554.23"/>
    <n v="52.36"/>
    <n v="159"/>
    <n v="200"/>
    <n v="305.70182389937111"/>
    <n v="836.41290322580642"/>
    <n v="58.113151784887854"/>
    <n v="10"/>
    <n v="15.9"/>
  </r>
  <r>
    <s v="sexta-feira"/>
    <x v="384"/>
    <x v="384"/>
    <n v="47358.7"/>
    <n v="0"/>
    <n v="156"/>
    <n v="186"/>
    <n v="303.58141025641027"/>
    <n v="861.91290322580642"/>
    <n v="54.946039005512866"/>
    <n v="13"/>
    <n v="12"/>
  </r>
  <r>
    <s v="sábado"/>
    <x v="385"/>
    <x v="385"/>
    <n v="28997.52"/>
    <n v="0"/>
    <n v="107"/>
    <n v="122"/>
    <n v="271.00485981308412"/>
    <n v="1013.9529032258065"/>
    <n v="28.5984880636436"/>
    <n v="9"/>
    <n v="11.888888888888889"/>
  </r>
  <r>
    <s v="domingo"/>
    <x v="386"/>
    <x v="386"/>
    <n v="21080.97"/>
    <n v="0"/>
    <n v="76"/>
    <n v="88"/>
    <n v="277.38118421052633"/>
    <n v="923.8029032258064"/>
    <n v="22.819770241452847"/>
    <n v="3"/>
    <n v="25.333333333333332"/>
  </r>
  <r>
    <s v="segunda-feira"/>
    <x v="387"/>
    <x v="387"/>
    <n v="41285.769999999997"/>
    <n v="0"/>
    <n v="144"/>
    <n v="164"/>
    <n v="286.70673611111107"/>
    <n v="588.34290322580648"/>
    <n v="70.172971873435657"/>
    <n v="17"/>
    <n v="8.4705882352941178"/>
  </r>
  <r>
    <s v="terça-feira"/>
    <x v="388"/>
    <x v="388"/>
    <n v="37563.42"/>
    <n v="26.67"/>
    <n v="139"/>
    <n v="155"/>
    <n v="270.43230215827333"/>
    <n v="565.34290322580648"/>
    <n v="66.490778933481977"/>
    <n v="15"/>
    <n v="9.2666666666666675"/>
  </r>
  <r>
    <s v="quarta-feira"/>
    <x v="389"/>
    <x v="389"/>
    <n v="30697.73"/>
    <n v="0"/>
    <n v="119"/>
    <n v="135"/>
    <n v="257.9641176470588"/>
    <n v="519.28290322580642"/>
    <n v="59.115618498711314"/>
    <n v="8"/>
    <n v="14.875"/>
  </r>
  <r>
    <s v="quinta-feira"/>
    <x v="390"/>
    <x v="390"/>
    <n v="43594.71"/>
    <n v="0"/>
    <n v="157"/>
    <n v="186"/>
    <n v="277.67331210191082"/>
    <n v="952.92290322580641"/>
    <n v="45.748412439688956"/>
    <n v="5"/>
    <n v="31.4"/>
  </r>
  <r>
    <s v="sexta-feira"/>
    <x v="391"/>
    <x v="391"/>
    <n v="49211.27"/>
    <n v="0"/>
    <n v="170"/>
    <n v="207"/>
    <n v="289.47805882352941"/>
    <n v="1124.5929032258064"/>
    <n v="43.759185976402073"/>
    <n v="4"/>
    <n v="42.5"/>
  </r>
  <r>
    <s v="sábado"/>
    <x v="392"/>
    <x v="392"/>
    <n v="30886.31"/>
    <n v="0"/>
    <n v="119"/>
    <n v="137"/>
    <n v="259.54882352941178"/>
    <n v="1211.6629032258063"/>
    <n v="25.490843961444618"/>
    <n v="2"/>
    <n v="59.5"/>
  </r>
  <r>
    <s v="domingo"/>
    <x v="393"/>
    <x v="393"/>
    <n v="34177.75"/>
    <n v="0"/>
    <n v="112"/>
    <n v="137"/>
    <n v="305.15848214285717"/>
    <n v="1058.6629032258063"/>
    <n v="32.283883657260915"/>
    <n v="4"/>
    <n v="28"/>
  </r>
  <r>
    <s v="segunda-feira"/>
    <x v="394"/>
    <x v="394"/>
    <n v="41810.53"/>
    <n v="0"/>
    <n v="146"/>
    <n v="172"/>
    <n v="286.37349315068491"/>
    <n v="679.64290322580644"/>
    <n v="61.518379433601993"/>
    <n v="2"/>
    <n v="73"/>
  </r>
  <r>
    <s v="terça-feira"/>
    <x v="395"/>
    <x v="395"/>
    <n v="44892.08"/>
    <n v="22.31"/>
    <n v="155"/>
    <n v="184"/>
    <n v="289.7702580645161"/>
    <n v="660.64290322580655"/>
    <n v="67.985881299398969"/>
    <n v="4"/>
    <n v="38.75"/>
  </r>
  <r>
    <s v="quarta-feira"/>
    <x v="396"/>
    <x v="396"/>
    <n v="53426.06"/>
    <n v="22.23"/>
    <n v="168"/>
    <n v="202"/>
    <n v="318.14458333333334"/>
    <n v="647.76285714285711"/>
    <n v="82.512125248658023"/>
    <n v="3"/>
    <n v="56"/>
  </r>
  <r>
    <s v="quinta-feira"/>
    <x v="397"/>
    <x v="397"/>
    <n v="50223.6"/>
    <n v="24.63"/>
    <n v="170"/>
    <n v="213"/>
    <n v="295.57782352941172"/>
    <n v="738.63285714285712"/>
    <n v="68.028695872490289"/>
    <n v="136"/>
    <n v="1.25"/>
  </r>
  <r>
    <s v="sexta-feira"/>
    <x v="398"/>
    <x v="398"/>
    <n v="56820.639999999999"/>
    <n v="0"/>
    <n v="186"/>
    <n v="226"/>
    <n v="305.487311827957"/>
    <n v="765.17285714285708"/>
    <n v="74.258567158494543"/>
    <n v="5"/>
    <n v="37.200000000000003"/>
  </r>
  <r>
    <s v="sábado"/>
    <x v="399"/>
    <x v="399"/>
    <n v="34845.57"/>
    <n v="0"/>
    <n v="132"/>
    <n v="155"/>
    <n v="263.98159090909093"/>
    <n v="746.91285714285721"/>
    <n v="46.65279177720101"/>
    <n v="1"/>
    <n v="132"/>
  </r>
  <r>
    <s v="domingo"/>
    <x v="400"/>
    <x v="400"/>
    <n v="26623.71"/>
    <n v="0"/>
    <n v="82"/>
    <n v="93"/>
    <n v="324.67939024390245"/>
    <n v="692.59285714285704"/>
    <n v="38.44063611893197"/>
    <n v="0"/>
    <n v="0"/>
  </r>
  <r>
    <s v="segunda-feira"/>
    <x v="401"/>
    <x v="401"/>
    <n v="56135.29"/>
    <n v="0"/>
    <n v="146"/>
    <n v="260"/>
    <n v="384.48828767123291"/>
    <n v="585.10285714285715"/>
    <n v="95.940891955504767"/>
    <n v="3386"/>
    <n v="4.3118724158298878E-2"/>
  </r>
  <r>
    <s v="terça-feira"/>
    <x v="402"/>
    <x v="402"/>
    <n v="58252.6"/>
    <n v="22.31"/>
    <n v="184"/>
    <n v="216"/>
    <n v="316.71146739130432"/>
    <n v="782.08285714285705"/>
    <n v="74.512450270157714"/>
    <n v="5315"/>
    <n v="3.4619002822201317E-2"/>
  </r>
  <r>
    <s v="quarta-feira"/>
    <x v="403"/>
    <x v="403"/>
    <n v="54102.85"/>
    <n v="0"/>
    <n v="168"/>
    <n v="200"/>
    <n v="322.04077380952378"/>
    <n v="1200.002857142857"/>
    <n v="45.085600986664318"/>
    <n v="4952"/>
    <n v="3.3925686591276254E-2"/>
  </r>
  <r>
    <s v="quinta-feira"/>
    <x v="404"/>
    <x v="404"/>
    <n v="59490.93"/>
    <n v="26.55"/>
    <n v="205"/>
    <n v="233"/>
    <n v="290.32917073170734"/>
    <n v="1340.532857142857"/>
    <n v="44.398374633541252"/>
    <n v="5382"/>
    <n v="3.8089929394277224E-2"/>
  </r>
  <r>
    <s v="sexta-feira"/>
    <x v="405"/>
    <x v="405"/>
    <n v="54685.72"/>
    <n v="23.85"/>
    <n v="192"/>
    <n v="228"/>
    <n v="284.94567708333335"/>
    <n v="1499.9528571428571"/>
    <n v="36.474192998446618"/>
    <n v="5580"/>
    <n v="3.4408602150537634E-2"/>
  </r>
  <r>
    <s v="sábado"/>
    <x v="406"/>
    <x v="406"/>
    <n v="34589.97"/>
    <n v="0"/>
    <n v="128"/>
    <n v="144"/>
    <n v="270.23414062500001"/>
    <n v="1178.2728571428572"/>
    <n v="29.356502435162362"/>
    <n v="4314"/>
    <n v="2.9670839128419099E-2"/>
  </r>
  <r>
    <s v="domingo"/>
    <x v="407"/>
    <x v="407"/>
    <n v="23175.759999999998"/>
    <n v="0"/>
    <n v="82"/>
    <n v="91"/>
    <n v="282.63121951219512"/>
    <n v="1322.3628571428571"/>
    <n v="17.52602160202408"/>
    <n v="3954"/>
    <n v="2.0738492665655032E-2"/>
  </r>
  <r>
    <s v="segunda-feira"/>
    <x v="408"/>
    <x v="408"/>
    <n v="56619.64"/>
    <n v="0"/>
    <n v="185"/>
    <n v="248"/>
    <n v="306.05210810810809"/>
    <n v="1639.8528571428571"/>
    <n v="34.527268561552127"/>
    <n v="5517"/>
    <n v="3.3532717056371217E-2"/>
  </r>
  <r>
    <s v="terça-feira"/>
    <x v="409"/>
    <x v="409"/>
    <n v="74816.789999999994"/>
    <n v="0"/>
    <n v="242"/>
    <n v="284"/>
    <n v="309.16028925619833"/>
    <n v="2264.1028571428574"/>
    <n v="33.044784058270949"/>
    <n v="6309"/>
    <n v="3.8357901410683154E-2"/>
  </r>
  <r>
    <s v="quarta-feira"/>
    <x v="410"/>
    <x v="410"/>
    <n v="87917.3"/>
    <n v="0"/>
    <n v="319"/>
    <n v="468"/>
    <n v="275.60282131661444"/>
    <n v="1419.8228571428572"/>
    <n v="61.921316140041618"/>
    <n v="5862"/>
    <n v="5.4418287273967927E-2"/>
  </r>
  <r>
    <s v="quinta-feira"/>
    <x v="411"/>
    <x v="411"/>
    <n v="62188.55"/>
    <n v="0"/>
    <n v="235"/>
    <n v="315"/>
    <n v="264.63212765957451"/>
    <n v="1643.2928571428572"/>
    <n v="37.843863149338652"/>
    <n v="5223"/>
    <n v="4.4993298870381004E-2"/>
  </r>
  <r>
    <s v="sexta-feira"/>
    <x v="412"/>
    <x v="412"/>
    <n v="57501.36"/>
    <n v="23.45"/>
    <n v="214"/>
    <n v="296"/>
    <n v="268.80752336448597"/>
    <n v="1587.2028571428571"/>
    <n v="36.242884607422582"/>
    <n v="4723"/>
    <n v="4.531018420495448E-2"/>
  </r>
  <r>
    <s v="sábado"/>
    <x v="413"/>
    <x v="413"/>
    <n v="35821.769999999997"/>
    <n v="22.23"/>
    <n v="143"/>
    <n v="195"/>
    <n v="250.65734265734267"/>
    <n v="1299.3928571428571"/>
    <n v="27.585190885853283"/>
    <n v="3548"/>
    <n v="4.0304396843291998E-2"/>
  </r>
  <r>
    <s v="domingo"/>
    <x v="414"/>
    <x v="414"/>
    <n v="14837.7"/>
    <n v="0"/>
    <n v="59"/>
    <n v="75"/>
    <n v="251.4864406779661"/>
    <n v="955.26285714285723"/>
    <n v="15.53258340262366"/>
    <n v="2843"/>
    <n v="2.0752725993668661E-2"/>
  </r>
  <r>
    <s v="segunda-feira"/>
    <x v="415"/>
    <x v="415"/>
    <n v="18044.34"/>
    <n v="0"/>
    <n v="62"/>
    <n v="74"/>
    <n v="291.03774193548389"/>
    <n v="1017.0628571428571"/>
    <n v="17.74161731821604"/>
    <n v="3229"/>
    <n v="1.9200991018891299E-2"/>
  </r>
  <r>
    <s v="terça-feira"/>
    <x v="416"/>
    <x v="416"/>
    <n v="23344.45"/>
    <n v="0"/>
    <n v="79"/>
    <n v="103"/>
    <n v="295.49936708860758"/>
    <n v="1138.3128571428572"/>
    <n v="20.507938440222937"/>
    <n v="3360"/>
    <n v="2.3511904761904762E-2"/>
  </r>
  <r>
    <s v="quarta-feira"/>
    <x v="417"/>
    <x v="417"/>
    <n v="44491.9"/>
    <n v="23.45"/>
    <n v="148"/>
    <n v="166"/>
    <n v="300.77939189189186"/>
    <n v="1322.4428571428571"/>
    <n v="33.661454451178017"/>
    <n v="5099"/>
    <n v="2.9025299078250636E-2"/>
  </r>
  <r>
    <s v="quinta-feira"/>
    <x v="418"/>
    <x v="418"/>
    <n v="68817.23"/>
    <n v="99.19"/>
    <n v="201"/>
    <n v="294"/>
    <n v="342.86776119402987"/>
    <n v="1315.8928571428571"/>
    <n v="52.372364228524901"/>
    <n v="5529"/>
    <n v="3.6353771025501899E-2"/>
  </r>
  <r>
    <s v="sexta-feira"/>
    <x v="419"/>
    <x v="419"/>
    <n v="61424.28"/>
    <n v="32.17"/>
    <n v="194"/>
    <n v="250"/>
    <n v="316.78582474226801"/>
    <n v="1090.8728571428571"/>
    <n v="56.336950358232137"/>
    <n v="5857"/>
    <n v="3.3122759091685161E-2"/>
  </r>
  <r>
    <s v="sábado"/>
    <x v="420"/>
    <x v="420"/>
    <n v="34528.199999999997"/>
    <n v="84.86"/>
    <n v="123"/>
    <n v="152"/>
    <n v="281.40699186991867"/>
    <n v="999.24285714285713"/>
    <n v="34.639286888644257"/>
    <n v="4521"/>
    <n v="2.7206370272063702E-2"/>
  </r>
  <r>
    <s v="domingo"/>
    <x v="421"/>
    <x v="421"/>
    <n v="31566.06"/>
    <n v="0"/>
    <n v="105"/>
    <n v="124"/>
    <n v="300.62914285714288"/>
    <n v="965.83285714285716"/>
    <n v="32.682735699610845"/>
    <n v="3595"/>
    <n v="2.9207232267037551E-2"/>
  </r>
  <r>
    <s v="segunda-feira"/>
    <x v="422"/>
    <x v="422"/>
    <n v="54049.19"/>
    <n v="0"/>
    <n v="174"/>
    <n v="229"/>
    <n v="310.62752873563221"/>
    <n v="1193.4428571428573"/>
    <n v="45.28846075579655"/>
    <n v="5470"/>
    <n v="3.1809872029250459E-2"/>
  </r>
  <r>
    <s v="terça-feira"/>
    <x v="423"/>
    <x v="423"/>
    <n v="63122.23"/>
    <n v="0"/>
    <n v="200"/>
    <n v="258"/>
    <n v="315.61115000000001"/>
    <n v="1224.0428571428572"/>
    <n v="51.568643721625058"/>
    <n v="5639"/>
    <n v="3.5467281432878167E-2"/>
  </r>
  <r>
    <s v="quarta-feira"/>
    <x v="424"/>
    <x v="424"/>
    <n v="99349.72"/>
    <n v="0"/>
    <n v="229"/>
    <n v="459"/>
    <n v="433.84157205240177"/>
    <n v="1517.8629032258063"/>
    <n v="65.453684775389846"/>
    <n v="6848"/>
    <n v="3.3440420560747662E-2"/>
  </r>
  <r>
    <s v="quinta-feira"/>
    <x v="425"/>
    <x v="425"/>
    <n v="63060.67"/>
    <n v="0"/>
    <n v="202"/>
    <n v="255"/>
    <n v="312.18153465346535"/>
    <n v="1570.0229032258062"/>
    <n v="40.165445911925268"/>
    <n v="6781"/>
    <n v="2.9789116649461732E-2"/>
  </r>
  <r>
    <s v="sexta-feira"/>
    <x v="426"/>
    <x v="426"/>
    <n v="78154.98"/>
    <n v="0"/>
    <n v="234"/>
    <n v="307"/>
    <n v="333.99564102564102"/>
    <n v="1651.5729032258064"/>
    <n v="47.321544115521547"/>
    <n v="6189"/>
    <n v="3.7809015996122151E-2"/>
  </r>
  <r>
    <s v="sábado"/>
    <x v="427"/>
    <x v="427"/>
    <n v="52272.59"/>
    <n v="22.31"/>
    <n v="189"/>
    <n v="211"/>
    <n v="276.69259259259258"/>
    <n v="1439.9729032258065"/>
    <n v="36.316586154398955"/>
    <n v="4758"/>
    <n v="3.9722572509457758E-2"/>
  </r>
  <r>
    <s v="domingo"/>
    <x v="428"/>
    <x v="428"/>
    <n v="40788.31"/>
    <n v="0"/>
    <n v="111"/>
    <n v="164"/>
    <n v="367.46225225225226"/>
    <n v="1201.5529032258064"/>
    <n v="33.946328863669436"/>
    <n v="4189"/>
    <n v="2.6497970876104081E-2"/>
  </r>
  <r>
    <s v="segunda-feira"/>
    <x v="429"/>
    <x v="429"/>
    <n v="105576.65"/>
    <n v="45.76"/>
    <n v="266"/>
    <n v="475"/>
    <n v="397.07672932330826"/>
    <n v="1684.5429032258062"/>
    <n v="62.700931984420777"/>
    <n v="6786"/>
    <n v="3.9198349543177129E-2"/>
  </r>
  <r>
    <s v="terça-feira"/>
    <x v="430"/>
    <x v="430"/>
    <n v="99765.15"/>
    <n v="26.59"/>
    <n v="299"/>
    <n v="423"/>
    <n v="333.75163879598659"/>
    <n v="2390.9829032258062"/>
    <n v="41.736701615626558"/>
    <n v="7831"/>
    <n v="3.8181586004341718E-2"/>
  </r>
  <r>
    <s v="quarta-feira"/>
    <x v="431"/>
    <x v="431"/>
    <n v="169409.17"/>
    <n v="0"/>
    <n v="455"/>
    <n v="704"/>
    <n v="372.32784615384617"/>
    <n v="2732.8829032258063"/>
    <n v="61.98917992426054"/>
    <n v="8178"/>
    <n v="5.5637075079481534E-2"/>
  </r>
  <r>
    <s v="quinta-feira"/>
    <x v="432"/>
    <x v="432"/>
    <n v="73347.12"/>
    <n v="0"/>
    <n v="222"/>
    <n v="330"/>
    <n v="330.39243243243243"/>
    <n v="1320.5629032258064"/>
    <n v="55.542314433361142"/>
    <n v="5944"/>
    <n v="3.7348586810228804E-2"/>
  </r>
  <r>
    <s v="sexta-feira"/>
    <x v="433"/>
    <x v="433"/>
    <n v="73576.75"/>
    <n v="22.31"/>
    <n v="244"/>
    <n v="281"/>
    <n v="301.63549180327868"/>
    <n v="1295.6129032258063"/>
    <n v="56.80636540185241"/>
    <n v="5540"/>
    <n v="4.4043321299638991E-2"/>
  </r>
  <r>
    <s v="sábado"/>
    <x v="434"/>
    <x v="434"/>
    <n v="42751"/>
    <n v="44.38"/>
    <n v="153"/>
    <n v="174"/>
    <n v="279.7083660130719"/>
    <n v="1395.2629032258064"/>
    <n v="30.671911294321916"/>
    <n v="4609"/>
    <n v="3.3195921024083315E-2"/>
  </r>
  <r>
    <s v="domingo"/>
    <x v="435"/>
    <x v="435"/>
    <n v="30194.880000000001"/>
    <n v="0"/>
    <n v="106"/>
    <n v="114"/>
    <n v="284.85735849056607"/>
    <n v="1200.2829032258064"/>
    <n v="25.156469294738848"/>
    <n v="3753"/>
    <n v="2.8244071409539037E-2"/>
  </r>
  <r>
    <s v="segunda-feira"/>
    <x v="436"/>
    <x v="436"/>
    <n v="63933.15"/>
    <n v="23.83"/>
    <n v="232"/>
    <n v="300"/>
    <n v="275.67663793103452"/>
    <n v="1456.3829032258063"/>
    <n v="43.914948368549837"/>
    <n v="5966"/>
    <n v="3.8887026483405966E-2"/>
  </r>
  <r>
    <s v="terça-feira"/>
    <x v="437"/>
    <x v="437"/>
    <n v="68885.48"/>
    <n v="113.75"/>
    <n v="250"/>
    <n v="342"/>
    <n v="275.99691999999999"/>
    <n v="1674.0929032258064"/>
    <n v="41.215890627721741"/>
    <n v="6248"/>
    <n v="4.0012804097311137E-2"/>
  </r>
  <r>
    <s v="quarta-feira"/>
    <x v="438"/>
    <x v="438"/>
    <n v="65588.740000000005"/>
    <n v="23.93"/>
    <n v="246"/>
    <n v="302"/>
    <n v="266.71817073170729"/>
    <n v="2033.1329032258063"/>
    <n v="32.271707322181307"/>
    <n v="5702"/>
    <n v="4.3142756927393895E-2"/>
  </r>
  <r>
    <s v="quinta-feira"/>
    <x v="439"/>
    <x v="439"/>
    <n v="71526.350000000006"/>
    <n v="85.5"/>
    <n v="243"/>
    <n v="329"/>
    <n v="294.69897119341567"/>
    <n v="1862.0629032258062"/>
    <n v="38.458340948601069"/>
    <n v="5641"/>
    <n v="4.307746853394788E-2"/>
  </r>
  <r>
    <s v="sexta-feira"/>
    <x v="440"/>
    <x v="440"/>
    <n v="65077.84"/>
    <n v="0"/>
    <n v="216"/>
    <n v="280"/>
    <n v="301.28629629629626"/>
    <n v="1120.9429032258063"/>
    <n v="58.056337938998944"/>
    <n v="5066"/>
    <n v="4.2637189103829451E-2"/>
  </r>
  <r>
    <s v="sábado"/>
    <x v="441"/>
    <x v="441"/>
    <n v="43165.86"/>
    <n v="0"/>
    <n v="143"/>
    <n v="168"/>
    <n v="301.85916083916084"/>
    <n v="989.45290322580649"/>
    <n v="43.625987512160513"/>
    <n v="3989"/>
    <n v="3.5848583604913511E-2"/>
  </r>
  <r>
    <s v="domingo"/>
    <x v="442"/>
    <x v="442"/>
    <n v="27870.09"/>
    <n v="22.23"/>
    <n v="95"/>
    <n v="107"/>
    <n v="293.60336842105261"/>
    <n v="946.04290322580653"/>
    <n v="29.48314490272384"/>
    <n v="3422"/>
    <n v="2.7761542957334892E-2"/>
  </r>
  <r>
    <s v="segunda-feira"/>
    <x v="443"/>
    <x v="443"/>
    <n v="56319.55"/>
    <n v="0"/>
    <n v="196"/>
    <n v="232"/>
    <n v="287.34464285714284"/>
    <n v="1314.3629032258063"/>
    <n v="42.849314950822496"/>
    <n v="5739"/>
    <n v="3.4152291339954698E-2"/>
  </r>
  <r>
    <s v="terça-feira"/>
    <x v="444"/>
    <x v="444"/>
    <n v="55669.26"/>
    <n v="0"/>
    <n v="181"/>
    <n v="237"/>
    <n v="307.56497237569062"/>
    <n v="1345.4829032258065"/>
    <n v="41.374929303473486"/>
    <n v="5783"/>
    <n v="3.1298633927027496E-2"/>
  </r>
  <r>
    <s v="quarta-feira"/>
    <x v="445"/>
    <x v="445"/>
    <n v="51833.55"/>
    <n v="53.88"/>
    <n v="168"/>
    <n v="202"/>
    <n v="308.85374999999999"/>
    <n v="1141.6829032258063"/>
    <n v="45.448197440281291"/>
    <n v="5328"/>
    <n v="3.1531531531531529E-2"/>
  </r>
  <r>
    <s v="quinta-feira"/>
    <x v="446"/>
    <x v="446"/>
    <n v="60937.8"/>
    <n v="74.44"/>
    <n v="196"/>
    <n v="274"/>
    <n v="311.28693877551024"/>
    <n v="1147.5529032258064"/>
    <n v="53.167256889414624"/>
    <n v="5258"/>
    <n v="3.7276531000380371E-2"/>
  </r>
  <r>
    <s v="sexta-feira"/>
    <x v="447"/>
    <x v="447"/>
    <n v="63657.65"/>
    <n v="23.45"/>
    <n v="211"/>
    <n v="259"/>
    <n v="301.80616113744077"/>
    <n v="1145.9629032258063"/>
    <n v="55.569948923077796"/>
    <n v="5536"/>
    <n v="3.8114161849710983E-2"/>
  </r>
  <r>
    <s v="sábado"/>
    <x v="448"/>
    <x v="448"/>
    <n v="47069.79"/>
    <n v="0"/>
    <n v="158"/>
    <n v="191"/>
    <n v="297.91006329113924"/>
    <n v="916.99290322580657"/>
    <n v="51.33059354594505"/>
    <n v="4104"/>
    <n v="3.8499025341130602E-2"/>
  </r>
  <r>
    <s v="domingo"/>
    <x v="449"/>
    <x v="449"/>
    <n v="32540.959999999999"/>
    <n v="0"/>
    <n v="100"/>
    <n v="121"/>
    <n v="325.40960000000001"/>
    <n v="795.87290322580645"/>
    <n v="40.887131435315901"/>
    <n v="3295"/>
    <n v="3.0349013657056147E-2"/>
  </r>
  <r>
    <s v="segunda-feira"/>
    <x v="450"/>
    <x v="450"/>
    <n v="52831.55"/>
    <n v="0"/>
    <n v="181"/>
    <n v="204"/>
    <n v="291.88701657458563"/>
    <n v="1041.6529032258065"/>
    <n v="50.718958144685679"/>
    <n v="5141"/>
    <n v="3.52071581404396E-2"/>
  </r>
  <r>
    <s v="terça-feira"/>
    <x v="451"/>
    <x v="451"/>
    <n v="50011.32"/>
    <n v="0"/>
    <n v="163"/>
    <n v="201"/>
    <n v="306.81791411042946"/>
    <n v="1008.7229032258065"/>
    <n v="49.578848502466066"/>
    <n v="5182"/>
    <n v="3.1455036665380159E-2"/>
  </r>
  <r>
    <s v="quarta-feira"/>
    <x v="452"/>
    <x v="452"/>
    <n v="70252.77"/>
    <n v="47.82"/>
    <n v="300"/>
    <n v="412"/>
    <n v="234.33530000000005"/>
    <n v="1198.0829032258064"/>
    <n v="58.677567145576937"/>
    <n v="6017"/>
    <n v="4.9858733588166858E-2"/>
  </r>
  <r>
    <s v="quinta-feira"/>
    <x v="453"/>
    <x v="453"/>
    <n v="72330.13"/>
    <n v="0"/>
    <n v="254"/>
    <n v="338"/>
    <n v="284.76429133858272"/>
    <n v="903.0729032258065"/>
    <n v="80.093345444907456"/>
    <n v="6015"/>
    <n v="4.2227763923524522E-2"/>
  </r>
  <r>
    <s v="sexta-feira"/>
    <x v="454"/>
    <x v="454"/>
    <n v="69001.09"/>
    <n v="0"/>
    <n v="228"/>
    <n v="279"/>
    <n v="302.63635964912277"/>
    <n v="859.79290322580653"/>
    <n v="80.253151359029431"/>
    <n v="5353"/>
    <n v="4.2592938539136933E-2"/>
  </r>
  <r>
    <s v="sábado"/>
    <x v="455"/>
    <x v="455"/>
    <n v="45316.49"/>
    <n v="0"/>
    <n v="159"/>
    <n v="188"/>
    <n v="285.00937106918235"/>
    <n v="633.77333333333343"/>
    <n v="71.502677087497091"/>
    <n v="4276"/>
    <n v="3.7184284377923295E-2"/>
  </r>
  <r>
    <s v="domingo"/>
    <x v="456"/>
    <x v="456"/>
    <n v="31369.98"/>
    <n v="22.23"/>
    <n v="114"/>
    <n v="138"/>
    <n v="275.37026315789473"/>
    <n v="613.69333333333338"/>
    <n v="51.152926543115989"/>
    <n v="3518"/>
    <n v="3.2404775440591248E-2"/>
  </r>
  <r>
    <s v="segunda-feira"/>
    <x v="457"/>
    <x v="457"/>
    <n v="63954.95"/>
    <n v="0"/>
    <n v="216"/>
    <n v="264"/>
    <n v="296.08773148148146"/>
    <n v="782.81333333333339"/>
    <n v="81.69885115225425"/>
    <n v="5346"/>
    <n v="4.0404040404040407E-2"/>
  </r>
  <r>
    <s v="terça-feira"/>
    <x v="458"/>
    <x v="458"/>
    <n v="57944.71"/>
    <n v="23.45"/>
    <n v="185"/>
    <n v="234"/>
    <n v="313.3414054054054"/>
    <n v="816.10333333333335"/>
    <n v="71.030416899820693"/>
    <n v="5473"/>
    <n v="3.3802302210853279E-2"/>
  </r>
  <r>
    <s v="quarta-feira"/>
    <x v="459"/>
    <x v="459"/>
    <n v="73823.710000000006"/>
    <n v="24.01"/>
    <n v="287"/>
    <n v="412"/>
    <n v="257.30912891986065"/>
    <n v="1019.4833333333335"/>
    <n v="72.436417139400675"/>
    <n v="5556"/>
    <n v="5.1655867530597553E-2"/>
  </r>
  <r>
    <s v="quinta-feira"/>
    <x v="460"/>
    <x v="460"/>
    <n v="117256.14"/>
    <n v="0"/>
    <n v="494"/>
    <n v="762"/>
    <n v="237.3606072874494"/>
    <n v="1154.5033333333333"/>
    <n v="101.56414157891849"/>
    <n v="6322"/>
    <n v="7.8139829167984814E-2"/>
  </r>
  <r>
    <s v="sexta-feira"/>
    <x v="461"/>
    <x v="461"/>
    <n v="34734.199999999997"/>
    <n v="24.79"/>
    <n v="131"/>
    <n v="169"/>
    <n v="265.33580152671755"/>
    <n v="775.19333333333338"/>
    <n v="44.839124003474396"/>
    <n v="3733"/>
    <n v="3.5092418965979102E-2"/>
  </r>
  <r>
    <s v="sábado"/>
    <x v="462"/>
    <x v="462"/>
    <n v="33897.279999999999"/>
    <n v="22.31"/>
    <n v="121"/>
    <n v="143"/>
    <n v="280.32719008264462"/>
    <n v="818.54333333333341"/>
    <n v="41.438966782455005"/>
    <n v="3787"/>
    <n v="3.1951412727752836E-2"/>
  </r>
  <r>
    <s v="domingo"/>
    <x v="463"/>
    <x v="463"/>
    <n v="28990.42"/>
    <n v="0"/>
    <n v="88"/>
    <n v="115"/>
    <n v="329.43659090909091"/>
    <n v="662.02333333333331"/>
    <n v="43.790631750139724"/>
    <n v="2946"/>
    <n v="2.9871011541072641E-2"/>
  </r>
  <r>
    <s v="segunda-feira"/>
    <x v="464"/>
    <x v="464"/>
    <n v="56755.53"/>
    <n v="0"/>
    <n v="177"/>
    <n v="226"/>
    <n v="320.6527118644068"/>
    <n v="806.06333333333339"/>
    <n v="70.410757632774917"/>
    <n v="5293"/>
    <n v="3.3440392971849614E-2"/>
  </r>
  <r>
    <s v="terça-feira"/>
    <x v="465"/>
    <x v="465"/>
    <n v="67143.679999999993"/>
    <n v="0"/>
    <n v="229"/>
    <n v="269"/>
    <n v="293.20384279475979"/>
    <n v="855.90333333333331"/>
    <n v="78.447737478142002"/>
    <n v="6059"/>
    <n v="3.7795015679154977E-2"/>
  </r>
  <r>
    <s v="quarta-feira"/>
    <x v="466"/>
    <x v="466"/>
    <n v="87233.29"/>
    <n v="23.17"/>
    <n v="267"/>
    <n v="357"/>
    <n v="326.80322097378274"/>
    <n v="1173.3133333333333"/>
    <n v="74.367568765376674"/>
    <n v="7657"/>
    <n v="3.4870053545775111E-2"/>
  </r>
  <r>
    <s v="quinta-feira"/>
    <x v="467"/>
    <x v="467"/>
    <n v="94113.84"/>
    <n v="0"/>
    <n v="283"/>
    <n v="404"/>
    <n v="332.55773851590106"/>
    <n v="1537.1833333333332"/>
    <n v="61.224863657555488"/>
    <n v="6821"/>
    <n v="4.1489517666031372E-2"/>
  </r>
  <r>
    <s v="sexta-feira"/>
    <x v="468"/>
    <x v="468"/>
    <n v="85157.58"/>
    <n v="46.26"/>
    <n v="294"/>
    <n v="369"/>
    <n v="289.8089795918367"/>
    <n v="1701.8333333333333"/>
    <n v="50.065913230829494"/>
    <n v="6830"/>
    <n v="4.3045387994143487E-2"/>
  </r>
  <r>
    <s v="sábado"/>
    <x v="469"/>
    <x v="469"/>
    <n v="54715.27"/>
    <n v="0"/>
    <n v="186"/>
    <n v="225"/>
    <n v="294.16811827956985"/>
    <n v="1609.0033333333333"/>
    <n v="34.005690893534506"/>
    <n v="5083"/>
    <n v="3.6592563446783397E-2"/>
  </r>
  <r>
    <s v="domingo"/>
    <x v="470"/>
    <x v="470"/>
    <n v="39098.39"/>
    <n v="84.24"/>
    <n v="137"/>
    <n v="166"/>
    <n v="286.00459854014599"/>
    <n v="1545.3133333333333"/>
    <n v="25.355783293140117"/>
    <n v="4517"/>
    <n v="3.0329864954615895E-2"/>
  </r>
  <r>
    <s v="segunda-feira"/>
    <x v="471"/>
    <x v="471"/>
    <n v="79811.199999999997"/>
    <n v="66.739999999999995"/>
    <n v="249"/>
    <n v="341"/>
    <n v="320.79493975903614"/>
    <n v="1908.5033333333333"/>
    <n v="41.853707355327302"/>
    <n v="6740"/>
    <n v="3.6943620178041543E-2"/>
  </r>
  <r>
    <s v="terça-feira"/>
    <x v="472"/>
    <x v="472"/>
    <n v="112196.78"/>
    <n v="0"/>
    <n v="438"/>
    <n v="602"/>
    <n v="256.15703196347033"/>
    <n v="2408.813333333333"/>
    <n v="46.577614980543672"/>
    <n v="7567"/>
    <n v="5.7882912647019953E-2"/>
  </r>
  <r>
    <s v="quarta-feira"/>
    <x v="473"/>
    <x v="473"/>
    <n v="119385.87"/>
    <n v="22.31"/>
    <n v="490"/>
    <n v="733"/>
    <n v="243.6901632653061"/>
    <n v="2302.3733333333334"/>
    <n v="51.863083311134012"/>
    <n v="7195"/>
    <n v="6.8102849200833912E-2"/>
  </r>
  <r>
    <s v="quinta-feira"/>
    <x v="474"/>
    <x v="474"/>
    <n v="121632.08"/>
    <n v="0"/>
    <n v="471"/>
    <n v="651"/>
    <n v="258.24220806794057"/>
    <n v="2133.9933333333333"/>
    <n v="56.997403928159727"/>
    <n v="6997"/>
    <n v="6.7314563384307566E-2"/>
  </r>
  <r>
    <s v="sexta-feira"/>
    <x v="475"/>
    <x v="475"/>
    <n v="57623.18"/>
    <n v="0"/>
    <n v="188"/>
    <n v="234"/>
    <n v="306.50627659574468"/>
    <n v="1198.3333333333333"/>
    <n v="48.086102920723228"/>
    <n v="4424"/>
    <n v="4.2495479204339964E-2"/>
  </r>
  <r>
    <s v="sábado"/>
    <x v="476"/>
    <x v="476"/>
    <n v="58465.83"/>
    <n v="0"/>
    <n v="164"/>
    <n v="256"/>
    <n v="356.49896341463415"/>
    <n v="1076.9833333333333"/>
    <n v="54.286661817731627"/>
    <n v="4464"/>
    <n v="3.6738351254480286E-2"/>
  </r>
  <r>
    <s v="domingo"/>
    <x v="477"/>
    <x v="477"/>
    <n v="57418.16"/>
    <n v="23.09"/>
    <n v="175"/>
    <n v="229"/>
    <n v="328.23571428571427"/>
    <n v="995.24333333333334"/>
    <n v="57.715784749458258"/>
    <n v="4080"/>
    <n v="4.2892156862745098E-2"/>
  </r>
  <r>
    <s v="segunda-feira"/>
    <x v="478"/>
    <x v="478"/>
    <n v="63525.07"/>
    <n v="54.94"/>
    <n v="217"/>
    <n v="257"/>
    <n v="292.99543778801842"/>
    <n v="979.01333333333332"/>
    <n v="64.942945959197019"/>
    <n v="6453"/>
    <n v="3.3627770029443671E-2"/>
  </r>
  <r>
    <s v="terça-feira"/>
    <x v="479"/>
    <x v="479"/>
    <n v="73089.83"/>
    <n v="22.13"/>
    <n v="221"/>
    <n v="272"/>
    <n v="330.8233484162896"/>
    <n v="1163.9433333333334"/>
    <n v="62.814020155620405"/>
    <n v="6523"/>
    <n v="3.3880116510807912E-2"/>
  </r>
  <r>
    <s v="quarta-feira"/>
    <x v="480"/>
    <x v="480"/>
    <n v="61861.08"/>
    <n v="46.28"/>
    <n v="204"/>
    <n v="270"/>
    <n v="303.46745098039219"/>
    <n v="1541.0433333333335"/>
    <n v="40.172368070982209"/>
    <n v="6616"/>
    <n v="3.0834340991535671E-2"/>
  </r>
  <r>
    <s v="quinta-feira"/>
    <x v="481"/>
    <x v="481"/>
    <n v="72297.61"/>
    <n v="0"/>
    <n v="214"/>
    <n v="295"/>
    <n v="337.83929906542056"/>
    <n v="1734.0133333333333"/>
    <n v="41.693802815818408"/>
    <n v="6734"/>
    <n v="3.1779031779031776E-2"/>
  </r>
  <r>
    <s v="sexta-feira"/>
    <x v="482"/>
    <x v="482"/>
    <n v="83524.69"/>
    <n v="0"/>
    <n v="262"/>
    <n v="362"/>
    <n v="318.79652671755724"/>
    <n v="1594.4633333333334"/>
    <n v="52.384202417114224"/>
    <n v="6476"/>
    <n v="4.045707226683138E-2"/>
  </r>
  <r>
    <s v="sábado"/>
    <x v="483"/>
    <x v="483"/>
    <n v="48457.47"/>
    <n v="0"/>
    <n v="173"/>
    <n v="197"/>
    <n v="280.10098265895954"/>
    <n v="1348.5033333333333"/>
    <n v="35.934260451710664"/>
    <n v="4866"/>
    <n v="3.5552815454171806E-2"/>
  </r>
  <r>
    <s v="domingo"/>
    <x v="484"/>
    <x v="484"/>
    <n v="35392.46"/>
    <n v="0"/>
    <n v="115"/>
    <n v="134"/>
    <n v="307.76052173913041"/>
    <n v="1295.0033333333333"/>
    <n v="27.330014594557028"/>
    <n v="4288"/>
    <n v="2.681902985074627E-2"/>
  </r>
  <r>
    <s v="segunda-feira"/>
    <x v="485"/>
    <x v="485"/>
    <n v="42344.4"/>
    <n v="61.74"/>
    <n v="140"/>
    <n v="162"/>
    <n v="302.90100000000001"/>
    <n v="1662.0529032258062"/>
    <n v="25.514314206061531"/>
    <n v="4948"/>
    <n v="2.8294260307194827E-2"/>
  </r>
  <r>
    <s v="terça-feira"/>
    <x v="486"/>
    <x v="486"/>
    <n v="112788.95"/>
    <n v="0"/>
    <n v="319"/>
    <n v="456"/>
    <n v="353.57037617554857"/>
    <n v="2723.8429032258064"/>
    <n v="41.40802315229918"/>
    <n v="8840"/>
    <n v="3.608597285067873E-2"/>
  </r>
  <r>
    <s v="quarta-feira"/>
    <x v="487"/>
    <x v="487"/>
    <n v="120576.68"/>
    <n v="0"/>
    <n v="359"/>
    <n v="438"/>
    <n v="335.86818941504174"/>
    <n v="652.06290322580651"/>
    <n v="184.91571810556567"/>
    <n v="0"/>
    <n v="0"/>
  </r>
  <r>
    <s v="quinta-feira"/>
    <x v="488"/>
    <x v="488"/>
    <n v="120724.16"/>
    <n v="48.9"/>
    <n v="385"/>
    <n v="465"/>
    <n v="313.69625974025973"/>
    <n v="2187.2629032258064"/>
    <n v="55.216526473284105"/>
    <n v="8727"/>
    <n v="4.4115961957144491E-2"/>
  </r>
  <r>
    <s v="sexta-feira"/>
    <x v="489"/>
    <x v="489"/>
    <n v="162168.91"/>
    <n v="62.21"/>
    <n v="430"/>
    <n v="686"/>
    <n v="377.28167441860467"/>
    <n v="2109.5629032258066"/>
    <n v="76.902717502249729"/>
    <n v="8992"/>
    <n v="4.7820284697508895E-2"/>
  </r>
  <r>
    <s v="sábado"/>
    <x v="490"/>
    <x v="490"/>
    <n v="87353.95"/>
    <n v="0"/>
    <n v="312"/>
    <n v="348"/>
    <n v="279.98060897435897"/>
    <n v="1808.8629032258066"/>
    <n v="48.292189443555252"/>
    <n v="6631"/>
    <n v="4.7051726738048562E-2"/>
  </r>
  <r>
    <s v="domingo"/>
    <x v="491"/>
    <x v="491"/>
    <n v="78208.12"/>
    <n v="0"/>
    <n v="260"/>
    <n v="294"/>
    <n v="300.80046153846155"/>
    <n v="1714.1729032258065"/>
    <n v="45.624405713580288"/>
    <n v="6344"/>
    <n v="4.0983606557377046E-2"/>
  </r>
  <r>
    <s v="segunda-feira"/>
    <x v="492"/>
    <x v="492"/>
    <n v="229170.33"/>
    <n v="22.21"/>
    <n v="664"/>
    <n v="963"/>
    <n v="345.16948795180718"/>
    <n v="721.96290322580649"/>
    <n v="317.45750228431893"/>
    <n v="0"/>
    <n v="0"/>
  </r>
  <r>
    <s v="terça-feira"/>
    <x v="493"/>
    <x v="493"/>
    <n v="242645.95"/>
    <n v="0"/>
    <n v="753"/>
    <n v="990"/>
    <n v="322.2389774236388"/>
    <n v="813.30290322580652"/>
    <n v="298.34634677632704"/>
    <n v="0"/>
    <n v="0"/>
  </r>
  <r>
    <s v="quarta-feira"/>
    <x v="494"/>
    <x v="494"/>
    <n v="299456.12"/>
    <n v="0"/>
    <n v="875"/>
    <n v="1191"/>
    <n v="342.23556571428571"/>
    <n v="937.64290322580655"/>
    <n v="319.37117955009347"/>
    <n v="0"/>
    <n v="0"/>
  </r>
  <r>
    <s v="quinta-feira"/>
    <x v="495"/>
    <x v="495"/>
    <n v="305603.63"/>
    <n v="0"/>
    <n v="909"/>
    <n v="1282"/>
    <n v="336.1976127612761"/>
    <n v="1031.6329032258066"/>
    <n v="296.23292262626552"/>
    <n v="0"/>
    <n v="0"/>
  </r>
  <r>
    <s v="sexta-feira"/>
    <x v="496"/>
    <x v="496"/>
    <n v="527299.01"/>
    <n v="22.21"/>
    <n v="1596"/>
    <n v="1998"/>
    <n v="330.40176691729323"/>
    <n v="1068.7029032258063"/>
    <n v="493.42171562210331"/>
    <n v="0"/>
    <n v="0"/>
  </r>
  <r>
    <s v="sábado"/>
    <x v="497"/>
    <x v="497"/>
    <n v="570509.35"/>
    <n v="0"/>
    <n v="1824"/>
    <n v="2038"/>
    <n v="312.77924890350874"/>
    <n v="1037.9929032258065"/>
    <n v="549.62740903816234"/>
    <n v="0"/>
    <n v="0"/>
  </r>
  <r>
    <s v="domingo"/>
    <x v="498"/>
    <x v="498"/>
    <n v="513678.94"/>
    <n v="0"/>
    <n v="1648"/>
    <n v="1893"/>
    <n v="311.69838592233009"/>
    <n v="391.95290322580644"/>
    <n v="1310.5629165452729"/>
    <n v="0"/>
    <n v="0"/>
  </r>
  <r>
    <s v="segunda-feira"/>
    <x v="499"/>
    <x v="499"/>
    <n v="157142.85999999999"/>
    <n v="0"/>
    <n v="653"/>
    <n v="948"/>
    <n v="240.64756508422661"/>
    <n v="1098.1529032258063"/>
    <n v="143.09743164034387"/>
    <n v="8833"/>
    <n v="7.3927318012000448E-2"/>
  </r>
  <r>
    <s v="terça-feira"/>
    <x v="500"/>
    <x v="500"/>
    <n v="129970.04"/>
    <n v="0"/>
    <n v="619"/>
    <n v="872"/>
    <n v="209.96775444264944"/>
    <n v="1259.4629032258065"/>
    <n v="103.19481396960045"/>
    <n v="7942"/>
    <n v="7.7940065474691511E-2"/>
  </r>
  <r>
    <s v="quarta-feira"/>
    <x v="501"/>
    <x v="501"/>
    <n v="82948.320000000007"/>
    <n v="0"/>
    <n v="333"/>
    <n v="412"/>
    <n v="249.09405405405408"/>
    <n v="985.58290322580638"/>
    <n v="84.16168718888153"/>
    <n v="6354"/>
    <n v="5.2407932011331447E-2"/>
  </r>
  <r>
    <s v="quinta-feira"/>
    <x v="502"/>
    <x v="502"/>
    <n v="56505.78"/>
    <n v="22.5"/>
    <n v="213"/>
    <n v="239"/>
    <n v="265.39098591549293"/>
    <n v="849.10290322580647"/>
    <n v="66.574121682124471"/>
    <n v="5749"/>
    <n v="3.7049921725517479E-2"/>
  </r>
  <r>
    <s v="sexta-feira"/>
    <x v="503"/>
    <x v="503"/>
    <n v="80530.759999999995"/>
    <n v="0"/>
    <n v="241"/>
    <n v="306"/>
    <n v="334.1525311203319"/>
    <n v="603.5529032258064"/>
    <n v="133.42783966341247"/>
    <n v="5291"/>
    <n v="4.5549045549045548E-2"/>
  </r>
  <r>
    <s v="sábado"/>
    <x v="504"/>
    <x v="504"/>
    <n v="39327.93"/>
    <n v="0"/>
    <n v="161"/>
    <n v="168"/>
    <n v="244.27285714285713"/>
    <n v="623.62290322580645"/>
    <n v="63.063639575405112"/>
    <n v="3979"/>
    <n v="4.046242774566474E-2"/>
  </r>
  <r>
    <s v="domingo"/>
    <x v="505"/>
    <x v="505"/>
    <n v="32806.550000000003"/>
    <n v="0"/>
    <n v="119"/>
    <n v="136"/>
    <n v="275.68529411764706"/>
    <n v="541.36290322580646"/>
    <n v="60.599922537204492"/>
    <n v="3383"/>
    <n v="3.5175879396984924E-2"/>
  </r>
  <r>
    <s v="segunda-feira"/>
    <x v="506"/>
    <x v="506"/>
    <n v="73944.570000000007"/>
    <n v="0"/>
    <n v="230"/>
    <n v="273"/>
    <n v="321.49813043478264"/>
    <n v="624.65290322580643"/>
    <n v="118.37705326932533"/>
    <n v="5743"/>
    <n v="4.0048755006094373E-2"/>
  </r>
  <r>
    <s v="terça-feira"/>
    <x v="507"/>
    <x v="507"/>
    <n v="64277.84"/>
    <n v="23.33"/>
    <n v="219"/>
    <n v="264"/>
    <n v="293.61264840182645"/>
    <n v="734.65290322580643"/>
    <n v="87.525918318240258"/>
    <n v="6136"/>
    <n v="3.5691003911342896E-2"/>
  </r>
  <r>
    <s v="quarta-feira"/>
    <x v="508"/>
    <x v="508"/>
    <n v="63557.29"/>
    <n v="44.58"/>
    <n v="246"/>
    <n v="303"/>
    <n v="258.54418699186994"/>
    <n v="867.02290322580643"/>
    <n v="73.356620411485949"/>
    <n v="6345"/>
    <n v="3.8770685579196218E-2"/>
  </r>
  <r>
    <s v="quinta-feira"/>
    <x v="509"/>
    <x v="509"/>
    <n v="76398.84"/>
    <n v="0"/>
    <n v="273"/>
    <n v="391"/>
    <n v="279.84923076923076"/>
    <n v="992.92290322580641"/>
    <n v="76.943375716075806"/>
    <n v="6574"/>
    <n v="4.1527228475813811E-2"/>
  </r>
  <r>
    <s v="sexta-feira"/>
    <x v="510"/>
    <x v="510"/>
    <n v="77451"/>
    <n v="0"/>
    <n v="291"/>
    <n v="345"/>
    <n v="266.15463917525773"/>
    <n v="870.98290322580647"/>
    <n v="88.92367429159566"/>
    <n v="6805"/>
    <n v="4.276267450404115E-2"/>
  </r>
  <r>
    <s v="sábado"/>
    <x v="511"/>
    <x v="511"/>
    <n v="55449.1"/>
    <n v="139.24"/>
    <n v="207"/>
    <n v="248"/>
    <n v="268.54270531400965"/>
    <n v="865.9329032258064"/>
    <n v="64.194742794644"/>
    <n v="4432"/>
    <n v="4.6705776173285196E-2"/>
  </r>
  <r>
    <s v="domingo"/>
    <x v="512"/>
    <x v="512"/>
    <n v="35907.269999999997"/>
    <n v="0"/>
    <n v="128"/>
    <n v="152"/>
    <n v="280.52554687499997"/>
    <n v="875.97290322580648"/>
    <n v="40.991302205547669"/>
    <n v="3985"/>
    <n v="3.2120451693851942E-2"/>
  </r>
  <r>
    <s v="segunda-feira"/>
    <x v="513"/>
    <x v="513"/>
    <n v="85087.69"/>
    <n v="47.2"/>
    <n v="288"/>
    <n v="371"/>
    <n v="295.60725694444443"/>
    <n v="921.88290322580644"/>
    <n v="92.348919480012327"/>
    <n v="6289"/>
    <n v="4.5794243917951977E-2"/>
  </r>
  <r>
    <s v="terça-feira"/>
    <x v="514"/>
    <x v="514"/>
    <n v="71428.23"/>
    <n v="25.03"/>
    <n v="233"/>
    <n v="265"/>
    <n v="306.66635193133044"/>
    <n v="716.37290322580645"/>
    <n v="99.7431082027922"/>
    <n v="5843"/>
    <n v="3.9876775628957729E-2"/>
  </r>
  <r>
    <s v="quarta-feira"/>
    <x v="515"/>
    <x v="515"/>
    <n v="79730.649999999994"/>
    <n v="0"/>
    <n v="265"/>
    <n v="300"/>
    <n v="300.87037735849054"/>
    <n v="684.02290322580643"/>
    <n v="116.56137480776675"/>
    <n v="5640"/>
    <n v="4.6985815602836878E-2"/>
  </r>
  <r>
    <s v="quinta-feira"/>
    <x v="516"/>
    <x v="516"/>
    <n v="69353.710000000006"/>
    <n v="40.549999999999997"/>
    <n v="238"/>
    <n v="269"/>
    <n v="291.57252100840338"/>
    <n v="947.40333333333331"/>
    <n v="73.246797386540763"/>
    <n v="6421"/>
    <n v="3.7065877589160565E-2"/>
  </r>
  <r>
    <s v="sexta-feira"/>
    <x v="517"/>
    <x v="517"/>
    <n v="92678.05"/>
    <n v="0"/>
    <n v="290"/>
    <n v="331"/>
    <n v="319.57948275862071"/>
    <n v="1038.4633333333334"/>
    <n v="89.245375378363548"/>
    <n v="6907"/>
    <n v="4.1986390618213409E-2"/>
  </r>
  <r>
    <s v="sábado"/>
    <x v="518"/>
    <x v="518"/>
    <n v="46583.77"/>
    <n v="0"/>
    <n v="161"/>
    <n v="185"/>
    <n v="289.3401863354037"/>
    <n v="1115.3833333333334"/>
    <n v="41.76480731587047"/>
    <n v="4733"/>
    <n v="3.4016480033805196E-2"/>
  </r>
  <r>
    <s v="domingo"/>
    <x v="519"/>
    <x v="519"/>
    <n v="53461.599999999999"/>
    <n v="0"/>
    <n v="147"/>
    <n v="169"/>
    <n v="363.68435374149658"/>
    <n v="1119.2833333333333"/>
    <n v="47.764134788629626"/>
    <n v="4285"/>
    <n v="3.4305717619603264E-2"/>
  </r>
  <r>
    <s v="segunda-feira"/>
    <x v="520"/>
    <x v="520"/>
    <n v="108978.5"/>
    <n v="0"/>
    <n v="341"/>
    <n v="380"/>
    <n v="319.58504398826977"/>
    <n v="1374.9833333333333"/>
    <n v="79.258051612746826"/>
    <n v="7503"/>
    <n v="4.5448487271757966E-2"/>
  </r>
  <r>
    <s v="terça-feira"/>
    <x v="521"/>
    <x v="521"/>
    <n v="110507.95"/>
    <n v="0"/>
    <n v="350"/>
    <n v="392"/>
    <n v="315.73699999999997"/>
    <n v="1530.3733333333332"/>
    <n v="72.209798480545061"/>
    <n v="7839"/>
    <n v="4.4648552111238679E-2"/>
  </r>
  <r>
    <s v="quarta-feira"/>
    <x v="522"/>
    <x v="522"/>
    <n v="112268.97"/>
    <n v="0"/>
    <n v="362"/>
    <n v="407"/>
    <n v="310.13527624309393"/>
    <n v="1770.4633333333334"/>
    <n v="63.412197183788045"/>
    <n v="7176"/>
    <n v="5.0445930880713488E-2"/>
  </r>
  <r>
    <s v="quinta-feira"/>
    <x v="523"/>
    <x v="523"/>
    <n v="89754.78"/>
    <n v="0"/>
    <n v="279"/>
    <n v="309"/>
    <n v="321.70172043010751"/>
    <n v="1875.6733333333332"/>
    <n v="47.852031803690053"/>
    <n v="5948"/>
    <n v="4.6906523201075995E-2"/>
  </r>
  <r>
    <s v="sexta-feira"/>
    <x v="524"/>
    <x v="524"/>
    <n v="115721.65"/>
    <n v="0"/>
    <n v="369"/>
    <n v="402"/>
    <n v="313.60880758807588"/>
    <n v="2595.2033333333334"/>
    <n v="44.590590846446197"/>
    <n v="7013"/>
    <n v="5.2616569228575501E-2"/>
  </r>
  <r>
    <s v="sábado"/>
    <x v="525"/>
    <x v="525"/>
    <n v="102909.64"/>
    <n v="25.81"/>
    <n v="305"/>
    <n v="362"/>
    <n v="337.49327868852458"/>
    <n v="2192.5433333333331"/>
    <n v="46.947966060724006"/>
    <n v="5485"/>
    <n v="5.5606198723792161E-2"/>
  </r>
  <r>
    <s v="domingo"/>
    <x v="526"/>
    <x v="526"/>
    <n v="136501.45000000001"/>
    <n v="0"/>
    <n v="389"/>
    <n v="456"/>
    <n v="350.90347043701803"/>
    <n v="2302.2233333333334"/>
    <n v="59.29114175137947"/>
    <n v="5470"/>
    <n v="7.1115173674588666E-2"/>
  </r>
  <r>
    <s v="segunda-feira"/>
    <x v="527"/>
    <x v="527"/>
    <n v="353104.17"/>
    <n v="0"/>
    <n v="1156"/>
    <n v="1261"/>
    <n v="305.45343425605535"/>
    <n v="1205.2733333333333"/>
    <n v="292.96605196055111"/>
    <n v="0"/>
    <n v="0"/>
  </r>
  <r>
    <s v="terça-feira"/>
    <x v="528"/>
    <x v="528"/>
    <n v="76630.16"/>
    <n v="0"/>
    <n v="278"/>
    <n v="340"/>
    <n v="275.64805755395685"/>
    <n v="1206.4533333333331"/>
    <n v="63.51688696344106"/>
    <n v="6199"/>
    <n v="4.4845942894015167E-2"/>
  </r>
  <r>
    <s v="quarta-feira"/>
    <x v="529"/>
    <x v="529"/>
    <n v="62634.73"/>
    <n v="53.91"/>
    <n v="266"/>
    <n v="309"/>
    <n v="235.67157894736846"/>
    <n v="1009.1733333333333"/>
    <n v="62.118803509142808"/>
    <n v="5766"/>
    <n v="4.6132500867152273E-2"/>
  </r>
  <r>
    <s v="quinta-feira"/>
    <x v="530"/>
    <x v="530"/>
    <n v="61901.54"/>
    <n v="23.55"/>
    <n v="222"/>
    <n v="278"/>
    <n v="278.94184684684689"/>
    <n v="1113.1433333333332"/>
    <n v="55.630832207891778"/>
    <n v="5253"/>
    <n v="4.22615648201028E-2"/>
  </r>
  <r>
    <s v="sexta-feira"/>
    <x v="531"/>
    <x v="531"/>
    <n v="66215.08"/>
    <n v="0"/>
    <n v="252"/>
    <n v="282"/>
    <n v="262.758253968254"/>
    <n v="1265.9833333333333"/>
    <n v="52.303279400729345"/>
    <n v="4757"/>
    <n v="5.2974563800714733E-2"/>
  </r>
  <r>
    <s v="sábado"/>
    <x v="532"/>
    <x v="532"/>
    <n v="38195.82"/>
    <n v="0"/>
    <n v="154"/>
    <n v="175"/>
    <n v="248.0248051948052"/>
    <n v="834.41333333333341"/>
    <n v="45.775658746264838"/>
    <n v="3433"/>
    <n v="4.485872414797553E-2"/>
  </r>
  <r>
    <s v="domingo"/>
    <x v="533"/>
    <x v="533"/>
    <n v="30682.55"/>
    <n v="0"/>
    <n v="122"/>
    <n v="137"/>
    <n v="251.49631147540984"/>
    <n v="883.74333333333345"/>
    <n v="34.718847478340237"/>
    <n v="3013"/>
    <n v="4.0491204779289747E-2"/>
  </r>
  <r>
    <s v="segunda-feira"/>
    <x v="534"/>
    <x v="534"/>
    <n v="53247.97"/>
    <n v="0"/>
    <n v="199"/>
    <n v="226"/>
    <n v="267.57773869346732"/>
    <n v="751.06333333333339"/>
    <n v="70.896777457737699"/>
    <n v="4806"/>
    <n v="4.1406575114440285E-2"/>
  </r>
  <r>
    <s v="terça-feira"/>
    <x v="535"/>
    <x v="535"/>
    <n v="65109.03"/>
    <n v="0"/>
    <n v="206"/>
    <n v="256"/>
    <n v="316.06325242718447"/>
    <n v="681.79333333333341"/>
    <n v="95.496724325064278"/>
    <n v="4779"/>
    <n v="4.3105252144800169E-2"/>
  </r>
  <r>
    <s v="quarta-feira"/>
    <x v="536"/>
    <x v="536"/>
    <n v="53562.32"/>
    <n v="0"/>
    <n v="183"/>
    <n v="208"/>
    <n v="292.69027322404372"/>
    <n v="652.72333333333336"/>
    <n v="82.059759877845124"/>
    <n v="4767"/>
    <n v="3.8388923851478921E-2"/>
  </r>
  <r>
    <s v="quinta-feira"/>
    <x v="537"/>
    <x v="537"/>
    <n v="56609.27"/>
    <n v="38.53"/>
    <n v="216"/>
    <n v="243"/>
    <n v="262.25833333333333"/>
    <n v="665.21333333333337"/>
    <n v="85.157343007756893"/>
    <n v="4751"/>
    <n v="4.5464112818354031E-2"/>
  </r>
  <r>
    <s v="sexta-feira"/>
    <x v="538"/>
    <x v="538"/>
    <n v="55563.08"/>
    <n v="0"/>
    <n v="198"/>
    <n v="243"/>
    <n v="280.62161616161615"/>
    <n v="629.98333333333335"/>
    <n v="88.197698351808256"/>
    <n v="4391"/>
    <n v="4.5092234115235712E-2"/>
  </r>
  <r>
    <s v="sábado"/>
    <x v="539"/>
    <x v="539"/>
    <n v="31017.65"/>
    <n v="25.81"/>
    <n v="126"/>
    <n v="133"/>
    <n v="246.37666666666669"/>
    <n v="618.57333333333338"/>
    <n v="50.185577565581013"/>
    <n v="3355"/>
    <n v="3.7555886736214607E-2"/>
  </r>
  <r>
    <s v="domingo"/>
    <x v="540"/>
    <x v="540"/>
    <n v="24508.92"/>
    <n v="0"/>
    <n v="90"/>
    <n v="109"/>
    <n v="272.32133333333331"/>
    <n v="648.01333333333332"/>
    <n v="37.82162918458468"/>
    <n v="2929"/>
    <n v="3.0727210652099692E-2"/>
  </r>
  <r>
    <s v="segunda-feira"/>
    <x v="541"/>
    <x v="541"/>
    <n v="116688.49"/>
    <n v="0"/>
    <n v="522"/>
    <n v="755"/>
    <n v="223.54116858237549"/>
    <n v="1204.6433333333332"/>
    <n v="96.86559230532967"/>
    <n v="6587"/>
    <n v="7.9247001669955977E-2"/>
  </r>
  <r>
    <s v="terça-feira"/>
    <x v="542"/>
    <x v="542"/>
    <n v="105795.52"/>
    <n v="21.27"/>
    <n v="504"/>
    <n v="704"/>
    <n v="209.95394841269842"/>
    <n v="1086.2433333333333"/>
    <n v="97.415364267674832"/>
    <n v="6722"/>
    <n v="7.4977685212734305E-2"/>
  </r>
  <r>
    <s v="quarta-feira"/>
    <x v="543"/>
    <x v="543"/>
    <n v="68415.91"/>
    <n v="0"/>
    <n v="220"/>
    <n v="291"/>
    <n v="310.9814090909091"/>
    <n v="1088.9033333333332"/>
    <n v="62.830104294534877"/>
    <n v="5691"/>
    <n v="3.8657529432437179E-2"/>
  </r>
  <r>
    <s v="quinta-feira"/>
    <x v="544"/>
    <x v="544"/>
    <n v="72434.87"/>
    <n v="24.47"/>
    <n v="294"/>
    <n v="386"/>
    <n v="246.46034013605441"/>
    <n v="1583.6333333333332"/>
    <n v="45.755124292239366"/>
    <n v="5634"/>
    <n v="5.2183173588924388E-2"/>
  </r>
  <r>
    <s v="sexta-feira"/>
    <x v="545"/>
    <x v="545"/>
    <n v="95968.51"/>
    <n v="0"/>
    <n v="327"/>
    <n v="493"/>
    <n v="293.48168195718654"/>
    <n v="1555.0733333333333"/>
    <n v="61.713173226557373"/>
    <n v="5181"/>
    <n v="6.3115228720324268E-2"/>
  </r>
  <r>
    <s v="sábado"/>
    <x v="546"/>
    <x v="546"/>
    <n v="42324.13"/>
    <n v="22.47"/>
    <n v="157"/>
    <n v="177"/>
    <n v="269.72356687898088"/>
    <n v="2004.7429032258062"/>
    <n v="21.123207335893607"/>
    <n v="3927"/>
    <n v="3.9979628214922333E-2"/>
  </r>
  <r>
    <s v="domingo"/>
    <x v="547"/>
    <x v="547"/>
    <n v="29860.62"/>
    <n v="0"/>
    <n v="116"/>
    <n v="128"/>
    <n v="257.41913793103447"/>
    <n v="1523.1329032258063"/>
    <n v="19.604737010643596"/>
    <n v="3239"/>
    <n v="3.5813522692188945E-2"/>
  </r>
  <r>
    <s v="segunda-feira"/>
    <x v="548"/>
    <x v="548"/>
    <n v="63069.1"/>
    <n v="25.51"/>
    <n v="223"/>
    <n v="248"/>
    <n v="282.93547085201794"/>
    <n v="1513.3329032258064"/>
    <n v="41.69248541778753"/>
    <n v="5686"/>
    <n v="3.9219134716848403E-2"/>
  </r>
  <r>
    <s v="terça-feira"/>
    <x v="549"/>
    <x v="549"/>
    <n v="51273.24"/>
    <n v="23.95"/>
    <n v="182"/>
    <n v="212"/>
    <n v="281.85269230769228"/>
    <n v="1642.3029032258064"/>
    <n v="31.23491403397157"/>
    <n v="5430"/>
    <n v="3.3517495395948435E-2"/>
  </r>
  <r>
    <s v="quarta-feira"/>
    <x v="550"/>
    <x v="550"/>
    <n v="57068.22"/>
    <n v="0"/>
    <n v="196"/>
    <n v="222"/>
    <n v="291.16438775510204"/>
    <n v="1657.3129032258062"/>
    <n v="34.434185535466476"/>
    <n v="5074"/>
    <n v="3.8628301143082383E-2"/>
  </r>
  <r>
    <s v="quinta-feira"/>
    <x v="551"/>
    <x v="551"/>
    <n v="67730.460000000006"/>
    <n v="0"/>
    <n v="248"/>
    <n v="290"/>
    <n v="273.10669354838711"/>
    <n v="2166.2329032258062"/>
    <n v="31.266471808797856"/>
    <n v="5305"/>
    <n v="4.6748350612629594E-2"/>
  </r>
  <r>
    <s v="sexta-feira"/>
    <x v="552"/>
    <x v="552"/>
    <n v="58300.55"/>
    <n v="0"/>
    <n v="230"/>
    <n v="273"/>
    <n v="253.48065217391306"/>
    <n v="2886.3629032258068"/>
    <n v="20.198620878491457"/>
    <n v="5122"/>
    <n v="4.4904334244435767E-2"/>
  </r>
  <r>
    <s v="sábado"/>
    <x v="553"/>
    <x v="553"/>
    <n v="35975.949999999997"/>
    <n v="0"/>
    <n v="139"/>
    <n v="154"/>
    <n v="258.81978417266185"/>
    <n v="2913.6129032258063"/>
    <n v="12.347539359181594"/>
    <n v="4070"/>
    <n v="3.4152334152334152E-2"/>
  </r>
  <r>
    <s v="domingo"/>
    <x v="554"/>
    <x v="554"/>
    <n v="29303.97"/>
    <n v="36.39"/>
    <n v="102"/>
    <n v="122"/>
    <n v="287.65058823529415"/>
    <n v="2724.0729032258064"/>
    <n v="10.77076900741371"/>
    <n v="3898"/>
    <n v="2.6167265264238071E-2"/>
  </r>
  <r>
    <s v="segunda-feira"/>
    <x v="555"/>
    <x v="555"/>
    <n v="61533.279999999999"/>
    <n v="0"/>
    <n v="227"/>
    <n v="268"/>
    <n v="271.07171806167401"/>
    <n v="3480.3329032258066"/>
    <n v="17.680285682719266"/>
    <n v="5968"/>
    <n v="3.8036193029490614E-2"/>
  </r>
  <r>
    <s v="terça-feira"/>
    <x v="556"/>
    <x v="556"/>
    <n v="63601.54"/>
    <n v="0"/>
    <n v="229"/>
    <n v="262"/>
    <n v="277.73598253275111"/>
    <n v="2949.1029032258061"/>
    <n v="21.566402423744172"/>
    <n v="5753"/>
    <n v="3.9805318964018774E-2"/>
  </r>
  <r>
    <s v="quarta-feira"/>
    <x v="557"/>
    <x v="557"/>
    <n v="62310.720000000001"/>
    <n v="0"/>
    <n v="211"/>
    <n v="243"/>
    <n v="295.31146919431279"/>
    <n v="2735.4529032258065"/>
    <n v="22.778940893670494"/>
    <n v="5662"/>
    <n v="3.7265983751324623E-2"/>
  </r>
  <r>
    <s v="quinta-feira"/>
    <x v="558"/>
    <x v="558"/>
    <n v="60212.45"/>
    <n v="0"/>
    <n v="206"/>
    <n v="229"/>
    <n v="292.29344660194175"/>
    <n v="2107.3429032258064"/>
    <n v="28.572687391230939"/>
    <n v="5299"/>
    <n v="3.8875259482921302E-2"/>
  </r>
  <r>
    <s v="sexta-feira"/>
    <x v="559"/>
    <x v="559"/>
    <n v="67998.05"/>
    <n v="0"/>
    <n v="234"/>
    <n v="267"/>
    <n v="290.58995726495726"/>
    <n v="2233.8129032258066"/>
    <n v="30.440351518162203"/>
    <n v="5028"/>
    <n v="4.6539379474940336E-2"/>
  </r>
  <r>
    <s v="sábado"/>
    <x v="560"/>
    <x v="560"/>
    <n v="38647.75"/>
    <n v="0"/>
    <n v="145"/>
    <n v="166"/>
    <n v="266.53620689655173"/>
    <n v="2012.7029032258063"/>
    <n v="19.201914966216993"/>
    <n v="3757"/>
    <n v="3.8594623369709875E-2"/>
  </r>
  <r>
    <s v="domingo"/>
    <x v="561"/>
    <x v="561"/>
    <n v="26806.639999999999"/>
    <n v="0"/>
    <n v="99"/>
    <n v="106"/>
    <n v="270.77414141414141"/>
    <n v="1798.8329032258061"/>
    <n v="14.902240198035216"/>
    <n v="3159"/>
    <n v="3.1339031339031341E-2"/>
  </r>
  <r>
    <s v="segunda-feira"/>
    <x v="562"/>
    <x v="562"/>
    <n v="67591.179999999993"/>
    <n v="0"/>
    <n v="227"/>
    <n v="264"/>
    <n v="297.75850220264311"/>
    <n v="1861.3429032258066"/>
    <n v="36.313126336292399"/>
    <n v="5415"/>
    <n v="4.1920590951061862E-2"/>
  </r>
  <r>
    <s v="terça-feira"/>
    <x v="563"/>
    <x v="563"/>
    <n v="40213.870000000003"/>
    <n v="46.55"/>
    <n v="147"/>
    <n v="174"/>
    <n v="273.88040816326537"/>
    <n v="1531.7929032258066"/>
    <n v="26.283200500025483"/>
    <n v="5161"/>
    <n v="2.8482852160434023E-2"/>
  </r>
  <r>
    <s v="quarta-feira"/>
    <x v="564"/>
    <x v="564"/>
    <n v="47614.62"/>
    <n v="0"/>
    <n v="177"/>
    <n v="199"/>
    <n v="269.00915254237287"/>
    <n v="1457.7429032258062"/>
    <n v="32.6632493937269"/>
    <n v="5204"/>
    <n v="3.4012298232129132E-2"/>
  </r>
  <r>
    <s v="quinta-feira"/>
    <x v="565"/>
    <x v="565"/>
    <n v="48753.4"/>
    <n v="0"/>
    <n v="172"/>
    <n v="201"/>
    <n v="283.45"/>
    <n v="1402.1629032258063"/>
    <n v="34.770139680516628"/>
    <n v="5012"/>
    <n v="3.4317637669592976E-2"/>
  </r>
  <r>
    <s v="sexta-feira"/>
    <x v="566"/>
    <x v="566"/>
    <n v="49015.22"/>
    <n v="0"/>
    <n v="178"/>
    <n v="206"/>
    <n v="275.36640449438204"/>
    <n v="468.61290322580641"/>
    <n v="104.59639430026847"/>
    <n v="5214"/>
    <n v="3.4138856923667048E-2"/>
  </r>
  <r>
    <s v="sábado"/>
    <x v="567"/>
    <x v="567"/>
    <n v="33277.61"/>
    <n v="0"/>
    <n v="130"/>
    <n v="143"/>
    <n v="255.9816153846154"/>
    <n v="767.97290322580648"/>
    <n v="43.331750196159476"/>
    <n v="3862"/>
    <n v="3.3661315380631794E-2"/>
  </r>
  <r>
    <s v="domingo"/>
    <x v="568"/>
    <x v="568"/>
    <n v="24143.34"/>
    <n v="0"/>
    <n v="80"/>
    <n v="100"/>
    <n v="301.79174999999998"/>
    <n v="794.99290322580646"/>
    <n v="30.369252231101271"/>
    <n v="3401"/>
    <n v="2.3522493384298737E-2"/>
  </r>
  <r>
    <s v="segunda-feira"/>
    <x v="569"/>
    <x v="569"/>
    <n v="58669.01"/>
    <n v="0"/>
    <n v="246"/>
    <n v="325"/>
    <n v="238.4919105691057"/>
    <n v="1245.0229032258064"/>
    <n v="47.122835931765479"/>
    <n v="6243"/>
    <n v="3.9404132628543968E-2"/>
  </r>
  <r>
    <s v="terça-feira"/>
    <x v="570"/>
    <x v="570"/>
    <n v="69821.009999999995"/>
    <n v="0"/>
    <n v="283"/>
    <n v="360"/>
    <n v="246.71734982332154"/>
    <n v="1196.9429032258063"/>
    <n v="58.33278246759285"/>
    <n v="6101"/>
    <n v="4.6385838387149644E-2"/>
  </r>
  <r>
    <s v="quarta-feira"/>
    <x v="571"/>
    <x v="571"/>
    <n v="38679.120000000003"/>
    <n v="0"/>
    <n v="139"/>
    <n v="187"/>
    <n v="278.26705035971224"/>
    <n v="1275.3829032258063"/>
    <n v="30.687170971980446"/>
    <n v="5847"/>
    <n v="2.3772874978621517E-2"/>
  </r>
  <r>
    <s v="quinta-feira"/>
    <x v="572"/>
    <x v="572"/>
    <n v="55341.440000000002"/>
    <n v="0"/>
    <n v="228"/>
    <n v="274"/>
    <n v="242.72561403508772"/>
    <n v="942.20290322580638"/>
    <n v="152.6816661994331"/>
    <n v="5576"/>
    <n v="4.0889526542324243E-2"/>
  </r>
  <r>
    <s v="sexta-feira"/>
    <x v="573"/>
    <x v="573"/>
    <n v="56559.63"/>
    <n v="26.09"/>
    <n v="218"/>
    <n v="245"/>
    <n v="259.56752293577978"/>
    <n v="792.38290322580633"/>
    <n v="1096.3483249999999"/>
    <n v="5586"/>
    <n v="3.9026136770497676E-2"/>
  </r>
  <r>
    <s v="sábado"/>
    <x v="574"/>
    <x v="574"/>
    <n v="43999.29"/>
    <n v="0"/>
    <n v="164"/>
    <n v="198"/>
    <n v="268.28835365853661"/>
    <n v="783.50290322580634"/>
    <n v="852.48624375000009"/>
    <n v="4322"/>
    <n v="3.7945395650161959E-2"/>
  </r>
  <r>
    <s v="domingo"/>
    <x v="575"/>
    <x v="575"/>
    <n v="39462.46"/>
    <n v="0"/>
    <n v="147"/>
    <n v="187"/>
    <n v="268.45210884353742"/>
    <n v="1095.2429032258065"/>
    <n v="764.58516250000002"/>
    <n v="3813"/>
    <n v="3.8552321007081038E-2"/>
  </r>
  <r>
    <s v="segunda-feira"/>
    <x v="576"/>
    <x v="576"/>
    <n v="51227.97"/>
    <n v="0"/>
    <n v="182"/>
    <n v="212"/>
    <n v="281.47236263736266"/>
    <n v="991.25290322580645"/>
    <n v="992.54191875000004"/>
    <n v="5222"/>
    <n v="3.4852546916890083E-2"/>
  </r>
  <r>
    <s v="terça-feira"/>
    <x v="577"/>
    <x v="577"/>
    <n v="37837.360000000001"/>
    <n v="0"/>
    <n v="129"/>
    <n v="150"/>
    <n v="293.31286821705424"/>
    <n v="484.54290322580647"/>
    <n v="78.645489959435452"/>
    <n v="6068"/>
    <n v="2.1259063941990772E-2"/>
  </r>
  <r>
    <s v="quarta-feira"/>
    <x v="578"/>
    <x v="578"/>
    <n v="61652.53"/>
    <n v="0"/>
    <n v="234"/>
    <n v="268"/>
    <n v="263.47235042735042"/>
    <n v="51.612903225806448"/>
    <n v="1194.51776875"/>
    <n v="0"/>
    <n v="0"/>
  </r>
  <r>
    <s v="quinta-feira"/>
    <x v="579"/>
    <x v="579"/>
    <n v="35391.74"/>
    <n v="0"/>
    <n v="134"/>
    <n v="160"/>
    <n v="264.11746268656714"/>
    <n v="51.612903225806448"/>
    <n v="685.71496249999996"/>
    <n v="0"/>
    <n v="0"/>
  </r>
  <r>
    <s v="sexta-feira"/>
    <x v="580"/>
    <x v="580"/>
    <n v="0"/>
    <n v="0"/>
    <n v="0"/>
    <n v="0"/>
    <n v="0"/>
    <n v="51.612903225806448"/>
    <n v="0"/>
    <n v="0"/>
    <n v="0"/>
  </r>
  <r>
    <s v="sábado"/>
    <x v="581"/>
    <x v="580"/>
    <n v="0"/>
    <n v="0"/>
    <n v="0"/>
    <n v="0"/>
    <n v="0"/>
    <n v="0"/>
    <n v="0"/>
    <n v="0"/>
    <n v="0"/>
  </r>
  <r>
    <s v="domingo"/>
    <x v="582"/>
    <x v="580"/>
    <n v="0"/>
    <n v="0"/>
    <n v="0"/>
    <n v="0"/>
    <n v="0"/>
    <n v="0"/>
    <n v="0"/>
    <n v="0"/>
    <n v="0"/>
  </r>
  <r>
    <s v="segunda-feira"/>
    <x v="583"/>
    <x v="580"/>
    <n v="0"/>
    <n v="0"/>
    <n v="0"/>
    <n v="0"/>
    <n v="0"/>
    <n v="0"/>
    <n v="0"/>
    <n v="0"/>
    <n v="0"/>
  </r>
  <r>
    <s v="terça-feira"/>
    <x v="584"/>
    <x v="580"/>
    <n v="0"/>
    <n v="0"/>
    <n v="0"/>
    <n v="0"/>
    <n v="0"/>
    <n v="0"/>
    <n v="0"/>
    <n v="0"/>
    <n v="0"/>
  </r>
  <r>
    <s v="quarta-feira"/>
    <x v="585"/>
    <x v="580"/>
    <n v="0"/>
    <n v="0"/>
    <n v="0"/>
    <n v="0"/>
    <n v="0"/>
    <n v="0"/>
    <n v="0"/>
    <n v="0"/>
    <n v="0"/>
  </r>
  <r>
    <s v="quinta-feira"/>
    <x v="586"/>
    <x v="580"/>
    <n v="0"/>
    <n v="0"/>
    <n v="0"/>
    <n v="0"/>
    <n v="0"/>
    <n v="0"/>
    <n v="0"/>
    <n v="0"/>
    <n v="0"/>
  </r>
  <r>
    <s v="sexta-feira"/>
    <x v="587"/>
    <x v="580"/>
    <n v="0"/>
    <n v="0"/>
    <n v="0"/>
    <n v="0"/>
    <n v="0"/>
    <n v="0"/>
    <n v="0"/>
    <n v="0"/>
    <n v="0"/>
  </r>
  <r>
    <s v="sábado"/>
    <x v="588"/>
    <x v="580"/>
    <n v="0"/>
    <n v="0"/>
    <n v="0"/>
    <n v="0"/>
    <n v="0"/>
    <n v="0"/>
    <n v="0"/>
    <n v="0"/>
    <n v="0"/>
  </r>
  <r>
    <s v="domingo"/>
    <x v="589"/>
    <x v="580"/>
    <n v="0"/>
    <n v="0"/>
    <n v="0"/>
    <n v="0"/>
    <n v="0"/>
    <n v="0"/>
    <n v="0"/>
    <n v="0"/>
    <n v="0"/>
  </r>
  <r>
    <s v="segunda-feira"/>
    <x v="590"/>
    <x v="580"/>
    <n v="0"/>
    <n v="0"/>
    <n v="0"/>
    <n v="0"/>
    <n v="0"/>
    <n v="0"/>
    <n v="0"/>
    <n v="0"/>
    <n v="0"/>
  </r>
  <r>
    <s v="terça-feira"/>
    <x v="591"/>
    <x v="580"/>
    <n v="0"/>
    <n v="0"/>
    <n v="0"/>
    <n v="0"/>
    <n v="0"/>
    <n v="0"/>
    <n v="0"/>
    <n v="0"/>
    <n v="0"/>
  </r>
  <r>
    <s v="quarta-feira"/>
    <x v="592"/>
    <x v="580"/>
    <n v="0"/>
    <n v="0"/>
    <n v="0"/>
    <n v="0"/>
    <n v="0"/>
    <n v="0"/>
    <n v="0"/>
    <n v="0"/>
    <n v="0"/>
  </r>
  <r>
    <s v="quinta-feira"/>
    <x v="593"/>
    <x v="580"/>
    <n v="0"/>
    <n v="0"/>
    <n v="0"/>
    <n v="0"/>
    <n v="0"/>
    <n v="0"/>
    <n v="0"/>
    <n v="0"/>
    <n v="0"/>
  </r>
  <r>
    <s v="sexta-feira"/>
    <x v="594"/>
    <x v="580"/>
    <n v="0"/>
    <n v="0"/>
    <n v="0"/>
    <n v="0"/>
    <n v="0"/>
    <n v="0"/>
    <n v="0"/>
    <n v="0"/>
    <n v="0"/>
  </r>
  <r>
    <s v="sábado"/>
    <x v="595"/>
    <x v="580"/>
    <n v="0"/>
    <n v="0"/>
    <n v="0"/>
    <n v="0"/>
    <n v="0"/>
    <n v="0"/>
    <n v="0"/>
    <n v="0"/>
    <n v="0"/>
  </r>
  <r>
    <s v="domingo"/>
    <x v="596"/>
    <x v="580"/>
    <n v="0"/>
    <n v="0"/>
    <n v="0"/>
    <n v="0"/>
    <n v="0"/>
    <n v="0"/>
    <n v="0"/>
    <n v="0"/>
    <n v="0"/>
  </r>
  <r>
    <s v="segunda-feira"/>
    <x v="597"/>
    <x v="580"/>
    <n v="0"/>
    <n v="0"/>
    <n v="0"/>
    <n v="0"/>
    <n v="0"/>
    <n v="0"/>
    <n v="0"/>
    <n v="0"/>
    <n v="0"/>
  </r>
  <r>
    <s v="terça-feira"/>
    <x v="598"/>
    <x v="580"/>
    <n v="0"/>
    <n v="0"/>
    <n v="0"/>
    <n v="0"/>
    <n v="0"/>
    <n v="0"/>
    <n v="0"/>
    <n v="0"/>
    <n v="0"/>
  </r>
  <r>
    <s v="quarta-feira"/>
    <x v="599"/>
    <x v="580"/>
    <n v="0"/>
    <n v="0"/>
    <n v="0"/>
    <n v="0"/>
    <n v="0"/>
    <n v="0"/>
    <n v="0"/>
    <n v="0"/>
    <n v="0"/>
  </r>
  <r>
    <s v="quinta-feira"/>
    <x v="600"/>
    <x v="580"/>
    <n v="0"/>
    <n v="0"/>
    <n v="0"/>
    <n v="0"/>
    <n v="0"/>
    <n v="0"/>
    <n v="0"/>
    <n v="0"/>
    <n v="0"/>
  </r>
  <r>
    <s v="sexta-feira"/>
    <x v="601"/>
    <x v="580"/>
    <n v="0"/>
    <n v="0"/>
    <n v="0"/>
    <n v="0"/>
    <n v="0"/>
    <n v="0"/>
    <n v="0"/>
    <n v="0"/>
    <n v="0"/>
  </r>
  <r>
    <s v="sábado"/>
    <x v="602"/>
    <x v="580"/>
    <n v="0"/>
    <n v="0"/>
    <n v="0"/>
    <n v="0"/>
    <n v="0"/>
    <n v="0"/>
    <n v="0"/>
    <n v="0"/>
    <n v="0"/>
  </r>
  <r>
    <s v="domingo"/>
    <x v="603"/>
    <x v="580"/>
    <n v="0"/>
    <n v="0"/>
    <n v="0"/>
    <n v="0"/>
    <n v="0"/>
    <n v="0"/>
    <n v="0"/>
    <n v="0"/>
    <n v="0"/>
  </r>
  <r>
    <s v="segunda-feira"/>
    <x v="604"/>
    <x v="580"/>
    <n v="0"/>
    <n v="0"/>
    <n v="0"/>
    <n v="0"/>
    <n v="0"/>
    <n v="0"/>
    <n v="0"/>
    <n v="0"/>
    <n v="0"/>
  </r>
  <r>
    <s v="terça-feira"/>
    <x v="605"/>
    <x v="580"/>
    <n v="0"/>
    <n v="0"/>
    <n v="0"/>
    <n v="0"/>
    <n v="0"/>
    <n v="0"/>
    <n v="0"/>
    <n v="0"/>
    <n v="0"/>
  </r>
  <r>
    <s v="quarta-feira"/>
    <x v="606"/>
    <x v="580"/>
    <n v="0"/>
    <n v="0"/>
    <n v="0"/>
    <n v="0"/>
    <n v="0"/>
    <n v="0"/>
    <n v="0"/>
    <n v="0"/>
    <n v="0"/>
  </r>
  <r>
    <s v="quinta-feira"/>
    <x v="607"/>
    <x v="580"/>
    <n v="0"/>
    <n v="0"/>
    <n v="0"/>
    <n v="0"/>
    <n v="0"/>
    <n v="0"/>
    <n v="0"/>
    <n v="0"/>
    <n v="0"/>
  </r>
  <r>
    <s v="sexta-feira"/>
    <x v="608"/>
    <x v="580"/>
    <n v="0"/>
    <n v="0"/>
    <n v="0"/>
    <n v="0"/>
    <n v="0"/>
    <n v="0"/>
    <n v="0"/>
    <n v="0"/>
    <n v="0"/>
  </r>
  <r>
    <s v="sábado"/>
    <x v="609"/>
    <x v="580"/>
    <n v="0"/>
    <n v="0"/>
    <n v="0"/>
    <n v="0"/>
    <n v="0"/>
    <n v="0"/>
    <n v="0"/>
    <n v="0"/>
    <n v="0"/>
  </r>
  <r>
    <s v="domingo"/>
    <x v="610"/>
    <x v="580"/>
    <n v="0"/>
    <n v="0"/>
    <n v="0"/>
    <n v="0"/>
    <n v="0"/>
    <n v="0"/>
    <n v="0"/>
    <n v="0"/>
    <n v="0"/>
  </r>
  <r>
    <s v="segunda-feira"/>
    <x v="611"/>
    <x v="580"/>
    <n v="0"/>
    <n v="0"/>
    <n v="0"/>
    <n v="0"/>
    <n v="0"/>
    <n v="0"/>
    <n v="0"/>
    <n v="0"/>
    <n v="0"/>
  </r>
  <r>
    <s v="terça-feira"/>
    <x v="612"/>
    <x v="580"/>
    <n v="0"/>
    <n v="0"/>
    <n v="0"/>
    <n v="0"/>
    <n v="0"/>
    <n v="0"/>
    <n v="0"/>
    <n v="0"/>
    <n v="0"/>
  </r>
  <r>
    <s v="quarta-feira"/>
    <x v="613"/>
    <x v="580"/>
    <n v="0"/>
    <n v="0"/>
    <n v="0"/>
    <n v="0"/>
    <n v="0"/>
    <n v="0"/>
    <n v="0"/>
    <n v="0"/>
    <n v="0"/>
  </r>
  <r>
    <s v="quinta-feira"/>
    <x v="614"/>
    <x v="580"/>
    <n v="0"/>
    <n v="0"/>
    <n v="0"/>
    <n v="0"/>
    <n v="0"/>
    <n v="0"/>
    <n v="0"/>
    <n v="0"/>
    <n v="0"/>
  </r>
  <r>
    <s v="sexta-feira"/>
    <x v="615"/>
    <x v="580"/>
    <n v="0"/>
    <n v="0"/>
    <n v="0"/>
    <n v="0"/>
    <n v="0"/>
    <n v="0"/>
    <n v="0"/>
    <n v="0"/>
    <n v="0"/>
  </r>
  <r>
    <s v="sábado"/>
    <x v="616"/>
    <x v="580"/>
    <n v="0"/>
    <n v="0"/>
    <n v="0"/>
    <n v="0"/>
    <n v="0"/>
    <n v="0"/>
    <n v="0"/>
    <n v="0"/>
    <n v="0"/>
  </r>
  <r>
    <s v="domingo"/>
    <x v="617"/>
    <x v="580"/>
    <n v="0"/>
    <n v="0"/>
    <n v="0"/>
    <n v="0"/>
    <n v="0"/>
    <n v="0"/>
    <n v="0"/>
    <n v="0"/>
    <n v="0"/>
  </r>
  <r>
    <s v="segunda-feira"/>
    <x v="618"/>
    <x v="580"/>
    <n v="0"/>
    <n v="0"/>
    <n v="0"/>
    <n v="0"/>
    <n v="0"/>
    <n v="0"/>
    <n v="0"/>
    <n v="0"/>
    <n v="0"/>
  </r>
  <r>
    <s v="terça-feira"/>
    <x v="619"/>
    <x v="580"/>
    <n v="0"/>
    <n v="0"/>
    <n v="0"/>
    <n v="0"/>
    <n v="0"/>
    <n v="0"/>
    <n v="0"/>
    <n v="0"/>
    <n v="0"/>
  </r>
  <r>
    <s v="quarta-feira"/>
    <x v="620"/>
    <x v="580"/>
    <n v="0"/>
    <n v="0"/>
    <n v="0"/>
    <n v="0"/>
    <n v="0"/>
    <n v="0"/>
    <n v="0"/>
    <n v="0"/>
    <n v="0"/>
  </r>
  <r>
    <s v="quinta-feira"/>
    <x v="621"/>
    <x v="580"/>
    <n v="0"/>
    <n v="0"/>
    <n v="0"/>
    <n v="0"/>
    <n v="0"/>
    <n v="0"/>
    <n v="0"/>
    <n v="0"/>
    <n v="0"/>
  </r>
  <r>
    <s v="sexta-feira"/>
    <x v="622"/>
    <x v="580"/>
    <n v="0"/>
    <n v="0"/>
    <n v="0"/>
    <n v="0"/>
    <n v="0"/>
    <n v="0"/>
    <n v="0"/>
    <n v="0"/>
    <n v="0"/>
  </r>
  <r>
    <s v="sábado"/>
    <x v="623"/>
    <x v="580"/>
    <n v="0"/>
    <n v="0"/>
    <n v="0"/>
    <n v="0"/>
    <n v="0"/>
    <n v="0"/>
    <n v="0"/>
    <n v="0"/>
    <n v="0"/>
  </r>
  <r>
    <s v="domingo"/>
    <x v="624"/>
    <x v="580"/>
    <n v="0"/>
    <n v="0"/>
    <n v="0"/>
    <n v="0"/>
    <n v="0"/>
    <n v="0"/>
    <n v="0"/>
    <n v="0"/>
    <n v="0"/>
  </r>
  <r>
    <s v="segunda-feira"/>
    <x v="625"/>
    <x v="580"/>
    <n v="0"/>
    <n v="0"/>
    <n v="0"/>
    <n v="0"/>
    <n v="0"/>
    <n v="0"/>
    <n v="0"/>
    <n v="0"/>
    <n v="0"/>
  </r>
  <r>
    <s v="terça-feira"/>
    <x v="626"/>
    <x v="580"/>
    <n v="0"/>
    <n v="0"/>
    <n v="0"/>
    <n v="0"/>
    <n v="0"/>
    <n v="0"/>
    <n v="0"/>
    <n v="0"/>
    <n v="0"/>
  </r>
  <r>
    <s v="quarta-feira"/>
    <x v="627"/>
    <x v="580"/>
    <n v="0"/>
    <n v="0"/>
    <n v="0"/>
    <n v="0"/>
    <n v="0"/>
    <n v="0"/>
    <n v="0"/>
    <n v="0"/>
    <n v="0"/>
  </r>
  <r>
    <s v="quinta-feira"/>
    <x v="628"/>
    <x v="580"/>
    <n v="0"/>
    <n v="0"/>
    <n v="0"/>
    <n v="0"/>
    <n v="0"/>
    <n v="0"/>
    <n v="0"/>
    <n v="0"/>
    <n v="0"/>
  </r>
  <r>
    <s v="sexta-feira"/>
    <x v="629"/>
    <x v="580"/>
    <n v="0"/>
    <n v="0"/>
    <n v="0"/>
    <n v="0"/>
    <n v="0"/>
    <n v="0"/>
    <n v="0"/>
    <n v="0"/>
    <n v="0"/>
  </r>
  <r>
    <s v="sábado"/>
    <x v="630"/>
    <x v="580"/>
    <n v="0"/>
    <n v="0"/>
    <n v="0"/>
    <n v="0"/>
    <n v="0"/>
    <n v="0"/>
    <n v="0"/>
    <n v="0"/>
    <n v="0"/>
  </r>
  <r>
    <s v="domingo"/>
    <x v="631"/>
    <x v="580"/>
    <n v="0"/>
    <n v="0"/>
    <n v="0"/>
    <n v="0"/>
    <n v="0"/>
    <n v="0"/>
    <n v="0"/>
    <n v="0"/>
    <n v="0"/>
  </r>
  <r>
    <s v="segunda-feira"/>
    <x v="632"/>
    <x v="580"/>
    <n v="0"/>
    <n v="0"/>
    <n v="0"/>
    <n v="0"/>
    <n v="0"/>
    <n v="0"/>
    <n v="0"/>
    <n v="0"/>
    <n v="0"/>
  </r>
  <r>
    <s v="terça-feira"/>
    <x v="633"/>
    <x v="580"/>
    <n v="0"/>
    <n v="0"/>
    <n v="0"/>
    <n v="0"/>
    <n v="0"/>
    <n v="0"/>
    <n v="0"/>
    <n v="0"/>
    <n v="0"/>
  </r>
  <r>
    <s v="quarta-feira"/>
    <x v="634"/>
    <x v="580"/>
    <n v="0"/>
    <n v="0"/>
    <n v="0"/>
    <n v="0"/>
    <n v="0"/>
    <n v="0"/>
    <n v="0"/>
    <n v="0"/>
    <n v="0"/>
  </r>
  <r>
    <s v="quinta-feira"/>
    <x v="635"/>
    <x v="580"/>
    <n v="0"/>
    <n v="0"/>
    <n v="0"/>
    <n v="0"/>
    <n v="0"/>
    <n v="0"/>
    <n v="0"/>
    <n v="0"/>
    <n v="0"/>
  </r>
  <r>
    <s v="sexta-feira"/>
    <x v="636"/>
    <x v="580"/>
    <n v="0"/>
    <n v="0"/>
    <n v="0"/>
    <n v="0"/>
    <n v="0"/>
    <n v="0"/>
    <n v="0"/>
    <n v="0"/>
    <n v="0"/>
  </r>
  <r>
    <s v="sábado"/>
    <x v="637"/>
    <x v="580"/>
    <n v="0"/>
    <n v="0"/>
    <n v="0"/>
    <n v="0"/>
    <n v="0"/>
    <n v="0"/>
    <n v="0"/>
    <n v="0"/>
    <n v="0"/>
  </r>
  <r>
    <s v="domingo"/>
    <x v="638"/>
    <x v="580"/>
    <n v="0"/>
    <n v="0"/>
    <n v="0"/>
    <n v="0"/>
    <n v="0"/>
    <n v="0"/>
    <n v="0"/>
    <n v="0"/>
    <n v="0"/>
  </r>
  <r>
    <s v="segunda-feira"/>
    <x v="639"/>
    <x v="580"/>
    <n v="0"/>
    <n v="0"/>
    <n v="0"/>
    <n v="0"/>
    <n v="0"/>
    <n v="0"/>
    <n v="0"/>
    <n v="0"/>
    <n v="0"/>
  </r>
  <r>
    <s v="terça-feira"/>
    <x v="640"/>
    <x v="580"/>
    <n v="0"/>
    <n v="0"/>
    <n v="0"/>
    <n v="0"/>
    <n v="0"/>
    <n v="0"/>
    <n v="0"/>
    <n v="0"/>
    <n v="0"/>
  </r>
  <r>
    <s v="quarta-feira"/>
    <x v="641"/>
    <x v="580"/>
    <n v="0"/>
    <n v="0"/>
    <n v="0"/>
    <n v="0"/>
    <n v="0"/>
    <n v="0"/>
    <n v="0"/>
    <n v="0"/>
    <n v="0"/>
  </r>
  <r>
    <s v="quinta-feira"/>
    <x v="642"/>
    <x v="580"/>
    <n v="0"/>
    <n v="0"/>
    <n v="0"/>
    <n v="0"/>
    <n v="0"/>
    <n v="0"/>
    <n v="0"/>
    <n v="0"/>
    <n v="0"/>
  </r>
  <r>
    <s v="sexta-feira"/>
    <x v="643"/>
    <x v="580"/>
    <n v="0"/>
    <n v="0"/>
    <n v="0"/>
    <n v="0"/>
    <n v="0"/>
    <n v="0"/>
    <n v="0"/>
    <n v="0"/>
    <n v="0"/>
  </r>
  <r>
    <s v="sábado"/>
    <x v="644"/>
    <x v="580"/>
    <n v="0"/>
    <n v="0"/>
    <n v="0"/>
    <n v="0"/>
    <n v="0"/>
    <n v="0"/>
    <n v="0"/>
    <n v="0"/>
    <n v="0"/>
  </r>
  <r>
    <s v="domingo"/>
    <x v="645"/>
    <x v="580"/>
    <n v="0"/>
    <n v="0"/>
    <n v="0"/>
    <n v="0"/>
    <n v="0"/>
    <n v="0"/>
    <n v="0"/>
    <n v="0"/>
    <n v="0"/>
  </r>
  <r>
    <s v="segunda-feira"/>
    <x v="646"/>
    <x v="580"/>
    <n v="0"/>
    <n v="0"/>
    <n v="0"/>
    <n v="0"/>
    <n v="0"/>
    <n v="0"/>
    <n v="0"/>
    <n v="0"/>
    <n v="0"/>
  </r>
  <r>
    <s v="terça-feira"/>
    <x v="647"/>
    <x v="580"/>
    <n v="0"/>
    <n v="0"/>
    <n v="0"/>
    <n v="0"/>
    <n v="0"/>
    <n v="0"/>
    <n v="0"/>
    <n v="0"/>
    <n v="0"/>
  </r>
  <r>
    <s v="quarta-feira"/>
    <x v="648"/>
    <x v="580"/>
    <n v="0"/>
    <n v="0"/>
    <n v="0"/>
    <n v="0"/>
    <n v="0"/>
    <n v="0"/>
    <n v="0"/>
    <n v="0"/>
    <n v="0"/>
  </r>
  <r>
    <s v="quinta-feira"/>
    <x v="649"/>
    <x v="580"/>
    <n v="0"/>
    <n v="0"/>
    <n v="0"/>
    <n v="0"/>
    <n v="0"/>
    <n v="0"/>
    <n v="0"/>
    <n v="0"/>
    <n v="0"/>
  </r>
  <r>
    <s v="sexta-feira"/>
    <x v="650"/>
    <x v="580"/>
    <n v="0"/>
    <n v="0"/>
    <n v="0"/>
    <n v="0"/>
    <n v="0"/>
    <n v="0"/>
    <n v="0"/>
    <n v="0"/>
    <n v="0"/>
  </r>
  <r>
    <s v="sábado"/>
    <x v="651"/>
    <x v="580"/>
    <n v="0"/>
    <n v="0"/>
    <n v="0"/>
    <n v="0"/>
    <n v="0"/>
    <n v="0"/>
    <n v="0"/>
    <n v="0"/>
    <n v="0"/>
  </r>
  <r>
    <s v="domingo"/>
    <x v="652"/>
    <x v="580"/>
    <n v="0"/>
    <n v="0"/>
    <n v="0"/>
    <n v="0"/>
    <n v="0"/>
    <n v="0"/>
    <n v="0"/>
    <n v="0"/>
    <n v="0"/>
  </r>
  <r>
    <s v="segunda-feira"/>
    <x v="653"/>
    <x v="580"/>
    <n v="0"/>
    <n v="0"/>
    <n v="0"/>
    <n v="0"/>
    <n v="0"/>
    <n v="0"/>
    <n v="0"/>
    <n v="0"/>
    <n v="0"/>
  </r>
  <r>
    <s v="terça-feira"/>
    <x v="654"/>
    <x v="580"/>
    <n v="0"/>
    <n v="0"/>
    <n v="0"/>
    <n v="0"/>
    <n v="0"/>
    <n v="0"/>
    <n v="0"/>
    <n v="0"/>
    <n v="0"/>
  </r>
  <r>
    <s v="quarta-feira"/>
    <x v="655"/>
    <x v="580"/>
    <n v="0"/>
    <n v="0"/>
    <n v="0"/>
    <n v="0"/>
    <n v="0"/>
    <n v="0"/>
    <n v="0"/>
    <n v="0"/>
    <n v="0"/>
  </r>
  <r>
    <s v="quinta-feira"/>
    <x v="656"/>
    <x v="580"/>
    <n v="0"/>
    <n v="0"/>
    <n v="0"/>
    <n v="0"/>
    <n v="0"/>
    <n v="0"/>
    <n v="0"/>
    <n v="0"/>
    <n v="0"/>
  </r>
  <r>
    <s v="sexta-feira"/>
    <x v="657"/>
    <x v="580"/>
    <n v="0"/>
    <n v="0"/>
    <n v="0"/>
    <n v="0"/>
    <n v="0"/>
    <n v="0"/>
    <n v="0"/>
    <n v="0"/>
    <n v="0"/>
  </r>
  <r>
    <s v="sábado"/>
    <x v="658"/>
    <x v="580"/>
    <n v="0"/>
    <n v="0"/>
    <n v="0"/>
    <n v="0"/>
    <n v="0"/>
    <n v="0"/>
    <n v="0"/>
    <n v="0"/>
    <n v="0"/>
  </r>
  <r>
    <s v="domingo"/>
    <x v="659"/>
    <x v="580"/>
    <n v="0"/>
    <n v="0"/>
    <n v="0"/>
    <n v="0"/>
    <n v="0"/>
    <n v="0"/>
    <n v="0"/>
    <n v="0"/>
    <n v="0"/>
  </r>
  <r>
    <s v="segunda-feira"/>
    <x v="660"/>
    <x v="580"/>
    <n v="0"/>
    <n v="0"/>
    <n v="0"/>
    <n v="0"/>
    <n v="0"/>
    <n v="0"/>
    <n v="0"/>
    <n v="0"/>
    <n v="0"/>
  </r>
  <r>
    <s v="terça-feira"/>
    <x v="661"/>
    <x v="580"/>
    <n v="0"/>
    <n v="0"/>
    <n v="0"/>
    <n v="0"/>
    <n v="0"/>
    <n v="0"/>
    <n v="0"/>
    <n v="0"/>
    <n v="0"/>
  </r>
  <r>
    <s v="quarta-feira"/>
    <x v="662"/>
    <x v="580"/>
    <n v="0"/>
    <n v="0"/>
    <n v="0"/>
    <n v="0"/>
    <n v="0"/>
    <n v="0"/>
    <n v="0"/>
    <n v="0"/>
    <n v="0"/>
  </r>
  <r>
    <s v="quinta-feira"/>
    <x v="663"/>
    <x v="580"/>
    <n v="0"/>
    <n v="0"/>
    <n v="0"/>
    <n v="0"/>
    <n v="0"/>
    <n v="0"/>
    <n v="0"/>
    <n v="0"/>
    <n v="0"/>
  </r>
  <r>
    <s v="sexta-feira"/>
    <x v="664"/>
    <x v="580"/>
    <n v="0"/>
    <n v="0"/>
    <n v="0"/>
    <n v="0"/>
    <n v="0"/>
    <n v="0"/>
    <n v="0"/>
    <n v="0"/>
    <n v="0"/>
  </r>
  <r>
    <s v="sábado"/>
    <x v="665"/>
    <x v="580"/>
    <n v="0"/>
    <n v="0"/>
    <n v="0"/>
    <n v="0"/>
    <n v="0"/>
    <n v="0"/>
    <n v="0"/>
    <n v="0"/>
    <n v="0"/>
  </r>
  <r>
    <s v="domingo"/>
    <x v="666"/>
    <x v="580"/>
    <n v="0"/>
    <n v="0"/>
    <n v="0"/>
    <n v="0"/>
    <n v="0"/>
    <n v="0"/>
    <n v="0"/>
    <n v="0"/>
    <n v="0"/>
  </r>
  <r>
    <s v="segunda-feira"/>
    <x v="667"/>
    <x v="580"/>
    <n v="0"/>
    <n v="0"/>
    <n v="0"/>
    <n v="0"/>
    <n v="0"/>
    <n v="0"/>
    <n v="0"/>
    <n v="0"/>
    <n v="0"/>
  </r>
  <r>
    <s v="terça-feira"/>
    <x v="668"/>
    <x v="580"/>
    <n v="0"/>
    <n v="0"/>
    <n v="0"/>
    <n v="0"/>
    <n v="0"/>
    <n v="0"/>
    <n v="0"/>
    <n v="0"/>
    <n v="0"/>
  </r>
  <r>
    <s v="quarta-feira"/>
    <x v="669"/>
    <x v="580"/>
    <n v="0"/>
    <n v="0"/>
    <n v="0"/>
    <n v="0"/>
    <n v="0"/>
    <n v="0"/>
    <n v="0"/>
    <n v="0"/>
    <n v="0"/>
  </r>
  <r>
    <s v="quinta-feira"/>
    <x v="670"/>
    <x v="580"/>
    <n v="0"/>
    <n v="0"/>
    <n v="0"/>
    <n v="0"/>
    <n v="0"/>
    <n v="0"/>
    <n v="0"/>
    <n v="0"/>
    <n v="0"/>
  </r>
  <r>
    <s v="sexta-feira"/>
    <x v="671"/>
    <x v="580"/>
    <n v="0"/>
    <n v="0"/>
    <n v="0"/>
    <n v="0"/>
    <n v="0"/>
    <n v="0"/>
    <n v="0"/>
    <n v="0"/>
    <n v="0"/>
  </r>
  <r>
    <s v="sábado"/>
    <x v="672"/>
    <x v="580"/>
    <n v="0"/>
    <n v="0"/>
    <n v="0"/>
    <n v="0"/>
    <n v="0"/>
    <n v="0"/>
    <n v="0"/>
    <n v="0"/>
    <n v="0"/>
  </r>
  <r>
    <s v="domingo"/>
    <x v="673"/>
    <x v="580"/>
    <n v="0"/>
    <n v="0"/>
    <n v="0"/>
    <n v="0"/>
    <n v="0"/>
    <n v="0"/>
    <n v="0"/>
    <n v="0"/>
    <n v="0"/>
  </r>
  <r>
    <s v="segunda-feira"/>
    <x v="674"/>
    <x v="580"/>
    <n v="0"/>
    <n v="0"/>
    <n v="0"/>
    <n v="0"/>
    <n v="0"/>
    <n v="0"/>
    <n v="0"/>
    <n v="0"/>
    <n v="0"/>
  </r>
  <r>
    <s v="terça-feira"/>
    <x v="675"/>
    <x v="580"/>
    <n v="0"/>
    <n v="0"/>
    <n v="0"/>
    <n v="0"/>
    <n v="0"/>
    <n v="0"/>
    <n v="0"/>
    <n v="0"/>
    <n v="0"/>
  </r>
  <r>
    <s v="quarta-feira"/>
    <x v="676"/>
    <x v="580"/>
    <n v="0"/>
    <n v="0"/>
    <n v="0"/>
    <n v="0"/>
    <n v="0"/>
    <n v="0"/>
    <n v="0"/>
    <n v="0"/>
    <n v="0"/>
  </r>
  <r>
    <s v="quinta-feira"/>
    <x v="677"/>
    <x v="580"/>
    <n v="0"/>
    <n v="0"/>
    <n v="0"/>
    <n v="0"/>
    <n v="0"/>
    <n v="0"/>
    <n v="0"/>
    <n v="0"/>
    <n v="0"/>
  </r>
  <r>
    <s v="sexta-feira"/>
    <x v="678"/>
    <x v="580"/>
    <n v="0"/>
    <n v="0"/>
    <n v="0"/>
    <n v="0"/>
    <n v="0"/>
    <n v="0"/>
    <n v="0"/>
    <n v="0"/>
    <n v="0"/>
  </r>
  <r>
    <s v="sábado"/>
    <x v="679"/>
    <x v="580"/>
    <n v="0"/>
    <n v="0"/>
    <n v="0"/>
    <n v="0"/>
    <n v="0"/>
    <n v="0"/>
    <n v="0"/>
    <n v="0"/>
    <n v="0"/>
  </r>
  <r>
    <s v="domingo"/>
    <x v="680"/>
    <x v="580"/>
    <n v="0"/>
    <n v="0"/>
    <n v="0"/>
    <n v="0"/>
    <n v="0"/>
    <n v="0"/>
    <n v="0"/>
    <n v="0"/>
    <n v="0"/>
  </r>
  <r>
    <s v="segunda-feira"/>
    <x v="681"/>
    <x v="580"/>
    <n v="0"/>
    <n v="0"/>
    <n v="0"/>
    <n v="0"/>
    <n v="0"/>
    <n v="0"/>
    <n v="0"/>
    <n v="0"/>
    <n v="0"/>
  </r>
  <r>
    <s v="terça-feira"/>
    <x v="682"/>
    <x v="580"/>
    <n v="0"/>
    <n v="0"/>
    <n v="0"/>
    <n v="0"/>
    <n v="0"/>
    <n v="0"/>
    <n v="0"/>
    <n v="0"/>
    <n v="0"/>
  </r>
  <r>
    <s v="quarta-feira"/>
    <x v="683"/>
    <x v="580"/>
    <n v="0"/>
    <n v="0"/>
    <n v="0"/>
    <n v="0"/>
    <n v="0"/>
    <n v="0"/>
    <n v="0"/>
    <n v="0"/>
    <n v="0"/>
  </r>
  <r>
    <s v="quinta-feira"/>
    <x v="684"/>
    <x v="580"/>
    <n v="0"/>
    <n v="0"/>
    <n v="0"/>
    <n v="0"/>
    <n v="0"/>
    <n v="0"/>
    <n v="0"/>
    <n v="0"/>
    <n v="0"/>
  </r>
  <r>
    <s v="sexta-feira"/>
    <x v="685"/>
    <x v="580"/>
    <n v="0"/>
    <n v="0"/>
    <n v="0"/>
    <n v="0"/>
    <n v="0"/>
    <n v="0"/>
    <n v="0"/>
    <n v="0"/>
    <n v="0"/>
  </r>
  <r>
    <s v="sábado"/>
    <x v="686"/>
    <x v="580"/>
    <n v="0"/>
    <n v="0"/>
    <n v="0"/>
    <n v="0"/>
    <n v="0"/>
    <n v="0"/>
    <n v="0"/>
    <n v="0"/>
    <n v="0"/>
  </r>
  <r>
    <s v="domingo"/>
    <x v="687"/>
    <x v="580"/>
    <n v="0"/>
    <n v="0"/>
    <n v="0"/>
    <n v="0"/>
    <n v="0"/>
    <n v="0"/>
    <n v="0"/>
    <n v="0"/>
    <n v="0"/>
  </r>
  <r>
    <s v="segunda-feira"/>
    <x v="688"/>
    <x v="580"/>
    <n v="0"/>
    <n v="0"/>
    <n v="0"/>
    <n v="0"/>
    <n v="0"/>
    <n v="0"/>
    <n v="0"/>
    <n v="0"/>
    <n v="0"/>
  </r>
  <r>
    <s v="terça-feira"/>
    <x v="689"/>
    <x v="580"/>
    <n v="0"/>
    <n v="0"/>
    <n v="0"/>
    <n v="0"/>
    <n v="0"/>
    <n v="0"/>
    <n v="0"/>
    <n v="0"/>
    <n v="0"/>
  </r>
  <r>
    <s v="quarta-feira"/>
    <x v="690"/>
    <x v="580"/>
    <n v="0"/>
    <n v="0"/>
    <n v="0"/>
    <n v="0"/>
    <n v="0"/>
    <n v="0"/>
    <n v="0"/>
    <n v="0"/>
    <n v="0"/>
  </r>
  <r>
    <s v="quinta-feira"/>
    <x v="691"/>
    <x v="580"/>
    <n v="0"/>
    <n v="0"/>
    <n v="0"/>
    <n v="0"/>
    <n v="0"/>
    <n v="0"/>
    <n v="0"/>
    <n v="0"/>
    <n v="0"/>
  </r>
  <r>
    <s v="sexta-feira"/>
    <x v="692"/>
    <x v="580"/>
    <n v="0"/>
    <n v="0"/>
    <n v="0"/>
    <n v="0"/>
    <n v="0"/>
    <n v="0"/>
    <n v="0"/>
    <n v="0"/>
    <n v="0"/>
  </r>
  <r>
    <s v="sábado"/>
    <x v="693"/>
    <x v="580"/>
    <n v="0"/>
    <n v="0"/>
    <n v="0"/>
    <n v="0"/>
    <n v="0"/>
    <n v="0"/>
    <n v="0"/>
    <n v="0"/>
    <n v="0"/>
  </r>
  <r>
    <s v="domingo"/>
    <x v="694"/>
    <x v="580"/>
    <n v="0"/>
    <n v="0"/>
    <n v="0"/>
    <n v="0"/>
    <n v="0"/>
    <n v="0"/>
    <n v="0"/>
    <n v="0"/>
    <n v="0"/>
  </r>
  <r>
    <s v="segunda-feira"/>
    <x v="695"/>
    <x v="580"/>
    <n v="0"/>
    <n v="0"/>
    <n v="0"/>
    <n v="0"/>
    <n v="0"/>
    <n v="0"/>
    <n v="0"/>
    <n v="0"/>
    <n v="0"/>
  </r>
  <r>
    <s v="terça-feira"/>
    <x v="696"/>
    <x v="580"/>
    <n v="0"/>
    <n v="0"/>
    <n v="0"/>
    <n v="0"/>
    <n v="0"/>
    <n v="0"/>
    <n v="0"/>
    <n v="0"/>
    <n v="0"/>
  </r>
  <r>
    <s v="quarta-feira"/>
    <x v="697"/>
    <x v="580"/>
    <n v="0"/>
    <n v="0"/>
    <n v="0"/>
    <n v="0"/>
    <n v="0"/>
    <n v="0"/>
    <n v="0"/>
    <n v="0"/>
    <n v="0"/>
  </r>
  <r>
    <s v="quinta-feira"/>
    <x v="698"/>
    <x v="580"/>
    <n v="0"/>
    <n v="0"/>
    <n v="0"/>
    <n v="0"/>
    <n v="0"/>
    <n v="0"/>
    <n v="0"/>
    <n v="0"/>
    <n v="0"/>
  </r>
  <r>
    <s v="sexta-feira"/>
    <x v="699"/>
    <x v="580"/>
    <n v="0"/>
    <n v="0"/>
    <n v="0"/>
    <n v="0"/>
    <n v="0"/>
    <n v="0"/>
    <n v="0"/>
    <n v="0"/>
    <n v="0"/>
  </r>
  <r>
    <s v="sábado"/>
    <x v="700"/>
    <x v="580"/>
    <n v="0"/>
    <n v="0"/>
    <n v="0"/>
    <n v="0"/>
    <n v="0"/>
    <n v="0"/>
    <n v="0"/>
    <n v="0"/>
    <n v="0"/>
  </r>
  <r>
    <s v="domingo"/>
    <x v="701"/>
    <x v="580"/>
    <n v="0"/>
    <n v="0"/>
    <n v="0"/>
    <n v="0"/>
    <n v="0"/>
    <n v="0"/>
    <n v="0"/>
    <n v="0"/>
    <n v="0"/>
  </r>
  <r>
    <s v="segunda-feira"/>
    <x v="702"/>
    <x v="580"/>
    <n v="0"/>
    <n v="0"/>
    <n v="0"/>
    <n v="0"/>
    <n v="0"/>
    <n v="0"/>
    <n v="0"/>
    <n v="0"/>
    <n v="0"/>
  </r>
  <r>
    <s v="terça-feira"/>
    <x v="703"/>
    <x v="580"/>
    <n v="0"/>
    <n v="0"/>
    <n v="0"/>
    <n v="0"/>
    <n v="0"/>
    <n v="0"/>
    <n v="0"/>
    <n v="0"/>
    <n v="0"/>
  </r>
  <r>
    <s v="quarta-feira"/>
    <x v="704"/>
    <x v="580"/>
    <n v="0"/>
    <n v="0"/>
    <n v="0"/>
    <n v="0"/>
    <n v="0"/>
    <n v="0"/>
    <n v="0"/>
    <n v="0"/>
    <n v="0"/>
  </r>
  <r>
    <s v="quinta-feira"/>
    <x v="705"/>
    <x v="580"/>
    <n v="0"/>
    <n v="0"/>
    <n v="0"/>
    <n v="0"/>
    <n v="0"/>
    <n v="0"/>
    <n v="0"/>
    <n v="0"/>
    <n v="0"/>
  </r>
  <r>
    <s v="sexta-feira"/>
    <x v="706"/>
    <x v="580"/>
    <n v="0"/>
    <n v="0"/>
    <n v="0"/>
    <n v="0"/>
    <n v="0"/>
    <n v="0"/>
    <n v="0"/>
    <n v="0"/>
    <n v="0"/>
  </r>
  <r>
    <s v="sábado"/>
    <x v="707"/>
    <x v="580"/>
    <n v="0"/>
    <n v="0"/>
    <n v="0"/>
    <n v="0"/>
    <n v="0"/>
    <n v="0"/>
    <n v="0"/>
    <n v="0"/>
    <n v="0"/>
  </r>
  <r>
    <s v="domingo"/>
    <x v="708"/>
    <x v="580"/>
    <n v="0"/>
    <n v="0"/>
    <n v="0"/>
    <n v="0"/>
    <n v="0"/>
    <n v="0"/>
    <n v="0"/>
    <n v="0"/>
    <n v="0"/>
  </r>
  <r>
    <s v="segunda-feira"/>
    <x v="709"/>
    <x v="580"/>
    <n v="0"/>
    <n v="0"/>
    <n v="0"/>
    <n v="0"/>
    <n v="0"/>
    <n v="0"/>
    <n v="0"/>
    <n v="0"/>
    <n v="0"/>
  </r>
  <r>
    <s v="terça-feira"/>
    <x v="710"/>
    <x v="580"/>
    <n v="0"/>
    <n v="0"/>
    <n v="0"/>
    <n v="0"/>
    <n v="0"/>
    <n v="0"/>
    <n v="0"/>
    <n v="0"/>
    <n v="0"/>
  </r>
  <r>
    <s v="quarta-feira"/>
    <x v="711"/>
    <x v="580"/>
    <n v="0"/>
    <n v="0"/>
    <n v="0"/>
    <n v="0"/>
    <n v="0"/>
    <n v="0"/>
    <n v="0"/>
    <n v="0"/>
    <n v="0"/>
  </r>
  <r>
    <s v="quinta-feira"/>
    <x v="712"/>
    <x v="580"/>
    <n v="0"/>
    <n v="0"/>
    <n v="0"/>
    <n v="0"/>
    <n v="0"/>
    <n v="0"/>
    <n v="0"/>
    <n v="0"/>
    <n v="0"/>
  </r>
  <r>
    <s v="sexta-feira"/>
    <x v="713"/>
    <x v="580"/>
    <n v="0"/>
    <n v="0"/>
    <n v="0"/>
    <n v="0"/>
    <n v="0"/>
    <n v="0"/>
    <n v="0"/>
    <n v="0"/>
    <n v="0"/>
  </r>
  <r>
    <s v="sábado"/>
    <x v="714"/>
    <x v="580"/>
    <n v="0"/>
    <n v="0"/>
    <n v="0"/>
    <n v="0"/>
    <n v="0"/>
    <n v="0"/>
    <n v="0"/>
    <n v="0"/>
    <n v="0"/>
  </r>
  <r>
    <s v="domingo"/>
    <x v="715"/>
    <x v="580"/>
    <n v="0"/>
    <n v="0"/>
    <n v="0"/>
    <n v="0"/>
    <n v="0"/>
    <n v="0"/>
    <n v="0"/>
    <n v="0"/>
    <n v="0"/>
  </r>
  <r>
    <s v="segunda-feira"/>
    <x v="716"/>
    <x v="580"/>
    <n v="0"/>
    <n v="0"/>
    <n v="0"/>
    <n v="0"/>
    <n v="0"/>
    <n v="0"/>
    <n v="0"/>
    <n v="0"/>
    <n v="0"/>
  </r>
  <r>
    <s v="terça-feira"/>
    <x v="717"/>
    <x v="580"/>
    <n v="0"/>
    <n v="0"/>
    <n v="0"/>
    <n v="0"/>
    <n v="0"/>
    <n v="0"/>
    <n v="0"/>
    <n v="0"/>
    <n v="0"/>
  </r>
  <r>
    <s v="quarta-feira"/>
    <x v="718"/>
    <x v="580"/>
    <n v="0"/>
    <n v="0"/>
    <n v="0"/>
    <n v="0"/>
    <n v="0"/>
    <n v="0"/>
    <n v="0"/>
    <n v="0"/>
    <n v="0"/>
  </r>
  <r>
    <s v="quinta-feira"/>
    <x v="719"/>
    <x v="580"/>
    <n v="0"/>
    <n v="0"/>
    <n v="0"/>
    <n v="0"/>
    <n v="0"/>
    <n v="0"/>
    <n v="0"/>
    <n v="0"/>
    <n v="0"/>
  </r>
  <r>
    <s v="sexta-feira"/>
    <x v="720"/>
    <x v="580"/>
    <n v="0"/>
    <n v="0"/>
    <n v="0"/>
    <n v="0"/>
    <n v="0"/>
    <n v="0"/>
    <n v="0"/>
    <n v="0"/>
    <n v="0"/>
  </r>
  <r>
    <s v="sábado"/>
    <x v="721"/>
    <x v="580"/>
    <n v="0"/>
    <n v="0"/>
    <n v="0"/>
    <n v="0"/>
    <n v="0"/>
    <n v="0"/>
    <n v="0"/>
    <n v="0"/>
    <n v="0"/>
  </r>
  <r>
    <s v="domingo"/>
    <x v="722"/>
    <x v="580"/>
    <n v="0"/>
    <n v="0"/>
    <n v="0"/>
    <n v="0"/>
    <n v="0"/>
    <n v="0"/>
    <n v="0"/>
    <n v="0"/>
    <n v="0"/>
  </r>
  <r>
    <s v="segunda-feira"/>
    <x v="723"/>
    <x v="580"/>
    <n v="0"/>
    <n v="0"/>
    <n v="0"/>
    <n v="0"/>
    <n v="0"/>
    <n v="0"/>
    <n v="0"/>
    <n v="0"/>
    <n v="0"/>
  </r>
  <r>
    <s v="terça-feira"/>
    <x v="724"/>
    <x v="580"/>
    <n v="0"/>
    <n v="0"/>
    <n v="0"/>
    <n v="0"/>
    <n v="0"/>
    <n v="0"/>
    <n v="0"/>
    <n v="0"/>
    <n v="0"/>
  </r>
  <r>
    <s v="quarta-feira"/>
    <x v="725"/>
    <x v="580"/>
    <n v="0"/>
    <n v="0"/>
    <n v="0"/>
    <n v="0"/>
    <n v="0"/>
    <n v="0"/>
    <n v="0"/>
    <n v="0"/>
    <n v="0"/>
  </r>
  <r>
    <s v="quinta-feira"/>
    <x v="726"/>
    <x v="580"/>
    <n v="0"/>
    <n v="0"/>
    <n v="0"/>
    <n v="0"/>
    <n v="0"/>
    <n v="0"/>
    <n v="0"/>
    <n v="0"/>
    <n v="0"/>
  </r>
  <r>
    <s v="sexta-feira"/>
    <x v="727"/>
    <x v="580"/>
    <n v="0"/>
    <n v="0"/>
    <n v="0"/>
    <n v="0"/>
    <n v="0"/>
    <n v="0"/>
    <n v="0"/>
    <n v="0"/>
    <n v="0"/>
  </r>
  <r>
    <s v="sábado"/>
    <x v="728"/>
    <x v="580"/>
    <n v="0"/>
    <n v="0"/>
    <n v="0"/>
    <n v="0"/>
    <n v="0"/>
    <n v="0"/>
    <n v="0"/>
    <n v="0"/>
    <n v="0"/>
  </r>
  <r>
    <s v="domingo"/>
    <x v="729"/>
    <x v="58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A0111B-DE5E-4BB5-A8A9-767DF4FF91A8}" name="Tabela dinâmica5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F30" firstHeaderRow="0" firstDataRow="1" firstDataCol="1"/>
  <pivotFields count="15">
    <pivotField showAll="0"/>
    <pivotField axis="axisRow" numFmtId="14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m="1" x="919"/>
        <item m="1" x="741"/>
        <item m="1" x="923"/>
        <item m="1" x="745"/>
        <item m="1" x="926"/>
        <item m="1" x="748"/>
        <item m="1" x="930"/>
        <item m="1" x="751"/>
        <item m="1" x="933"/>
        <item m="1" x="754"/>
        <item m="1" x="937"/>
        <item m="1" x="758"/>
        <item m="1" x="940"/>
        <item m="1" x="761"/>
        <item m="1" x="944"/>
        <item m="1" x="765"/>
        <item m="1" x="948"/>
        <item m="1" x="769"/>
        <item m="1" x="953"/>
        <item m="1" x="774"/>
        <item m="1" x="958"/>
        <item m="1" x="779"/>
        <item m="1" x="964"/>
        <item m="1" x="785"/>
        <item m="1" x="970"/>
        <item m="1" x="791"/>
        <item m="1" x="977"/>
        <item m="1" x="798"/>
        <item m="1" x="984"/>
        <item m="1" x="805"/>
        <item m="1" x="992"/>
        <item m="1" x="927"/>
        <item m="1" x="749"/>
        <item m="1" x="931"/>
        <item m="1" x="752"/>
        <item m="1" x="934"/>
        <item m="1" x="755"/>
        <item m="1" x="938"/>
        <item m="1" x="759"/>
        <item m="1" x="941"/>
        <item m="1" x="762"/>
        <item m="1" x="945"/>
        <item m="1" x="766"/>
        <item m="1" x="949"/>
        <item m="1" x="770"/>
        <item m="1" x="954"/>
        <item m="1" x="775"/>
        <item m="1" x="959"/>
        <item m="1" x="780"/>
        <item m="1" x="965"/>
        <item m="1" x="786"/>
        <item m="1" x="971"/>
        <item m="1" x="792"/>
        <item m="1" x="978"/>
        <item m="1" x="799"/>
        <item m="1" x="985"/>
        <item m="1" x="806"/>
        <item m="1" x="993"/>
        <item m="1" x="813"/>
        <item m="1" x="935"/>
        <item m="1" x="756"/>
        <item m="1" x="939"/>
        <item m="1" x="760"/>
        <item m="1" x="942"/>
        <item m="1" x="763"/>
        <item m="1" x="946"/>
        <item m="1" x="767"/>
        <item m="1" x="950"/>
        <item m="1" x="771"/>
        <item m="1" x="955"/>
        <item m="1" x="776"/>
        <item m="1" x="960"/>
        <item m="1" x="781"/>
        <item m="1" x="966"/>
        <item m="1" x="787"/>
        <item m="1" x="972"/>
        <item m="1" x="793"/>
        <item m="1" x="979"/>
        <item m="1" x="800"/>
        <item m="1" x="986"/>
        <item m="1" x="807"/>
        <item m="1" x="994"/>
        <item m="1" x="814"/>
        <item m="1" x="1000"/>
        <item m="1" x="820"/>
        <item m="1" x="1007"/>
        <item m="1" x="827"/>
        <item m="1" x="1014"/>
        <item m="1" x="834"/>
        <item m="1" x="1022"/>
        <item m="1" x="943"/>
        <item m="1" x="764"/>
        <item m="1" x="947"/>
        <item m="1" x="768"/>
        <item m="1" x="951"/>
        <item m="1" x="772"/>
        <item m="1" x="956"/>
        <item m="1" x="777"/>
        <item m="1" x="961"/>
        <item m="1" x="782"/>
        <item m="1" x="967"/>
        <item m="1" x="788"/>
        <item m="1" x="973"/>
        <item m="1" x="794"/>
        <item m="1" x="980"/>
        <item m="1" x="801"/>
        <item m="1" x="987"/>
        <item m="1" x="808"/>
        <item m="1" x="995"/>
        <item m="1" x="815"/>
        <item m="1" x="1001"/>
        <item m="1" x="821"/>
        <item m="1" x="1008"/>
        <item m="1" x="828"/>
        <item m="1" x="1015"/>
        <item m="1" x="835"/>
        <item m="1" x="1023"/>
        <item m="1" x="842"/>
        <item m="1" x="1030"/>
        <item m="1" x="849"/>
        <item m="1" x="952"/>
        <item m="1" x="773"/>
        <item m="1" x="957"/>
        <item m="1" x="778"/>
        <item m="1" x="962"/>
        <item m="1" x="783"/>
        <item m="1" x="968"/>
        <item m="1" x="789"/>
        <item m="1" x="974"/>
        <item m="1" x="795"/>
        <item m="1" x="981"/>
        <item m="1" x="802"/>
        <item m="1" x="988"/>
        <item m="1" x="809"/>
        <item m="1" x="996"/>
        <item m="1" x="816"/>
        <item m="1" x="1002"/>
        <item m="1" x="822"/>
        <item m="1" x="1009"/>
        <item m="1" x="829"/>
        <item m="1" x="1016"/>
        <item m="1" x="836"/>
        <item m="1" x="1024"/>
        <item m="1" x="843"/>
        <item m="1" x="1031"/>
        <item m="1" x="850"/>
        <item m="1" x="1038"/>
        <item m="1" x="857"/>
        <item m="1" x="1045"/>
        <item m="1" x="864"/>
        <item m="1" x="1053"/>
        <item m="1" x="963"/>
        <item m="1" x="784"/>
        <item m="1" x="969"/>
        <item m="1" x="790"/>
        <item m="1" x="975"/>
        <item m="1" x="796"/>
        <item m="1" x="982"/>
        <item m="1" x="803"/>
        <item m="1" x="989"/>
        <item m="1" x="810"/>
        <item m="1" x="997"/>
        <item m="1" x="817"/>
        <item m="1" x="1003"/>
        <item m="1" x="823"/>
        <item m="1" x="1010"/>
        <item m="1" x="830"/>
        <item m="1" x="1017"/>
        <item m="1" x="837"/>
        <item m="1" x="1025"/>
        <item m="1" x="844"/>
        <item m="1" x="1032"/>
        <item m="1" x="851"/>
        <item m="1" x="1039"/>
        <item m="1" x="858"/>
        <item m="1" x="1046"/>
        <item m="1" x="865"/>
        <item m="1" x="1054"/>
        <item m="1" x="872"/>
        <item m="1" x="1061"/>
        <item m="1" x="879"/>
        <item m="1" x="976"/>
        <item m="1" x="797"/>
        <item m="1" x="983"/>
        <item m="1" x="804"/>
        <item m="1" x="990"/>
        <item m="1" x="811"/>
        <item m="1" x="998"/>
        <item m="1" x="818"/>
        <item m="1" x="1004"/>
        <item m="1" x="824"/>
        <item m="1" x="1011"/>
        <item m="1" x="831"/>
        <item m="1" x="1018"/>
        <item m="1" x="838"/>
        <item m="1" x="1026"/>
        <item m="1" x="845"/>
        <item m="1" x="1033"/>
        <item m="1" x="852"/>
        <item m="1" x="1040"/>
        <item m="1" x="859"/>
        <item m="1" x="1047"/>
        <item m="1" x="866"/>
        <item m="1" x="1055"/>
        <item m="1" x="873"/>
        <item m="1" x="1062"/>
        <item m="1" x="880"/>
        <item m="1" x="1068"/>
        <item m="1" x="886"/>
        <item m="1" x="1074"/>
        <item m="1" x="892"/>
        <item m="1" x="1080"/>
        <item m="1" x="991"/>
        <item m="1" x="812"/>
        <item m="1" x="999"/>
        <item m="1" x="819"/>
        <item m="1" x="1005"/>
        <item m="1" x="825"/>
        <item m="1" x="1012"/>
        <item m="1" x="832"/>
        <item m="1" x="1019"/>
        <item m="1" x="839"/>
        <item m="1" x="1027"/>
        <item m="1" x="846"/>
        <item m="1" x="1034"/>
        <item m="1" x="853"/>
        <item m="1" x="1041"/>
        <item m="1" x="860"/>
        <item m="1" x="1048"/>
        <item m="1" x="867"/>
        <item m="1" x="1056"/>
        <item m="1" x="874"/>
        <item m="1" x="1063"/>
        <item m="1" x="881"/>
        <item m="1" x="1069"/>
        <item m="1" x="887"/>
        <item m="1" x="1075"/>
        <item m="1" x="893"/>
        <item m="1" x="1081"/>
        <item m="1" x="898"/>
        <item m="1" x="1086"/>
        <item m="1" x="903"/>
        <item m="1" x="1091"/>
        <item m="1" x="1006"/>
        <item m="1" x="826"/>
        <item m="1" x="1013"/>
        <item m="1" x="833"/>
        <item m="1" x="1020"/>
        <item m="1" x="840"/>
        <item m="1" x="1028"/>
        <item m="1" x="847"/>
        <item m="1" x="1035"/>
        <item m="1" x="854"/>
        <item m="1" x="1042"/>
        <item m="1" x="861"/>
        <item m="1" x="1049"/>
        <item m="1" x="868"/>
        <item m="1" x="1057"/>
        <item m="1" x="875"/>
        <item m="1" x="1064"/>
        <item m="1" x="882"/>
        <item m="1" x="1070"/>
        <item m="1" x="888"/>
        <item m="1" x="1076"/>
        <item m="1" x="894"/>
        <item m="1" x="1082"/>
        <item m="1" x="899"/>
        <item m="1" x="1087"/>
        <item m="1" x="904"/>
        <item m="1" x="1092"/>
        <item m="1" x="908"/>
        <item m="1" x="731"/>
        <item m="1" x="912"/>
        <item m="1" x="1021"/>
        <item m="1" x="841"/>
        <item m="1" x="1029"/>
        <item m="1" x="848"/>
        <item m="1" x="1036"/>
        <item m="1" x="855"/>
        <item m="1" x="1043"/>
        <item m="1" x="862"/>
        <item m="1" x="1050"/>
        <item m="1" x="869"/>
        <item m="1" x="1058"/>
        <item m="1" x="876"/>
        <item m="1" x="1065"/>
        <item m="1" x="883"/>
        <item m="1" x="1071"/>
        <item m="1" x="889"/>
        <item m="1" x="1077"/>
        <item m="1" x="895"/>
        <item m="1" x="1083"/>
        <item m="1" x="900"/>
        <item m="1" x="1088"/>
        <item m="1" x="905"/>
        <item m="1" x="1093"/>
        <item m="1" x="909"/>
        <item m="1" x="732"/>
        <item m="1" x="913"/>
        <item m="1" x="735"/>
        <item m="1" x="916"/>
        <item m="1" x="738"/>
        <item m="1" x="920"/>
        <item m="1" x="742"/>
        <item m="1" x="1037"/>
        <item m="1" x="856"/>
        <item m="1" x="1044"/>
        <item m="1" x="863"/>
        <item m="1" x="1051"/>
        <item m="1" x="870"/>
        <item m="1" x="1059"/>
        <item m="1" x="877"/>
        <item m="1" x="1066"/>
        <item m="1" x="884"/>
        <item m="1" x="1072"/>
        <item m="1" x="890"/>
        <item m="1" x="1078"/>
        <item m="1" x="896"/>
        <item m="1" x="1084"/>
        <item m="1" x="901"/>
        <item m="1" x="1089"/>
        <item m="1" x="906"/>
        <item m="1" x="1094"/>
        <item m="1" x="910"/>
        <item m="1" x="733"/>
        <item m="1" x="914"/>
        <item m="1" x="736"/>
        <item m="1" x="917"/>
        <item m="1" x="739"/>
        <item m="1" x="921"/>
        <item m="1" x="743"/>
        <item m="1" x="924"/>
        <item m="1" x="746"/>
        <item m="1" x="928"/>
        <item m="1" x="1052"/>
        <item m="1" x="871"/>
        <item m="1" x="1060"/>
        <item m="1" x="878"/>
        <item m="1" x="1067"/>
        <item m="1" x="885"/>
        <item m="1" x="1073"/>
        <item m="1" x="891"/>
        <item m="1" x="1079"/>
        <item m="1" x="897"/>
        <item m="1" x="1085"/>
        <item m="1" x="902"/>
        <item m="1" x="1090"/>
        <item m="1" x="907"/>
        <item m="1" x="730"/>
        <item m="1" x="911"/>
        <item m="1" x="734"/>
        <item m="1" x="915"/>
        <item m="1" x="737"/>
        <item m="1" x="918"/>
        <item m="1" x="740"/>
        <item m="1" x="922"/>
        <item m="1" x="744"/>
        <item m="1" x="925"/>
        <item m="1" x="747"/>
        <item m="1" x="929"/>
        <item m="1" x="750"/>
        <item m="1" x="932"/>
        <item m="1" x="753"/>
        <item m="1" x="936"/>
        <item m="1" x="757"/>
        <item t="default"/>
      </items>
    </pivotField>
    <pivotField dataField="1" numFmtId="44" showAll="0"/>
    <pivotField dataField="1" numFmtId="44" showAll="0"/>
    <pivotField dataField="1" numFmtId="44" showAll="0"/>
    <pivotField dataField="1" showAll="0"/>
    <pivotField dataField="1" showAll="0"/>
    <pivotField numFmtId="44" showAll="0"/>
    <pivotField numFmtId="44" showAll="0"/>
    <pivotField numFmtId="2" showAll="0"/>
    <pivotField numFmtId="3" showAll="0"/>
    <pivotField numFmtId="10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5">
        <item sd="0" x="0"/>
        <item x="1"/>
        <item x="2"/>
        <item sd="0" x="3"/>
        <item sd="0" x="4"/>
      </items>
    </pivotField>
  </pivotFields>
  <rowFields count="3">
    <field x="14"/>
    <field x="12"/>
    <field x="1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oma de Faturamento" fld="2" baseField="0" baseItem="0"/>
    <dataField name="Soma de Liquido" fld="3" baseField="0" baseItem="0"/>
    <dataField name="Soma de Frete" fld="4" baseField="0" baseItem="0"/>
    <dataField name="Soma de Pedidos" fld="5" baseField="0" baseItem="0"/>
    <dataField name="Soma de Itens" fld="6" baseField="0" baseItem="0"/>
  </dataFields>
  <formats count="26">
    <format dxfId="395">
      <pivotArea collapsedLevelsAreSubtotals="1" fieldPosition="0">
        <references count="3">
          <reference field="4294967294" count="3" selected="0">
            <x v="0"/>
            <x v="1"/>
            <x v="2"/>
          </reference>
          <reference field="12" count="1">
            <x v="1"/>
          </reference>
          <reference field="14" count="1" selected="0">
            <x v="1"/>
          </reference>
        </references>
      </pivotArea>
    </format>
    <format dxfId="394">
      <pivotArea collapsedLevelsAreSubtotals="1" fieldPosition="0">
        <references count="3">
          <reference field="4294967294" count="3" selected="0">
            <x v="0"/>
            <x v="1"/>
            <x v="2"/>
          </reference>
          <reference field="12" count="1">
            <x v="2"/>
          </reference>
          <reference field="14" count="1" selected="0">
            <x v="1"/>
          </reference>
        </references>
      </pivotArea>
    </format>
    <format dxfId="393">
      <pivotArea collapsedLevelsAreSubtotals="1" fieldPosition="0">
        <references count="3">
          <reference field="4294967294" count="3" selected="0">
            <x v="0"/>
            <x v="1"/>
            <x v="2"/>
          </reference>
          <reference field="12" count="1">
            <x v="3"/>
          </reference>
          <reference field="14" count="1" selected="0">
            <x v="1"/>
          </reference>
        </references>
      </pivotArea>
    </format>
    <format dxfId="392">
      <pivotArea collapsedLevelsAreSubtotals="1" fieldPosition="0">
        <references count="3">
          <reference field="4294967294" count="3" selected="0">
            <x v="0"/>
            <x v="1"/>
            <x v="2"/>
          </reference>
          <reference field="12" count="1">
            <x v="4"/>
          </reference>
          <reference field="14" count="1" selected="0">
            <x v="1"/>
          </reference>
        </references>
      </pivotArea>
    </format>
    <format dxfId="391">
      <pivotArea collapsedLevelsAreSubtotals="1" fieldPosition="0">
        <references count="3">
          <reference field="4294967294" count="3" selected="0">
            <x v="0"/>
            <x v="1"/>
            <x v="2"/>
          </reference>
          <reference field="12" count="1">
            <x v="5"/>
          </reference>
          <reference field="14" count="1" selected="0">
            <x v="1"/>
          </reference>
        </references>
      </pivotArea>
    </format>
    <format dxfId="390">
      <pivotArea collapsedLevelsAreSubtotals="1" fieldPosition="0">
        <references count="3">
          <reference field="4294967294" count="3" selected="0">
            <x v="0"/>
            <x v="1"/>
            <x v="2"/>
          </reference>
          <reference field="12" count="1">
            <x v="6"/>
          </reference>
          <reference field="14" count="1" selected="0">
            <x v="1"/>
          </reference>
        </references>
      </pivotArea>
    </format>
    <format dxfId="389">
      <pivotArea collapsedLevelsAreSubtotals="1" fieldPosition="0">
        <references count="3">
          <reference field="4294967294" count="3" selected="0">
            <x v="0"/>
            <x v="1"/>
            <x v="2"/>
          </reference>
          <reference field="12" count="1">
            <x v="7"/>
          </reference>
          <reference field="14" count="1" selected="0">
            <x v="1"/>
          </reference>
        </references>
      </pivotArea>
    </format>
    <format dxfId="388">
      <pivotArea collapsedLevelsAreSubtotals="1" fieldPosition="0">
        <references count="3">
          <reference field="4294967294" count="3" selected="0">
            <x v="0"/>
            <x v="1"/>
            <x v="2"/>
          </reference>
          <reference field="12" count="1">
            <x v="8"/>
          </reference>
          <reference field="14" count="1" selected="0">
            <x v="1"/>
          </reference>
        </references>
      </pivotArea>
    </format>
    <format dxfId="387">
      <pivotArea collapsedLevelsAreSubtotals="1" fieldPosition="0">
        <references count="3">
          <reference field="4294967294" count="3" selected="0">
            <x v="0"/>
            <x v="1"/>
            <x v="2"/>
          </reference>
          <reference field="12" count="1">
            <x v="9"/>
          </reference>
          <reference field="14" count="1" selected="0">
            <x v="1"/>
          </reference>
        </references>
      </pivotArea>
    </format>
    <format dxfId="386">
      <pivotArea collapsedLevelsAreSubtotals="1" fieldPosition="0">
        <references count="3">
          <reference field="4294967294" count="3" selected="0">
            <x v="0"/>
            <x v="1"/>
            <x v="2"/>
          </reference>
          <reference field="12" count="1">
            <x v="10"/>
          </reference>
          <reference field="14" count="1" selected="0">
            <x v="1"/>
          </reference>
        </references>
      </pivotArea>
    </format>
    <format dxfId="385">
      <pivotArea collapsedLevelsAreSubtotals="1" fieldPosition="0">
        <references count="3">
          <reference field="4294967294" count="3" selected="0">
            <x v="0"/>
            <x v="1"/>
            <x v="2"/>
          </reference>
          <reference field="12" count="1">
            <x v="11"/>
          </reference>
          <reference field="14" count="1" selected="0">
            <x v="1"/>
          </reference>
        </references>
      </pivotArea>
    </format>
    <format dxfId="384">
      <pivotArea collapsedLevelsAreSubtotals="1" fieldPosition="0">
        <references count="3">
          <reference field="4294967294" count="3" selected="0">
            <x v="0"/>
            <x v="1"/>
            <x v="2"/>
          </reference>
          <reference field="12" count="1">
            <x v="12"/>
          </reference>
          <reference field="14" count="1" selected="0">
            <x v="1"/>
          </reference>
        </references>
      </pivotArea>
    </format>
    <format dxfId="383">
      <pivotArea collapsedLevelsAreSubtotals="1" fieldPosition="0">
        <references count="2">
          <reference field="4294967294" count="3" selected="0">
            <x v="0"/>
            <x v="1"/>
            <x v="2"/>
          </reference>
          <reference field="14" count="1">
            <x v="2"/>
          </reference>
        </references>
      </pivotArea>
    </format>
    <format dxfId="382">
      <pivotArea collapsedLevelsAreSubtotals="1" fieldPosition="0">
        <references count="3">
          <reference field="4294967294" count="3" selected="0">
            <x v="0"/>
            <x v="1"/>
            <x v="2"/>
          </reference>
          <reference field="12" count="1">
            <x v="1"/>
          </reference>
          <reference field="14" count="1" selected="0">
            <x v="2"/>
          </reference>
        </references>
      </pivotArea>
    </format>
    <format dxfId="381">
      <pivotArea collapsedLevelsAreSubtotals="1" fieldPosition="0">
        <references count="3">
          <reference field="4294967294" count="3" selected="0">
            <x v="0"/>
            <x v="1"/>
            <x v="2"/>
          </reference>
          <reference field="12" count="1">
            <x v="2"/>
          </reference>
          <reference field="14" count="1" selected="0">
            <x v="2"/>
          </reference>
        </references>
      </pivotArea>
    </format>
    <format dxfId="380">
      <pivotArea collapsedLevelsAreSubtotals="1" fieldPosition="0">
        <references count="3">
          <reference field="4294967294" count="3" selected="0">
            <x v="0"/>
            <x v="1"/>
            <x v="2"/>
          </reference>
          <reference field="12" count="1">
            <x v="3"/>
          </reference>
          <reference field="14" count="1" selected="0">
            <x v="2"/>
          </reference>
        </references>
      </pivotArea>
    </format>
    <format dxfId="379">
      <pivotArea collapsedLevelsAreSubtotals="1" fieldPosition="0">
        <references count="3">
          <reference field="4294967294" count="3" selected="0">
            <x v="0"/>
            <x v="1"/>
            <x v="2"/>
          </reference>
          <reference field="12" count="1">
            <x v="4"/>
          </reference>
          <reference field="14" count="1" selected="0">
            <x v="2"/>
          </reference>
        </references>
      </pivotArea>
    </format>
    <format dxfId="378">
      <pivotArea collapsedLevelsAreSubtotals="1" fieldPosition="0">
        <references count="3">
          <reference field="4294967294" count="3" selected="0">
            <x v="0"/>
            <x v="1"/>
            <x v="2"/>
          </reference>
          <reference field="12" count="1">
            <x v="5"/>
          </reference>
          <reference field="14" count="1" selected="0">
            <x v="2"/>
          </reference>
        </references>
      </pivotArea>
    </format>
    <format dxfId="377">
      <pivotArea collapsedLevelsAreSubtotals="1" fieldPosition="0">
        <references count="3">
          <reference field="4294967294" count="3" selected="0">
            <x v="0"/>
            <x v="1"/>
            <x v="2"/>
          </reference>
          <reference field="12" count="1">
            <x v="6"/>
          </reference>
          <reference field="14" count="1" selected="0">
            <x v="2"/>
          </reference>
        </references>
      </pivotArea>
    </format>
    <format dxfId="376">
      <pivotArea collapsedLevelsAreSubtotals="1" fieldPosition="0">
        <references count="3">
          <reference field="4294967294" count="3" selected="0">
            <x v="0"/>
            <x v="1"/>
            <x v="2"/>
          </reference>
          <reference field="12" count="1">
            <x v="7"/>
          </reference>
          <reference field="14" count="1" selected="0">
            <x v="2"/>
          </reference>
        </references>
      </pivotArea>
    </format>
    <format dxfId="375">
      <pivotArea collapsedLevelsAreSubtotals="1" fieldPosition="0">
        <references count="3">
          <reference field="4294967294" count="3" selected="0">
            <x v="0"/>
            <x v="1"/>
            <x v="2"/>
          </reference>
          <reference field="12" count="1">
            <x v="8"/>
          </reference>
          <reference field="14" count="1" selected="0">
            <x v="2"/>
          </reference>
        </references>
      </pivotArea>
    </format>
    <format dxfId="374">
      <pivotArea collapsedLevelsAreSubtotals="1" fieldPosition="0">
        <references count="3">
          <reference field="4294967294" count="3" selected="0">
            <x v="0"/>
            <x v="1"/>
            <x v="2"/>
          </reference>
          <reference field="12" count="1">
            <x v="9"/>
          </reference>
          <reference field="14" count="1" selected="0">
            <x v="2"/>
          </reference>
        </references>
      </pivotArea>
    </format>
    <format dxfId="373">
      <pivotArea collapsedLevelsAreSubtotals="1" fieldPosition="0">
        <references count="3">
          <reference field="4294967294" count="3" selected="0">
            <x v="0"/>
            <x v="1"/>
            <x v="2"/>
          </reference>
          <reference field="12" count="1">
            <x v="10"/>
          </reference>
          <reference field="14" count="1" selected="0">
            <x v="2"/>
          </reference>
        </references>
      </pivotArea>
    </format>
    <format dxfId="372">
      <pivotArea collapsedLevelsAreSubtotals="1" fieldPosition="0">
        <references count="3">
          <reference field="4294967294" count="3" selected="0">
            <x v="0"/>
            <x v="1"/>
            <x v="2"/>
          </reference>
          <reference field="12" count="1">
            <x v="11"/>
          </reference>
          <reference field="14" count="1" selected="0">
            <x v="2"/>
          </reference>
        </references>
      </pivotArea>
    </format>
    <format dxfId="371">
      <pivotArea collapsedLevelsAreSubtotals="1" fieldPosition="0">
        <references count="3">
          <reference field="4294967294" count="3" selected="0">
            <x v="0"/>
            <x v="1"/>
            <x v="2"/>
          </reference>
          <reference field="12" count="1">
            <x v="12"/>
          </reference>
          <reference field="14" count="1" selected="0">
            <x v="2"/>
          </reference>
        </references>
      </pivotArea>
    </format>
    <format dxfId="370">
      <pivotArea field="14" grandRow="1" outline="0" collapsedLevelsAreSubtotals="1" axis="axisRow" fieldPosition="0">
        <references count="1">
          <reference field="4294967294" count="3" selected="0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DF665-6399-4F37-891D-969792730E9D}" name="Tabela dinâ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3:G18" firstHeaderRow="1" firstDataRow="3" firstDataCol="1"/>
  <pivotFields count="24">
    <pivotField showAll="0"/>
    <pivotField axis="axisRow" numFmtId="14" showAll="0">
      <items count="7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t="default"/>
      </items>
    </pivotField>
    <pivotField dataField="1" numFmtId="44" showAll="0"/>
    <pivotField numFmtId="44" showAll="0"/>
    <pivotField numFmtId="44" showAll="0"/>
    <pivotField dataField="1" showAll="0"/>
    <pivotField showAll="0"/>
    <pivotField numFmtId="44" showAll="0"/>
    <pivotField numFmtId="44" showAll="0"/>
    <pivotField numFmtId="2" showAll="0"/>
    <pivotField numFmtId="3" showAll="0"/>
    <pivotField numFmtId="10" showAll="0"/>
    <pivotField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6">
        <item sd="0" x="0"/>
        <item sd="0" x="1"/>
        <item sd="0" x="2"/>
        <item h="1" sd="0" x="3"/>
        <item h="1" sd="0" x="4"/>
        <item t="default"/>
      </items>
    </pivotField>
  </pivotFields>
  <rowFields count="2">
    <field x="21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23"/>
    <field x="-2"/>
  </colFields>
  <colItems count="6"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dataFields count="2">
    <dataField name="Rec. Bruta" fld="2" baseField="21" baseItem="1"/>
    <dataField name="Soma de Pedidos" fld="5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23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23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1"/>
          </reference>
          <reference field="21" count="1" selected="0">
            <x v="6"/>
          </reference>
          <reference field="2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43" xr16:uid="{B2377EEC-6A33-4D7F-8EFB-BAC7D9EE736D}" autoFormatId="16" applyNumberFormats="0" applyBorderFormats="0" applyFontFormats="0" applyPatternFormats="0" applyAlignmentFormats="0" applyWidthHeightFormats="0">
  <queryTableRefresh nextId="3">
    <queryTableFields count="2">
      <queryTableField id="1" name="Data" tableColumnId="1"/>
      <queryTableField id="2" name="Cost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0" xr16:uid="{93F04553-635F-48A1-B917-4F02BA77C7FB}" autoFormatId="16" applyNumberFormats="0" applyBorderFormats="0" applyFontFormats="0" applyPatternFormats="0" applyAlignmentFormats="0" applyWidthHeightFormats="0">
  <queryTableRefresh nextId="7">
    <queryTableFields count="3">
      <queryTableField id="1" name="Dia" tableColumnId="1"/>
      <queryTableField id="2" name="Valor usado (BRL)" tableColumnId="2"/>
      <queryTableField id="3" name="Alcance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21" xr16:uid="{EDFA6F55-868F-4A1F-9E8F-583CAB2C08D3}" autoFormatId="16" applyNumberFormats="0" applyBorderFormats="0" applyFontFormats="0" applyPatternFormats="0" applyAlignmentFormats="0" applyWidthHeightFormats="0">
  <queryTableRefresh nextId="4">
    <queryTableFields count="3">
      <queryTableField id="1" name="Data" tableColumnId="1"/>
      <queryTableField id="2" name="Usuários" tableColumnId="2"/>
      <queryTableField id="3" name="Custo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2" xr16:uid="{1BB88718-2539-4760-BA7B-6F5D12490A53}" autoFormatId="16" applyNumberFormats="0" applyBorderFormats="0" applyFontFormats="0" applyPatternFormats="0" applyAlignmentFormats="0" applyWidthHeightFormats="0">
  <queryTableRefresh nextId="3">
    <queryTableFields count="2">
      <queryTableField id="1" name="Data de início (em UTC)" tableColumnId="1"/>
      <queryTableField id="2" name="Total investido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19" xr16:uid="{65B50B22-4261-40ED-B3D2-CA80B69D1D1F}" autoFormatId="16" applyNumberFormats="0" applyBorderFormats="0" applyFontFormats="0" applyPatternFormats="0" applyAlignmentFormats="0" applyWidthHeightFormats="0">
  <queryTableRefresh nextId="12">
    <queryTableFields count="8">
      <queryTableField id="1" name="Data" tableColumnId="1"/>
      <queryTableField id="2" name="Receita Bruta" tableColumnId="2"/>
      <queryTableField id="3" name="Receita Líquida" tableColumnId="3"/>
      <queryTableField id="4" name="Frete" tableColumnId="4"/>
      <queryTableField id="6" name="Pedidos" tableColumnId="6"/>
      <queryTableField id="5" name="Itens" tableColumnId="5"/>
      <queryTableField id="7" name="Cupom" tableColumnId="7"/>
      <queryTableField id="8" name="Reembolsado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33B413C-9495-4304-A2C9-41AC3F5B9468}" name="Tabela_TikTok__2" displayName="Tabela_TikTok__2" ref="A1:B118" tableType="queryTable" totalsRowShown="0">
  <autoFilter ref="A1:B118" xr:uid="{E33B413C-9495-4304-A2C9-41AC3F5B9468}"/>
  <sortState xmlns:xlrd2="http://schemas.microsoft.com/office/spreadsheetml/2017/richdata2" ref="A2:B98">
    <sortCondition ref="A1:A98"/>
  </sortState>
  <tableColumns count="2">
    <tableColumn id="1" xr3:uid="{A8C9DBF0-4852-449D-8511-C9B575175269}" uniqueName="1" name="Data" queryTableFieldId="1" dataDxfId="403"/>
    <tableColumn id="2" xr3:uid="{064660DB-DA69-42B6-8C06-CB62702F66F5}" uniqueName="2" name="Cost" queryTableField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151A7D2-D2AA-4C5E-B83A-E0BA196A9D19}" name="Tabela_Facebook_1" displayName="Tabela_Facebook_1" ref="A1:C589" tableType="queryTable" totalsRowShown="0">
  <autoFilter ref="A1:C589" xr:uid="{2151A7D2-D2AA-4C5E-B83A-E0BA196A9D19}"/>
  <tableColumns count="3">
    <tableColumn id="1" xr3:uid="{36FDA89F-7577-4A5B-A6A2-386DD7787509}" uniqueName="1" name="Dia" queryTableFieldId="1" dataDxfId="402"/>
    <tableColumn id="2" xr3:uid="{B1955E47-8E63-4633-B8CF-FF9413541B71}" uniqueName="2" name="Valor usado (BRL)" queryTableFieldId="2" dataDxfId="401" dataCellStyle="Vírgula"/>
    <tableColumn id="3" xr3:uid="{59CB14C0-60D0-40E5-8388-CDAD3B3695B1}" uniqueName="3" name="Alcance" queryTableFieldId="3" dataDxfId="400" dataCellStyle="Vírgul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592F755-AE88-495A-8021-1EC6E8AA5F9F}" name="Tabela_Google" displayName="Tabela_Google" ref="A1:C588" tableType="queryTable" totalsRowShown="0">
  <autoFilter ref="A1:C588" xr:uid="{5592F755-AE88-495A-8021-1EC6E8AA5F9F}"/>
  <sortState xmlns:xlrd2="http://schemas.microsoft.com/office/spreadsheetml/2017/richdata2" ref="A2:C577">
    <sortCondition ref="A1:A568"/>
  </sortState>
  <tableColumns count="3">
    <tableColumn id="1" xr3:uid="{F2EA5BC0-9929-4949-8038-032A3679D824}" uniqueName="1" name="Data" queryTableFieldId="1" dataDxfId="399"/>
    <tableColumn id="2" xr3:uid="{80F747FA-8F00-45F5-909C-2A7344478BE0}" uniqueName="2" name="Usuários" queryTableFieldId="2" dataDxfId="398" dataCellStyle="Vírgula"/>
    <tableColumn id="3" xr3:uid="{66EF5445-89FE-4D41-86ED-663A63675F97}" uniqueName="3" name="Custo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CAAAAC-65E5-4507-8EBB-26AB72ED4B4C}" name="Tabela_Linkedin" displayName="Tabela_Linkedin" ref="A1:B95" tableType="queryTable" totalsRowShown="0">
  <autoFilter ref="A1:B95" xr:uid="{FFCAAAAC-65E5-4507-8EBB-26AB72ED4B4C}"/>
  <tableColumns count="2">
    <tableColumn id="1" xr3:uid="{8079F8D8-3E1B-4DDA-B60A-DD12F0A0572C}" uniqueName="1" name="Data de início (em UTC)" queryTableFieldId="1" dataDxfId="397"/>
    <tableColumn id="2" xr3:uid="{A4A4122B-ADAD-4E57-A133-247F96330D9D}" uniqueName="2" name="Total investido" queryTableFieldId="2" dataDxfId="39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81AA979-1B71-4020-B8B5-8B2D77F4573A}" name="Tabela_Estatísticos_Mensais" displayName="Tabela_Estatísticos_Mensais" ref="A1:H589" tableType="queryTable" totalsRowShown="0">
  <autoFilter ref="A1:H589" xr:uid="{981AA979-1B71-4020-B8B5-8B2D77F4573A}"/>
  <sortState xmlns:xlrd2="http://schemas.microsoft.com/office/spreadsheetml/2017/richdata2" ref="A2:H582">
    <sortCondition ref="A1:A582"/>
  </sortState>
  <tableColumns count="8">
    <tableColumn id="1" xr3:uid="{448523E5-DDC8-43FE-86B6-987E9DE901D1}" uniqueName="1" name="Data" queryTableFieldId="1" dataDxfId="369"/>
    <tableColumn id="2" xr3:uid="{FDA34B9A-3F72-4153-AB0B-60C171BBAE12}" uniqueName="2" name="Receita Bruta" queryTableFieldId="2" dataDxfId="368" dataCellStyle="Moeda"/>
    <tableColumn id="3" xr3:uid="{9A4D4A85-F2FB-494C-A23B-93F82C53172B}" uniqueName="3" name="Receita Líquida" queryTableFieldId="3" dataDxfId="367" dataCellStyle="Moeda"/>
    <tableColumn id="4" xr3:uid="{DC7B7F2E-B381-4961-A9C2-67DD130625B0}" uniqueName="4" name="Frete" queryTableFieldId="4" dataDxfId="366" dataCellStyle="Moeda"/>
    <tableColumn id="6" xr3:uid="{C3DC1F79-76F3-4731-A040-41FE40927239}" uniqueName="6" name="Pedidos" queryTableFieldId="6" dataDxfId="365" dataCellStyle="Moeda"/>
    <tableColumn id="5" xr3:uid="{190B80D8-6268-4D09-8BFA-B7A8AE0CCA19}" uniqueName="5" name="Itens" queryTableFieldId="5" dataDxfId="364" dataCellStyle="Moeda"/>
    <tableColumn id="7" xr3:uid="{D4088DB0-7090-41F5-8F19-3FF1C60B7E80}" uniqueName="7" name="Cupom" queryTableFieldId="7" dataDxfId="363" dataCellStyle="Moeda"/>
    <tableColumn id="8" xr3:uid="{196DD798-DDA8-48AE-8B5A-624B75D60464}" uniqueName="8" name="Reembolsado" queryTableFieldId="8" dataDxfId="362" dataCellStyle="Moeda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" dT="2023-07-20T17:04:33.74" personId="{6694A2DC-5AF4-4F1F-A8AE-F8AF47AC4A1A}" id="{A0F3969F-2921-40FA-BC34-69B937EEDFF4}">
    <text xml:space="preserve">Soma receita bruta aba janeiro
</text>
  </threadedComment>
  <threadedComment ref="E2" dT="2023-07-20T17:05:13.20" personId="{6694A2DC-5AF4-4F1F-A8AE-F8AF47AC4A1A}" id="{5C455165-263F-4788-8D3F-B7518F08D984}">
    <text xml:space="preserve">Soma receita liquida + frete aba janeiro
</text>
  </threadedComment>
  <threadedComment ref="F2" dT="2023-07-20T17:05:55.15" personId="{6694A2DC-5AF4-4F1F-A8AE-F8AF47AC4A1A}" id="{582FE9D5-3D9D-47E1-82AF-DA16AEE7250B}">
    <text>Soma intervalo dias aba janeiro</text>
  </threadedComment>
  <threadedComment ref="G2" dT="2023-07-20T17:06:18.06" personId="{6694A2DC-5AF4-4F1F-A8AE-F8AF47AC4A1A}" id="{49C8D4A0-1F3E-449E-8408-FE5EF1472E0D}">
    <text>Linha receita bruta aba janeiro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hyperlink" Target="https://ads.tiktok.com/i18n/reporting/pivot/table/edit?reportId=7254671041543274497&amp;aadvid=7218164748234293249" TargetMode="External"/><Relationship Id="rId1" Type="http://schemas.openxmlformats.org/officeDocument/2006/relationships/hyperlink" Target="https://ads.tiktok.com/i18n/login/?redirect=https%3A%2F%2Fads.tiktok.com%2Fi18n%2Faccount%2Fpayment%3Faadvid%3D7218164748234293249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1176C-91E1-43FF-B6CB-41FDB4176A54}">
  <dimension ref="A2:C751"/>
  <sheetViews>
    <sheetView workbookViewId="0">
      <selection activeCell="C3" sqref="C3"/>
    </sheetView>
  </sheetViews>
  <sheetFormatPr defaultRowHeight="12.75" x14ac:dyDescent="0.2"/>
  <sheetData>
    <row r="2" spans="1:2" x14ac:dyDescent="0.2">
      <c r="A2" s="121"/>
      <c r="B2" s="120"/>
    </row>
    <row r="3" spans="1:2" x14ac:dyDescent="0.2">
      <c r="A3" s="121"/>
      <c r="B3" s="120"/>
    </row>
    <row r="4" spans="1:2" x14ac:dyDescent="0.2">
      <c r="A4" s="121"/>
      <c r="B4" s="121"/>
    </row>
    <row r="5" spans="1:2" x14ac:dyDescent="0.2">
      <c r="A5" s="121"/>
      <c r="B5" s="121"/>
    </row>
    <row r="6" spans="1:2" x14ac:dyDescent="0.2">
      <c r="A6" s="121"/>
      <c r="B6" s="121"/>
    </row>
    <row r="7" spans="1:2" x14ac:dyDescent="0.2">
      <c r="A7" s="121"/>
      <c r="B7" s="121"/>
    </row>
    <row r="8" spans="1:2" x14ac:dyDescent="0.2">
      <c r="A8" s="121"/>
      <c r="B8" s="121"/>
    </row>
    <row r="9" spans="1:2" x14ac:dyDescent="0.2">
      <c r="A9" s="121"/>
      <c r="B9" s="121"/>
    </row>
    <row r="10" spans="1:2" x14ac:dyDescent="0.2">
      <c r="A10" s="121"/>
      <c r="B10" s="121"/>
    </row>
    <row r="11" spans="1:2" x14ac:dyDescent="0.2">
      <c r="A11" s="121"/>
      <c r="B11" s="121"/>
    </row>
    <row r="12" spans="1:2" x14ac:dyDescent="0.2">
      <c r="A12" s="121"/>
      <c r="B12" s="120"/>
    </row>
    <row r="13" spans="1:2" x14ac:dyDescent="0.2">
      <c r="A13" s="121"/>
      <c r="B13" s="120"/>
    </row>
    <row r="14" spans="1:2" x14ac:dyDescent="0.2">
      <c r="A14" s="121"/>
      <c r="B14" s="121"/>
    </row>
    <row r="15" spans="1:2" x14ac:dyDescent="0.2">
      <c r="A15" s="121"/>
      <c r="B15" s="121"/>
    </row>
    <row r="16" spans="1:2" x14ac:dyDescent="0.2">
      <c r="A16" s="121"/>
      <c r="B16" s="121"/>
    </row>
    <row r="17" spans="1:2" x14ac:dyDescent="0.2">
      <c r="A17" s="121"/>
      <c r="B17" s="121"/>
    </row>
    <row r="18" spans="1:2" x14ac:dyDescent="0.2">
      <c r="A18" s="121"/>
      <c r="B18" s="121"/>
    </row>
    <row r="19" spans="1:2" x14ac:dyDescent="0.2">
      <c r="A19" s="121"/>
      <c r="B19" s="121"/>
    </row>
    <row r="20" spans="1:2" x14ac:dyDescent="0.2">
      <c r="A20" s="121"/>
      <c r="B20" s="121"/>
    </row>
    <row r="21" spans="1:2" x14ac:dyDescent="0.2">
      <c r="A21" s="121"/>
      <c r="B21" s="121"/>
    </row>
    <row r="22" spans="1:2" x14ac:dyDescent="0.2">
      <c r="A22" s="121"/>
      <c r="B22" s="120"/>
    </row>
    <row r="23" spans="1:2" x14ac:dyDescent="0.2">
      <c r="A23" s="121"/>
      <c r="B23" s="120"/>
    </row>
    <row r="24" spans="1:2" x14ac:dyDescent="0.2">
      <c r="A24" s="121"/>
      <c r="B24" s="121"/>
    </row>
    <row r="25" spans="1:2" x14ac:dyDescent="0.2">
      <c r="A25" s="121"/>
      <c r="B25" s="121"/>
    </row>
    <row r="26" spans="1:2" x14ac:dyDescent="0.2">
      <c r="A26" s="121"/>
      <c r="B26" s="121"/>
    </row>
    <row r="27" spans="1:2" x14ac:dyDescent="0.2">
      <c r="A27" s="121"/>
      <c r="B27" s="121"/>
    </row>
    <row r="28" spans="1:2" x14ac:dyDescent="0.2">
      <c r="A28" s="121"/>
      <c r="B28" s="121"/>
    </row>
    <row r="29" spans="1:2" x14ac:dyDescent="0.2">
      <c r="A29" s="121"/>
      <c r="B29" s="121"/>
    </row>
    <row r="30" spans="1:2" x14ac:dyDescent="0.2">
      <c r="A30" s="121"/>
      <c r="B30" s="121"/>
    </row>
    <row r="31" spans="1:2" x14ac:dyDescent="0.2">
      <c r="A31" s="121"/>
      <c r="B31" s="121"/>
    </row>
    <row r="32" spans="1:2" x14ac:dyDescent="0.2">
      <c r="A32" s="121"/>
      <c r="B32" s="120"/>
    </row>
    <row r="33" spans="1:2" x14ac:dyDescent="0.2">
      <c r="A33" s="121"/>
      <c r="B33" s="120"/>
    </row>
    <row r="34" spans="1:2" x14ac:dyDescent="0.2">
      <c r="A34" s="121"/>
      <c r="B34" s="121"/>
    </row>
    <row r="35" spans="1:2" x14ac:dyDescent="0.2">
      <c r="A35" s="121"/>
      <c r="B35" s="121"/>
    </row>
    <row r="36" spans="1:2" x14ac:dyDescent="0.2">
      <c r="A36" s="121"/>
      <c r="B36" s="121"/>
    </row>
    <row r="37" spans="1:2" x14ac:dyDescent="0.2">
      <c r="A37" s="121"/>
      <c r="B37" s="121"/>
    </row>
    <row r="38" spans="1:2" x14ac:dyDescent="0.2">
      <c r="A38" s="121"/>
      <c r="B38" s="121"/>
    </row>
    <row r="39" spans="1:2" x14ac:dyDescent="0.2">
      <c r="A39" s="121"/>
      <c r="B39" s="121"/>
    </row>
    <row r="40" spans="1:2" x14ac:dyDescent="0.2">
      <c r="A40" s="121"/>
      <c r="B40" s="121"/>
    </row>
    <row r="41" spans="1:2" x14ac:dyDescent="0.2">
      <c r="A41" s="121"/>
      <c r="B41" s="121"/>
    </row>
    <row r="42" spans="1:2" x14ac:dyDescent="0.2">
      <c r="A42" s="121"/>
      <c r="B42" s="120"/>
    </row>
    <row r="43" spans="1:2" x14ac:dyDescent="0.2">
      <c r="A43" s="121"/>
      <c r="B43" s="120"/>
    </row>
    <row r="44" spans="1:2" x14ac:dyDescent="0.2">
      <c r="A44" s="121"/>
      <c r="B44" s="121"/>
    </row>
    <row r="45" spans="1:2" x14ac:dyDescent="0.2">
      <c r="A45" s="121"/>
      <c r="B45" s="121"/>
    </row>
    <row r="46" spans="1:2" x14ac:dyDescent="0.2">
      <c r="A46" s="121"/>
      <c r="B46" s="121"/>
    </row>
    <row r="47" spans="1:2" x14ac:dyDescent="0.2">
      <c r="A47" s="121"/>
      <c r="B47" s="121"/>
    </row>
    <row r="48" spans="1:2" x14ac:dyDescent="0.2">
      <c r="A48" s="121"/>
      <c r="B48" s="121"/>
    </row>
    <row r="49" spans="1:2" x14ac:dyDescent="0.2">
      <c r="A49" s="121"/>
      <c r="B49" s="121"/>
    </row>
    <row r="50" spans="1:2" x14ac:dyDescent="0.2">
      <c r="A50" s="121"/>
      <c r="B50" s="121"/>
    </row>
    <row r="51" spans="1:2" x14ac:dyDescent="0.2">
      <c r="A51" s="121"/>
      <c r="B51" s="121"/>
    </row>
    <row r="52" spans="1:2" x14ac:dyDescent="0.2">
      <c r="A52" s="121"/>
      <c r="B52" s="120"/>
    </row>
    <row r="53" spans="1:2" x14ac:dyDescent="0.2">
      <c r="A53" s="121"/>
      <c r="B53" s="120"/>
    </row>
    <row r="54" spans="1:2" x14ac:dyDescent="0.2">
      <c r="A54" s="121"/>
      <c r="B54" s="121"/>
    </row>
    <row r="55" spans="1:2" x14ac:dyDescent="0.2">
      <c r="A55" s="121"/>
      <c r="B55" s="121"/>
    </row>
    <row r="56" spans="1:2" x14ac:dyDescent="0.2">
      <c r="A56" s="121"/>
      <c r="B56" s="121"/>
    </row>
    <row r="57" spans="1:2" x14ac:dyDescent="0.2">
      <c r="A57" s="121"/>
      <c r="B57" s="121"/>
    </row>
    <row r="58" spans="1:2" x14ac:dyDescent="0.2">
      <c r="A58" s="121"/>
      <c r="B58" s="121"/>
    </row>
    <row r="59" spans="1:2" x14ac:dyDescent="0.2">
      <c r="A59" s="121"/>
      <c r="B59" s="121"/>
    </row>
    <row r="60" spans="1:2" x14ac:dyDescent="0.2">
      <c r="A60" s="121"/>
      <c r="B60" s="121"/>
    </row>
    <row r="61" spans="1:2" x14ac:dyDescent="0.2">
      <c r="A61" s="121"/>
      <c r="B61" s="121"/>
    </row>
    <row r="62" spans="1:2" x14ac:dyDescent="0.2">
      <c r="A62" s="121"/>
      <c r="B62" s="120"/>
    </row>
    <row r="63" spans="1:2" x14ac:dyDescent="0.2">
      <c r="A63" s="121"/>
      <c r="B63" s="120"/>
    </row>
    <row r="64" spans="1:2" x14ac:dyDescent="0.2">
      <c r="A64" s="121"/>
      <c r="B64" s="121"/>
    </row>
    <row r="65" spans="1:2" x14ac:dyDescent="0.2">
      <c r="A65" s="121"/>
      <c r="B65" s="121"/>
    </row>
    <row r="66" spans="1:2" x14ac:dyDescent="0.2">
      <c r="A66" s="121"/>
      <c r="B66" s="121"/>
    </row>
    <row r="67" spans="1:2" x14ac:dyDescent="0.2">
      <c r="A67" s="121"/>
      <c r="B67" s="121"/>
    </row>
    <row r="68" spans="1:2" x14ac:dyDescent="0.2">
      <c r="A68" s="121"/>
      <c r="B68" s="121"/>
    </row>
    <row r="69" spans="1:2" x14ac:dyDescent="0.2">
      <c r="A69" s="121"/>
      <c r="B69" s="121"/>
    </row>
    <row r="70" spans="1:2" x14ac:dyDescent="0.2">
      <c r="A70" s="121"/>
      <c r="B70" s="121"/>
    </row>
    <row r="71" spans="1:2" x14ac:dyDescent="0.2">
      <c r="A71" s="121"/>
      <c r="B71" s="121"/>
    </row>
    <row r="72" spans="1:2" x14ac:dyDescent="0.2">
      <c r="A72" s="121"/>
      <c r="B72" s="120"/>
    </row>
    <row r="73" spans="1:2" x14ac:dyDescent="0.2">
      <c r="A73" s="121"/>
      <c r="B73" s="120"/>
    </row>
    <row r="74" spans="1:2" x14ac:dyDescent="0.2">
      <c r="A74" s="121"/>
      <c r="B74" s="121"/>
    </row>
    <row r="75" spans="1:2" x14ac:dyDescent="0.2">
      <c r="A75" s="121"/>
      <c r="B75" s="121"/>
    </row>
    <row r="76" spans="1:2" x14ac:dyDescent="0.2">
      <c r="A76" s="121"/>
      <c r="B76" s="121"/>
    </row>
    <row r="77" spans="1:2" x14ac:dyDescent="0.2">
      <c r="A77" s="121"/>
      <c r="B77" s="121"/>
    </row>
    <row r="78" spans="1:2" x14ac:dyDescent="0.2">
      <c r="A78" s="121"/>
      <c r="B78" s="121"/>
    </row>
    <row r="79" spans="1:2" x14ac:dyDescent="0.2">
      <c r="A79" s="121"/>
      <c r="B79" s="121"/>
    </row>
    <row r="80" spans="1:2" x14ac:dyDescent="0.2">
      <c r="A80" s="121"/>
      <c r="B80" s="121"/>
    </row>
    <row r="81" spans="1:2" x14ac:dyDescent="0.2">
      <c r="A81" s="121"/>
      <c r="B81" s="121"/>
    </row>
    <row r="82" spans="1:2" x14ac:dyDescent="0.2">
      <c r="A82" s="121"/>
      <c r="B82" s="120"/>
    </row>
    <row r="83" spans="1:2" x14ac:dyDescent="0.2">
      <c r="A83" s="121"/>
      <c r="B83" s="120"/>
    </row>
    <row r="84" spans="1:2" x14ac:dyDescent="0.2">
      <c r="A84" s="121"/>
      <c r="B84" s="121"/>
    </row>
    <row r="85" spans="1:2" x14ac:dyDescent="0.2">
      <c r="A85" s="121"/>
      <c r="B85" s="121"/>
    </row>
    <row r="86" spans="1:2" x14ac:dyDescent="0.2">
      <c r="A86" s="121"/>
      <c r="B86" s="121"/>
    </row>
    <row r="87" spans="1:2" x14ac:dyDescent="0.2">
      <c r="A87" s="121"/>
      <c r="B87" s="121"/>
    </row>
    <row r="88" spans="1:2" x14ac:dyDescent="0.2">
      <c r="A88" s="121"/>
      <c r="B88" s="121"/>
    </row>
    <row r="89" spans="1:2" x14ac:dyDescent="0.2">
      <c r="A89" s="121"/>
      <c r="B89" s="121"/>
    </row>
    <row r="90" spans="1:2" x14ac:dyDescent="0.2">
      <c r="A90" s="121"/>
      <c r="B90" s="121"/>
    </row>
    <row r="91" spans="1:2" x14ac:dyDescent="0.2">
      <c r="A91" s="121"/>
      <c r="B91" s="121"/>
    </row>
    <row r="92" spans="1:2" x14ac:dyDescent="0.2">
      <c r="A92" s="121"/>
      <c r="B92" s="120"/>
    </row>
    <row r="93" spans="1:2" x14ac:dyDescent="0.2">
      <c r="A93" s="121"/>
      <c r="B93" s="120"/>
    </row>
    <row r="94" spans="1:2" x14ac:dyDescent="0.2">
      <c r="A94" s="121"/>
      <c r="B94" s="121"/>
    </row>
    <row r="95" spans="1:2" x14ac:dyDescent="0.2">
      <c r="A95" s="121"/>
      <c r="B95" s="121"/>
    </row>
    <row r="96" spans="1:2" x14ac:dyDescent="0.2">
      <c r="A96" s="121"/>
      <c r="B96" s="121"/>
    </row>
    <row r="97" spans="1:2" x14ac:dyDescent="0.2">
      <c r="A97" s="121"/>
      <c r="B97" s="121"/>
    </row>
    <row r="98" spans="1:2" x14ac:dyDescent="0.2">
      <c r="A98" s="121"/>
      <c r="B98" s="121"/>
    </row>
    <row r="99" spans="1:2" x14ac:dyDescent="0.2">
      <c r="A99" s="121"/>
      <c r="B99" s="121"/>
    </row>
    <row r="100" spans="1:2" x14ac:dyDescent="0.2">
      <c r="A100" s="121"/>
      <c r="B100" s="121"/>
    </row>
    <row r="101" spans="1:2" x14ac:dyDescent="0.2">
      <c r="A101" s="121"/>
      <c r="B101" s="121"/>
    </row>
    <row r="102" spans="1:2" x14ac:dyDescent="0.2">
      <c r="A102" s="121"/>
      <c r="B102" s="120"/>
    </row>
    <row r="103" spans="1:2" x14ac:dyDescent="0.2">
      <c r="A103" s="121"/>
      <c r="B103" s="120"/>
    </row>
    <row r="104" spans="1:2" x14ac:dyDescent="0.2">
      <c r="A104" s="121"/>
      <c r="B104" s="121"/>
    </row>
    <row r="105" spans="1:2" x14ac:dyDescent="0.2">
      <c r="A105" s="121"/>
      <c r="B105" s="121"/>
    </row>
    <row r="106" spans="1:2" x14ac:dyDescent="0.2">
      <c r="A106" s="121"/>
      <c r="B106" s="121"/>
    </row>
    <row r="107" spans="1:2" x14ac:dyDescent="0.2">
      <c r="A107" s="121"/>
      <c r="B107" s="121"/>
    </row>
    <row r="108" spans="1:2" x14ac:dyDescent="0.2">
      <c r="A108" s="121"/>
      <c r="B108" s="121"/>
    </row>
    <row r="109" spans="1:2" x14ac:dyDescent="0.2">
      <c r="A109" s="121"/>
      <c r="B109" s="121"/>
    </row>
    <row r="110" spans="1:2" x14ac:dyDescent="0.2">
      <c r="A110" s="121"/>
      <c r="B110" s="121"/>
    </row>
    <row r="111" spans="1:2" x14ac:dyDescent="0.2">
      <c r="A111" s="121"/>
      <c r="B111" s="121"/>
    </row>
    <row r="112" spans="1:2" x14ac:dyDescent="0.2">
      <c r="A112" s="121"/>
      <c r="B112" s="120"/>
    </row>
    <row r="113" spans="1:3" x14ac:dyDescent="0.2">
      <c r="A113" s="121"/>
      <c r="B113" s="120"/>
    </row>
    <row r="114" spans="1:3" x14ac:dyDescent="0.2">
      <c r="A114" s="121"/>
      <c r="B114" s="121"/>
    </row>
    <row r="115" spans="1:3" x14ac:dyDescent="0.2">
      <c r="A115" s="121"/>
      <c r="B115" s="121"/>
    </row>
    <row r="116" spans="1:3" x14ac:dyDescent="0.2">
      <c r="A116" s="121"/>
      <c r="B116" s="121"/>
    </row>
    <row r="117" spans="1:3" x14ac:dyDescent="0.2">
      <c r="A117" s="121"/>
      <c r="B117" s="121"/>
    </row>
    <row r="118" spans="1:3" x14ac:dyDescent="0.2">
      <c r="A118" s="121"/>
      <c r="B118" s="121"/>
    </row>
    <row r="119" spans="1:3" x14ac:dyDescent="0.2">
      <c r="A119" s="121"/>
      <c r="B119" s="121"/>
    </row>
    <row r="120" spans="1:3" x14ac:dyDescent="0.2">
      <c r="B120" s="121"/>
    </row>
    <row r="121" spans="1:3" x14ac:dyDescent="0.2">
      <c r="B121" s="121"/>
      <c r="C121" s="121"/>
    </row>
    <row r="122" spans="1:3" x14ac:dyDescent="0.2">
      <c r="B122" s="121"/>
    </row>
    <row r="123" spans="1:3" x14ac:dyDescent="0.2">
      <c r="B123" s="120"/>
    </row>
    <row r="124" spans="1:3" x14ac:dyDescent="0.2">
      <c r="B124" s="120"/>
    </row>
    <row r="125" spans="1:3" x14ac:dyDescent="0.2">
      <c r="B125" s="121"/>
    </row>
    <row r="126" spans="1:3" x14ac:dyDescent="0.2">
      <c r="B126" s="121"/>
    </row>
    <row r="127" spans="1:3" x14ac:dyDescent="0.2">
      <c r="B127" s="121"/>
    </row>
    <row r="128" spans="1:3" x14ac:dyDescent="0.2">
      <c r="B128" s="121"/>
    </row>
    <row r="129" spans="2:2" x14ac:dyDescent="0.2">
      <c r="B129" s="121"/>
    </row>
    <row r="130" spans="2:2" x14ac:dyDescent="0.2">
      <c r="B130" s="121"/>
    </row>
    <row r="131" spans="2:2" x14ac:dyDescent="0.2">
      <c r="B131" s="121"/>
    </row>
    <row r="132" spans="2:2" x14ac:dyDescent="0.2">
      <c r="B132" s="121"/>
    </row>
    <row r="133" spans="2:2" x14ac:dyDescent="0.2">
      <c r="B133" s="120"/>
    </row>
    <row r="134" spans="2:2" x14ac:dyDescent="0.2">
      <c r="B134" s="120"/>
    </row>
    <row r="135" spans="2:2" x14ac:dyDescent="0.2">
      <c r="B135" s="121"/>
    </row>
    <row r="136" spans="2:2" x14ac:dyDescent="0.2">
      <c r="B136" s="121"/>
    </row>
    <row r="137" spans="2:2" x14ac:dyDescent="0.2">
      <c r="B137" s="121"/>
    </row>
    <row r="138" spans="2:2" x14ac:dyDescent="0.2">
      <c r="B138" s="121"/>
    </row>
    <row r="139" spans="2:2" x14ac:dyDescent="0.2">
      <c r="B139" s="121"/>
    </row>
    <row r="140" spans="2:2" x14ac:dyDescent="0.2">
      <c r="B140" s="121"/>
    </row>
    <row r="141" spans="2:2" x14ac:dyDescent="0.2">
      <c r="B141" s="121"/>
    </row>
    <row r="142" spans="2:2" x14ac:dyDescent="0.2">
      <c r="B142" s="121"/>
    </row>
    <row r="143" spans="2:2" x14ac:dyDescent="0.2">
      <c r="B143" s="120"/>
    </row>
    <row r="144" spans="2:2" x14ac:dyDescent="0.2">
      <c r="B144" s="120"/>
    </row>
    <row r="145" spans="2:2" x14ac:dyDescent="0.2">
      <c r="B145" s="121"/>
    </row>
    <row r="146" spans="2:2" x14ac:dyDescent="0.2">
      <c r="B146" s="121"/>
    </row>
    <row r="147" spans="2:2" x14ac:dyDescent="0.2">
      <c r="B147" s="121"/>
    </row>
    <row r="148" spans="2:2" x14ac:dyDescent="0.2">
      <c r="B148" s="121"/>
    </row>
    <row r="149" spans="2:2" x14ac:dyDescent="0.2">
      <c r="B149" s="121"/>
    </row>
    <row r="150" spans="2:2" x14ac:dyDescent="0.2">
      <c r="B150" s="121"/>
    </row>
    <row r="151" spans="2:2" x14ac:dyDescent="0.2">
      <c r="B151" s="121"/>
    </row>
    <row r="152" spans="2:2" x14ac:dyDescent="0.2">
      <c r="B152" s="121"/>
    </row>
    <row r="153" spans="2:2" x14ac:dyDescent="0.2">
      <c r="B153" s="120"/>
    </row>
    <row r="154" spans="2:2" x14ac:dyDescent="0.2">
      <c r="B154" s="120"/>
    </row>
    <row r="155" spans="2:2" x14ac:dyDescent="0.2">
      <c r="B155" s="121"/>
    </row>
    <row r="156" spans="2:2" x14ac:dyDescent="0.2">
      <c r="B156" s="121"/>
    </row>
    <row r="157" spans="2:2" x14ac:dyDescent="0.2">
      <c r="B157" s="121"/>
    </row>
    <row r="158" spans="2:2" x14ac:dyDescent="0.2">
      <c r="B158" s="121"/>
    </row>
    <row r="159" spans="2:2" x14ac:dyDescent="0.2">
      <c r="B159" s="121"/>
    </row>
    <row r="160" spans="2:2" x14ac:dyDescent="0.2">
      <c r="B160" s="121"/>
    </row>
    <row r="161" spans="2:2" x14ac:dyDescent="0.2">
      <c r="B161" s="121"/>
    </row>
    <row r="162" spans="2:2" x14ac:dyDescent="0.2">
      <c r="B162" s="121"/>
    </row>
    <row r="163" spans="2:2" x14ac:dyDescent="0.2">
      <c r="B163" s="120"/>
    </row>
    <row r="164" spans="2:2" x14ac:dyDescent="0.2">
      <c r="B164" s="120"/>
    </row>
    <row r="165" spans="2:2" x14ac:dyDescent="0.2">
      <c r="B165" s="121"/>
    </row>
    <row r="166" spans="2:2" x14ac:dyDescent="0.2">
      <c r="B166" s="121"/>
    </row>
    <row r="167" spans="2:2" x14ac:dyDescent="0.2">
      <c r="B167" s="121"/>
    </row>
    <row r="168" spans="2:2" x14ac:dyDescent="0.2">
      <c r="B168" s="121"/>
    </row>
    <row r="169" spans="2:2" x14ac:dyDescent="0.2">
      <c r="B169" s="121"/>
    </row>
    <row r="170" spans="2:2" x14ac:dyDescent="0.2">
      <c r="B170" s="121"/>
    </row>
    <row r="171" spans="2:2" x14ac:dyDescent="0.2">
      <c r="B171" s="121"/>
    </row>
    <row r="172" spans="2:2" x14ac:dyDescent="0.2">
      <c r="B172" s="121"/>
    </row>
    <row r="173" spans="2:2" x14ac:dyDescent="0.2">
      <c r="B173" s="120"/>
    </row>
    <row r="174" spans="2:2" x14ac:dyDescent="0.2">
      <c r="B174" s="120"/>
    </row>
    <row r="175" spans="2:2" x14ac:dyDescent="0.2">
      <c r="B175" s="121"/>
    </row>
    <row r="176" spans="2:2" x14ac:dyDescent="0.2">
      <c r="B176" s="121"/>
    </row>
    <row r="177" spans="2:2" x14ac:dyDescent="0.2">
      <c r="B177" s="121"/>
    </row>
    <row r="178" spans="2:2" x14ac:dyDescent="0.2">
      <c r="B178" s="121"/>
    </row>
    <row r="179" spans="2:2" x14ac:dyDescent="0.2">
      <c r="B179" s="121"/>
    </row>
    <row r="180" spans="2:2" x14ac:dyDescent="0.2">
      <c r="B180" s="121"/>
    </row>
    <row r="181" spans="2:2" x14ac:dyDescent="0.2">
      <c r="B181" s="121"/>
    </row>
    <row r="182" spans="2:2" x14ac:dyDescent="0.2">
      <c r="B182" s="121"/>
    </row>
    <row r="183" spans="2:2" x14ac:dyDescent="0.2">
      <c r="B183" s="120"/>
    </row>
    <row r="184" spans="2:2" x14ac:dyDescent="0.2">
      <c r="B184" s="120"/>
    </row>
    <row r="185" spans="2:2" x14ac:dyDescent="0.2">
      <c r="B185" s="121"/>
    </row>
    <row r="186" spans="2:2" x14ac:dyDescent="0.2">
      <c r="B186" s="121"/>
    </row>
    <row r="187" spans="2:2" x14ac:dyDescent="0.2">
      <c r="B187" s="121"/>
    </row>
    <row r="188" spans="2:2" x14ac:dyDescent="0.2">
      <c r="B188" s="121"/>
    </row>
    <row r="189" spans="2:2" x14ac:dyDescent="0.2">
      <c r="B189" s="121"/>
    </row>
    <row r="190" spans="2:2" x14ac:dyDescent="0.2">
      <c r="B190" s="121"/>
    </row>
    <row r="191" spans="2:2" x14ac:dyDescent="0.2">
      <c r="B191" s="121"/>
    </row>
    <row r="192" spans="2:2" x14ac:dyDescent="0.2">
      <c r="B192" s="121"/>
    </row>
    <row r="193" spans="2:2" x14ac:dyDescent="0.2">
      <c r="B193" s="120"/>
    </row>
    <row r="194" spans="2:2" x14ac:dyDescent="0.2">
      <c r="B194" s="120"/>
    </row>
    <row r="195" spans="2:2" x14ac:dyDescent="0.2">
      <c r="B195" s="121"/>
    </row>
    <row r="196" spans="2:2" x14ac:dyDescent="0.2">
      <c r="B196" s="121"/>
    </row>
    <row r="197" spans="2:2" x14ac:dyDescent="0.2">
      <c r="B197" s="121"/>
    </row>
    <row r="198" spans="2:2" x14ac:dyDescent="0.2">
      <c r="B198" s="121"/>
    </row>
    <row r="199" spans="2:2" x14ac:dyDescent="0.2">
      <c r="B199" s="121"/>
    </row>
    <row r="200" spans="2:2" x14ac:dyDescent="0.2">
      <c r="B200" s="121"/>
    </row>
    <row r="201" spans="2:2" x14ac:dyDescent="0.2">
      <c r="B201" s="121"/>
    </row>
    <row r="202" spans="2:2" x14ac:dyDescent="0.2">
      <c r="B202" s="121"/>
    </row>
    <row r="203" spans="2:2" x14ac:dyDescent="0.2">
      <c r="B203" s="120"/>
    </row>
    <row r="204" spans="2:2" x14ac:dyDescent="0.2">
      <c r="B204" s="120"/>
    </row>
    <row r="205" spans="2:2" x14ac:dyDescent="0.2">
      <c r="B205" s="121"/>
    </row>
    <row r="206" spans="2:2" x14ac:dyDescent="0.2">
      <c r="B206" s="121"/>
    </row>
    <row r="207" spans="2:2" x14ac:dyDescent="0.2">
      <c r="B207" s="121"/>
    </row>
    <row r="208" spans="2:2" x14ac:dyDescent="0.2">
      <c r="B208" s="121"/>
    </row>
    <row r="209" spans="2:2" x14ac:dyDescent="0.2">
      <c r="B209" s="121"/>
    </row>
    <row r="210" spans="2:2" x14ac:dyDescent="0.2">
      <c r="B210" s="121"/>
    </row>
    <row r="211" spans="2:2" x14ac:dyDescent="0.2">
      <c r="B211" s="121"/>
    </row>
    <row r="212" spans="2:2" x14ac:dyDescent="0.2">
      <c r="B212" s="121"/>
    </row>
    <row r="213" spans="2:2" x14ac:dyDescent="0.2">
      <c r="B213" s="120"/>
    </row>
    <row r="214" spans="2:2" x14ac:dyDescent="0.2">
      <c r="B214" s="120"/>
    </row>
    <row r="215" spans="2:2" x14ac:dyDescent="0.2">
      <c r="B215" s="121"/>
    </row>
    <row r="216" spans="2:2" x14ac:dyDescent="0.2">
      <c r="B216" s="121"/>
    </row>
    <row r="217" spans="2:2" x14ac:dyDescent="0.2">
      <c r="B217" s="121"/>
    </row>
    <row r="218" spans="2:2" x14ac:dyDescent="0.2">
      <c r="B218" s="121"/>
    </row>
    <row r="219" spans="2:2" x14ac:dyDescent="0.2">
      <c r="B219" s="121"/>
    </row>
    <row r="220" spans="2:2" x14ac:dyDescent="0.2">
      <c r="B220" s="121"/>
    </row>
    <row r="221" spans="2:2" x14ac:dyDescent="0.2">
      <c r="B221" s="121"/>
    </row>
    <row r="222" spans="2:2" x14ac:dyDescent="0.2">
      <c r="B222" s="121"/>
    </row>
    <row r="223" spans="2:2" x14ac:dyDescent="0.2">
      <c r="B223" s="120"/>
    </row>
    <row r="224" spans="2:2" x14ac:dyDescent="0.2">
      <c r="B224" s="120"/>
    </row>
    <row r="225" spans="2:2" x14ac:dyDescent="0.2">
      <c r="B225" s="121"/>
    </row>
    <row r="226" spans="2:2" x14ac:dyDescent="0.2">
      <c r="B226" s="121"/>
    </row>
    <row r="227" spans="2:2" x14ac:dyDescent="0.2">
      <c r="B227" s="121"/>
    </row>
    <row r="228" spans="2:2" x14ac:dyDescent="0.2">
      <c r="B228" s="121"/>
    </row>
    <row r="229" spans="2:2" x14ac:dyDescent="0.2">
      <c r="B229" s="121"/>
    </row>
    <row r="230" spans="2:2" x14ac:dyDescent="0.2">
      <c r="B230" s="121"/>
    </row>
    <row r="231" spans="2:2" x14ac:dyDescent="0.2">
      <c r="B231" s="121"/>
    </row>
    <row r="232" spans="2:2" x14ac:dyDescent="0.2">
      <c r="B232" s="121"/>
    </row>
    <row r="233" spans="2:2" x14ac:dyDescent="0.2">
      <c r="B233" s="120"/>
    </row>
    <row r="234" spans="2:2" x14ac:dyDescent="0.2">
      <c r="B234" s="120"/>
    </row>
    <row r="235" spans="2:2" x14ac:dyDescent="0.2">
      <c r="B235" s="121"/>
    </row>
    <row r="236" spans="2:2" x14ac:dyDescent="0.2">
      <c r="B236" s="121"/>
    </row>
    <row r="237" spans="2:2" x14ac:dyDescent="0.2">
      <c r="B237" s="121"/>
    </row>
    <row r="238" spans="2:2" x14ac:dyDescent="0.2">
      <c r="B238" s="121"/>
    </row>
    <row r="239" spans="2:2" x14ac:dyDescent="0.2">
      <c r="B239" s="121"/>
    </row>
    <row r="240" spans="2:2" x14ac:dyDescent="0.2">
      <c r="B240" s="121"/>
    </row>
    <row r="241" spans="2:2" x14ac:dyDescent="0.2">
      <c r="B241" s="121"/>
    </row>
    <row r="242" spans="2:2" x14ac:dyDescent="0.2">
      <c r="B242" s="121"/>
    </row>
    <row r="243" spans="2:2" x14ac:dyDescent="0.2">
      <c r="B243" s="121"/>
    </row>
    <row r="244" spans="2:2" x14ac:dyDescent="0.2">
      <c r="B244" s="121"/>
    </row>
    <row r="245" spans="2:2" x14ac:dyDescent="0.2">
      <c r="B245" s="120"/>
    </row>
    <row r="246" spans="2:2" x14ac:dyDescent="0.2">
      <c r="B246" s="120"/>
    </row>
    <row r="247" spans="2:2" x14ac:dyDescent="0.2">
      <c r="B247" s="121"/>
    </row>
    <row r="248" spans="2:2" x14ac:dyDescent="0.2">
      <c r="B248" s="121"/>
    </row>
    <row r="249" spans="2:2" x14ac:dyDescent="0.2">
      <c r="B249" s="121"/>
    </row>
    <row r="250" spans="2:2" x14ac:dyDescent="0.2">
      <c r="B250" s="121"/>
    </row>
    <row r="251" spans="2:2" x14ac:dyDescent="0.2">
      <c r="B251" s="121"/>
    </row>
    <row r="252" spans="2:2" x14ac:dyDescent="0.2">
      <c r="B252" s="121"/>
    </row>
    <row r="253" spans="2:2" x14ac:dyDescent="0.2">
      <c r="B253" s="121"/>
    </row>
    <row r="254" spans="2:2" x14ac:dyDescent="0.2">
      <c r="B254" s="121"/>
    </row>
    <row r="255" spans="2:2" x14ac:dyDescent="0.2">
      <c r="B255" s="120"/>
    </row>
    <row r="256" spans="2:2" x14ac:dyDescent="0.2">
      <c r="B256" s="120"/>
    </row>
    <row r="257" spans="2:2" x14ac:dyDescent="0.2">
      <c r="B257" s="121"/>
    </row>
    <row r="258" spans="2:2" x14ac:dyDescent="0.2">
      <c r="B258" s="121"/>
    </row>
    <row r="259" spans="2:2" x14ac:dyDescent="0.2">
      <c r="B259" s="121"/>
    </row>
    <row r="260" spans="2:2" x14ac:dyDescent="0.2">
      <c r="B260" s="121"/>
    </row>
    <row r="261" spans="2:2" x14ac:dyDescent="0.2">
      <c r="B261" s="121"/>
    </row>
    <row r="262" spans="2:2" x14ac:dyDescent="0.2">
      <c r="B262" s="121"/>
    </row>
    <row r="263" spans="2:2" x14ac:dyDescent="0.2">
      <c r="B263" s="121"/>
    </row>
    <row r="264" spans="2:2" x14ac:dyDescent="0.2">
      <c r="B264" s="121"/>
    </row>
    <row r="265" spans="2:2" x14ac:dyDescent="0.2">
      <c r="B265" s="120"/>
    </row>
    <row r="266" spans="2:2" x14ac:dyDescent="0.2">
      <c r="B266" s="120"/>
    </row>
    <row r="267" spans="2:2" x14ac:dyDescent="0.2">
      <c r="B267" s="121"/>
    </row>
    <row r="268" spans="2:2" x14ac:dyDescent="0.2">
      <c r="B268" s="121"/>
    </row>
    <row r="269" spans="2:2" x14ac:dyDescent="0.2">
      <c r="B269" s="121"/>
    </row>
    <row r="270" spans="2:2" x14ac:dyDescent="0.2">
      <c r="B270" s="121"/>
    </row>
    <row r="271" spans="2:2" x14ac:dyDescent="0.2">
      <c r="B271" s="121"/>
    </row>
    <row r="272" spans="2:2" x14ac:dyDescent="0.2">
      <c r="B272" s="121"/>
    </row>
    <row r="273" spans="2:2" x14ac:dyDescent="0.2">
      <c r="B273" s="121"/>
    </row>
    <row r="274" spans="2:2" x14ac:dyDescent="0.2">
      <c r="B274" s="121"/>
    </row>
    <row r="275" spans="2:2" x14ac:dyDescent="0.2">
      <c r="B275" s="120"/>
    </row>
    <row r="276" spans="2:2" x14ac:dyDescent="0.2">
      <c r="B276" s="120"/>
    </row>
    <row r="277" spans="2:2" x14ac:dyDescent="0.2">
      <c r="B277" s="121"/>
    </row>
    <row r="278" spans="2:2" x14ac:dyDescent="0.2">
      <c r="B278" s="121"/>
    </row>
    <row r="279" spans="2:2" x14ac:dyDescent="0.2">
      <c r="B279" s="121"/>
    </row>
    <row r="280" spans="2:2" x14ac:dyDescent="0.2">
      <c r="B280" s="121"/>
    </row>
    <row r="281" spans="2:2" x14ac:dyDescent="0.2">
      <c r="B281" s="121"/>
    </row>
    <row r="282" spans="2:2" x14ac:dyDescent="0.2">
      <c r="B282" s="121"/>
    </row>
    <row r="283" spans="2:2" x14ac:dyDescent="0.2">
      <c r="B283" s="121"/>
    </row>
    <row r="284" spans="2:2" x14ac:dyDescent="0.2">
      <c r="B284" s="121"/>
    </row>
    <row r="285" spans="2:2" x14ac:dyDescent="0.2">
      <c r="B285" s="120"/>
    </row>
    <row r="286" spans="2:2" x14ac:dyDescent="0.2">
      <c r="B286" s="120"/>
    </row>
    <row r="287" spans="2:2" x14ac:dyDescent="0.2">
      <c r="B287" s="121"/>
    </row>
    <row r="288" spans="2:2" x14ac:dyDescent="0.2">
      <c r="B288" s="121"/>
    </row>
    <row r="289" spans="2:2" x14ac:dyDescent="0.2">
      <c r="B289" s="121"/>
    </row>
    <row r="290" spans="2:2" x14ac:dyDescent="0.2">
      <c r="B290" s="121"/>
    </row>
    <row r="291" spans="2:2" x14ac:dyDescent="0.2">
      <c r="B291" s="121"/>
    </row>
    <row r="292" spans="2:2" x14ac:dyDescent="0.2">
      <c r="B292" s="121"/>
    </row>
    <row r="293" spans="2:2" x14ac:dyDescent="0.2">
      <c r="B293" s="121"/>
    </row>
    <row r="294" spans="2:2" x14ac:dyDescent="0.2">
      <c r="B294" s="121"/>
    </row>
    <row r="295" spans="2:2" x14ac:dyDescent="0.2">
      <c r="B295" s="120"/>
    </row>
    <row r="296" spans="2:2" x14ac:dyDescent="0.2">
      <c r="B296" s="120"/>
    </row>
    <row r="297" spans="2:2" x14ac:dyDescent="0.2">
      <c r="B297" s="121"/>
    </row>
    <row r="298" spans="2:2" x14ac:dyDescent="0.2">
      <c r="B298" s="121"/>
    </row>
    <row r="299" spans="2:2" x14ac:dyDescent="0.2">
      <c r="B299" s="121"/>
    </row>
    <row r="300" spans="2:2" x14ac:dyDescent="0.2">
      <c r="B300" s="121"/>
    </row>
    <row r="301" spans="2:2" x14ac:dyDescent="0.2">
      <c r="B301" s="121"/>
    </row>
    <row r="302" spans="2:2" x14ac:dyDescent="0.2">
      <c r="B302" s="121"/>
    </row>
    <row r="303" spans="2:2" x14ac:dyDescent="0.2">
      <c r="B303" s="121"/>
    </row>
    <row r="304" spans="2:2" x14ac:dyDescent="0.2">
      <c r="B304" s="121"/>
    </row>
    <row r="305" spans="2:2" x14ac:dyDescent="0.2">
      <c r="B305" s="120"/>
    </row>
    <row r="306" spans="2:2" x14ac:dyDescent="0.2">
      <c r="B306" s="120"/>
    </row>
    <row r="307" spans="2:2" x14ac:dyDescent="0.2">
      <c r="B307" s="121"/>
    </row>
    <row r="308" spans="2:2" x14ac:dyDescent="0.2">
      <c r="B308" s="121"/>
    </row>
    <row r="309" spans="2:2" x14ac:dyDescent="0.2">
      <c r="B309" s="121"/>
    </row>
    <row r="310" spans="2:2" x14ac:dyDescent="0.2">
      <c r="B310" s="121"/>
    </row>
    <row r="311" spans="2:2" x14ac:dyDescent="0.2">
      <c r="B311" s="121"/>
    </row>
    <row r="312" spans="2:2" x14ac:dyDescent="0.2">
      <c r="B312" s="121"/>
    </row>
    <row r="313" spans="2:2" x14ac:dyDescent="0.2">
      <c r="B313" s="121"/>
    </row>
    <row r="314" spans="2:2" x14ac:dyDescent="0.2">
      <c r="B314" s="121"/>
    </row>
    <row r="315" spans="2:2" x14ac:dyDescent="0.2">
      <c r="B315" s="120"/>
    </row>
    <row r="316" spans="2:2" x14ac:dyDescent="0.2">
      <c r="B316" s="120"/>
    </row>
    <row r="317" spans="2:2" x14ac:dyDescent="0.2">
      <c r="B317" s="121"/>
    </row>
    <row r="318" spans="2:2" x14ac:dyDescent="0.2">
      <c r="B318" s="121"/>
    </row>
    <row r="319" spans="2:2" x14ac:dyDescent="0.2">
      <c r="B319" s="121"/>
    </row>
    <row r="320" spans="2:2" x14ac:dyDescent="0.2">
      <c r="B320" s="121"/>
    </row>
    <row r="321" spans="2:2" x14ac:dyDescent="0.2">
      <c r="B321" s="121"/>
    </row>
    <row r="322" spans="2:2" x14ac:dyDescent="0.2">
      <c r="B322" s="121"/>
    </row>
    <row r="323" spans="2:2" x14ac:dyDescent="0.2">
      <c r="B323" s="121"/>
    </row>
    <row r="324" spans="2:2" x14ac:dyDescent="0.2">
      <c r="B324" s="121"/>
    </row>
    <row r="325" spans="2:2" x14ac:dyDescent="0.2">
      <c r="B325" s="120"/>
    </row>
    <row r="326" spans="2:2" x14ac:dyDescent="0.2">
      <c r="B326" s="120"/>
    </row>
    <row r="327" spans="2:2" x14ac:dyDescent="0.2">
      <c r="B327" s="121"/>
    </row>
    <row r="328" spans="2:2" x14ac:dyDescent="0.2">
      <c r="B328" s="121"/>
    </row>
    <row r="329" spans="2:2" x14ac:dyDescent="0.2">
      <c r="B329" s="121"/>
    </row>
    <row r="330" spans="2:2" x14ac:dyDescent="0.2">
      <c r="B330" s="121"/>
    </row>
    <row r="331" spans="2:2" x14ac:dyDescent="0.2">
      <c r="B331" s="121"/>
    </row>
    <row r="332" spans="2:2" x14ac:dyDescent="0.2">
      <c r="B332" s="121"/>
    </row>
    <row r="333" spans="2:2" x14ac:dyDescent="0.2">
      <c r="B333" s="121"/>
    </row>
    <row r="334" spans="2:2" x14ac:dyDescent="0.2">
      <c r="B334" s="121"/>
    </row>
    <row r="335" spans="2:2" x14ac:dyDescent="0.2">
      <c r="B335" s="120"/>
    </row>
    <row r="336" spans="2:2" x14ac:dyDescent="0.2">
      <c r="B336" s="120"/>
    </row>
    <row r="337" spans="2:2" x14ac:dyDescent="0.2">
      <c r="B337" s="121"/>
    </row>
    <row r="338" spans="2:2" x14ac:dyDescent="0.2">
      <c r="B338" s="121"/>
    </row>
    <row r="339" spans="2:2" x14ac:dyDescent="0.2">
      <c r="B339" s="121"/>
    </row>
    <row r="340" spans="2:2" x14ac:dyDescent="0.2">
      <c r="B340" s="121"/>
    </row>
    <row r="341" spans="2:2" x14ac:dyDescent="0.2">
      <c r="B341" s="121"/>
    </row>
    <row r="342" spans="2:2" x14ac:dyDescent="0.2">
      <c r="B342" s="121"/>
    </row>
    <row r="343" spans="2:2" x14ac:dyDescent="0.2">
      <c r="B343" s="121"/>
    </row>
    <row r="344" spans="2:2" x14ac:dyDescent="0.2">
      <c r="B344" s="121"/>
    </row>
    <row r="345" spans="2:2" x14ac:dyDescent="0.2">
      <c r="B345" s="120"/>
    </row>
    <row r="346" spans="2:2" x14ac:dyDescent="0.2">
      <c r="B346" s="120"/>
    </row>
    <row r="347" spans="2:2" x14ac:dyDescent="0.2">
      <c r="B347" s="121"/>
    </row>
    <row r="348" spans="2:2" x14ac:dyDescent="0.2">
      <c r="B348" s="121"/>
    </row>
    <row r="349" spans="2:2" x14ac:dyDescent="0.2">
      <c r="B349" s="121"/>
    </row>
    <row r="350" spans="2:2" x14ac:dyDescent="0.2">
      <c r="B350" s="121"/>
    </row>
    <row r="351" spans="2:2" x14ac:dyDescent="0.2">
      <c r="B351" s="121"/>
    </row>
    <row r="352" spans="2:2" x14ac:dyDescent="0.2">
      <c r="B352" s="121"/>
    </row>
    <row r="353" spans="1:2" x14ac:dyDescent="0.2">
      <c r="B353" s="121"/>
    </row>
    <row r="354" spans="1:2" x14ac:dyDescent="0.2">
      <c r="B354" s="121"/>
    </row>
    <row r="355" spans="1:2" x14ac:dyDescent="0.2">
      <c r="B355" s="120"/>
    </row>
    <row r="356" spans="1:2" x14ac:dyDescent="0.2">
      <c r="B356" s="120"/>
    </row>
    <row r="357" spans="1:2" x14ac:dyDescent="0.2">
      <c r="B357" s="121"/>
    </row>
    <row r="358" spans="1:2" x14ac:dyDescent="0.2">
      <c r="B358" s="121"/>
    </row>
    <row r="359" spans="1:2" x14ac:dyDescent="0.2">
      <c r="B359" s="121"/>
    </row>
    <row r="360" spans="1:2" x14ac:dyDescent="0.2">
      <c r="B360" s="121"/>
    </row>
    <row r="361" spans="1:2" x14ac:dyDescent="0.2">
      <c r="B361" s="121"/>
    </row>
    <row r="362" spans="1:2" x14ac:dyDescent="0.2">
      <c r="B362" s="121"/>
    </row>
    <row r="363" spans="1:2" x14ac:dyDescent="0.2">
      <c r="B363" s="121"/>
    </row>
    <row r="364" spans="1:2" x14ac:dyDescent="0.2">
      <c r="A364" s="121"/>
      <c r="B364" s="121"/>
    </row>
    <row r="365" spans="1:2" x14ac:dyDescent="0.2">
      <c r="A365" s="121"/>
      <c r="B365" s="121"/>
    </row>
    <row r="366" spans="1:2" x14ac:dyDescent="0.2">
      <c r="A366" s="121"/>
      <c r="B366" s="121"/>
    </row>
    <row r="367" spans="1:2" x14ac:dyDescent="0.2">
      <c r="A367" s="121"/>
      <c r="B367" s="120"/>
    </row>
    <row r="368" spans="1:2" x14ac:dyDescent="0.2">
      <c r="A368" s="121"/>
      <c r="B368" s="120"/>
    </row>
    <row r="369" spans="1:2" x14ac:dyDescent="0.2">
      <c r="A369" s="121"/>
      <c r="B369" s="121"/>
    </row>
    <row r="370" spans="1:2" x14ac:dyDescent="0.2">
      <c r="A370" s="121"/>
      <c r="B370" s="121"/>
    </row>
    <row r="371" spans="1:2" x14ac:dyDescent="0.2">
      <c r="A371" s="121"/>
      <c r="B371" s="121"/>
    </row>
    <row r="372" spans="1:2" x14ac:dyDescent="0.2">
      <c r="A372" s="121"/>
      <c r="B372" s="121"/>
    </row>
    <row r="373" spans="1:2" x14ac:dyDescent="0.2">
      <c r="A373" s="121"/>
      <c r="B373" s="121"/>
    </row>
    <row r="374" spans="1:2" x14ac:dyDescent="0.2">
      <c r="A374" s="121"/>
      <c r="B374" s="121"/>
    </row>
    <row r="375" spans="1:2" x14ac:dyDescent="0.2">
      <c r="A375" s="121"/>
      <c r="B375" s="121"/>
    </row>
    <row r="376" spans="1:2" x14ac:dyDescent="0.2">
      <c r="A376" s="121"/>
      <c r="B376" s="121"/>
    </row>
    <row r="377" spans="1:2" x14ac:dyDescent="0.2">
      <c r="A377" s="121"/>
      <c r="B377" s="120"/>
    </row>
    <row r="378" spans="1:2" x14ac:dyDescent="0.2">
      <c r="A378" s="121"/>
      <c r="B378" s="120"/>
    </row>
    <row r="379" spans="1:2" x14ac:dyDescent="0.2">
      <c r="A379" s="121"/>
      <c r="B379" s="121"/>
    </row>
    <row r="380" spans="1:2" x14ac:dyDescent="0.2">
      <c r="A380" s="121"/>
      <c r="B380" s="121"/>
    </row>
    <row r="381" spans="1:2" x14ac:dyDescent="0.2">
      <c r="A381" s="121"/>
      <c r="B381" s="121"/>
    </row>
    <row r="382" spans="1:2" x14ac:dyDescent="0.2">
      <c r="A382" s="121"/>
      <c r="B382" s="121"/>
    </row>
    <row r="383" spans="1:2" x14ac:dyDescent="0.2">
      <c r="A383" s="121"/>
      <c r="B383" s="121"/>
    </row>
    <row r="384" spans="1:2" x14ac:dyDescent="0.2">
      <c r="A384" s="121"/>
      <c r="B384" s="121"/>
    </row>
    <row r="385" spans="1:2" x14ac:dyDescent="0.2">
      <c r="A385" s="121"/>
      <c r="B385" s="121"/>
    </row>
    <row r="386" spans="1:2" x14ac:dyDescent="0.2">
      <c r="A386" s="121"/>
      <c r="B386" s="121"/>
    </row>
    <row r="387" spans="1:2" x14ac:dyDescent="0.2">
      <c r="A387" s="121"/>
      <c r="B387" s="120"/>
    </row>
    <row r="388" spans="1:2" x14ac:dyDescent="0.2">
      <c r="A388" s="121"/>
      <c r="B388" s="120"/>
    </row>
    <row r="389" spans="1:2" x14ac:dyDescent="0.2">
      <c r="A389" s="121"/>
      <c r="B389" s="121"/>
    </row>
    <row r="390" spans="1:2" x14ac:dyDescent="0.2">
      <c r="A390" s="121"/>
      <c r="B390" s="121"/>
    </row>
    <row r="391" spans="1:2" x14ac:dyDescent="0.2">
      <c r="A391" s="121"/>
      <c r="B391" s="121"/>
    </row>
    <row r="392" spans="1:2" x14ac:dyDescent="0.2">
      <c r="A392" s="121"/>
      <c r="B392" s="121"/>
    </row>
    <row r="393" spans="1:2" x14ac:dyDescent="0.2">
      <c r="A393" s="121"/>
      <c r="B393" s="121"/>
    </row>
    <row r="394" spans="1:2" x14ac:dyDescent="0.2">
      <c r="A394" s="121"/>
      <c r="B394" s="121"/>
    </row>
    <row r="395" spans="1:2" x14ac:dyDescent="0.2">
      <c r="A395" s="121"/>
      <c r="B395" s="121"/>
    </row>
    <row r="396" spans="1:2" x14ac:dyDescent="0.2">
      <c r="A396" s="121"/>
      <c r="B396" s="121"/>
    </row>
    <row r="397" spans="1:2" x14ac:dyDescent="0.2">
      <c r="A397" s="121"/>
      <c r="B397" s="120"/>
    </row>
    <row r="398" spans="1:2" x14ac:dyDescent="0.2">
      <c r="A398" s="121"/>
      <c r="B398" s="120"/>
    </row>
    <row r="399" spans="1:2" x14ac:dyDescent="0.2">
      <c r="A399" s="121"/>
      <c r="B399" s="121"/>
    </row>
    <row r="400" spans="1:2" x14ac:dyDescent="0.2">
      <c r="A400" s="121"/>
      <c r="B400" s="121"/>
    </row>
    <row r="401" spans="1:2" x14ac:dyDescent="0.2">
      <c r="A401" s="121"/>
      <c r="B401" s="121"/>
    </row>
    <row r="402" spans="1:2" x14ac:dyDescent="0.2">
      <c r="A402" s="121"/>
      <c r="B402" s="121"/>
    </row>
    <row r="403" spans="1:2" x14ac:dyDescent="0.2">
      <c r="A403" s="121"/>
      <c r="B403" s="121"/>
    </row>
    <row r="404" spans="1:2" x14ac:dyDescent="0.2">
      <c r="A404" s="121"/>
      <c r="B404" s="121"/>
    </row>
    <row r="405" spans="1:2" x14ac:dyDescent="0.2">
      <c r="A405" s="121"/>
      <c r="B405" s="121"/>
    </row>
    <row r="406" spans="1:2" x14ac:dyDescent="0.2">
      <c r="A406" s="121"/>
      <c r="B406" s="121"/>
    </row>
    <row r="407" spans="1:2" x14ac:dyDescent="0.2">
      <c r="A407" s="121"/>
      <c r="B407" s="120"/>
    </row>
    <row r="408" spans="1:2" x14ac:dyDescent="0.2">
      <c r="A408" s="121"/>
      <c r="B408" s="120"/>
    </row>
    <row r="409" spans="1:2" x14ac:dyDescent="0.2">
      <c r="A409" s="121"/>
      <c r="B409" s="121"/>
    </row>
    <row r="410" spans="1:2" x14ac:dyDescent="0.2">
      <c r="A410" s="121"/>
      <c r="B410" s="121"/>
    </row>
    <row r="411" spans="1:2" x14ac:dyDescent="0.2">
      <c r="A411" s="121"/>
      <c r="B411" s="121"/>
    </row>
    <row r="412" spans="1:2" x14ac:dyDescent="0.2">
      <c r="A412" s="121"/>
      <c r="B412" s="121"/>
    </row>
    <row r="413" spans="1:2" x14ac:dyDescent="0.2">
      <c r="A413" s="121"/>
      <c r="B413" s="121"/>
    </row>
    <row r="414" spans="1:2" x14ac:dyDescent="0.2">
      <c r="A414" s="121"/>
      <c r="B414" s="121"/>
    </row>
    <row r="415" spans="1:2" x14ac:dyDescent="0.2">
      <c r="A415" s="121"/>
      <c r="B415" s="121"/>
    </row>
    <row r="416" spans="1:2" x14ac:dyDescent="0.2">
      <c r="A416" s="121"/>
      <c r="B416" s="121"/>
    </row>
    <row r="417" spans="1:2" x14ac:dyDescent="0.2">
      <c r="A417" s="121"/>
      <c r="B417" s="120"/>
    </row>
    <row r="418" spans="1:2" x14ac:dyDescent="0.2">
      <c r="A418" s="121"/>
      <c r="B418" s="120"/>
    </row>
    <row r="419" spans="1:2" x14ac:dyDescent="0.2">
      <c r="A419" s="121"/>
      <c r="B419" s="121"/>
    </row>
    <row r="420" spans="1:2" x14ac:dyDescent="0.2">
      <c r="A420" s="121"/>
      <c r="B420" s="121"/>
    </row>
    <row r="421" spans="1:2" x14ac:dyDescent="0.2">
      <c r="A421" s="121"/>
      <c r="B421" s="121"/>
    </row>
    <row r="422" spans="1:2" x14ac:dyDescent="0.2">
      <c r="A422" s="121"/>
      <c r="B422" s="121"/>
    </row>
    <row r="423" spans="1:2" x14ac:dyDescent="0.2">
      <c r="A423" s="121"/>
      <c r="B423" s="121"/>
    </row>
    <row r="424" spans="1:2" x14ac:dyDescent="0.2">
      <c r="A424" s="121"/>
      <c r="B424" s="121"/>
    </row>
    <row r="425" spans="1:2" x14ac:dyDescent="0.2">
      <c r="A425" s="121"/>
      <c r="B425" s="121"/>
    </row>
    <row r="426" spans="1:2" x14ac:dyDescent="0.2">
      <c r="A426" s="121"/>
      <c r="B426" s="121"/>
    </row>
    <row r="427" spans="1:2" x14ac:dyDescent="0.2">
      <c r="A427" s="121"/>
      <c r="B427" s="120"/>
    </row>
    <row r="428" spans="1:2" x14ac:dyDescent="0.2">
      <c r="A428" s="121"/>
      <c r="B428" s="120"/>
    </row>
    <row r="429" spans="1:2" x14ac:dyDescent="0.2">
      <c r="A429" s="121"/>
      <c r="B429" s="121"/>
    </row>
    <row r="430" spans="1:2" x14ac:dyDescent="0.2">
      <c r="A430" s="121"/>
      <c r="B430" s="121"/>
    </row>
    <row r="431" spans="1:2" x14ac:dyDescent="0.2">
      <c r="A431" s="121"/>
      <c r="B431" s="121"/>
    </row>
    <row r="432" spans="1:2" x14ac:dyDescent="0.2">
      <c r="A432" s="121"/>
      <c r="B432" s="121"/>
    </row>
    <row r="433" spans="1:2" x14ac:dyDescent="0.2">
      <c r="A433" s="121"/>
      <c r="B433" s="121"/>
    </row>
    <row r="434" spans="1:2" x14ac:dyDescent="0.2">
      <c r="A434" s="121"/>
      <c r="B434" s="121"/>
    </row>
    <row r="435" spans="1:2" x14ac:dyDescent="0.2">
      <c r="A435" s="121"/>
      <c r="B435" s="121"/>
    </row>
    <row r="436" spans="1:2" x14ac:dyDescent="0.2">
      <c r="A436" s="121"/>
      <c r="B436" s="121"/>
    </row>
    <row r="437" spans="1:2" x14ac:dyDescent="0.2">
      <c r="A437" s="121"/>
      <c r="B437" s="120"/>
    </row>
    <row r="438" spans="1:2" x14ac:dyDescent="0.2">
      <c r="A438" s="121"/>
      <c r="B438" s="120"/>
    </row>
    <row r="439" spans="1:2" x14ac:dyDescent="0.2">
      <c r="A439" s="121"/>
      <c r="B439" s="121"/>
    </row>
    <row r="440" spans="1:2" x14ac:dyDescent="0.2">
      <c r="A440" s="121"/>
      <c r="B440" s="121"/>
    </row>
    <row r="441" spans="1:2" x14ac:dyDescent="0.2">
      <c r="A441" s="121"/>
      <c r="B441" s="121"/>
    </row>
    <row r="442" spans="1:2" x14ac:dyDescent="0.2">
      <c r="A442" s="121"/>
      <c r="B442" s="121"/>
    </row>
    <row r="443" spans="1:2" x14ac:dyDescent="0.2">
      <c r="A443" s="121"/>
      <c r="B443" s="121"/>
    </row>
    <row r="444" spans="1:2" x14ac:dyDescent="0.2">
      <c r="A444" s="121"/>
      <c r="B444" s="121"/>
    </row>
    <row r="445" spans="1:2" x14ac:dyDescent="0.2">
      <c r="A445" s="121"/>
      <c r="B445" s="121"/>
    </row>
    <row r="446" spans="1:2" x14ac:dyDescent="0.2">
      <c r="A446" s="121"/>
      <c r="B446" s="121"/>
    </row>
    <row r="447" spans="1:2" x14ac:dyDescent="0.2">
      <c r="A447" s="121"/>
      <c r="B447" s="120"/>
    </row>
    <row r="448" spans="1:2" x14ac:dyDescent="0.2">
      <c r="A448" s="121"/>
      <c r="B448" s="120"/>
    </row>
    <row r="449" spans="1:2" x14ac:dyDescent="0.2">
      <c r="A449" s="121"/>
      <c r="B449" s="121"/>
    </row>
    <row r="450" spans="1:2" x14ac:dyDescent="0.2">
      <c r="A450" s="121"/>
      <c r="B450" s="121"/>
    </row>
    <row r="451" spans="1:2" x14ac:dyDescent="0.2">
      <c r="A451" s="121"/>
      <c r="B451" s="121"/>
    </row>
    <row r="452" spans="1:2" x14ac:dyDescent="0.2">
      <c r="A452" s="121"/>
      <c r="B452" s="121"/>
    </row>
    <row r="453" spans="1:2" x14ac:dyDescent="0.2">
      <c r="A453" s="121"/>
      <c r="B453" s="121"/>
    </row>
    <row r="454" spans="1:2" x14ac:dyDescent="0.2">
      <c r="A454" s="121"/>
      <c r="B454" s="121"/>
    </row>
    <row r="455" spans="1:2" x14ac:dyDescent="0.2">
      <c r="A455" s="121"/>
      <c r="B455" s="121"/>
    </row>
    <row r="456" spans="1:2" x14ac:dyDescent="0.2">
      <c r="A456" s="121"/>
      <c r="B456" s="121"/>
    </row>
    <row r="457" spans="1:2" x14ac:dyDescent="0.2">
      <c r="A457" s="121"/>
      <c r="B457" s="120"/>
    </row>
    <row r="458" spans="1:2" x14ac:dyDescent="0.2">
      <c r="A458" s="121"/>
      <c r="B458" s="120"/>
    </row>
    <row r="459" spans="1:2" x14ac:dyDescent="0.2">
      <c r="A459" s="121"/>
      <c r="B459" s="121"/>
    </row>
    <row r="460" spans="1:2" x14ac:dyDescent="0.2">
      <c r="A460" s="121"/>
      <c r="B460" s="121"/>
    </row>
    <row r="461" spans="1:2" x14ac:dyDescent="0.2">
      <c r="A461" s="121"/>
      <c r="B461" s="121"/>
    </row>
    <row r="462" spans="1:2" x14ac:dyDescent="0.2">
      <c r="A462" s="121"/>
      <c r="B462" s="121"/>
    </row>
    <row r="463" spans="1:2" x14ac:dyDescent="0.2">
      <c r="A463" s="121"/>
      <c r="B463" s="121"/>
    </row>
    <row r="464" spans="1:2" x14ac:dyDescent="0.2">
      <c r="A464" s="121"/>
      <c r="B464" s="121"/>
    </row>
    <row r="465" spans="1:2" x14ac:dyDescent="0.2">
      <c r="A465" s="121"/>
      <c r="B465" s="121"/>
    </row>
    <row r="466" spans="1:2" x14ac:dyDescent="0.2">
      <c r="A466" s="121"/>
      <c r="B466" s="121"/>
    </row>
    <row r="467" spans="1:2" x14ac:dyDescent="0.2">
      <c r="A467" s="121"/>
      <c r="B467" s="120"/>
    </row>
    <row r="468" spans="1:2" x14ac:dyDescent="0.2">
      <c r="A468" s="121"/>
      <c r="B468" s="120"/>
    </row>
    <row r="469" spans="1:2" x14ac:dyDescent="0.2">
      <c r="A469" s="121"/>
      <c r="B469" s="121"/>
    </row>
    <row r="470" spans="1:2" x14ac:dyDescent="0.2">
      <c r="A470" s="121"/>
      <c r="B470" s="121"/>
    </row>
    <row r="471" spans="1:2" x14ac:dyDescent="0.2">
      <c r="A471" s="121"/>
      <c r="B471" s="121"/>
    </row>
    <row r="472" spans="1:2" x14ac:dyDescent="0.2">
      <c r="A472" s="121"/>
      <c r="B472" s="121"/>
    </row>
    <row r="473" spans="1:2" x14ac:dyDescent="0.2">
      <c r="A473" s="121"/>
      <c r="B473" s="121"/>
    </row>
    <row r="474" spans="1:2" x14ac:dyDescent="0.2">
      <c r="A474" s="121"/>
      <c r="B474" s="121"/>
    </row>
    <row r="475" spans="1:2" x14ac:dyDescent="0.2">
      <c r="A475" s="121"/>
      <c r="B475" s="121"/>
    </row>
    <row r="476" spans="1:2" x14ac:dyDescent="0.2">
      <c r="A476" s="121"/>
      <c r="B476" s="121"/>
    </row>
    <row r="477" spans="1:2" x14ac:dyDescent="0.2">
      <c r="A477" s="121"/>
      <c r="B477" s="120"/>
    </row>
    <row r="478" spans="1:2" x14ac:dyDescent="0.2">
      <c r="A478" s="121"/>
      <c r="B478" s="120"/>
    </row>
    <row r="479" spans="1:2" x14ac:dyDescent="0.2">
      <c r="A479" s="121"/>
      <c r="B479" s="121"/>
    </row>
    <row r="480" spans="1:2" x14ac:dyDescent="0.2">
      <c r="A480" s="121"/>
      <c r="B480" s="121"/>
    </row>
    <row r="481" spans="1:2" x14ac:dyDescent="0.2">
      <c r="A481" s="121"/>
      <c r="B481" s="121"/>
    </row>
    <row r="482" spans="1:2" x14ac:dyDescent="0.2">
      <c r="A482" s="121"/>
      <c r="B482" s="121"/>
    </row>
    <row r="483" spans="1:2" x14ac:dyDescent="0.2">
      <c r="A483" s="121"/>
      <c r="B483" s="121"/>
    </row>
    <row r="484" spans="1:2" x14ac:dyDescent="0.2">
      <c r="A484" s="121"/>
      <c r="B484" s="121"/>
    </row>
    <row r="485" spans="1:2" x14ac:dyDescent="0.2">
      <c r="A485" s="121"/>
      <c r="B485" s="121"/>
    </row>
    <row r="486" spans="1:2" x14ac:dyDescent="0.2">
      <c r="B486" s="121"/>
    </row>
    <row r="487" spans="1:2" x14ac:dyDescent="0.2">
      <c r="B487" s="121"/>
    </row>
    <row r="729" spans="1:2" x14ac:dyDescent="0.2">
      <c r="A729" s="121"/>
    </row>
    <row r="730" spans="1:2" x14ac:dyDescent="0.2">
      <c r="A730" s="121"/>
    </row>
    <row r="731" spans="1:2" x14ac:dyDescent="0.2">
      <c r="A731" s="121"/>
      <c r="B731" s="121"/>
    </row>
    <row r="732" spans="1:2" x14ac:dyDescent="0.2">
      <c r="A732" s="121"/>
      <c r="B732" s="120"/>
    </row>
    <row r="733" spans="1:2" x14ac:dyDescent="0.2">
      <c r="A733" s="121"/>
      <c r="B733" s="120"/>
    </row>
    <row r="734" spans="1:2" x14ac:dyDescent="0.2">
      <c r="A734" s="121"/>
      <c r="B734" s="121"/>
    </row>
    <row r="735" spans="1:2" x14ac:dyDescent="0.2">
      <c r="A735" s="121"/>
      <c r="B735" s="121"/>
    </row>
    <row r="736" spans="1:2" x14ac:dyDescent="0.2">
      <c r="A736" s="121"/>
      <c r="B736" s="121"/>
    </row>
    <row r="737" spans="1:2" x14ac:dyDescent="0.2">
      <c r="A737" s="121"/>
      <c r="B737" s="121"/>
    </row>
    <row r="738" spans="1:2" x14ac:dyDescent="0.2">
      <c r="A738" s="121"/>
      <c r="B738" s="121"/>
    </row>
    <row r="739" spans="1:2" x14ac:dyDescent="0.2">
      <c r="A739" s="121"/>
      <c r="B739" s="121"/>
    </row>
    <row r="740" spans="1:2" x14ac:dyDescent="0.2">
      <c r="A740" s="121"/>
      <c r="B740" s="121"/>
    </row>
    <row r="741" spans="1:2" x14ac:dyDescent="0.2">
      <c r="A741" s="121"/>
      <c r="B741" s="121"/>
    </row>
    <row r="742" spans="1:2" x14ac:dyDescent="0.2">
      <c r="A742" s="121"/>
      <c r="B742" s="120"/>
    </row>
    <row r="743" spans="1:2" x14ac:dyDescent="0.2">
      <c r="A743" s="121"/>
      <c r="B743" s="120"/>
    </row>
    <row r="744" spans="1:2" x14ac:dyDescent="0.2">
      <c r="A744" s="121"/>
      <c r="B744" s="121"/>
    </row>
    <row r="745" spans="1:2" x14ac:dyDescent="0.2">
      <c r="A745" s="121"/>
      <c r="B745" s="121"/>
    </row>
    <row r="746" spans="1:2" x14ac:dyDescent="0.2">
      <c r="A746" s="121"/>
      <c r="B746" s="121"/>
    </row>
    <row r="747" spans="1:2" x14ac:dyDescent="0.2">
      <c r="A747" s="121"/>
      <c r="B747" s="121"/>
    </row>
    <row r="748" spans="1:2" x14ac:dyDescent="0.2">
      <c r="A748" s="121"/>
      <c r="B748" s="121"/>
    </row>
    <row r="749" spans="1:2" x14ac:dyDescent="0.2">
      <c r="A749" s="121"/>
      <c r="B749" s="121"/>
    </row>
    <row r="750" spans="1:2" x14ac:dyDescent="0.2">
      <c r="A750" s="121"/>
      <c r="B750" s="121"/>
    </row>
    <row r="751" spans="1:2" x14ac:dyDescent="0.2">
      <c r="B751" s="121"/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6180A-CA43-47E2-857C-4139F18F6994}">
  <sheetPr codeName="Planilha4">
    <outlinePr summaryBelow="0" summaryRight="0"/>
  </sheetPr>
  <dimension ref="A1:Y21"/>
  <sheetViews>
    <sheetView showGridLines="0" workbookViewId="0">
      <selection activeCell="D17" sqref="D17"/>
    </sheetView>
  </sheetViews>
  <sheetFormatPr defaultColWidth="0" defaultRowHeight="28.5" x14ac:dyDescent="0.45"/>
  <cols>
    <col min="1" max="1" width="3.7109375" style="64" bestFit="1" customWidth="1"/>
    <col min="2" max="2" width="39.140625" style="2" bestFit="1" customWidth="1"/>
    <col min="3" max="3" width="18.42578125" style="2" bestFit="1" customWidth="1"/>
    <col min="4" max="4" width="17" style="2" bestFit="1" customWidth="1"/>
    <col min="5" max="5" width="16.5703125" style="2" bestFit="1" customWidth="1"/>
    <col min="6" max="6" width="8.85546875" style="2" bestFit="1" customWidth="1"/>
    <col min="7" max="8" width="2" style="2" hidden="1" customWidth="1"/>
    <col min="9" max="16384" width="0" style="2" hidden="1"/>
  </cols>
  <sheetData>
    <row r="1" spans="1:25" s="25" customFormat="1" x14ac:dyDescent="0.45">
      <c r="A1" s="64"/>
      <c r="B1" s="22">
        <f ca="1">TODAY()</f>
        <v>45834</v>
      </c>
      <c r="C1" s="23" t="s">
        <v>0</v>
      </c>
      <c r="D1" s="23" t="s">
        <v>1</v>
      </c>
      <c r="E1" s="23" t="s">
        <v>2</v>
      </c>
      <c r="F1" s="24" t="s">
        <v>3</v>
      </c>
    </row>
    <row r="2" spans="1:25" s="29" customFormat="1" ht="3" customHeight="1" thickBot="1" x14ac:dyDescent="0.3">
      <c r="A2" s="65"/>
      <c r="B2" s="45"/>
      <c r="C2" s="46"/>
      <c r="D2" s="46"/>
      <c r="E2" s="46"/>
      <c r="F2" s="47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</row>
    <row r="3" spans="1:25" ht="17.25" customHeight="1" x14ac:dyDescent="0.2">
      <c r="A3" s="1" t="s">
        <v>4</v>
      </c>
      <c r="B3" s="190" t="s">
        <v>5</v>
      </c>
      <c r="C3" s="191">
        <v>45103</v>
      </c>
      <c r="D3" s="191">
        <v>45105</v>
      </c>
      <c r="E3" s="191">
        <v>45100</v>
      </c>
      <c r="F3" s="196" t="str">
        <f ca="1">IF(SUM(G3:H3)=2,"Expirado",IF(SUM(G3:H3)=1,"Ativo","Previsto"))</f>
        <v>Expirado</v>
      </c>
      <c r="G3" s="12">
        <f t="shared" ref="G3:H5" ca="1" si="0">IF(C3&lt;=$B$1,1,0)</f>
        <v>1</v>
      </c>
      <c r="H3" s="12">
        <f t="shared" ca="1" si="0"/>
        <v>1</v>
      </c>
    </row>
    <row r="4" spans="1:25" ht="17.25" customHeight="1" x14ac:dyDescent="0.2">
      <c r="A4" s="221"/>
      <c r="B4" s="197" t="s">
        <v>6</v>
      </c>
      <c r="C4" s="193">
        <v>45105</v>
      </c>
      <c r="D4" s="193">
        <v>45106</v>
      </c>
      <c r="E4" s="193">
        <v>45104</v>
      </c>
      <c r="F4" s="198" t="str">
        <f ca="1">IF(SUM(G4:H4)=2,"Expirado",IF(SUM(G4:H4)=1,"Ativo","Previsto"))</f>
        <v>Expirado</v>
      </c>
      <c r="G4" s="12">
        <f t="shared" ca="1" si="0"/>
        <v>1</v>
      </c>
      <c r="H4" s="12">
        <f t="shared" ca="1" si="0"/>
        <v>1</v>
      </c>
    </row>
    <row r="5" spans="1:25" ht="17.25" customHeight="1" thickBot="1" x14ac:dyDescent="0.25">
      <c r="A5" s="222"/>
      <c r="B5" s="199" t="s">
        <v>7</v>
      </c>
      <c r="C5" s="194">
        <v>45106</v>
      </c>
      <c r="D5" s="194">
        <v>45110</v>
      </c>
      <c r="E5" s="194">
        <v>45106</v>
      </c>
      <c r="F5" s="200" t="str">
        <f ca="1">IF(SUM(G5:H5)=2,"Expirado",IF(SUM(G5:H5)=1,"Ativo","Previsto"))</f>
        <v>Expirado</v>
      </c>
      <c r="G5" s="12">
        <f t="shared" ca="1" si="0"/>
        <v>1</v>
      </c>
      <c r="H5" s="12">
        <f t="shared" ca="1" si="0"/>
        <v>1</v>
      </c>
    </row>
    <row r="6" spans="1:25" s="29" customFormat="1" ht="4.5" customHeight="1" thickBot="1" x14ac:dyDescent="0.25">
      <c r="A6" s="41"/>
      <c r="B6" s="42"/>
      <c r="C6" s="27"/>
      <c r="D6" s="27"/>
      <c r="E6" s="27"/>
      <c r="F6" s="28"/>
    </row>
    <row r="7" spans="1:25" s="31" customFormat="1" ht="12.75" x14ac:dyDescent="0.2">
      <c r="A7" s="1" t="s">
        <v>8</v>
      </c>
      <c r="B7" s="197" t="s">
        <v>9</v>
      </c>
      <c r="C7" s="191">
        <v>45108</v>
      </c>
      <c r="D7" s="191">
        <v>45138</v>
      </c>
      <c r="E7" s="191">
        <v>45112</v>
      </c>
      <c r="F7" s="192" t="str">
        <f ca="1">IF(SUM(G7:H7)=2,"Expirado",IF(SUM(G7:H7)=1,"Ativo","Previsto"))</f>
        <v>Expirado</v>
      </c>
      <c r="G7" s="30">
        <f ca="1">IF(C7&lt;=$B$1,1,0)</f>
        <v>1</v>
      </c>
      <c r="H7" s="30">
        <f ca="1">IF(D7&lt;=$B$1,1,0)</f>
        <v>1</v>
      </c>
    </row>
    <row r="8" spans="1:25" ht="13.5" thickBot="1" x14ac:dyDescent="0.25">
      <c r="A8" s="221"/>
      <c r="B8" s="197" t="s">
        <v>10</v>
      </c>
      <c r="C8" s="193">
        <v>45110</v>
      </c>
      <c r="D8" s="193">
        <v>45123</v>
      </c>
      <c r="E8" s="193"/>
      <c r="F8" s="63" t="str">
        <f>IF(SUM(G8:H8)=2,"Expirado",IF(SUM(G8:H8)=1,"Ativo","Previsto"))</f>
        <v>Previsto</v>
      </c>
      <c r="G8" s="12"/>
      <c r="H8" s="12"/>
    </row>
    <row r="9" spans="1:25" ht="13.5" thickBot="1" x14ac:dyDescent="0.25">
      <c r="A9" s="221"/>
      <c r="B9" s="197" t="s">
        <v>11</v>
      </c>
      <c r="C9" s="193">
        <v>45113</v>
      </c>
      <c r="D9" s="193">
        <v>45117</v>
      </c>
      <c r="E9" s="193"/>
      <c r="F9" s="62" t="str">
        <f t="shared" ref="F9:F14" si="1">IF(SUM(G9:H9)=2,"Expirado",IF(SUM(G9:H9)=1,"Ativo","Previsto"))</f>
        <v>Previsto</v>
      </c>
      <c r="G9" s="12"/>
      <c r="H9" s="12"/>
    </row>
    <row r="10" spans="1:25" ht="13.5" thickBot="1" x14ac:dyDescent="0.25">
      <c r="A10" s="221"/>
      <c r="B10" s="197" t="s">
        <v>12</v>
      </c>
      <c r="C10" s="193">
        <v>45114</v>
      </c>
      <c r="D10" s="193">
        <v>45199</v>
      </c>
      <c r="E10" s="193"/>
      <c r="F10" s="62" t="str">
        <f t="shared" si="1"/>
        <v>Previsto</v>
      </c>
      <c r="G10" s="12"/>
      <c r="H10" s="12"/>
    </row>
    <row r="11" spans="1:25" ht="13.5" thickBot="1" x14ac:dyDescent="0.25">
      <c r="A11" s="221"/>
      <c r="B11" s="197" t="s">
        <v>13</v>
      </c>
      <c r="C11" s="193">
        <v>45117</v>
      </c>
      <c r="D11" s="193">
        <v>45119</v>
      </c>
      <c r="E11" s="193"/>
      <c r="F11" s="62" t="str">
        <f t="shared" si="1"/>
        <v>Previsto</v>
      </c>
      <c r="G11" s="12"/>
      <c r="H11" s="12"/>
    </row>
    <row r="12" spans="1:25" ht="13.5" thickBot="1" x14ac:dyDescent="0.25">
      <c r="A12" s="221"/>
      <c r="B12" s="197" t="s">
        <v>14</v>
      </c>
      <c r="C12" s="193">
        <v>45125</v>
      </c>
      <c r="D12" s="193">
        <v>45199</v>
      </c>
      <c r="E12" s="193"/>
      <c r="F12" s="62" t="str">
        <f t="shared" si="1"/>
        <v>Previsto</v>
      </c>
      <c r="G12" s="12"/>
      <c r="H12" s="12"/>
    </row>
    <row r="13" spans="1:25" ht="13.5" thickBot="1" x14ac:dyDescent="0.25">
      <c r="A13" s="221"/>
      <c r="B13" s="197" t="s">
        <v>15</v>
      </c>
      <c r="C13" s="193">
        <v>45133</v>
      </c>
      <c r="D13" s="193">
        <v>45137</v>
      </c>
      <c r="E13" s="193">
        <v>45120</v>
      </c>
      <c r="F13" s="62" t="str">
        <f t="shared" ca="1" si="1"/>
        <v>Expirado</v>
      </c>
      <c r="G13" s="12">
        <f ca="1">IF(C13&lt;=$B$1,1,0)</f>
        <v>1</v>
      </c>
      <c r="H13" s="12">
        <f ca="1">IF(D13&lt;=$B$1,1,0)</f>
        <v>1</v>
      </c>
    </row>
    <row r="14" spans="1:25" s="33" customFormat="1" ht="13.5" thickBot="1" x14ac:dyDescent="0.25">
      <c r="A14" s="222"/>
      <c r="B14" s="197" t="s">
        <v>16</v>
      </c>
      <c r="C14" s="194">
        <v>45131</v>
      </c>
      <c r="D14" s="194">
        <v>45133</v>
      </c>
      <c r="E14" s="194">
        <v>45127</v>
      </c>
      <c r="F14" s="195" t="str">
        <f t="shared" ca="1" si="1"/>
        <v>Expirado</v>
      </c>
      <c r="G14" s="32">
        <f ca="1">IF(C14&lt;=$B$1,1,0)</f>
        <v>1</v>
      </c>
      <c r="H14" s="32">
        <f ca="1">IF(D14&lt;=$B$1,1,0)</f>
        <v>1</v>
      </c>
    </row>
    <row r="15" spans="1:25" s="29" customFormat="1" ht="4.5" customHeight="1" thickBot="1" x14ac:dyDescent="0.25">
      <c r="A15" s="41"/>
      <c r="B15" s="26"/>
      <c r="C15" s="27"/>
      <c r="D15" s="27"/>
      <c r="E15" s="27"/>
      <c r="F15" s="28"/>
    </row>
    <row r="16" spans="1:25" s="31" customFormat="1" ht="22.5" customHeight="1" x14ac:dyDescent="0.2">
      <c r="A16" s="1" t="s">
        <v>17</v>
      </c>
      <c r="B16" s="190" t="s">
        <v>18</v>
      </c>
      <c r="C16" s="191">
        <v>45162</v>
      </c>
      <c r="D16" s="191">
        <v>45166</v>
      </c>
      <c r="E16" s="191">
        <v>45162</v>
      </c>
      <c r="F16" s="196" t="str">
        <f ca="1">IF(SUM(G16:H16)=2,"Expirado",IF(SUM(G16:H16)=1,"Ativo","Previsto"))</f>
        <v>Expirado</v>
      </c>
      <c r="G16" s="30">
        <f ca="1">IF(C16&lt;=$B$1,1,0)</f>
        <v>1</v>
      </c>
      <c r="H16" s="30">
        <f ca="1">IF(D16&lt;=$B$1,1,0)</f>
        <v>1</v>
      </c>
    </row>
    <row r="17" spans="1:8" ht="22.5" customHeight="1" x14ac:dyDescent="0.2">
      <c r="A17" s="221"/>
      <c r="B17" s="197" t="s">
        <v>19</v>
      </c>
      <c r="C17" s="193">
        <v>45159</v>
      </c>
      <c r="D17" s="193">
        <v>45159</v>
      </c>
      <c r="E17" s="193">
        <v>45159</v>
      </c>
      <c r="F17" s="198" t="str">
        <f ca="1">IF(SUM(G17:H17)=2,"Expirado",IF(SUM(G17:H17)=1,"Ativo","Previsto"))</f>
        <v>Expirado</v>
      </c>
      <c r="G17" s="12">
        <f ca="1">IF(C17&lt;=$B$1,1,0)</f>
        <v>1</v>
      </c>
      <c r="H17" s="12">
        <f ca="1">IF(D17&lt;=$B$1,1,0)</f>
        <v>1</v>
      </c>
    </row>
    <row r="18" spans="1:8" s="33" customFormat="1" ht="22.5" customHeight="1" thickBot="1" x14ac:dyDescent="0.25">
      <c r="A18" s="222"/>
      <c r="B18" s="199"/>
      <c r="C18" s="194"/>
      <c r="D18" s="194"/>
      <c r="E18" s="194"/>
      <c r="F18" s="200"/>
      <c r="G18" s="32"/>
      <c r="H18" s="32"/>
    </row>
    <row r="19" spans="1:8" s="29" customFormat="1" ht="4.5" customHeight="1" x14ac:dyDescent="0.45">
      <c r="A19" s="66"/>
      <c r="B19" s="26"/>
      <c r="C19" s="27"/>
      <c r="D19" s="27"/>
      <c r="E19" s="27"/>
      <c r="F19" s="28"/>
    </row>
    <row r="20" spans="1:8" x14ac:dyDescent="0.45">
      <c r="B20" s="12"/>
    </row>
    <row r="21" spans="1:8" x14ac:dyDescent="0.45">
      <c r="B21" s="12"/>
    </row>
  </sheetData>
  <mergeCells count="3">
    <mergeCell ref="A16:A18"/>
    <mergeCell ref="A3:A5"/>
    <mergeCell ref="A7:A14"/>
  </mergeCells>
  <conditionalFormatting sqref="F2:F19">
    <cfRule type="cellIs" dxfId="361" priority="1" operator="equal">
      <formula>"Previsto"</formula>
    </cfRule>
    <cfRule type="cellIs" dxfId="360" priority="2" operator="equal">
      <formula>"Ativo"</formula>
    </cfRule>
    <cfRule type="cellIs" dxfId="359" priority="3" operator="equal">
      <formula>"Expirado"</formula>
    </cfRule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5416B-396F-4595-8323-A7DA8F08E56C}">
  <dimension ref="A1:L1096"/>
  <sheetViews>
    <sheetView showGridLines="0" workbookViewId="0"/>
  </sheetViews>
  <sheetFormatPr defaultRowHeight="12.75" x14ac:dyDescent="0.2"/>
  <cols>
    <col min="1" max="1" width="10.7109375" style="76" bestFit="1" customWidth="1"/>
    <col min="2" max="2" width="4.5703125" style="76" bestFit="1" customWidth="1"/>
    <col min="3" max="3" width="5.5703125" style="76" bestFit="1" customWidth="1"/>
    <col min="4" max="4" width="9.140625" style="76"/>
    <col min="5" max="5" width="3" style="76" bestFit="1" customWidth="1"/>
    <col min="6" max="6" width="9.42578125" style="76" bestFit="1" customWidth="1"/>
    <col min="7" max="7" width="10.140625" style="76" bestFit="1" customWidth="1"/>
    <col min="8" max="8" width="5.5703125" style="76" bestFit="1" customWidth="1"/>
    <col min="9" max="12" width="9.140625" style="76"/>
  </cols>
  <sheetData>
    <row r="1" spans="1:8" x14ac:dyDescent="0.2">
      <c r="A1" s="179" t="s">
        <v>20</v>
      </c>
      <c r="B1" s="179" t="s">
        <v>21</v>
      </c>
      <c r="C1" s="179" t="s">
        <v>22</v>
      </c>
      <c r="D1" s="179"/>
    </row>
    <row r="2" spans="1:8" x14ac:dyDescent="0.2">
      <c r="A2" s="180">
        <v>44562</v>
      </c>
      <c r="B2" s="181">
        <f>MONTH(A2)</f>
        <v>1</v>
      </c>
      <c r="C2" s="178">
        <f t="shared" ref="C2:C65" ca="1" si="0">IF(A2&lt;=$G$2,VLOOKUP(B2,$E$4:$H$15,4),0)</f>
        <v>51.612903225806448</v>
      </c>
      <c r="G2" s="182">
        <f ca="1">TODAY()</f>
        <v>45834</v>
      </c>
    </row>
    <row r="3" spans="1:8" x14ac:dyDescent="0.2">
      <c r="A3" s="180">
        <v>44563</v>
      </c>
      <c r="B3" s="181">
        <f t="shared" ref="B3:B66" si="1">MONTH(A3)</f>
        <v>1</v>
      </c>
      <c r="C3" s="178">
        <f t="shared" ca="1" si="0"/>
        <v>51.612903225806448</v>
      </c>
    </row>
    <row r="4" spans="1:8" x14ac:dyDescent="0.2">
      <c r="A4" s="180">
        <v>44564</v>
      </c>
      <c r="B4" s="181">
        <f t="shared" si="1"/>
        <v>1</v>
      </c>
      <c r="C4" s="178">
        <f t="shared" ca="1" si="0"/>
        <v>51.612903225806448</v>
      </c>
      <c r="E4" s="76">
        <v>1</v>
      </c>
      <c r="F4" s="179" t="s">
        <v>23</v>
      </c>
      <c r="G4" s="76">
        <v>31</v>
      </c>
      <c r="H4" s="178">
        <v>51.612903225806448</v>
      </c>
    </row>
    <row r="5" spans="1:8" x14ac:dyDescent="0.2">
      <c r="A5" s="180">
        <v>44565</v>
      </c>
      <c r="B5" s="181">
        <f t="shared" si="1"/>
        <v>1</v>
      </c>
      <c r="C5" s="178">
        <f t="shared" ca="1" si="0"/>
        <v>51.612903225806448</v>
      </c>
      <c r="E5" s="76">
        <v>2</v>
      </c>
      <c r="F5" s="179" t="s">
        <v>24</v>
      </c>
      <c r="G5" s="76">
        <v>28</v>
      </c>
      <c r="H5" s="178">
        <v>57.142857142857146</v>
      </c>
    </row>
    <row r="6" spans="1:8" x14ac:dyDescent="0.2">
      <c r="A6" s="180">
        <v>44566</v>
      </c>
      <c r="B6" s="181">
        <f t="shared" si="1"/>
        <v>1</v>
      </c>
      <c r="C6" s="178">
        <f t="shared" ca="1" si="0"/>
        <v>51.612903225806448</v>
      </c>
      <c r="E6" s="76">
        <v>3</v>
      </c>
      <c r="F6" s="179" t="s">
        <v>25</v>
      </c>
      <c r="G6" s="76">
        <v>31</v>
      </c>
      <c r="H6" s="178">
        <v>51.612903225806448</v>
      </c>
    </row>
    <row r="7" spans="1:8" x14ac:dyDescent="0.2">
      <c r="A7" s="180">
        <v>44567</v>
      </c>
      <c r="B7" s="181">
        <f t="shared" si="1"/>
        <v>1</v>
      </c>
      <c r="C7" s="178">
        <f t="shared" ca="1" si="0"/>
        <v>51.612903225806448</v>
      </c>
      <c r="E7" s="76">
        <v>4</v>
      </c>
      <c r="F7" s="179" t="s">
        <v>26</v>
      </c>
      <c r="G7" s="76">
        <v>30</v>
      </c>
      <c r="H7" s="178">
        <v>53.333333333333336</v>
      </c>
    </row>
    <row r="8" spans="1:8" x14ac:dyDescent="0.2">
      <c r="A8" s="180">
        <v>44568</v>
      </c>
      <c r="B8" s="181">
        <f t="shared" si="1"/>
        <v>1</v>
      </c>
      <c r="C8" s="178">
        <f t="shared" ca="1" si="0"/>
        <v>51.612903225806448</v>
      </c>
      <c r="E8" s="76">
        <v>5</v>
      </c>
      <c r="F8" s="179" t="s">
        <v>27</v>
      </c>
      <c r="G8" s="76">
        <v>31</v>
      </c>
      <c r="H8" s="178">
        <v>51.612903225806448</v>
      </c>
    </row>
    <row r="9" spans="1:8" x14ac:dyDescent="0.2">
      <c r="A9" s="180">
        <v>44569</v>
      </c>
      <c r="B9" s="181">
        <f t="shared" si="1"/>
        <v>1</v>
      </c>
      <c r="C9" s="178">
        <f t="shared" ca="1" si="0"/>
        <v>51.612903225806448</v>
      </c>
      <c r="E9" s="76">
        <v>6</v>
      </c>
      <c r="F9" s="179" t="s">
        <v>4</v>
      </c>
      <c r="G9" s="76">
        <v>30</v>
      </c>
      <c r="H9" s="178">
        <v>53.333333333333336</v>
      </c>
    </row>
    <row r="10" spans="1:8" x14ac:dyDescent="0.2">
      <c r="A10" s="180">
        <v>44570</v>
      </c>
      <c r="B10" s="181">
        <f t="shared" si="1"/>
        <v>1</v>
      </c>
      <c r="C10" s="178">
        <f t="shared" ca="1" si="0"/>
        <v>51.612903225806448</v>
      </c>
      <c r="E10" s="76">
        <v>7</v>
      </c>
      <c r="F10" s="179" t="s">
        <v>8</v>
      </c>
      <c r="G10" s="76">
        <v>31</v>
      </c>
      <c r="H10" s="178">
        <v>51.612903225806448</v>
      </c>
    </row>
    <row r="11" spans="1:8" x14ac:dyDescent="0.2">
      <c r="A11" s="180">
        <v>44571</v>
      </c>
      <c r="B11" s="181">
        <f t="shared" si="1"/>
        <v>1</v>
      </c>
      <c r="C11" s="178">
        <f t="shared" ca="1" si="0"/>
        <v>51.612903225806448</v>
      </c>
      <c r="E11" s="76">
        <v>8</v>
      </c>
      <c r="F11" s="179" t="s">
        <v>17</v>
      </c>
      <c r="G11" s="76">
        <v>31</v>
      </c>
      <c r="H11" s="178">
        <v>51.612903225806448</v>
      </c>
    </row>
    <row r="12" spans="1:8" x14ac:dyDescent="0.2">
      <c r="A12" s="180">
        <v>44572</v>
      </c>
      <c r="B12" s="181">
        <f t="shared" si="1"/>
        <v>1</v>
      </c>
      <c r="C12" s="178">
        <f t="shared" ca="1" si="0"/>
        <v>51.612903225806448</v>
      </c>
      <c r="E12" s="76">
        <v>9</v>
      </c>
      <c r="F12" s="179" t="s">
        <v>28</v>
      </c>
      <c r="G12" s="76">
        <v>30</v>
      </c>
      <c r="H12" s="178">
        <v>53.333333333333336</v>
      </c>
    </row>
    <row r="13" spans="1:8" x14ac:dyDescent="0.2">
      <c r="A13" s="180">
        <v>44573</v>
      </c>
      <c r="B13" s="181">
        <f t="shared" si="1"/>
        <v>1</v>
      </c>
      <c r="C13" s="178">
        <f t="shared" ca="1" si="0"/>
        <v>51.612903225806448</v>
      </c>
      <c r="E13" s="76">
        <v>10</v>
      </c>
      <c r="F13" s="179" t="s">
        <v>29</v>
      </c>
      <c r="G13" s="76">
        <v>31</v>
      </c>
      <c r="H13" s="178">
        <v>51.612903225806448</v>
      </c>
    </row>
    <row r="14" spans="1:8" x14ac:dyDescent="0.2">
      <c r="A14" s="180">
        <v>44574</v>
      </c>
      <c r="B14" s="181">
        <f t="shared" si="1"/>
        <v>1</v>
      </c>
      <c r="C14" s="178">
        <f t="shared" ca="1" si="0"/>
        <v>51.612903225806448</v>
      </c>
      <c r="E14" s="76">
        <v>11</v>
      </c>
      <c r="F14" s="179" t="s">
        <v>30</v>
      </c>
      <c r="G14" s="76">
        <v>30</v>
      </c>
      <c r="H14" s="178">
        <v>53.333333333333336</v>
      </c>
    </row>
    <row r="15" spans="1:8" x14ac:dyDescent="0.2">
      <c r="A15" s="180">
        <v>44575</v>
      </c>
      <c r="B15" s="181">
        <f t="shared" si="1"/>
        <v>1</v>
      </c>
      <c r="C15" s="178">
        <f t="shared" ca="1" si="0"/>
        <v>51.612903225806448</v>
      </c>
      <c r="E15" s="76">
        <v>12</v>
      </c>
      <c r="F15" s="179" t="s">
        <v>31</v>
      </c>
      <c r="G15" s="76">
        <v>31</v>
      </c>
      <c r="H15" s="178">
        <v>51.612903225806448</v>
      </c>
    </row>
    <row r="16" spans="1:8" x14ac:dyDescent="0.2">
      <c r="A16" s="180">
        <v>44576</v>
      </c>
      <c r="B16" s="181">
        <f t="shared" si="1"/>
        <v>1</v>
      </c>
      <c r="C16" s="178">
        <f t="shared" ca="1" si="0"/>
        <v>51.612903225806448</v>
      </c>
      <c r="F16" s="179"/>
      <c r="H16" s="178"/>
    </row>
    <row r="17" spans="1:8" x14ac:dyDescent="0.2">
      <c r="A17" s="180">
        <v>44577</v>
      </c>
      <c r="B17" s="181">
        <f t="shared" si="1"/>
        <v>1</v>
      </c>
      <c r="C17" s="178">
        <f t="shared" ca="1" si="0"/>
        <v>51.612903225806448</v>
      </c>
      <c r="H17" s="178"/>
    </row>
    <row r="18" spans="1:8" x14ac:dyDescent="0.2">
      <c r="A18" s="180">
        <v>44578</v>
      </c>
      <c r="B18" s="181">
        <f t="shared" si="1"/>
        <v>1</v>
      </c>
      <c r="C18" s="178">
        <f t="shared" ca="1" si="0"/>
        <v>51.612903225806448</v>
      </c>
      <c r="H18" s="178"/>
    </row>
    <row r="19" spans="1:8" x14ac:dyDescent="0.2">
      <c r="A19" s="180">
        <v>44579</v>
      </c>
      <c r="B19" s="181">
        <f t="shared" si="1"/>
        <v>1</v>
      </c>
      <c r="C19" s="178">
        <f t="shared" ca="1" si="0"/>
        <v>51.612903225806448</v>
      </c>
      <c r="H19" s="178"/>
    </row>
    <row r="20" spans="1:8" x14ac:dyDescent="0.2">
      <c r="A20" s="180">
        <v>44580</v>
      </c>
      <c r="B20" s="181">
        <f t="shared" si="1"/>
        <v>1</v>
      </c>
      <c r="C20" s="178">
        <f t="shared" ca="1" si="0"/>
        <v>51.612903225806448</v>
      </c>
      <c r="H20" s="178"/>
    </row>
    <row r="21" spans="1:8" x14ac:dyDescent="0.2">
      <c r="A21" s="180">
        <v>44581</v>
      </c>
      <c r="B21" s="181">
        <f t="shared" si="1"/>
        <v>1</v>
      </c>
      <c r="C21" s="178">
        <f t="shared" ca="1" si="0"/>
        <v>51.612903225806448</v>
      </c>
      <c r="H21" s="178"/>
    </row>
    <row r="22" spans="1:8" x14ac:dyDescent="0.2">
      <c r="A22" s="180">
        <v>44582</v>
      </c>
      <c r="B22" s="181">
        <f t="shared" si="1"/>
        <v>1</v>
      </c>
      <c r="C22" s="178">
        <f t="shared" ca="1" si="0"/>
        <v>51.612903225806448</v>
      </c>
      <c r="H22" s="178"/>
    </row>
    <row r="23" spans="1:8" x14ac:dyDescent="0.2">
      <c r="A23" s="180">
        <v>44583</v>
      </c>
      <c r="B23" s="181">
        <f t="shared" si="1"/>
        <v>1</v>
      </c>
      <c r="C23" s="178">
        <f t="shared" ca="1" si="0"/>
        <v>51.612903225806448</v>
      </c>
      <c r="H23" s="178"/>
    </row>
    <row r="24" spans="1:8" x14ac:dyDescent="0.2">
      <c r="A24" s="180">
        <v>44584</v>
      </c>
      <c r="B24" s="181">
        <f t="shared" si="1"/>
        <v>1</v>
      </c>
      <c r="C24" s="178">
        <f t="shared" ca="1" si="0"/>
        <v>51.612903225806448</v>
      </c>
      <c r="H24" s="178"/>
    </row>
    <row r="25" spans="1:8" x14ac:dyDescent="0.2">
      <c r="A25" s="180">
        <v>44585</v>
      </c>
      <c r="B25" s="181">
        <f t="shared" si="1"/>
        <v>1</v>
      </c>
      <c r="C25" s="178">
        <f t="shared" ca="1" si="0"/>
        <v>51.612903225806448</v>
      </c>
      <c r="H25" s="178"/>
    </row>
    <row r="26" spans="1:8" x14ac:dyDescent="0.2">
      <c r="A26" s="180">
        <v>44586</v>
      </c>
      <c r="B26" s="181">
        <f t="shared" si="1"/>
        <v>1</v>
      </c>
      <c r="C26" s="178">
        <f t="shared" ca="1" si="0"/>
        <v>51.612903225806448</v>
      </c>
      <c r="H26" s="178"/>
    </row>
    <row r="27" spans="1:8" x14ac:dyDescent="0.2">
      <c r="A27" s="180">
        <v>44587</v>
      </c>
      <c r="B27" s="181">
        <f t="shared" si="1"/>
        <v>1</v>
      </c>
      <c r="C27" s="178">
        <f t="shared" ca="1" si="0"/>
        <v>51.612903225806448</v>
      </c>
      <c r="H27" s="178"/>
    </row>
    <row r="28" spans="1:8" x14ac:dyDescent="0.2">
      <c r="A28" s="180">
        <v>44588</v>
      </c>
      <c r="B28" s="181">
        <f t="shared" si="1"/>
        <v>1</v>
      </c>
      <c r="C28" s="178">
        <f t="shared" ca="1" si="0"/>
        <v>51.612903225806448</v>
      </c>
      <c r="H28" s="178"/>
    </row>
    <row r="29" spans="1:8" x14ac:dyDescent="0.2">
      <c r="A29" s="180">
        <v>44589</v>
      </c>
      <c r="B29" s="181">
        <f t="shared" si="1"/>
        <v>1</v>
      </c>
      <c r="C29" s="178">
        <f t="shared" ca="1" si="0"/>
        <v>51.612903225806448</v>
      </c>
      <c r="H29" s="178"/>
    </row>
    <row r="30" spans="1:8" x14ac:dyDescent="0.2">
      <c r="A30" s="180">
        <v>44590</v>
      </c>
      <c r="B30" s="181">
        <f t="shared" si="1"/>
        <v>1</v>
      </c>
      <c r="C30" s="178">
        <f t="shared" ca="1" si="0"/>
        <v>51.612903225806448</v>
      </c>
      <c r="H30" s="178"/>
    </row>
    <row r="31" spans="1:8" x14ac:dyDescent="0.2">
      <c r="A31" s="180">
        <v>44591</v>
      </c>
      <c r="B31" s="181">
        <f t="shared" si="1"/>
        <v>1</v>
      </c>
      <c r="C31" s="178">
        <f t="shared" ca="1" si="0"/>
        <v>51.612903225806448</v>
      </c>
      <c r="H31" s="178"/>
    </row>
    <row r="32" spans="1:8" x14ac:dyDescent="0.2">
      <c r="A32" s="180">
        <v>44592</v>
      </c>
      <c r="B32" s="181">
        <f t="shared" si="1"/>
        <v>1</v>
      </c>
      <c r="C32" s="178">
        <f t="shared" ca="1" si="0"/>
        <v>51.612903225806448</v>
      </c>
      <c r="H32" s="178"/>
    </row>
    <row r="33" spans="1:8" x14ac:dyDescent="0.2">
      <c r="A33" s="180">
        <v>44593</v>
      </c>
      <c r="B33" s="181">
        <f t="shared" si="1"/>
        <v>2</v>
      </c>
      <c r="C33" s="178">
        <f t="shared" ca="1" si="0"/>
        <v>57.142857142857146</v>
      </c>
      <c r="H33" s="178"/>
    </row>
    <row r="34" spans="1:8" x14ac:dyDescent="0.2">
      <c r="A34" s="180">
        <v>44594</v>
      </c>
      <c r="B34" s="181">
        <f t="shared" si="1"/>
        <v>2</v>
      </c>
      <c r="C34" s="178">
        <f t="shared" ca="1" si="0"/>
        <v>57.142857142857146</v>
      </c>
      <c r="H34" s="178"/>
    </row>
    <row r="35" spans="1:8" x14ac:dyDescent="0.2">
      <c r="A35" s="180">
        <v>44595</v>
      </c>
      <c r="B35" s="181">
        <f t="shared" si="1"/>
        <v>2</v>
      </c>
      <c r="C35" s="178">
        <f t="shared" ca="1" si="0"/>
        <v>57.142857142857146</v>
      </c>
      <c r="H35" s="178"/>
    </row>
    <row r="36" spans="1:8" x14ac:dyDescent="0.2">
      <c r="A36" s="180">
        <v>44596</v>
      </c>
      <c r="B36" s="181">
        <f t="shared" si="1"/>
        <v>2</v>
      </c>
      <c r="C36" s="178">
        <f t="shared" ca="1" si="0"/>
        <v>57.142857142857146</v>
      </c>
      <c r="H36" s="178"/>
    </row>
    <row r="37" spans="1:8" x14ac:dyDescent="0.2">
      <c r="A37" s="180">
        <v>44597</v>
      </c>
      <c r="B37" s="181">
        <f t="shared" si="1"/>
        <v>2</v>
      </c>
      <c r="C37" s="178">
        <f t="shared" ca="1" si="0"/>
        <v>57.142857142857146</v>
      </c>
      <c r="H37" s="178"/>
    </row>
    <row r="38" spans="1:8" x14ac:dyDescent="0.2">
      <c r="A38" s="180">
        <v>44598</v>
      </c>
      <c r="B38" s="181">
        <f t="shared" si="1"/>
        <v>2</v>
      </c>
      <c r="C38" s="178">
        <f t="shared" ca="1" si="0"/>
        <v>57.142857142857146</v>
      </c>
      <c r="H38" s="178"/>
    </row>
    <row r="39" spans="1:8" x14ac:dyDescent="0.2">
      <c r="A39" s="180">
        <v>44599</v>
      </c>
      <c r="B39" s="181">
        <f t="shared" si="1"/>
        <v>2</v>
      </c>
      <c r="C39" s="178">
        <f t="shared" ca="1" si="0"/>
        <v>57.142857142857146</v>
      </c>
      <c r="H39" s="178"/>
    </row>
    <row r="40" spans="1:8" x14ac:dyDescent="0.2">
      <c r="A40" s="180">
        <v>44600</v>
      </c>
      <c r="B40" s="181">
        <f t="shared" si="1"/>
        <v>2</v>
      </c>
      <c r="C40" s="178">
        <f t="shared" ca="1" si="0"/>
        <v>57.142857142857146</v>
      </c>
      <c r="H40" s="178"/>
    </row>
    <row r="41" spans="1:8" x14ac:dyDescent="0.2">
      <c r="A41" s="180">
        <v>44601</v>
      </c>
      <c r="B41" s="181">
        <f t="shared" si="1"/>
        <v>2</v>
      </c>
      <c r="C41" s="178">
        <f t="shared" ca="1" si="0"/>
        <v>57.142857142857146</v>
      </c>
      <c r="H41" s="178"/>
    </row>
    <row r="42" spans="1:8" x14ac:dyDescent="0.2">
      <c r="A42" s="180">
        <v>44602</v>
      </c>
      <c r="B42" s="181">
        <f t="shared" si="1"/>
        <v>2</v>
      </c>
      <c r="C42" s="178">
        <f t="shared" ca="1" si="0"/>
        <v>57.142857142857146</v>
      </c>
      <c r="H42" s="178"/>
    </row>
    <row r="43" spans="1:8" x14ac:dyDescent="0.2">
      <c r="A43" s="180">
        <v>44603</v>
      </c>
      <c r="B43" s="181">
        <f t="shared" si="1"/>
        <v>2</v>
      </c>
      <c r="C43" s="178">
        <f t="shared" ca="1" si="0"/>
        <v>57.142857142857146</v>
      </c>
      <c r="H43" s="178"/>
    </row>
    <row r="44" spans="1:8" x14ac:dyDescent="0.2">
      <c r="A44" s="180">
        <v>44604</v>
      </c>
      <c r="B44" s="181">
        <f t="shared" si="1"/>
        <v>2</v>
      </c>
      <c r="C44" s="178">
        <f t="shared" ca="1" si="0"/>
        <v>57.142857142857146</v>
      </c>
      <c r="H44" s="178"/>
    </row>
    <row r="45" spans="1:8" x14ac:dyDescent="0.2">
      <c r="A45" s="180">
        <v>44605</v>
      </c>
      <c r="B45" s="181">
        <f t="shared" si="1"/>
        <v>2</v>
      </c>
      <c r="C45" s="178">
        <f t="shared" ca="1" si="0"/>
        <v>57.142857142857146</v>
      </c>
      <c r="H45" s="178"/>
    </row>
    <row r="46" spans="1:8" x14ac:dyDescent="0.2">
      <c r="A46" s="180">
        <v>44606</v>
      </c>
      <c r="B46" s="181">
        <f t="shared" si="1"/>
        <v>2</v>
      </c>
      <c r="C46" s="178">
        <f t="shared" ca="1" si="0"/>
        <v>57.142857142857146</v>
      </c>
      <c r="H46" s="178"/>
    </row>
    <row r="47" spans="1:8" x14ac:dyDescent="0.2">
      <c r="A47" s="180">
        <v>44607</v>
      </c>
      <c r="B47" s="181">
        <f t="shared" si="1"/>
        <v>2</v>
      </c>
      <c r="C47" s="178">
        <f t="shared" ca="1" si="0"/>
        <v>57.142857142857146</v>
      </c>
      <c r="H47" s="178"/>
    </row>
    <row r="48" spans="1:8" x14ac:dyDescent="0.2">
      <c r="A48" s="180">
        <v>44608</v>
      </c>
      <c r="B48" s="181">
        <f t="shared" si="1"/>
        <v>2</v>
      </c>
      <c r="C48" s="178">
        <f t="shared" ca="1" si="0"/>
        <v>57.142857142857146</v>
      </c>
      <c r="H48" s="178"/>
    </row>
    <row r="49" spans="1:8" x14ac:dyDescent="0.2">
      <c r="A49" s="180">
        <v>44609</v>
      </c>
      <c r="B49" s="181">
        <f t="shared" si="1"/>
        <v>2</v>
      </c>
      <c r="C49" s="178">
        <f t="shared" ca="1" si="0"/>
        <v>57.142857142857146</v>
      </c>
      <c r="H49" s="178"/>
    </row>
    <row r="50" spans="1:8" x14ac:dyDescent="0.2">
      <c r="A50" s="180">
        <v>44610</v>
      </c>
      <c r="B50" s="181">
        <f t="shared" si="1"/>
        <v>2</v>
      </c>
      <c r="C50" s="178">
        <f t="shared" ca="1" si="0"/>
        <v>57.142857142857146</v>
      </c>
      <c r="H50" s="178"/>
    </row>
    <row r="51" spans="1:8" x14ac:dyDescent="0.2">
      <c r="A51" s="180">
        <v>44611</v>
      </c>
      <c r="B51" s="181">
        <f t="shared" si="1"/>
        <v>2</v>
      </c>
      <c r="C51" s="178">
        <f t="shared" ca="1" si="0"/>
        <v>57.142857142857146</v>
      </c>
      <c r="H51" s="178"/>
    </row>
    <row r="52" spans="1:8" x14ac:dyDescent="0.2">
      <c r="A52" s="180">
        <v>44612</v>
      </c>
      <c r="B52" s="181">
        <f t="shared" si="1"/>
        <v>2</v>
      </c>
      <c r="C52" s="178">
        <f t="shared" ca="1" si="0"/>
        <v>57.142857142857146</v>
      </c>
      <c r="H52" s="178"/>
    </row>
    <row r="53" spans="1:8" x14ac:dyDescent="0.2">
      <c r="A53" s="180">
        <v>44613</v>
      </c>
      <c r="B53" s="181">
        <f t="shared" si="1"/>
        <v>2</v>
      </c>
      <c r="C53" s="178">
        <f t="shared" ca="1" si="0"/>
        <v>57.142857142857146</v>
      </c>
      <c r="H53" s="178"/>
    </row>
    <row r="54" spans="1:8" x14ac:dyDescent="0.2">
      <c r="A54" s="180">
        <v>44614</v>
      </c>
      <c r="B54" s="181">
        <f t="shared" si="1"/>
        <v>2</v>
      </c>
      <c r="C54" s="178">
        <f t="shared" ca="1" si="0"/>
        <v>57.142857142857146</v>
      </c>
      <c r="H54" s="178"/>
    </row>
    <row r="55" spans="1:8" x14ac:dyDescent="0.2">
      <c r="A55" s="180">
        <v>44615</v>
      </c>
      <c r="B55" s="181">
        <f t="shared" si="1"/>
        <v>2</v>
      </c>
      <c r="C55" s="178">
        <f t="shared" ca="1" si="0"/>
        <v>57.142857142857146</v>
      </c>
      <c r="H55" s="178"/>
    </row>
    <row r="56" spans="1:8" x14ac:dyDescent="0.2">
      <c r="A56" s="180">
        <v>44616</v>
      </c>
      <c r="B56" s="181">
        <f t="shared" si="1"/>
        <v>2</v>
      </c>
      <c r="C56" s="178">
        <f t="shared" ca="1" si="0"/>
        <v>57.142857142857146</v>
      </c>
      <c r="H56" s="178"/>
    </row>
    <row r="57" spans="1:8" x14ac:dyDescent="0.2">
      <c r="A57" s="180">
        <v>44617</v>
      </c>
      <c r="B57" s="181">
        <f t="shared" si="1"/>
        <v>2</v>
      </c>
      <c r="C57" s="178">
        <f t="shared" ca="1" si="0"/>
        <v>57.142857142857146</v>
      </c>
      <c r="H57" s="178"/>
    </row>
    <row r="58" spans="1:8" x14ac:dyDescent="0.2">
      <c r="A58" s="180">
        <v>44618</v>
      </c>
      <c r="B58" s="181">
        <f t="shared" si="1"/>
        <v>2</v>
      </c>
      <c r="C58" s="178">
        <f t="shared" ca="1" si="0"/>
        <v>57.142857142857146</v>
      </c>
      <c r="H58" s="178"/>
    </row>
    <row r="59" spans="1:8" x14ac:dyDescent="0.2">
      <c r="A59" s="180">
        <v>44619</v>
      </c>
      <c r="B59" s="181">
        <f t="shared" si="1"/>
        <v>2</v>
      </c>
      <c r="C59" s="178">
        <f t="shared" ca="1" si="0"/>
        <v>57.142857142857146</v>
      </c>
      <c r="H59" s="178"/>
    </row>
    <row r="60" spans="1:8" x14ac:dyDescent="0.2">
      <c r="A60" s="180">
        <v>44620</v>
      </c>
      <c r="B60" s="181">
        <f t="shared" si="1"/>
        <v>2</v>
      </c>
      <c r="C60" s="178">
        <f t="shared" ca="1" si="0"/>
        <v>57.142857142857146</v>
      </c>
      <c r="H60" s="178"/>
    </row>
    <row r="61" spans="1:8" x14ac:dyDescent="0.2">
      <c r="A61" s="180">
        <v>44621</v>
      </c>
      <c r="B61" s="181">
        <f t="shared" si="1"/>
        <v>3</v>
      </c>
      <c r="C61" s="178">
        <f t="shared" ca="1" si="0"/>
        <v>51.612903225806448</v>
      </c>
      <c r="H61" s="178"/>
    </row>
    <row r="62" spans="1:8" x14ac:dyDescent="0.2">
      <c r="A62" s="180">
        <v>44622</v>
      </c>
      <c r="B62" s="181">
        <f t="shared" si="1"/>
        <v>3</v>
      </c>
      <c r="C62" s="178">
        <f t="shared" ca="1" si="0"/>
        <v>51.612903225806448</v>
      </c>
      <c r="H62" s="178"/>
    </row>
    <row r="63" spans="1:8" x14ac:dyDescent="0.2">
      <c r="A63" s="180">
        <v>44623</v>
      </c>
      <c r="B63" s="181">
        <f t="shared" si="1"/>
        <v>3</v>
      </c>
      <c r="C63" s="178">
        <f t="shared" ca="1" si="0"/>
        <v>51.612903225806448</v>
      </c>
      <c r="H63" s="178"/>
    </row>
    <row r="64" spans="1:8" x14ac:dyDescent="0.2">
      <c r="A64" s="180">
        <v>44624</v>
      </c>
      <c r="B64" s="181">
        <f t="shared" si="1"/>
        <v>3</v>
      </c>
      <c r="C64" s="178">
        <f t="shared" ca="1" si="0"/>
        <v>51.612903225806448</v>
      </c>
      <c r="H64" s="178"/>
    </row>
    <row r="65" spans="1:8" x14ac:dyDescent="0.2">
      <c r="A65" s="180">
        <v>44625</v>
      </c>
      <c r="B65" s="181">
        <f t="shared" si="1"/>
        <v>3</v>
      </c>
      <c r="C65" s="178">
        <f t="shared" ca="1" si="0"/>
        <v>51.612903225806448</v>
      </c>
      <c r="H65" s="178"/>
    </row>
    <row r="66" spans="1:8" x14ac:dyDescent="0.2">
      <c r="A66" s="180">
        <v>44626</v>
      </c>
      <c r="B66" s="181">
        <f t="shared" si="1"/>
        <v>3</v>
      </c>
      <c r="C66" s="178">
        <f t="shared" ref="C66:C129" ca="1" si="2">IF(A66&lt;=$G$2,VLOOKUP(B66,$E$4:$H$15,4),0)</f>
        <v>51.612903225806448</v>
      </c>
      <c r="H66" s="178"/>
    </row>
    <row r="67" spans="1:8" x14ac:dyDescent="0.2">
      <c r="A67" s="180">
        <v>44627</v>
      </c>
      <c r="B67" s="181">
        <f t="shared" ref="B67:B130" si="3">MONTH(A67)</f>
        <v>3</v>
      </c>
      <c r="C67" s="178">
        <f t="shared" ca="1" si="2"/>
        <v>51.612903225806448</v>
      </c>
      <c r="H67" s="178"/>
    </row>
    <row r="68" spans="1:8" x14ac:dyDescent="0.2">
      <c r="A68" s="180">
        <v>44628</v>
      </c>
      <c r="B68" s="181">
        <f t="shared" si="3"/>
        <v>3</v>
      </c>
      <c r="C68" s="178">
        <f t="shared" ca="1" si="2"/>
        <v>51.612903225806448</v>
      </c>
      <c r="H68" s="178"/>
    </row>
    <row r="69" spans="1:8" x14ac:dyDescent="0.2">
      <c r="A69" s="180">
        <v>44629</v>
      </c>
      <c r="B69" s="181">
        <f t="shared" si="3"/>
        <v>3</v>
      </c>
      <c r="C69" s="178">
        <f t="shared" ca="1" si="2"/>
        <v>51.612903225806448</v>
      </c>
      <c r="H69" s="178"/>
    </row>
    <row r="70" spans="1:8" x14ac:dyDescent="0.2">
      <c r="A70" s="180">
        <v>44630</v>
      </c>
      <c r="B70" s="181">
        <f t="shared" si="3"/>
        <v>3</v>
      </c>
      <c r="C70" s="178">
        <f t="shared" ca="1" si="2"/>
        <v>51.612903225806448</v>
      </c>
      <c r="H70" s="178"/>
    </row>
    <row r="71" spans="1:8" x14ac:dyDescent="0.2">
      <c r="A71" s="180">
        <v>44631</v>
      </c>
      <c r="B71" s="181">
        <f t="shared" si="3"/>
        <v>3</v>
      </c>
      <c r="C71" s="178">
        <f t="shared" ca="1" si="2"/>
        <v>51.612903225806448</v>
      </c>
      <c r="H71" s="178"/>
    </row>
    <row r="72" spans="1:8" x14ac:dyDescent="0.2">
      <c r="A72" s="180">
        <v>44632</v>
      </c>
      <c r="B72" s="181">
        <f t="shared" si="3"/>
        <v>3</v>
      </c>
      <c r="C72" s="178">
        <f t="shared" ca="1" si="2"/>
        <v>51.612903225806448</v>
      </c>
      <c r="H72" s="178"/>
    </row>
    <row r="73" spans="1:8" x14ac:dyDescent="0.2">
      <c r="A73" s="180">
        <v>44633</v>
      </c>
      <c r="B73" s="181">
        <f t="shared" si="3"/>
        <v>3</v>
      </c>
      <c r="C73" s="178">
        <f t="shared" ca="1" si="2"/>
        <v>51.612903225806448</v>
      </c>
      <c r="H73" s="178"/>
    </row>
    <row r="74" spans="1:8" x14ac:dyDescent="0.2">
      <c r="A74" s="180">
        <v>44634</v>
      </c>
      <c r="B74" s="181">
        <f t="shared" si="3"/>
        <v>3</v>
      </c>
      <c r="C74" s="178">
        <f t="shared" ca="1" si="2"/>
        <v>51.612903225806448</v>
      </c>
      <c r="H74" s="178"/>
    </row>
    <row r="75" spans="1:8" x14ac:dyDescent="0.2">
      <c r="A75" s="180">
        <v>44635</v>
      </c>
      <c r="B75" s="181">
        <f t="shared" si="3"/>
        <v>3</v>
      </c>
      <c r="C75" s="178">
        <f t="shared" ca="1" si="2"/>
        <v>51.612903225806448</v>
      </c>
      <c r="H75" s="178"/>
    </row>
    <row r="76" spans="1:8" x14ac:dyDescent="0.2">
      <c r="A76" s="180">
        <v>44636</v>
      </c>
      <c r="B76" s="181">
        <f t="shared" si="3"/>
        <v>3</v>
      </c>
      <c r="C76" s="178">
        <f t="shared" ca="1" si="2"/>
        <v>51.612903225806448</v>
      </c>
      <c r="H76" s="178"/>
    </row>
    <row r="77" spans="1:8" x14ac:dyDescent="0.2">
      <c r="A77" s="180">
        <v>44637</v>
      </c>
      <c r="B77" s="181">
        <f t="shared" si="3"/>
        <v>3</v>
      </c>
      <c r="C77" s="178">
        <f t="shared" ca="1" si="2"/>
        <v>51.612903225806448</v>
      </c>
      <c r="H77" s="178"/>
    </row>
    <row r="78" spans="1:8" x14ac:dyDescent="0.2">
      <c r="A78" s="180">
        <v>44638</v>
      </c>
      <c r="B78" s="181">
        <f t="shared" si="3"/>
        <v>3</v>
      </c>
      <c r="C78" s="178">
        <f t="shared" ca="1" si="2"/>
        <v>51.612903225806448</v>
      </c>
      <c r="H78" s="178"/>
    </row>
    <row r="79" spans="1:8" x14ac:dyDescent="0.2">
      <c r="A79" s="180">
        <v>44639</v>
      </c>
      <c r="B79" s="181">
        <f t="shared" si="3"/>
        <v>3</v>
      </c>
      <c r="C79" s="178">
        <f t="shared" ca="1" si="2"/>
        <v>51.612903225806448</v>
      </c>
      <c r="H79" s="178"/>
    </row>
    <row r="80" spans="1:8" x14ac:dyDescent="0.2">
      <c r="A80" s="180">
        <v>44640</v>
      </c>
      <c r="B80" s="181">
        <f t="shared" si="3"/>
        <v>3</v>
      </c>
      <c r="C80" s="178">
        <f t="shared" ca="1" si="2"/>
        <v>51.612903225806448</v>
      </c>
      <c r="H80" s="178"/>
    </row>
    <row r="81" spans="1:8" x14ac:dyDescent="0.2">
      <c r="A81" s="180">
        <v>44641</v>
      </c>
      <c r="B81" s="181">
        <f t="shared" si="3"/>
        <v>3</v>
      </c>
      <c r="C81" s="178">
        <f t="shared" ca="1" si="2"/>
        <v>51.612903225806448</v>
      </c>
      <c r="H81" s="178"/>
    </row>
    <row r="82" spans="1:8" x14ac:dyDescent="0.2">
      <c r="A82" s="180">
        <v>44642</v>
      </c>
      <c r="B82" s="181">
        <f t="shared" si="3"/>
        <v>3</v>
      </c>
      <c r="C82" s="178">
        <f t="shared" ca="1" si="2"/>
        <v>51.612903225806448</v>
      </c>
      <c r="H82" s="178"/>
    </row>
    <row r="83" spans="1:8" x14ac:dyDescent="0.2">
      <c r="A83" s="180">
        <v>44643</v>
      </c>
      <c r="B83" s="181">
        <f t="shared" si="3"/>
        <v>3</v>
      </c>
      <c r="C83" s="178">
        <f t="shared" ca="1" si="2"/>
        <v>51.612903225806448</v>
      </c>
      <c r="H83" s="178"/>
    </row>
    <row r="84" spans="1:8" x14ac:dyDescent="0.2">
      <c r="A84" s="180">
        <v>44644</v>
      </c>
      <c r="B84" s="181">
        <f t="shared" si="3"/>
        <v>3</v>
      </c>
      <c r="C84" s="178">
        <f t="shared" ca="1" si="2"/>
        <v>51.612903225806448</v>
      </c>
      <c r="H84" s="178"/>
    </row>
    <row r="85" spans="1:8" x14ac:dyDescent="0.2">
      <c r="A85" s="180">
        <v>44645</v>
      </c>
      <c r="B85" s="181">
        <f t="shared" si="3"/>
        <v>3</v>
      </c>
      <c r="C85" s="178">
        <f t="shared" ca="1" si="2"/>
        <v>51.612903225806448</v>
      </c>
      <c r="H85" s="178"/>
    </row>
    <row r="86" spans="1:8" x14ac:dyDescent="0.2">
      <c r="A86" s="180">
        <v>44646</v>
      </c>
      <c r="B86" s="181">
        <f t="shared" si="3"/>
        <v>3</v>
      </c>
      <c r="C86" s="178">
        <f t="shared" ca="1" si="2"/>
        <v>51.612903225806448</v>
      </c>
      <c r="H86" s="178"/>
    </row>
    <row r="87" spans="1:8" x14ac:dyDescent="0.2">
      <c r="A87" s="180">
        <v>44647</v>
      </c>
      <c r="B87" s="181">
        <f t="shared" si="3"/>
        <v>3</v>
      </c>
      <c r="C87" s="178">
        <f t="shared" ca="1" si="2"/>
        <v>51.612903225806448</v>
      </c>
      <c r="H87" s="178"/>
    </row>
    <row r="88" spans="1:8" x14ac:dyDescent="0.2">
      <c r="A88" s="180">
        <v>44648</v>
      </c>
      <c r="B88" s="181">
        <f t="shared" si="3"/>
        <v>3</v>
      </c>
      <c r="C88" s="178">
        <f t="shared" ca="1" si="2"/>
        <v>51.612903225806448</v>
      </c>
      <c r="H88" s="178"/>
    </row>
    <row r="89" spans="1:8" x14ac:dyDescent="0.2">
      <c r="A89" s="180">
        <v>44649</v>
      </c>
      <c r="B89" s="181">
        <f t="shared" si="3"/>
        <v>3</v>
      </c>
      <c r="C89" s="178">
        <f t="shared" ca="1" si="2"/>
        <v>51.612903225806448</v>
      </c>
      <c r="H89" s="178"/>
    </row>
    <row r="90" spans="1:8" x14ac:dyDescent="0.2">
      <c r="A90" s="180">
        <v>44650</v>
      </c>
      <c r="B90" s="181">
        <f t="shared" si="3"/>
        <v>3</v>
      </c>
      <c r="C90" s="178">
        <f t="shared" ca="1" si="2"/>
        <v>51.612903225806448</v>
      </c>
      <c r="H90" s="178"/>
    </row>
    <row r="91" spans="1:8" x14ac:dyDescent="0.2">
      <c r="A91" s="180">
        <v>44651</v>
      </c>
      <c r="B91" s="181">
        <f t="shared" si="3"/>
        <v>3</v>
      </c>
      <c r="C91" s="178">
        <f t="shared" ca="1" si="2"/>
        <v>51.612903225806448</v>
      </c>
      <c r="H91" s="178"/>
    </row>
    <row r="92" spans="1:8" x14ac:dyDescent="0.2">
      <c r="A92" s="180">
        <v>44652</v>
      </c>
      <c r="B92" s="181">
        <f t="shared" si="3"/>
        <v>4</v>
      </c>
      <c r="C92" s="178">
        <f t="shared" ca="1" si="2"/>
        <v>53.333333333333336</v>
      </c>
      <c r="H92" s="178"/>
    </row>
    <row r="93" spans="1:8" x14ac:dyDescent="0.2">
      <c r="A93" s="180">
        <v>44653</v>
      </c>
      <c r="B93" s="181">
        <f t="shared" si="3"/>
        <v>4</v>
      </c>
      <c r="C93" s="178">
        <f t="shared" ca="1" si="2"/>
        <v>53.333333333333336</v>
      </c>
      <c r="H93" s="178"/>
    </row>
    <row r="94" spans="1:8" x14ac:dyDescent="0.2">
      <c r="A94" s="180">
        <v>44654</v>
      </c>
      <c r="B94" s="181">
        <f t="shared" si="3"/>
        <v>4</v>
      </c>
      <c r="C94" s="178">
        <f t="shared" ca="1" si="2"/>
        <v>53.333333333333336</v>
      </c>
      <c r="H94" s="178"/>
    </row>
    <row r="95" spans="1:8" x14ac:dyDescent="0.2">
      <c r="A95" s="180">
        <v>44655</v>
      </c>
      <c r="B95" s="181">
        <f t="shared" si="3"/>
        <v>4</v>
      </c>
      <c r="C95" s="178">
        <f t="shared" ca="1" si="2"/>
        <v>53.333333333333336</v>
      </c>
      <c r="H95" s="178"/>
    </row>
    <row r="96" spans="1:8" x14ac:dyDescent="0.2">
      <c r="A96" s="180">
        <v>44656</v>
      </c>
      <c r="B96" s="181">
        <f t="shared" si="3"/>
        <v>4</v>
      </c>
      <c r="C96" s="178">
        <f t="shared" ca="1" si="2"/>
        <v>53.333333333333336</v>
      </c>
      <c r="H96" s="178"/>
    </row>
    <row r="97" spans="1:8" x14ac:dyDescent="0.2">
      <c r="A97" s="180">
        <v>44657</v>
      </c>
      <c r="B97" s="181">
        <f t="shared" si="3"/>
        <v>4</v>
      </c>
      <c r="C97" s="178">
        <f t="shared" ca="1" si="2"/>
        <v>53.333333333333336</v>
      </c>
      <c r="H97" s="178"/>
    </row>
    <row r="98" spans="1:8" x14ac:dyDescent="0.2">
      <c r="A98" s="180">
        <v>44658</v>
      </c>
      <c r="B98" s="181">
        <f t="shared" si="3"/>
        <v>4</v>
      </c>
      <c r="C98" s="178">
        <f t="shared" ca="1" si="2"/>
        <v>53.333333333333336</v>
      </c>
      <c r="H98" s="178"/>
    </row>
    <row r="99" spans="1:8" x14ac:dyDescent="0.2">
      <c r="A99" s="180">
        <v>44659</v>
      </c>
      <c r="B99" s="181">
        <f t="shared" si="3"/>
        <v>4</v>
      </c>
      <c r="C99" s="178">
        <f t="shared" ca="1" si="2"/>
        <v>53.333333333333336</v>
      </c>
      <c r="H99" s="178"/>
    </row>
    <row r="100" spans="1:8" x14ac:dyDescent="0.2">
      <c r="A100" s="180">
        <v>44660</v>
      </c>
      <c r="B100" s="181">
        <f t="shared" si="3"/>
        <v>4</v>
      </c>
      <c r="C100" s="178">
        <f t="shared" ca="1" si="2"/>
        <v>53.333333333333336</v>
      </c>
      <c r="H100" s="178"/>
    </row>
    <row r="101" spans="1:8" x14ac:dyDescent="0.2">
      <c r="A101" s="180">
        <v>44661</v>
      </c>
      <c r="B101" s="181">
        <f t="shared" si="3"/>
        <v>4</v>
      </c>
      <c r="C101" s="178">
        <f t="shared" ca="1" si="2"/>
        <v>53.333333333333336</v>
      </c>
      <c r="H101" s="178"/>
    </row>
    <row r="102" spans="1:8" x14ac:dyDescent="0.2">
      <c r="A102" s="180">
        <v>44662</v>
      </c>
      <c r="B102" s="181">
        <f t="shared" si="3"/>
        <v>4</v>
      </c>
      <c r="C102" s="178">
        <f t="shared" ca="1" si="2"/>
        <v>53.333333333333336</v>
      </c>
      <c r="H102" s="178"/>
    </row>
    <row r="103" spans="1:8" x14ac:dyDescent="0.2">
      <c r="A103" s="180">
        <v>44663</v>
      </c>
      <c r="B103" s="181">
        <f t="shared" si="3"/>
        <v>4</v>
      </c>
      <c r="C103" s="178">
        <f t="shared" ca="1" si="2"/>
        <v>53.333333333333336</v>
      </c>
      <c r="H103" s="178"/>
    </row>
    <row r="104" spans="1:8" x14ac:dyDescent="0.2">
      <c r="A104" s="180">
        <v>44664</v>
      </c>
      <c r="B104" s="181">
        <f t="shared" si="3"/>
        <v>4</v>
      </c>
      <c r="C104" s="178">
        <f t="shared" ca="1" si="2"/>
        <v>53.333333333333336</v>
      </c>
      <c r="H104" s="178"/>
    </row>
    <row r="105" spans="1:8" x14ac:dyDescent="0.2">
      <c r="A105" s="180">
        <v>44665</v>
      </c>
      <c r="B105" s="181">
        <f t="shared" si="3"/>
        <v>4</v>
      </c>
      <c r="C105" s="178">
        <f t="shared" ca="1" si="2"/>
        <v>53.333333333333336</v>
      </c>
      <c r="H105" s="178"/>
    </row>
    <row r="106" spans="1:8" x14ac:dyDescent="0.2">
      <c r="A106" s="180">
        <v>44666</v>
      </c>
      <c r="B106" s="181">
        <f t="shared" si="3"/>
        <v>4</v>
      </c>
      <c r="C106" s="178">
        <f t="shared" ca="1" si="2"/>
        <v>53.333333333333336</v>
      </c>
      <c r="H106" s="178"/>
    </row>
    <row r="107" spans="1:8" x14ac:dyDescent="0.2">
      <c r="A107" s="180">
        <v>44667</v>
      </c>
      <c r="B107" s="181">
        <f t="shared" si="3"/>
        <v>4</v>
      </c>
      <c r="C107" s="178">
        <f t="shared" ca="1" si="2"/>
        <v>53.333333333333336</v>
      </c>
      <c r="H107" s="178"/>
    </row>
    <row r="108" spans="1:8" x14ac:dyDescent="0.2">
      <c r="A108" s="180">
        <v>44668</v>
      </c>
      <c r="B108" s="181">
        <f t="shared" si="3"/>
        <v>4</v>
      </c>
      <c r="C108" s="178">
        <f t="shared" ca="1" si="2"/>
        <v>53.333333333333336</v>
      </c>
      <c r="H108" s="178"/>
    </row>
    <row r="109" spans="1:8" x14ac:dyDescent="0.2">
      <c r="A109" s="180">
        <v>44669</v>
      </c>
      <c r="B109" s="181">
        <f t="shared" si="3"/>
        <v>4</v>
      </c>
      <c r="C109" s="178">
        <f t="shared" ca="1" si="2"/>
        <v>53.333333333333336</v>
      </c>
      <c r="H109" s="178"/>
    </row>
    <row r="110" spans="1:8" x14ac:dyDescent="0.2">
      <c r="A110" s="180">
        <v>44670</v>
      </c>
      <c r="B110" s="181">
        <f t="shared" si="3"/>
        <v>4</v>
      </c>
      <c r="C110" s="178">
        <f t="shared" ca="1" si="2"/>
        <v>53.333333333333336</v>
      </c>
      <c r="H110" s="178"/>
    </row>
    <row r="111" spans="1:8" x14ac:dyDescent="0.2">
      <c r="A111" s="180">
        <v>44671</v>
      </c>
      <c r="B111" s="181">
        <f t="shared" si="3"/>
        <v>4</v>
      </c>
      <c r="C111" s="178">
        <f t="shared" ca="1" si="2"/>
        <v>53.333333333333336</v>
      </c>
      <c r="H111" s="178"/>
    </row>
    <row r="112" spans="1:8" x14ac:dyDescent="0.2">
      <c r="A112" s="180">
        <v>44672</v>
      </c>
      <c r="B112" s="181">
        <f t="shared" si="3"/>
        <v>4</v>
      </c>
      <c r="C112" s="178">
        <f t="shared" ca="1" si="2"/>
        <v>53.333333333333336</v>
      </c>
      <c r="H112" s="178"/>
    </row>
    <row r="113" spans="1:8" x14ac:dyDescent="0.2">
      <c r="A113" s="180">
        <v>44673</v>
      </c>
      <c r="B113" s="181">
        <f t="shared" si="3"/>
        <v>4</v>
      </c>
      <c r="C113" s="178">
        <f t="shared" ca="1" si="2"/>
        <v>53.333333333333336</v>
      </c>
      <c r="H113" s="178"/>
    </row>
    <row r="114" spans="1:8" x14ac:dyDescent="0.2">
      <c r="A114" s="180">
        <v>44674</v>
      </c>
      <c r="B114" s="181">
        <f t="shared" si="3"/>
        <v>4</v>
      </c>
      <c r="C114" s="178">
        <f t="shared" ca="1" si="2"/>
        <v>53.333333333333336</v>
      </c>
      <c r="H114" s="178"/>
    </row>
    <row r="115" spans="1:8" x14ac:dyDescent="0.2">
      <c r="A115" s="180">
        <v>44675</v>
      </c>
      <c r="B115" s="181">
        <f t="shared" si="3"/>
        <v>4</v>
      </c>
      <c r="C115" s="178">
        <f t="shared" ca="1" si="2"/>
        <v>53.333333333333336</v>
      </c>
      <c r="H115" s="178"/>
    </row>
    <row r="116" spans="1:8" x14ac:dyDescent="0.2">
      <c r="A116" s="180">
        <v>44676</v>
      </c>
      <c r="B116" s="181">
        <f t="shared" si="3"/>
        <v>4</v>
      </c>
      <c r="C116" s="178">
        <f t="shared" ca="1" si="2"/>
        <v>53.333333333333336</v>
      </c>
      <c r="H116" s="178"/>
    </row>
    <row r="117" spans="1:8" x14ac:dyDescent="0.2">
      <c r="A117" s="180">
        <v>44677</v>
      </c>
      <c r="B117" s="181">
        <f t="shared" si="3"/>
        <v>4</v>
      </c>
      <c r="C117" s="178">
        <f t="shared" ca="1" si="2"/>
        <v>53.333333333333336</v>
      </c>
      <c r="H117" s="178"/>
    </row>
    <row r="118" spans="1:8" x14ac:dyDescent="0.2">
      <c r="A118" s="180">
        <v>44678</v>
      </c>
      <c r="B118" s="181">
        <f t="shared" si="3"/>
        <v>4</v>
      </c>
      <c r="C118" s="178">
        <f t="shared" ca="1" si="2"/>
        <v>53.333333333333336</v>
      </c>
      <c r="H118" s="178"/>
    </row>
    <row r="119" spans="1:8" x14ac:dyDescent="0.2">
      <c r="A119" s="180">
        <v>44679</v>
      </c>
      <c r="B119" s="181">
        <f t="shared" si="3"/>
        <v>4</v>
      </c>
      <c r="C119" s="178">
        <f t="shared" ca="1" si="2"/>
        <v>53.333333333333336</v>
      </c>
      <c r="H119" s="178"/>
    </row>
    <row r="120" spans="1:8" x14ac:dyDescent="0.2">
      <c r="A120" s="180">
        <v>44680</v>
      </c>
      <c r="B120" s="181">
        <f t="shared" si="3"/>
        <v>4</v>
      </c>
      <c r="C120" s="178">
        <f t="shared" ca="1" si="2"/>
        <v>53.333333333333336</v>
      </c>
      <c r="H120" s="178"/>
    </row>
    <row r="121" spans="1:8" x14ac:dyDescent="0.2">
      <c r="A121" s="180">
        <v>44681</v>
      </c>
      <c r="B121" s="181">
        <f t="shared" si="3"/>
        <v>4</v>
      </c>
      <c r="C121" s="178">
        <f t="shared" ca="1" si="2"/>
        <v>53.333333333333336</v>
      </c>
      <c r="H121" s="178"/>
    </row>
    <row r="122" spans="1:8" x14ac:dyDescent="0.2">
      <c r="A122" s="180">
        <v>44682</v>
      </c>
      <c r="B122" s="181">
        <f t="shared" si="3"/>
        <v>5</v>
      </c>
      <c r="C122" s="178">
        <f t="shared" ca="1" si="2"/>
        <v>51.612903225806448</v>
      </c>
      <c r="H122" s="178"/>
    </row>
    <row r="123" spans="1:8" x14ac:dyDescent="0.2">
      <c r="A123" s="180">
        <v>44683</v>
      </c>
      <c r="B123" s="181">
        <f t="shared" si="3"/>
        <v>5</v>
      </c>
      <c r="C123" s="178">
        <f t="shared" ca="1" si="2"/>
        <v>51.612903225806448</v>
      </c>
      <c r="H123" s="178"/>
    </row>
    <row r="124" spans="1:8" x14ac:dyDescent="0.2">
      <c r="A124" s="180">
        <v>44684</v>
      </c>
      <c r="B124" s="181">
        <f t="shared" si="3"/>
        <v>5</v>
      </c>
      <c r="C124" s="178">
        <f t="shared" ca="1" si="2"/>
        <v>51.612903225806448</v>
      </c>
      <c r="H124" s="178"/>
    </row>
    <row r="125" spans="1:8" x14ac:dyDescent="0.2">
      <c r="A125" s="180">
        <v>44685</v>
      </c>
      <c r="B125" s="181">
        <f t="shared" si="3"/>
        <v>5</v>
      </c>
      <c r="C125" s="178">
        <f t="shared" ca="1" si="2"/>
        <v>51.612903225806448</v>
      </c>
      <c r="H125" s="178"/>
    </row>
    <row r="126" spans="1:8" x14ac:dyDescent="0.2">
      <c r="A126" s="180">
        <v>44686</v>
      </c>
      <c r="B126" s="181">
        <f t="shared" si="3"/>
        <v>5</v>
      </c>
      <c r="C126" s="178">
        <f t="shared" ca="1" si="2"/>
        <v>51.612903225806448</v>
      </c>
      <c r="H126" s="178"/>
    </row>
    <row r="127" spans="1:8" x14ac:dyDescent="0.2">
      <c r="A127" s="180">
        <v>44687</v>
      </c>
      <c r="B127" s="181">
        <f t="shared" si="3"/>
        <v>5</v>
      </c>
      <c r="C127" s="178">
        <f t="shared" ca="1" si="2"/>
        <v>51.612903225806448</v>
      </c>
      <c r="H127" s="178"/>
    </row>
    <row r="128" spans="1:8" x14ac:dyDescent="0.2">
      <c r="A128" s="180">
        <v>44688</v>
      </c>
      <c r="B128" s="181">
        <f t="shared" si="3"/>
        <v>5</v>
      </c>
      <c r="C128" s="178">
        <f t="shared" ca="1" si="2"/>
        <v>51.612903225806448</v>
      </c>
      <c r="H128" s="178"/>
    </row>
    <row r="129" spans="1:8" x14ac:dyDescent="0.2">
      <c r="A129" s="180">
        <v>44689</v>
      </c>
      <c r="B129" s="181">
        <f t="shared" si="3"/>
        <v>5</v>
      </c>
      <c r="C129" s="178">
        <f t="shared" ca="1" si="2"/>
        <v>51.612903225806448</v>
      </c>
      <c r="H129" s="178"/>
    </row>
    <row r="130" spans="1:8" x14ac:dyDescent="0.2">
      <c r="A130" s="180">
        <v>44690</v>
      </c>
      <c r="B130" s="181">
        <f t="shared" si="3"/>
        <v>5</v>
      </c>
      <c r="C130" s="178">
        <f t="shared" ref="C130:C193" ca="1" si="4">IF(A130&lt;=$G$2,VLOOKUP(B130,$E$4:$H$15,4),0)</f>
        <v>51.612903225806448</v>
      </c>
      <c r="H130" s="178"/>
    </row>
    <row r="131" spans="1:8" x14ac:dyDescent="0.2">
      <c r="A131" s="180">
        <v>44691</v>
      </c>
      <c r="B131" s="181">
        <f t="shared" ref="B131:B194" si="5">MONTH(A131)</f>
        <v>5</v>
      </c>
      <c r="C131" s="178">
        <f t="shared" ca="1" si="4"/>
        <v>51.612903225806448</v>
      </c>
      <c r="H131" s="178"/>
    </row>
    <row r="132" spans="1:8" x14ac:dyDescent="0.2">
      <c r="A132" s="180">
        <v>44692</v>
      </c>
      <c r="B132" s="181">
        <f t="shared" si="5"/>
        <v>5</v>
      </c>
      <c r="C132" s="178">
        <f t="shared" ca="1" si="4"/>
        <v>51.612903225806448</v>
      </c>
      <c r="H132" s="178"/>
    </row>
    <row r="133" spans="1:8" x14ac:dyDescent="0.2">
      <c r="A133" s="180">
        <v>44693</v>
      </c>
      <c r="B133" s="181">
        <f t="shared" si="5"/>
        <v>5</v>
      </c>
      <c r="C133" s="178">
        <f t="shared" ca="1" si="4"/>
        <v>51.612903225806448</v>
      </c>
      <c r="H133" s="178"/>
    </row>
    <row r="134" spans="1:8" x14ac:dyDescent="0.2">
      <c r="A134" s="180">
        <v>44694</v>
      </c>
      <c r="B134" s="181">
        <f t="shared" si="5"/>
        <v>5</v>
      </c>
      <c r="C134" s="178">
        <f t="shared" ca="1" si="4"/>
        <v>51.612903225806448</v>
      </c>
      <c r="H134" s="178"/>
    </row>
    <row r="135" spans="1:8" x14ac:dyDescent="0.2">
      <c r="A135" s="180">
        <v>44695</v>
      </c>
      <c r="B135" s="181">
        <f t="shared" si="5"/>
        <v>5</v>
      </c>
      <c r="C135" s="178">
        <f t="shared" ca="1" si="4"/>
        <v>51.612903225806448</v>
      </c>
      <c r="H135" s="178"/>
    </row>
    <row r="136" spans="1:8" x14ac:dyDescent="0.2">
      <c r="A136" s="180">
        <v>44696</v>
      </c>
      <c r="B136" s="181">
        <f t="shared" si="5"/>
        <v>5</v>
      </c>
      <c r="C136" s="178">
        <f t="shared" ca="1" si="4"/>
        <v>51.612903225806448</v>
      </c>
      <c r="H136" s="178"/>
    </row>
    <row r="137" spans="1:8" x14ac:dyDescent="0.2">
      <c r="A137" s="180">
        <v>44697</v>
      </c>
      <c r="B137" s="181">
        <f t="shared" si="5"/>
        <v>5</v>
      </c>
      <c r="C137" s="178">
        <f t="shared" ca="1" si="4"/>
        <v>51.612903225806448</v>
      </c>
      <c r="H137" s="178"/>
    </row>
    <row r="138" spans="1:8" x14ac:dyDescent="0.2">
      <c r="A138" s="180">
        <v>44698</v>
      </c>
      <c r="B138" s="181">
        <f t="shared" si="5"/>
        <v>5</v>
      </c>
      <c r="C138" s="178">
        <f t="shared" ca="1" si="4"/>
        <v>51.612903225806448</v>
      </c>
      <c r="H138" s="178"/>
    </row>
    <row r="139" spans="1:8" x14ac:dyDescent="0.2">
      <c r="A139" s="180">
        <v>44699</v>
      </c>
      <c r="B139" s="181">
        <f t="shared" si="5"/>
        <v>5</v>
      </c>
      <c r="C139" s="178">
        <f t="shared" ca="1" si="4"/>
        <v>51.612903225806448</v>
      </c>
      <c r="H139" s="178"/>
    </row>
    <row r="140" spans="1:8" x14ac:dyDescent="0.2">
      <c r="A140" s="180">
        <v>44700</v>
      </c>
      <c r="B140" s="181">
        <f t="shared" si="5"/>
        <v>5</v>
      </c>
      <c r="C140" s="178">
        <f t="shared" ca="1" si="4"/>
        <v>51.612903225806448</v>
      </c>
      <c r="H140" s="178"/>
    </row>
    <row r="141" spans="1:8" x14ac:dyDescent="0.2">
      <c r="A141" s="180">
        <v>44701</v>
      </c>
      <c r="B141" s="181">
        <f t="shared" si="5"/>
        <v>5</v>
      </c>
      <c r="C141" s="178">
        <f t="shared" ca="1" si="4"/>
        <v>51.612903225806448</v>
      </c>
      <c r="H141" s="178"/>
    </row>
    <row r="142" spans="1:8" x14ac:dyDescent="0.2">
      <c r="A142" s="180">
        <v>44702</v>
      </c>
      <c r="B142" s="181">
        <f t="shared" si="5"/>
        <v>5</v>
      </c>
      <c r="C142" s="178">
        <f t="shared" ca="1" si="4"/>
        <v>51.612903225806448</v>
      </c>
      <c r="H142" s="178"/>
    </row>
    <row r="143" spans="1:8" x14ac:dyDescent="0.2">
      <c r="A143" s="180">
        <v>44703</v>
      </c>
      <c r="B143" s="181">
        <f t="shared" si="5"/>
        <v>5</v>
      </c>
      <c r="C143" s="178">
        <f t="shared" ca="1" si="4"/>
        <v>51.612903225806448</v>
      </c>
      <c r="H143" s="178"/>
    </row>
    <row r="144" spans="1:8" x14ac:dyDescent="0.2">
      <c r="A144" s="180">
        <v>44704</v>
      </c>
      <c r="B144" s="181">
        <f t="shared" si="5"/>
        <v>5</v>
      </c>
      <c r="C144" s="178">
        <f t="shared" ca="1" si="4"/>
        <v>51.612903225806448</v>
      </c>
      <c r="H144" s="178"/>
    </row>
    <row r="145" spans="1:8" x14ac:dyDescent="0.2">
      <c r="A145" s="180">
        <v>44705</v>
      </c>
      <c r="B145" s="181">
        <f t="shared" si="5"/>
        <v>5</v>
      </c>
      <c r="C145" s="178">
        <f t="shared" ca="1" si="4"/>
        <v>51.612903225806448</v>
      </c>
      <c r="H145" s="178"/>
    </row>
    <row r="146" spans="1:8" x14ac:dyDescent="0.2">
      <c r="A146" s="180">
        <v>44706</v>
      </c>
      <c r="B146" s="181">
        <f t="shared" si="5"/>
        <v>5</v>
      </c>
      <c r="C146" s="178">
        <f t="shared" ca="1" si="4"/>
        <v>51.612903225806448</v>
      </c>
      <c r="H146" s="178"/>
    </row>
    <row r="147" spans="1:8" x14ac:dyDescent="0.2">
      <c r="A147" s="180">
        <v>44707</v>
      </c>
      <c r="B147" s="181">
        <f t="shared" si="5"/>
        <v>5</v>
      </c>
      <c r="C147" s="178">
        <f t="shared" ca="1" si="4"/>
        <v>51.612903225806448</v>
      </c>
      <c r="H147" s="178"/>
    </row>
    <row r="148" spans="1:8" x14ac:dyDescent="0.2">
      <c r="A148" s="180">
        <v>44708</v>
      </c>
      <c r="B148" s="181">
        <f t="shared" si="5"/>
        <v>5</v>
      </c>
      <c r="C148" s="178">
        <f t="shared" ca="1" si="4"/>
        <v>51.612903225806448</v>
      </c>
      <c r="H148" s="178"/>
    </row>
    <row r="149" spans="1:8" x14ac:dyDescent="0.2">
      <c r="A149" s="180">
        <v>44709</v>
      </c>
      <c r="B149" s="181">
        <f t="shared" si="5"/>
        <v>5</v>
      </c>
      <c r="C149" s="178">
        <f t="shared" ca="1" si="4"/>
        <v>51.612903225806448</v>
      </c>
      <c r="H149" s="178"/>
    </row>
    <row r="150" spans="1:8" x14ac:dyDescent="0.2">
      <c r="A150" s="180">
        <v>44710</v>
      </c>
      <c r="B150" s="181">
        <f t="shared" si="5"/>
        <v>5</v>
      </c>
      <c r="C150" s="178">
        <f t="shared" ca="1" si="4"/>
        <v>51.612903225806448</v>
      </c>
      <c r="H150" s="178"/>
    </row>
    <row r="151" spans="1:8" x14ac:dyDescent="0.2">
      <c r="A151" s="180">
        <v>44711</v>
      </c>
      <c r="B151" s="181">
        <f t="shared" si="5"/>
        <v>5</v>
      </c>
      <c r="C151" s="178">
        <f t="shared" ca="1" si="4"/>
        <v>51.612903225806448</v>
      </c>
      <c r="H151" s="178"/>
    </row>
    <row r="152" spans="1:8" x14ac:dyDescent="0.2">
      <c r="A152" s="180">
        <v>44712</v>
      </c>
      <c r="B152" s="181">
        <f t="shared" si="5"/>
        <v>5</v>
      </c>
      <c r="C152" s="178">
        <f t="shared" ca="1" si="4"/>
        <v>51.612903225806448</v>
      </c>
      <c r="H152" s="178"/>
    </row>
    <row r="153" spans="1:8" x14ac:dyDescent="0.2">
      <c r="A153" s="180">
        <v>44713</v>
      </c>
      <c r="B153" s="181">
        <f t="shared" si="5"/>
        <v>6</v>
      </c>
      <c r="C153" s="178">
        <f t="shared" ca="1" si="4"/>
        <v>53.333333333333336</v>
      </c>
      <c r="H153" s="178"/>
    </row>
    <row r="154" spans="1:8" x14ac:dyDescent="0.2">
      <c r="A154" s="180">
        <v>44714</v>
      </c>
      <c r="B154" s="181">
        <f t="shared" si="5"/>
        <v>6</v>
      </c>
      <c r="C154" s="178">
        <f t="shared" ca="1" si="4"/>
        <v>53.333333333333336</v>
      </c>
      <c r="H154" s="178"/>
    </row>
    <row r="155" spans="1:8" x14ac:dyDescent="0.2">
      <c r="A155" s="180">
        <v>44715</v>
      </c>
      <c r="B155" s="181">
        <f t="shared" si="5"/>
        <v>6</v>
      </c>
      <c r="C155" s="178">
        <f t="shared" ca="1" si="4"/>
        <v>53.333333333333336</v>
      </c>
      <c r="H155" s="178"/>
    </row>
    <row r="156" spans="1:8" x14ac:dyDescent="0.2">
      <c r="A156" s="180">
        <v>44716</v>
      </c>
      <c r="B156" s="181">
        <f t="shared" si="5"/>
        <v>6</v>
      </c>
      <c r="C156" s="178">
        <f t="shared" ca="1" si="4"/>
        <v>53.333333333333336</v>
      </c>
      <c r="H156" s="178"/>
    </row>
    <row r="157" spans="1:8" x14ac:dyDescent="0.2">
      <c r="A157" s="180">
        <v>44717</v>
      </c>
      <c r="B157" s="181">
        <f t="shared" si="5"/>
        <v>6</v>
      </c>
      <c r="C157" s="178">
        <f t="shared" ca="1" si="4"/>
        <v>53.333333333333336</v>
      </c>
      <c r="H157" s="178"/>
    </row>
    <row r="158" spans="1:8" x14ac:dyDescent="0.2">
      <c r="A158" s="180">
        <v>44718</v>
      </c>
      <c r="B158" s="181">
        <f t="shared" si="5"/>
        <v>6</v>
      </c>
      <c r="C158" s="178">
        <f t="shared" ca="1" si="4"/>
        <v>53.333333333333336</v>
      </c>
      <c r="H158" s="178"/>
    </row>
    <row r="159" spans="1:8" x14ac:dyDescent="0.2">
      <c r="A159" s="180">
        <v>44719</v>
      </c>
      <c r="B159" s="181">
        <f t="shared" si="5"/>
        <v>6</v>
      </c>
      <c r="C159" s="178">
        <f t="shared" ca="1" si="4"/>
        <v>53.333333333333336</v>
      </c>
      <c r="H159" s="178"/>
    </row>
    <row r="160" spans="1:8" x14ac:dyDescent="0.2">
      <c r="A160" s="180">
        <v>44720</v>
      </c>
      <c r="B160" s="181">
        <f t="shared" si="5"/>
        <v>6</v>
      </c>
      <c r="C160" s="178">
        <f t="shared" ca="1" si="4"/>
        <v>53.333333333333336</v>
      </c>
      <c r="H160" s="178"/>
    </row>
    <row r="161" spans="1:8" x14ac:dyDescent="0.2">
      <c r="A161" s="180">
        <v>44721</v>
      </c>
      <c r="B161" s="181">
        <f t="shared" si="5"/>
        <v>6</v>
      </c>
      <c r="C161" s="178">
        <f t="shared" ca="1" si="4"/>
        <v>53.333333333333336</v>
      </c>
      <c r="H161" s="178"/>
    </row>
    <row r="162" spans="1:8" x14ac:dyDescent="0.2">
      <c r="A162" s="180">
        <v>44722</v>
      </c>
      <c r="B162" s="181">
        <f t="shared" si="5"/>
        <v>6</v>
      </c>
      <c r="C162" s="178">
        <f t="shared" ca="1" si="4"/>
        <v>53.333333333333336</v>
      </c>
      <c r="H162" s="178"/>
    </row>
    <row r="163" spans="1:8" x14ac:dyDescent="0.2">
      <c r="A163" s="180">
        <v>44723</v>
      </c>
      <c r="B163" s="181">
        <f t="shared" si="5"/>
        <v>6</v>
      </c>
      <c r="C163" s="178">
        <f t="shared" ca="1" si="4"/>
        <v>53.333333333333336</v>
      </c>
      <c r="H163" s="178"/>
    </row>
    <row r="164" spans="1:8" x14ac:dyDescent="0.2">
      <c r="A164" s="180">
        <v>44724</v>
      </c>
      <c r="B164" s="181">
        <f t="shared" si="5"/>
        <v>6</v>
      </c>
      <c r="C164" s="178">
        <f t="shared" ca="1" si="4"/>
        <v>53.333333333333336</v>
      </c>
      <c r="H164" s="178"/>
    </row>
    <row r="165" spans="1:8" x14ac:dyDescent="0.2">
      <c r="A165" s="180">
        <v>44725</v>
      </c>
      <c r="B165" s="181">
        <f t="shared" si="5"/>
        <v>6</v>
      </c>
      <c r="C165" s="178">
        <f t="shared" ca="1" si="4"/>
        <v>53.333333333333336</v>
      </c>
      <c r="H165" s="178"/>
    </row>
    <row r="166" spans="1:8" x14ac:dyDescent="0.2">
      <c r="A166" s="180">
        <v>44726</v>
      </c>
      <c r="B166" s="181">
        <f t="shared" si="5"/>
        <v>6</v>
      </c>
      <c r="C166" s="178">
        <f t="shared" ca="1" si="4"/>
        <v>53.333333333333336</v>
      </c>
      <c r="H166" s="178"/>
    </row>
    <row r="167" spans="1:8" x14ac:dyDescent="0.2">
      <c r="A167" s="180">
        <v>44727</v>
      </c>
      <c r="B167" s="181">
        <f t="shared" si="5"/>
        <v>6</v>
      </c>
      <c r="C167" s="178">
        <f t="shared" ca="1" si="4"/>
        <v>53.333333333333336</v>
      </c>
      <c r="H167" s="178"/>
    </row>
    <row r="168" spans="1:8" x14ac:dyDescent="0.2">
      <c r="A168" s="180">
        <v>44728</v>
      </c>
      <c r="B168" s="181">
        <f t="shared" si="5"/>
        <v>6</v>
      </c>
      <c r="C168" s="178">
        <f t="shared" ca="1" si="4"/>
        <v>53.333333333333336</v>
      </c>
      <c r="H168" s="178"/>
    </row>
    <row r="169" spans="1:8" x14ac:dyDescent="0.2">
      <c r="A169" s="180">
        <v>44729</v>
      </c>
      <c r="B169" s="181">
        <f t="shared" si="5"/>
        <v>6</v>
      </c>
      <c r="C169" s="178">
        <f t="shared" ca="1" si="4"/>
        <v>53.333333333333336</v>
      </c>
      <c r="H169" s="178"/>
    </row>
    <row r="170" spans="1:8" x14ac:dyDescent="0.2">
      <c r="A170" s="180">
        <v>44730</v>
      </c>
      <c r="B170" s="181">
        <f t="shared" si="5"/>
        <v>6</v>
      </c>
      <c r="C170" s="178">
        <f t="shared" ca="1" si="4"/>
        <v>53.333333333333336</v>
      </c>
      <c r="H170" s="178"/>
    </row>
    <row r="171" spans="1:8" x14ac:dyDescent="0.2">
      <c r="A171" s="180">
        <v>44731</v>
      </c>
      <c r="B171" s="181">
        <f t="shared" si="5"/>
        <v>6</v>
      </c>
      <c r="C171" s="178">
        <f t="shared" ca="1" si="4"/>
        <v>53.333333333333336</v>
      </c>
      <c r="H171" s="178"/>
    </row>
    <row r="172" spans="1:8" x14ac:dyDescent="0.2">
      <c r="A172" s="180">
        <v>44732</v>
      </c>
      <c r="B172" s="181">
        <f t="shared" si="5"/>
        <v>6</v>
      </c>
      <c r="C172" s="178">
        <f t="shared" ca="1" si="4"/>
        <v>53.333333333333336</v>
      </c>
      <c r="H172" s="178"/>
    </row>
    <row r="173" spans="1:8" x14ac:dyDescent="0.2">
      <c r="A173" s="180">
        <v>44733</v>
      </c>
      <c r="B173" s="181">
        <f t="shared" si="5"/>
        <v>6</v>
      </c>
      <c r="C173" s="178">
        <f t="shared" ca="1" si="4"/>
        <v>53.333333333333336</v>
      </c>
      <c r="H173" s="178"/>
    </row>
    <row r="174" spans="1:8" x14ac:dyDescent="0.2">
      <c r="A174" s="180">
        <v>44734</v>
      </c>
      <c r="B174" s="181">
        <f t="shared" si="5"/>
        <v>6</v>
      </c>
      <c r="C174" s="178">
        <f t="shared" ca="1" si="4"/>
        <v>53.333333333333336</v>
      </c>
      <c r="H174" s="178"/>
    </row>
    <row r="175" spans="1:8" x14ac:dyDescent="0.2">
      <c r="A175" s="180">
        <v>44735</v>
      </c>
      <c r="B175" s="181">
        <f t="shared" si="5"/>
        <v>6</v>
      </c>
      <c r="C175" s="178">
        <f t="shared" ca="1" si="4"/>
        <v>53.333333333333336</v>
      </c>
      <c r="H175" s="178"/>
    </row>
    <row r="176" spans="1:8" x14ac:dyDescent="0.2">
      <c r="A176" s="180">
        <v>44736</v>
      </c>
      <c r="B176" s="181">
        <f t="shared" si="5"/>
        <v>6</v>
      </c>
      <c r="C176" s="178">
        <f t="shared" ca="1" si="4"/>
        <v>53.333333333333336</v>
      </c>
      <c r="H176" s="178"/>
    </row>
    <row r="177" spans="1:8" x14ac:dyDescent="0.2">
      <c r="A177" s="180">
        <v>44737</v>
      </c>
      <c r="B177" s="181">
        <f t="shared" si="5"/>
        <v>6</v>
      </c>
      <c r="C177" s="178">
        <f t="shared" ca="1" si="4"/>
        <v>53.333333333333336</v>
      </c>
      <c r="H177" s="178"/>
    </row>
    <row r="178" spans="1:8" x14ac:dyDescent="0.2">
      <c r="A178" s="180">
        <v>44738</v>
      </c>
      <c r="B178" s="181">
        <f t="shared" si="5"/>
        <v>6</v>
      </c>
      <c r="C178" s="178">
        <f t="shared" ca="1" si="4"/>
        <v>53.333333333333336</v>
      </c>
      <c r="H178" s="178"/>
    </row>
    <row r="179" spans="1:8" x14ac:dyDescent="0.2">
      <c r="A179" s="180">
        <v>44739</v>
      </c>
      <c r="B179" s="181">
        <f t="shared" si="5"/>
        <v>6</v>
      </c>
      <c r="C179" s="178">
        <f t="shared" ca="1" si="4"/>
        <v>53.333333333333336</v>
      </c>
      <c r="H179" s="178"/>
    </row>
    <row r="180" spans="1:8" x14ac:dyDescent="0.2">
      <c r="A180" s="180">
        <v>44740</v>
      </c>
      <c r="B180" s="181">
        <f t="shared" si="5"/>
        <v>6</v>
      </c>
      <c r="C180" s="178">
        <f t="shared" ca="1" si="4"/>
        <v>53.333333333333336</v>
      </c>
      <c r="H180" s="178"/>
    </row>
    <row r="181" spans="1:8" x14ac:dyDescent="0.2">
      <c r="A181" s="180">
        <v>44741</v>
      </c>
      <c r="B181" s="181">
        <f t="shared" si="5"/>
        <v>6</v>
      </c>
      <c r="C181" s="178">
        <f t="shared" ca="1" si="4"/>
        <v>53.333333333333336</v>
      </c>
      <c r="H181" s="178"/>
    </row>
    <row r="182" spans="1:8" x14ac:dyDescent="0.2">
      <c r="A182" s="180">
        <v>44742</v>
      </c>
      <c r="B182" s="181">
        <f t="shared" si="5"/>
        <v>6</v>
      </c>
      <c r="C182" s="178">
        <f t="shared" ca="1" si="4"/>
        <v>53.333333333333336</v>
      </c>
      <c r="H182" s="178"/>
    </row>
    <row r="183" spans="1:8" x14ac:dyDescent="0.2">
      <c r="A183" s="180">
        <v>44743</v>
      </c>
      <c r="B183" s="181">
        <f t="shared" si="5"/>
        <v>7</v>
      </c>
      <c r="C183" s="178">
        <f t="shared" ca="1" si="4"/>
        <v>51.612903225806448</v>
      </c>
      <c r="H183" s="178"/>
    </row>
    <row r="184" spans="1:8" x14ac:dyDescent="0.2">
      <c r="A184" s="180">
        <v>44744</v>
      </c>
      <c r="B184" s="181">
        <f t="shared" si="5"/>
        <v>7</v>
      </c>
      <c r="C184" s="178">
        <f t="shared" ca="1" si="4"/>
        <v>51.612903225806448</v>
      </c>
      <c r="H184" s="178"/>
    </row>
    <row r="185" spans="1:8" x14ac:dyDescent="0.2">
      <c r="A185" s="180">
        <v>44745</v>
      </c>
      <c r="B185" s="181">
        <f t="shared" si="5"/>
        <v>7</v>
      </c>
      <c r="C185" s="178">
        <f t="shared" ca="1" si="4"/>
        <v>51.612903225806448</v>
      </c>
      <c r="H185" s="178"/>
    </row>
    <row r="186" spans="1:8" x14ac:dyDescent="0.2">
      <c r="A186" s="180">
        <v>44746</v>
      </c>
      <c r="B186" s="181">
        <f t="shared" si="5"/>
        <v>7</v>
      </c>
      <c r="C186" s="178">
        <f t="shared" ca="1" si="4"/>
        <v>51.612903225806448</v>
      </c>
      <c r="H186" s="178"/>
    </row>
    <row r="187" spans="1:8" x14ac:dyDescent="0.2">
      <c r="A187" s="180">
        <v>44747</v>
      </c>
      <c r="B187" s="181">
        <f t="shared" si="5"/>
        <v>7</v>
      </c>
      <c r="C187" s="178">
        <f t="shared" ca="1" si="4"/>
        <v>51.612903225806448</v>
      </c>
      <c r="H187" s="178"/>
    </row>
    <row r="188" spans="1:8" x14ac:dyDescent="0.2">
      <c r="A188" s="180">
        <v>44748</v>
      </c>
      <c r="B188" s="181">
        <f t="shared" si="5"/>
        <v>7</v>
      </c>
      <c r="C188" s="178">
        <f t="shared" ca="1" si="4"/>
        <v>51.612903225806448</v>
      </c>
      <c r="H188" s="178"/>
    </row>
    <row r="189" spans="1:8" x14ac:dyDescent="0.2">
      <c r="A189" s="180">
        <v>44749</v>
      </c>
      <c r="B189" s="181">
        <f t="shared" si="5"/>
        <v>7</v>
      </c>
      <c r="C189" s="178">
        <f t="shared" ca="1" si="4"/>
        <v>51.612903225806448</v>
      </c>
      <c r="H189" s="178"/>
    </row>
    <row r="190" spans="1:8" x14ac:dyDescent="0.2">
      <c r="A190" s="180">
        <v>44750</v>
      </c>
      <c r="B190" s="181">
        <f t="shared" si="5"/>
        <v>7</v>
      </c>
      <c r="C190" s="178">
        <f t="shared" ca="1" si="4"/>
        <v>51.612903225806448</v>
      </c>
      <c r="H190" s="178"/>
    </row>
    <row r="191" spans="1:8" x14ac:dyDescent="0.2">
      <c r="A191" s="180">
        <v>44751</v>
      </c>
      <c r="B191" s="181">
        <f t="shared" si="5"/>
        <v>7</v>
      </c>
      <c r="C191" s="178">
        <f t="shared" ca="1" si="4"/>
        <v>51.612903225806448</v>
      </c>
      <c r="H191" s="178"/>
    </row>
    <row r="192" spans="1:8" x14ac:dyDescent="0.2">
      <c r="A192" s="180">
        <v>44752</v>
      </c>
      <c r="B192" s="181">
        <f t="shared" si="5"/>
        <v>7</v>
      </c>
      <c r="C192" s="178">
        <f t="shared" ca="1" si="4"/>
        <v>51.612903225806448</v>
      </c>
      <c r="H192" s="178"/>
    </row>
    <row r="193" spans="1:8" x14ac:dyDescent="0.2">
      <c r="A193" s="180">
        <v>44753</v>
      </c>
      <c r="B193" s="181">
        <f t="shared" si="5"/>
        <v>7</v>
      </c>
      <c r="C193" s="178">
        <f t="shared" ca="1" si="4"/>
        <v>51.612903225806448</v>
      </c>
      <c r="H193" s="178"/>
    </row>
    <row r="194" spans="1:8" x14ac:dyDescent="0.2">
      <c r="A194" s="180">
        <v>44754</v>
      </c>
      <c r="B194" s="181">
        <f t="shared" si="5"/>
        <v>7</v>
      </c>
      <c r="C194" s="178">
        <f t="shared" ref="C194:C257" ca="1" si="6">IF(A194&lt;=$G$2,VLOOKUP(B194,$E$4:$H$15,4),0)</f>
        <v>51.612903225806448</v>
      </c>
      <c r="H194" s="178"/>
    </row>
    <row r="195" spans="1:8" x14ac:dyDescent="0.2">
      <c r="A195" s="180">
        <v>44755</v>
      </c>
      <c r="B195" s="181">
        <f t="shared" ref="B195:B258" si="7">MONTH(A195)</f>
        <v>7</v>
      </c>
      <c r="C195" s="178">
        <f t="shared" ca="1" si="6"/>
        <v>51.612903225806448</v>
      </c>
      <c r="H195" s="178"/>
    </row>
    <row r="196" spans="1:8" x14ac:dyDescent="0.2">
      <c r="A196" s="180">
        <v>44756</v>
      </c>
      <c r="B196" s="181">
        <f t="shared" si="7"/>
        <v>7</v>
      </c>
      <c r="C196" s="178">
        <f t="shared" ca="1" si="6"/>
        <v>51.612903225806448</v>
      </c>
      <c r="H196" s="178"/>
    </row>
    <row r="197" spans="1:8" x14ac:dyDescent="0.2">
      <c r="A197" s="180">
        <v>44757</v>
      </c>
      <c r="B197" s="181">
        <f t="shared" si="7"/>
        <v>7</v>
      </c>
      <c r="C197" s="178">
        <f t="shared" ca="1" si="6"/>
        <v>51.612903225806448</v>
      </c>
      <c r="H197" s="178"/>
    </row>
    <row r="198" spans="1:8" x14ac:dyDescent="0.2">
      <c r="A198" s="180">
        <v>44758</v>
      </c>
      <c r="B198" s="181">
        <f t="shared" si="7"/>
        <v>7</v>
      </c>
      <c r="C198" s="178">
        <f t="shared" ca="1" si="6"/>
        <v>51.612903225806448</v>
      </c>
      <c r="H198" s="178"/>
    </row>
    <row r="199" spans="1:8" x14ac:dyDescent="0.2">
      <c r="A199" s="180">
        <v>44759</v>
      </c>
      <c r="B199" s="181">
        <f t="shared" si="7"/>
        <v>7</v>
      </c>
      <c r="C199" s="178">
        <f t="shared" ca="1" si="6"/>
        <v>51.612903225806448</v>
      </c>
      <c r="H199" s="178"/>
    </row>
    <row r="200" spans="1:8" x14ac:dyDescent="0.2">
      <c r="A200" s="180">
        <v>44760</v>
      </c>
      <c r="B200" s="181">
        <f t="shared" si="7"/>
        <v>7</v>
      </c>
      <c r="C200" s="178">
        <f t="shared" ca="1" si="6"/>
        <v>51.612903225806448</v>
      </c>
      <c r="H200" s="178"/>
    </row>
    <row r="201" spans="1:8" x14ac:dyDescent="0.2">
      <c r="A201" s="180">
        <v>44761</v>
      </c>
      <c r="B201" s="181">
        <f t="shared" si="7"/>
        <v>7</v>
      </c>
      <c r="C201" s="178">
        <f t="shared" ca="1" si="6"/>
        <v>51.612903225806448</v>
      </c>
      <c r="H201" s="178"/>
    </row>
    <row r="202" spans="1:8" x14ac:dyDescent="0.2">
      <c r="A202" s="180">
        <v>44762</v>
      </c>
      <c r="B202" s="181">
        <f t="shared" si="7"/>
        <v>7</v>
      </c>
      <c r="C202" s="178">
        <f t="shared" ca="1" si="6"/>
        <v>51.612903225806448</v>
      </c>
      <c r="H202" s="178"/>
    </row>
    <row r="203" spans="1:8" x14ac:dyDescent="0.2">
      <c r="A203" s="180">
        <v>44763</v>
      </c>
      <c r="B203" s="181">
        <f t="shared" si="7"/>
        <v>7</v>
      </c>
      <c r="C203" s="178">
        <f t="shared" ca="1" si="6"/>
        <v>51.612903225806448</v>
      </c>
      <c r="H203" s="178"/>
    </row>
    <row r="204" spans="1:8" x14ac:dyDescent="0.2">
      <c r="A204" s="180">
        <v>44764</v>
      </c>
      <c r="B204" s="181">
        <f t="shared" si="7"/>
        <v>7</v>
      </c>
      <c r="C204" s="178">
        <f t="shared" ca="1" si="6"/>
        <v>51.612903225806448</v>
      </c>
      <c r="H204" s="178"/>
    </row>
    <row r="205" spans="1:8" x14ac:dyDescent="0.2">
      <c r="A205" s="180">
        <v>44765</v>
      </c>
      <c r="B205" s="181">
        <f t="shared" si="7"/>
        <v>7</v>
      </c>
      <c r="C205" s="178">
        <f t="shared" ca="1" si="6"/>
        <v>51.612903225806448</v>
      </c>
      <c r="H205" s="178"/>
    </row>
    <row r="206" spans="1:8" x14ac:dyDescent="0.2">
      <c r="A206" s="180">
        <v>44766</v>
      </c>
      <c r="B206" s="181">
        <f t="shared" si="7"/>
        <v>7</v>
      </c>
      <c r="C206" s="178">
        <f t="shared" ca="1" si="6"/>
        <v>51.612903225806448</v>
      </c>
      <c r="H206" s="178"/>
    </row>
    <row r="207" spans="1:8" x14ac:dyDescent="0.2">
      <c r="A207" s="180">
        <v>44767</v>
      </c>
      <c r="B207" s="181">
        <f t="shared" si="7"/>
        <v>7</v>
      </c>
      <c r="C207" s="178">
        <f t="shared" ca="1" si="6"/>
        <v>51.612903225806448</v>
      </c>
      <c r="H207" s="178"/>
    </row>
    <row r="208" spans="1:8" x14ac:dyDescent="0.2">
      <c r="A208" s="180">
        <v>44768</v>
      </c>
      <c r="B208" s="181">
        <f t="shared" si="7"/>
        <v>7</v>
      </c>
      <c r="C208" s="178">
        <f t="shared" ca="1" si="6"/>
        <v>51.612903225806448</v>
      </c>
      <c r="H208" s="178"/>
    </row>
    <row r="209" spans="1:8" x14ac:dyDescent="0.2">
      <c r="A209" s="180">
        <v>44769</v>
      </c>
      <c r="B209" s="181">
        <f t="shared" si="7"/>
        <v>7</v>
      </c>
      <c r="C209" s="178">
        <f t="shared" ca="1" si="6"/>
        <v>51.612903225806448</v>
      </c>
      <c r="H209" s="178"/>
    </row>
    <row r="210" spans="1:8" x14ac:dyDescent="0.2">
      <c r="A210" s="180">
        <v>44770</v>
      </c>
      <c r="B210" s="181">
        <f t="shared" si="7"/>
        <v>7</v>
      </c>
      <c r="C210" s="178">
        <f t="shared" ca="1" si="6"/>
        <v>51.612903225806448</v>
      </c>
      <c r="H210" s="178"/>
    </row>
    <row r="211" spans="1:8" x14ac:dyDescent="0.2">
      <c r="A211" s="180">
        <v>44771</v>
      </c>
      <c r="B211" s="181">
        <f t="shared" si="7"/>
        <v>7</v>
      </c>
      <c r="C211" s="178">
        <f t="shared" ca="1" si="6"/>
        <v>51.612903225806448</v>
      </c>
      <c r="H211" s="178"/>
    </row>
    <row r="212" spans="1:8" x14ac:dyDescent="0.2">
      <c r="A212" s="180">
        <v>44772</v>
      </c>
      <c r="B212" s="181">
        <f t="shared" si="7"/>
        <v>7</v>
      </c>
      <c r="C212" s="178">
        <f t="shared" ca="1" si="6"/>
        <v>51.612903225806448</v>
      </c>
      <c r="H212" s="178"/>
    </row>
    <row r="213" spans="1:8" x14ac:dyDescent="0.2">
      <c r="A213" s="180">
        <v>44773</v>
      </c>
      <c r="B213" s="181">
        <f t="shared" si="7"/>
        <v>7</v>
      </c>
      <c r="C213" s="178">
        <f t="shared" ca="1" si="6"/>
        <v>51.612903225806448</v>
      </c>
      <c r="H213" s="178"/>
    </row>
    <row r="214" spans="1:8" x14ac:dyDescent="0.2">
      <c r="A214" s="180">
        <v>44774</v>
      </c>
      <c r="B214" s="181">
        <f t="shared" si="7"/>
        <v>8</v>
      </c>
      <c r="C214" s="178">
        <f t="shared" ca="1" si="6"/>
        <v>51.612903225806448</v>
      </c>
      <c r="H214" s="178"/>
    </row>
    <row r="215" spans="1:8" x14ac:dyDescent="0.2">
      <c r="A215" s="180">
        <v>44775</v>
      </c>
      <c r="B215" s="181">
        <f t="shared" si="7"/>
        <v>8</v>
      </c>
      <c r="C215" s="178">
        <f t="shared" ca="1" si="6"/>
        <v>51.612903225806448</v>
      </c>
      <c r="H215" s="178"/>
    </row>
    <row r="216" spans="1:8" x14ac:dyDescent="0.2">
      <c r="A216" s="180">
        <v>44776</v>
      </c>
      <c r="B216" s="181">
        <f t="shared" si="7"/>
        <v>8</v>
      </c>
      <c r="C216" s="178">
        <f t="shared" ca="1" si="6"/>
        <v>51.612903225806448</v>
      </c>
      <c r="H216" s="178"/>
    </row>
    <row r="217" spans="1:8" x14ac:dyDescent="0.2">
      <c r="A217" s="180">
        <v>44777</v>
      </c>
      <c r="B217" s="181">
        <f t="shared" si="7"/>
        <v>8</v>
      </c>
      <c r="C217" s="178">
        <f t="shared" ca="1" si="6"/>
        <v>51.612903225806448</v>
      </c>
      <c r="H217" s="178"/>
    </row>
    <row r="218" spans="1:8" x14ac:dyDescent="0.2">
      <c r="A218" s="180">
        <v>44778</v>
      </c>
      <c r="B218" s="181">
        <f t="shared" si="7"/>
        <v>8</v>
      </c>
      <c r="C218" s="178">
        <f t="shared" ca="1" si="6"/>
        <v>51.612903225806448</v>
      </c>
      <c r="H218" s="178"/>
    </row>
    <row r="219" spans="1:8" x14ac:dyDescent="0.2">
      <c r="A219" s="180">
        <v>44779</v>
      </c>
      <c r="B219" s="181">
        <f t="shared" si="7"/>
        <v>8</v>
      </c>
      <c r="C219" s="178">
        <f t="shared" ca="1" si="6"/>
        <v>51.612903225806448</v>
      </c>
      <c r="H219" s="178"/>
    </row>
    <row r="220" spans="1:8" x14ac:dyDescent="0.2">
      <c r="A220" s="180">
        <v>44780</v>
      </c>
      <c r="B220" s="181">
        <f t="shared" si="7"/>
        <v>8</v>
      </c>
      <c r="C220" s="178">
        <f t="shared" ca="1" si="6"/>
        <v>51.612903225806448</v>
      </c>
      <c r="H220" s="178"/>
    </row>
    <row r="221" spans="1:8" x14ac:dyDescent="0.2">
      <c r="A221" s="180">
        <v>44781</v>
      </c>
      <c r="B221" s="181">
        <f t="shared" si="7"/>
        <v>8</v>
      </c>
      <c r="C221" s="178">
        <f t="shared" ca="1" si="6"/>
        <v>51.612903225806448</v>
      </c>
      <c r="H221" s="178"/>
    </row>
    <row r="222" spans="1:8" x14ac:dyDescent="0.2">
      <c r="A222" s="180">
        <v>44782</v>
      </c>
      <c r="B222" s="181">
        <f t="shared" si="7"/>
        <v>8</v>
      </c>
      <c r="C222" s="178">
        <f t="shared" ca="1" si="6"/>
        <v>51.612903225806448</v>
      </c>
      <c r="H222" s="178"/>
    </row>
    <row r="223" spans="1:8" x14ac:dyDescent="0.2">
      <c r="A223" s="180">
        <v>44783</v>
      </c>
      <c r="B223" s="181">
        <f t="shared" si="7"/>
        <v>8</v>
      </c>
      <c r="C223" s="178">
        <f t="shared" ca="1" si="6"/>
        <v>51.612903225806448</v>
      </c>
      <c r="H223" s="178"/>
    </row>
    <row r="224" spans="1:8" x14ac:dyDescent="0.2">
      <c r="A224" s="180">
        <v>44784</v>
      </c>
      <c r="B224" s="181">
        <f t="shared" si="7"/>
        <v>8</v>
      </c>
      <c r="C224" s="178">
        <f t="shared" ca="1" si="6"/>
        <v>51.612903225806448</v>
      </c>
      <c r="H224" s="178"/>
    </row>
    <row r="225" spans="1:8" x14ac:dyDescent="0.2">
      <c r="A225" s="180">
        <v>44785</v>
      </c>
      <c r="B225" s="181">
        <f t="shared" si="7"/>
        <v>8</v>
      </c>
      <c r="C225" s="178">
        <f t="shared" ca="1" si="6"/>
        <v>51.612903225806448</v>
      </c>
      <c r="H225" s="178"/>
    </row>
    <row r="226" spans="1:8" x14ac:dyDescent="0.2">
      <c r="A226" s="180">
        <v>44786</v>
      </c>
      <c r="B226" s="181">
        <f t="shared" si="7"/>
        <v>8</v>
      </c>
      <c r="C226" s="178">
        <f t="shared" ca="1" si="6"/>
        <v>51.612903225806448</v>
      </c>
      <c r="H226" s="178"/>
    </row>
    <row r="227" spans="1:8" x14ac:dyDescent="0.2">
      <c r="A227" s="180">
        <v>44787</v>
      </c>
      <c r="B227" s="181">
        <f t="shared" si="7"/>
        <v>8</v>
      </c>
      <c r="C227" s="178">
        <f t="shared" ca="1" si="6"/>
        <v>51.612903225806448</v>
      </c>
      <c r="H227" s="178"/>
    </row>
    <row r="228" spans="1:8" x14ac:dyDescent="0.2">
      <c r="A228" s="180">
        <v>44788</v>
      </c>
      <c r="B228" s="181">
        <f t="shared" si="7"/>
        <v>8</v>
      </c>
      <c r="C228" s="178">
        <f t="shared" ca="1" si="6"/>
        <v>51.612903225806448</v>
      </c>
      <c r="H228" s="178"/>
    </row>
    <row r="229" spans="1:8" x14ac:dyDescent="0.2">
      <c r="A229" s="180">
        <v>44789</v>
      </c>
      <c r="B229" s="181">
        <f t="shared" si="7"/>
        <v>8</v>
      </c>
      <c r="C229" s="178">
        <f t="shared" ca="1" si="6"/>
        <v>51.612903225806448</v>
      </c>
      <c r="H229" s="178"/>
    </row>
    <row r="230" spans="1:8" x14ac:dyDescent="0.2">
      <c r="A230" s="180">
        <v>44790</v>
      </c>
      <c r="B230" s="181">
        <f t="shared" si="7"/>
        <v>8</v>
      </c>
      <c r="C230" s="178">
        <f t="shared" ca="1" si="6"/>
        <v>51.612903225806448</v>
      </c>
      <c r="H230" s="178"/>
    </row>
    <row r="231" spans="1:8" x14ac:dyDescent="0.2">
      <c r="A231" s="180">
        <v>44791</v>
      </c>
      <c r="B231" s="181">
        <f t="shared" si="7"/>
        <v>8</v>
      </c>
      <c r="C231" s="178">
        <f t="shared" ca="1" si="6"/>
        <v>51.612903225806448</v>
      </c>
      <c r="H231" s="178"/>
    </row>
    <row r="232" spans="1:8" x14ac:dyDescent="0.2">
      <c r="A232" s="180">
        <v>44792</v>
      </c>
      <c r="B232" s="181">
        <f t="shared" si="7"/>
        <v>8</v>
      </c>
      <c r="C232" s="178">
        <f t="shared" ca="1" si="6"/>
        <v>51.612903225806448</v>
      </c>
      <c r="H232" s="178"/>
    </row>
    <row r="233" spans="1:8" x14ac:dyDescent="0.2">
      <c r="A233" s="180">
        <v>44793</v>
      </c>
      <c r="B233" s="181">
        <f t="shared" si="7"/>
        <v>8</v>
      </c>
      <c r="C233" s="178">
        <f t="shared" ca="1" si="6"/>
        <v>51.612903225806448</v>
      </c>
      <c r="H233" s="178"/>
    </row>
    <row r="234" spans="1:8" x14ac:dyDescent="0.2">
      <c r="A234" s="180">
        <v>44794</v>
      </c>
      <c r="B234" s="181">
        <f t="shared" si="7"/>
        <v>8</v>
      </c>
      <c r="C234" s="178">
        <f t="shared" ca="1" si="6"/>
        <v>51.612903225806448</v>
      </c>
      <c r="H234" s="178"/>
    </row>
    <row r="235" spans="1:8" x14ac:dyDescent="0.2">
      <c r="A235" s="180">
        <v>44795</v>
      </c>
      <c r="B235" s="181">
        <f t="shared" si="7"/>
        <v>8</v>
      </c>
      <c r="C235" s="178">
        <f t="shared" ca="1" si="6"/>
        <v>51.612903225806448</v>
      </c>
      <c r="H235" s="178"/>
    </row>
    <row r="236" spans="1:8" x14ac:dyDescent="0.2">
      <c r="A236" s="180">
        <v>44796</v>
      </c>
      <c r="B236" s="181">
        <f t="shared" si="7"/>
        <v>8</v>
      </c>
      <c r="C236" s="178">
        <f t="shared" ca="1" si="6"/>
        <v>51.612903225806448</v>
      </c>
      <c r="H236" s="178"/>
    </row>
    <row r="237" spans="1:8" x14ac:dyDescent="0.2">
      <c r="A237" s="180">
        <v>44797</v>
      </c>
      <c r="B237" s="181">
        <f t="shared" si="7"/>
        <v>8</v>
      </c>
      <c r="C237" s="178">
        <f t="shared" ca="1" si="6"/>
        <v>51.612903225806448</v>
      </c>
      <c r="H237" s="178"/>
    </row>
    <row r="238" spans="1:8" x14ac:dyDescent="0.2">
      <c r="A238" s="180">
        <v>44798</v>
      </c>
      <c r="B238" s="181">
        <f t="shared" si="7"/>
        <v>8</v>
      </c>
      <c r="C238" s="178">
        <f t="shared" ca="1" si="6"/>
        <v>51.612903225806448</v>
      </c>
      <c r="H238" s="178"/>
    </row>
    <row r="239" spans="1:8" x14ac:dyDescent="0.2">
      <c r="A239" s="180">
        <v>44799</v>
      </c>
      <c r="B239" s="181">
        <f t="shared" si="7"/>
        <v>8</v>
      </c>
      <c r="C239" s="178">
        <f t="shared" ca="1" si="6"/>
        <v>51.612903225806448</v>
      </c>
      <c r="H239" s="178"/>
    </row>
    <row r="240" spans="1:8" x14ac:dyDescent="0.2">
      <c r="A240" s="180">
        <v>44800</v>
      </c>
      <c r="B240" s="181">
        <f t="shared" si="7"/>
        <v>8</v>
      </c>
      <c r="C240" s="178">
        <f t="shared" ca="1" si="6"/>
        <v>51.612903225806448</v>
      </c>
      <c r="H240" s="178"/>
    </row>
    <row r="241" spans="1:8" x14ac:dyDescent="0.2">
      <c r="A241" s="180">
        <v>44801</v>
      </c>
      <c r="B241" s="181">
        <f t="shared" si="7"/>
        <v>8</v>
      </c>
      <c r="C241" s="178">
        <f t="shared" ca="1" si="6"/>
        <v>51.612903225806448</v>
      </c>
      <c r="H241" s="178"/>
    </row>
    <row r="242" spans="1:8" x14ac:dyDescent="0.2">
      <c r="A242" s="180">
        <v>44802</v>
      </c>
      <c r="B242" s="181">
        <f t="shared" si="7"/>
        <v>8</v>
      </c>
      <c r="C242" s="178">
        <f t="shared" ca="1" si="6"/>
        <v>51.612903225806448</v>
      </c>
      <c r="H242" s="178"/>
    </row>
    <row r="243" spans="1:8" x14ac:dyDescent="0.2">
      <c r="A243" s="180">
        <v>44803</v>
      </c>
      <c r="B243" s="181">
        <f t="shared" si="7"/>
        <v>8</v>
      </c>
      <c r="C243" s="178">
        <f t="shared" ca="1" si="6"/>
        <v>51.612903225806448</v>
      </c>
      <c r="H243" s="178"/>
    </row>
    <row r="244" spans="1:8" x14ac:dyDescent="0.2">
      <c r="A244" s="180">
        <v>44804</v>
      </c>
      <c r="B244" s="181">
        <f t="shared" si="7"/>
        <v>8</v>
      </c>
      <c r="C244" s="178">
        <f t="shared" ca="1" si="6"/>
        <v>51.612903225806448</v>
      </c>
      <c r="H244" s="178"/>
    </row>
    <row r="245" spans="1:8" x14ac:dyDescent="0.2">
      <c r="A245" s="180">
        <v>44805</v>
      </c>
      <c r="B245" s="181">
        <f t="shared" si="7"/>
        <v>9</v>
      </c>
      <c r="C245" s="178">
        <f t="shared" ca="1" si="6"/>
        <v>53.333333333333336</v>
      </c>
      <c r="H245" s="178"/>
    </row>
    <row r="246" spans="1:8" x14ac:dyDescent="0.2">
      <c r="A246" s="180">
        <v>44806</v>
      </c>
      <c r="B246" s="181">
        <f t="shared" si="7"/>
        <v>9</v>
      </c>
      <c r="C246" s="178">
        <f t="shared" ca="1" si="6"/>
        <v>53.333333333333336</v>
      </c>
      <c r="H246" s="178"/>
    </row>
    <row r="247" spans="1:8" x14ac:dyDescent="0.2">
      <c r="A247" s="180">
        <v>44807</v>
      </c>
      <c r="B247" s="181">
        <f t="shared" si="7"/>
        <v>9</v>
      </c>
      <c r="C247" s="178">
        <f t="shared" ca="1" si="6"/>
        <v>53.333333333333336</v>
      </c>
      <c r="H247" s="178"/>
    </row>
    <row r="248" spans="1:8" x14ac:dyDescent="0.2">
      <c r="A248" s="180">
        <v>44808</v>
      </c>
      <c r="B248" s="181">
        <f t="shared" si="7"/>
        <v>9</v>
      </c>
      <c r="C248" s="178">
        <f t="shared" ca="1" si="6"/>
        <v>53.333333333333336</v>
      </c>
      <c r="H248" s="178"/>
    </row>
    <row r="249" spans="1:8" x14ac:dyDescent="0.2">
      <c r="A249" s="180">
        <v>44809</v>
      </c>
      <c r="B249" s="181">
        <f t="shared" si="7"/>
        <v>9</v>
      </c>
      <c r="C249" s="178">
        <f t="shared" ca="1" si="6"/>
        <v>53.333333333333336</v>
      </c>
      <c r="H249" s="178"/>
    </row>
    <row r="250" spans="1:8" x14ac:dyDescent="0.2">
      <c r="A250" s="180">
        <v>44810</v>
      </c>
      <c r="B250" s="181">
        <f t="shared" si="7"/>
        <v>9</v>
      </c>
      <c r="C250" s="178">
        <f t="shared" ca="1" si="6"/>
        <v>53.333333333333336</v>
      </c>
      <c r="H250" s="178"/>
    </row>
    <row r="251" spans="1:8" x14ac:dyDescent="0.2">
      <c r="A251" s="180">
        <v>44811</v>
      </c>
      <c r="B251" s="181">
        <f t="shared" si="7"/>
        <v>9</v>
      </c>
      <c r="C251" s="178">
        <f t="shared" ca="1" si="6"/>
        <v>53.333333333333336</v>
      </c>
      <c r="H251" s="178"/>
    </row>
    <row r="252" spans="1:8" x14ac:dyDescent="0.2">
      <c r="A252" s="180">
        <v>44812</v>
      </c>
      <c r="B252" s="181">
        <f t="shared" si="7"/>
        <v>9</v>
      </c>
      <c r="C252" s="178">
        <f t="shared" ca="1" si="6"/>
        <v>53.333333333333336</v>
      </c>
      <c r="H252" s="178"/>
    </row>
    <row r="253" spans="1:8" x14ac:dyDescent="0.2">
      <c r="A253" s="180">
        <v>44813</v>
      </c>
      <c r="B253" s="181">
        <f t="shared" si="7"/>
        <v>9</v>
      </c>
      <c r="C253" s="178">
        <f t="shared" ca="1" si="6"/>
        <v>53.333333333333336</v>
      </c>
      <c r="H253" s="178"/>
    </row>
    <row r="254" spans="1:8" x14ac:dyDescent="0.2">
      <c r="A254" s="180">
        <v>44814</v>
      </c>
      <c r="B254" s="181">
        <f t="shared" si="7"/>
        <v>9</v>
      </c>
      <c r="C254" s="178">
        <f t="shared" ca="1" si="6"/>
        <v>53.333333333333336</v>
      </c>
      <c r="H254" s="178"/>
    </row>
    <row r="255" spans="1:8" x14ac:dyDescent="0.2">
      <c r="A255" s="180">
        <v>44815</v>
      </c>
      <c r="B255" s="181">
        <f t="shared" si="7"/>
        <v>9</v>
      </c>
      <c r="C255" s="178">
        <f t="shared" ca="1" si="6"/>
        <v>53.333333333333336</v>
      </c>
      <c r="H255" s="178"/>
    </row>
    <row r="256" spans="1:8" x14ac:dyDescent="0.2">
      <c r="A256" s="180">
        <v>44816</v>
      </c>
      <c r="B256" s="181">
        <f t="shared" si="7"/>
        <v>9</v>
      </c>
      <c r="C256" s="178">
        <f t="shared" ca="1" si="6"/>
        <v>53.333333333333336</v>
      </c>
      <c r="H256" s="178"/>
    </row>
    <row r="257" spans="1:8" x14ac:dyDescent="0.2">
      <c r="A257" s="180">
        <v>44817</v>
      </c>
      <c r="B257" s="181">
        <f t="shared" si="7"/>
        <v>9</v>
      </c>
      <c r="C257" s="178">
        <f t="shared" ca="1" si="6"/>
        <v>53.333333333333336</v>
      </c>
      <c r="H257" s="178"/>
    </row>
    <row r="258" spans="1:8" x14ac:dyDescent="0.2">
      <c r="A258" s="180">
        <v>44818</v>
      </c>
      <c r="B258" s="181">
        <f t="shared" si="7"/>
        <v>9</v>
      </c>
      <c r="C258" s="178">
        <f t="shared" ref="C258:C321" ca="1" si="8">IF(A258&lt;=$G$2,VLOOKUP(B258,$E$4:$H$15,4),0)</f>
        <v>53.333333333333336</v>
      </c>
      <c r="H258" s="178"/>
    </row>
    <row r="259" spans="1:8" x14ac:dyDescent="0.2">
      <c r="A259" s="180">
        <v>44819</v>
      </c>
      <c r="B259" s="181">
        <f t="shared" ref="B259:B322" si="9">MONTH(A259)</f>
        <v>9</v>
      </c>
      <c r="C259" s="178">
        <f t="shared" ca="1" si="8"/>
        <v>53.333333333333336</v>
      </c>
      <c r="H259" s="178"/>
    </row>
    <row r="260" spans="1:8" x14ac:dyDescent="0.2">
      <c r="A260" s="180">
        <v>44820</v>
      </c>
      <c r="B260" s="181">
        <f t="shared" si="9"/>
        <v>9</v>
      </c>
      <c r="C260" s="178">
        <f t="shared" ca="1" si="8"/>
        <v>53.333333333333336</v>
      </c>
      <c r="H260" s="178"/>
    </row>
    <row r="261" spans="1:8" x14ac:dyDescent="0.2">
      <c r="A261" s="180">
        <v>44821</v>
      </c>
      <c r="B261" s="181">
        <f t="shared" si="9"/>
        <v>9</v>
      </c>
      <c r="C261" s="178">
        <f t="shared" ca="1" si="8"/>
        <v>53.333333333333336</v>
      </c>
      <c r="H261" s="178"/>
    </row>
    <row r="262" spans="1:8" x14ac:dyDescent="0.2">
      <c r="A262" s="180">
        <v>44822</v>
      </c>
      <c r="B262" s="181">
        <f t="shared" si="9"/>
        <v>9</v>
      </c>
      <c r="C262" s="178">
        <f t="shared" ca="1" si="8"/>
        <v>53.333333333333336</v>
      </c>
      <c r="H262" s="178"/>
    </row>
    <row r="263" spans="1:8" x14ac:dyDescent="0.2">
      <c r="A263" s="180">
        <v>44823</v>
      </c>
      <c r="B263" s="181">
        <f t="shared" si="9"/>
        <v>9</v>
      </c>
      <c r="C263" s="178">
        <f t="shared" ca="1" si="8"/>
        <v>53.333333333333336</v>
      </c>
      <c r="H263" s="178"/>
    </row>
    <row r="264" spans="1:8" x14ac:dyDescent="0.2">
      <c r="A264" s="180">
        <v>44824</v>
      </c>
      <c r="B264" s="181">
        <f t="shared" si="9"/>
        <v>9</v>
      </c>
      <c r="C264" s="178">
        <f t="shared" ca="1" si="8"/>
        <v>53.333333333333336</v>
      </c>
      <c r="H264" s="178"/>
    </row>
    <row r="265" spans="1:8" x14ac:dyDescent="0.2">
      <c r="A265" s="180">
        <v>44825</v>
      </c>
      <c r="B265" s="181">
        <f t="shared" si="9"/>
        <v>9</v>
      </c>
      <c r="C265" s="178">
        <f t="shared" ca="1" si="8"/>
        <v>53.333333333333336</v>
      </c>
      <c r="H265" s="178"/>
    </row>
    <row r="266" spans="1:8" x14ac:dyDescent="0.2">
      <c r="A266" s="180">
        <v>44826</v>
      </c>
      <c r="B266" s="181">
        <f t="shared" si="9"/>
        <v>9</v>
      </c>
      <c r="C266" s="178">
        <f t="shared" ca="1" si="8"/>
        <v>53.333333333333336</v>
      </c>
      <c r="H266" s="178"/>
    </row>
    <row r="267" spans="1:8" x14ac:dyDescent="0.2">
      <c r="A267" s="180">
        <v>44827</v>
      </c>
      <c r="B267" s="181">
        <f t="shared" si="9"/>
        <v>9</v>
      </c>
      <c r="C267" s="178">
        <f t="shared" ca="1" si="8"/>
        <v>53.333333333333336</v>
      </c>
      <c r="H267" s="178"/>
    </row>
    <row r="268" spans="1:8" x14ac:dyDescent="0.2">
      <c r="A268" s="180">
        <v>44828</v>
      </c>
      <c r="B268" s="181">
        <f t="shared" si="9"/>
        <v>9</v>
      </c>
      <c r="C268" s="178">
        <f t="shared" ca="1" si="8"/>
        <v>53.333333333333336</v>
      </c>
      <c r="H268" s="178"/>
    </row>
    <row r="269" spans="1:8" x14ac:dyDescent="0.2">
      <c r="A269" s="180">
        <v>44829</v>
      </c>
      <c r="B269" s="181">
        <f t="shared" si="9"/>
        <v>9</v>
      </c>
      <c r="C269" s="178">
        <f t="shared" ca="1" si="8"/>
        <v>53.333333333333336</v>
      </c>
      <c r="H269" s="178"/>
    </row>
    <row r="270" spans="1:8" x14ac:dyDescent="0.2">
      <c r="A270" s="180">
        <v>44830</v>
      </c>
      <c r="B270" s="181">
        <f t="shared" si="9"/>
        <v>9</v>
      </c>
      <c r="C270" s="178">
        <f t="shared" ca="1" si="8"/>
        <v>53.333333333333336</v>
      </c>
      <c r="H270" s="178"/>
    </row>
    <row r="271" spans="1:8" x14ac:dyDescent="0.2">
      <c r="A271" s="180">
        <v>44831</v>
      </c>
      <c r="B271" s="181">
        <f t="shared" si="9"/>
        <v>9</v>
      </c>
      <c r="C271" s="178">
        <f t="shared" ca="1" si="8"/>
        <v>53.333333333333336</v>
      </c>
      <c r="H271" s="178"/>
    </row>
    <row r="272" spans="1:8" x14ac:dyDescent="0.2">
      <c r="A272" s="180">
        <v>44832</v>
      </c>
      <c r="B272" s="181">
        <f t="shared" si="9"/>
        <v>9</v>
      </c>
      <c r="C272" s="178">
        <f t="shared" ca="1" si="8"/>
        <v>53.333333333333336</v>
      </c>
      <c r="H272" s="178"/>
    </row>
    <row r="273" spans="1:8" x14ac:dyDescent="0.2">
      <c r="A273" s="180">
        <v>44833</v>
      </c>
      <c r="B273" s="181">
        <f t="shared" si="9"/>
        <v>9</v>
      </c>
      <c r="C273" s="178">
        <f t="shared" ca="1" si="8"/>
        <v>53.333333333333336</v>
      </c>
      <c r="H273" s="178"/>
    </row>
    <row r="274" spans="1:8" x14ac:dyDescent="0.2">
      <c r="A274" s="180">
        <v>44834</v>
      </c>
      <c r="B274" s="181">
        <f t="shared" si="9"/>
        <v>9</v>
      </c>
      <c r="C274" s="178">
        <f t="shared" ca="1" si="8"/>
        <v>53.333333333333336</v>
      </c>
      <c r="H274" s="178"/>
    </row>
    <row r="275" spans="1:8" x14ac:dyDescent="0.2">
      <c r="A275" s="180">
        <v>44835</v>
      </c>
      <c r="B275" s="181">
        <f t="shared" si="9"/>
        <v>10</v>
      </c>
      <c r="C275" s="178">
        <f t="shared" ca="1" si="8"/>
        <v>51.612903225806448</v>
      </c>
      <c r="H275" s="178"/>
    </row>
    <row r="276" spans="1:8" x14ac:dyDescent="0.2">
      <c r="A276" s="180">
        <v>44836</v>
      </c>
      <c r="B276" s="181">
        <f t="shared" si="9"/>
        <v>10</v>
      </c>
      <c r="C276" s="178">
        <f t="shared" ca="1" si="8"/>
        <v>51.612903225806448</v>
      </c>
      <c r="H276" s="178"/>
    </row>
    <row r="277" spans="1:8" x14ac:dyDescent="0.2">
      <c r="A277" s="180">
        <v>44837</v>
      </c>
      <c r="B277" s="181">
        <f t="shared" si="9"/>
        <v>10</v>
      </c>
      <c r="C277" s="178">
        <f t="shared" ca="1" si="8"/>
        <v>51.612903225806448</v>
      </c>
      <c r="H277" s="178"/>
    </row>
    <row r="278" spans="1:8" x14ac:dyDescent="0.2">
      <c r="A278" s="180">
        <v>44838</v>
      </c>
      <c r="B278" s="181">
        <f t="shared" si="9"/>
        <v>10</v>
      </c>
      <c r="C278" s="178">
        <f t="shared" ca="1" si="8"/>
        <v>51.612903225806448</v>
      </c>
      <c r="H278" s="178"/>
    </row>
    <row r="279" spans="1:8" x14ac:dyDescent="0.2">
      <c r="A279" s="180">
        <v>44839</v>
      </c>
      <c r="B279" s="181">
        <f t="shared" si="9"/>
        <v>10</v>
      </c>
      <c r="C279" s="178">
        <f t="shared" ca="1" si="8"/>
        <v>51.612903225806448</v>
      </c>
      <c r="H279" s="178"/>
    </row>
    <row r="280" spans="1:8" x14ac:dyDescent="0.2">
      <c r="A280" s="180">
        <v>44840</v>
      </c>
      <c r="B280" s="181">
        <f t="shared" si="9"/>
        <v>10</v>
      </c>
      <c r="C280" s="178">
        <f t="shared" ca="1" si="8"/>
        <v>51.612903225806448</v>
      </c>
      <c r="H280" s="178"/>
    </row>
    <row r="281" spans="1:8" x14ac:dyDescent="0.2">
      <c r="A281" s="180">
        <v>44841</v>
      </c>
      <c r="B281" s="181">
        <f t="shared" si="9"/>
        <v>10</v>
      </c>
      <c r="C281" s="178">
        <f t="shared" ca="1" si="8"/>
        <v>51.612903225806448</v>
      </c>
      <c r="H281" s="178"/>
    </row>
    <row r="282" spans="1:8" x14ac:dyDescent="0.2">
      <c r="A282" s="180">
        <v>44842</v>
      </c>
      <c r="B282" s="181">
        <f t="shared" si="9"/>
        <v>10</v>
      </c>
      <c r="C282" s="178">
        <f t="shared" ca="1" si="8"/>
        <v>51.612903225806448</v>
      </c>
      <c r="H282" s="178"/>
    </row>
    <row r="283" spans="1:8" x14ac:dyDescent="0.2">
      <c r="A283" s="180">
        <v>44843</v>
      </c>
      <c r="B283" s="181">
        <f t="shared" si="9"/>
        <v>10</v>
      </c>
      <c r="C283" s="178">
        <f t="shared" ca="1" si="8"/>
        <v>51.612903225806448</v>
      </c>
      <c r="H283" s="178"/>
    </row>
    <row r="284" spans="1:8" x14ac:dyDescent="0.2">
      <c r="A284" s="180">
        <v>44844</v>
      </c>
      <c r="B284" s="181">
        <f t="shared" si="9"/>
        <v>10</v>
      </c>
      <c r="C284" s="178">
        <f t="shared" ca="1" si="8"/>
        <v>51.612903225806448</v>
      </c>
      <c r="H284" s="178"/>
    </row>
    <row r="285" spans="1:8" x14ac:dyDescent="0.2">
      <c r="A285" s="180">
        <v>44845</v>
      </c>
      <c r="B285" s="181">
        <f t="shared" si="9"/>
        <v>10</v>
      </c>
      <c r="C285" s="178">
        <f t="shared" ca="1" si="8"/>
        <v>51.612903225806448</v>
      </c>
      <c r="H285" s="178"/>
    </row>
    <row r="286" spans="1:8" x14ac:dyDescent="0.2">
      <c r="A286" s="180">
        <v>44846</v>
      </c>
      <c r="B286" s="181">
        <f t="shared" si="9"/>
        <v>10</v>
      </c>
      <c r="C286" s="178">
        <f t="shared" ca="1" si="8"/>
        <v>51.612903225806448</v>
      </c>
      <c r="H286" s="178"/>
    </row>
    <row r="287" spans="1:8" x14ac:dyDescent="0.2">
      <c r="A287" s="180">
        <v>44847</v>
      </c>
      <c r="B287" s="181">
        <f t="shared" si="9"/>
        <v>10</v>
      </c>
      <c r="C287" s="178">
        <f t="shared" ca="1" si="8"/>
        <v>51.612903225806448</v>
      </c>
      <c r="H287" s="178"/>
    </row>
    <row r="288" spans="1:8" x14ac:dyDescent="0.2">
      <c r="A288" s="180">
        <v>44848</v>
      </c>
      <c r="B288" s="181">
        <f t="shared" si="9"/>
        <v>10</v>
      </c>
      <c r="C288" s="178">
        <f t="shared" ca="1" si="8"/>
        <v>51.612903225806448</v>
      </c>
      <c r="H288" s="178"/>
    </row>
    <row r="289" spans="1:8" x14ac:dyDescent="0.2">
      <c r="A289" s="180">
        <v>44849</v>
      </c>
      <c r="B289" s="181">
        <f t="shared" si="9"/>
        <v>10</v>
      </c>
      <c r="C289" s="178">
        <f t="shared" ca="1" si="8"/>
        <v>51.612903225806448</v>
      </c>
      <c r="H289" s="178"/>
    </row>
    <row r="290" spans="1:8" x14ac:dyDescent="0.2">
      <c r="A290" s="180">
        <v>44850</v>
      </c>
      <c r="B290" s="181">
        <f t="shared" si="9"/>
        <v>10</v>
      </c>
      <c r="C290" s="178">
        <f t="shared" ca="1" si="8"/>
        <v>51.612903225806448</v>
      </c>
      <c r="H290" s="178"/>
    </row>
    <row r="291" spans="1:8" x14ac:dyDescent="0.2">
      <c r="A291" s="180">
        <v>44851</v>
      </c>
      <c r="B291" s="181">
        <f t="shared" si="9"/>
        <v>10</v>
      </c>
      <c r="C291" s="178">
        <f t="shared" ca="1" si="8"/>
        <v>51.612903225806448</v>
      </c>
      <c r="H291" s="178"/>
    </row>
    <row r="292" spans="1:8" x14ac:dyDescent="0.2">
      <c r="A292" s="180">
        <v>44852</v>
      </c>
      <c r="B292" s="181">
        <f t="shared" si="9"/>
        <v>10</v>
      </c>
      <c r="C292" s="178">
        <f t="shared" ca="1" si="8"/>
        <v>51.612903225806448</v>
      </c>
      <c r="H292" s="178"/>
    </row>
    <row r="293" spans="1:8" x14ac:dyDescent="0.2">
      <c r="A293" s="180">
        <v>44853</v>
      </c>
      <c r="B293" s="181">
        <f t="shared" si="9"/>
        <v>10</v>
      </c>
      <c r="C293" s="178">
        <f t="shared" ca="1" si="8"/>
        <v>51.612903225806448</v>
      </c>
      <c r="H293" s="178"/>
    </row>
    <row r="294" spans="1:8" x14ac:dyDescent="0.2">
      <c r="A294" s="180">
        <v>44854</v>
      </c>
      <c r="B294" s="181">
        <f t="shared" si="9"/>
        <v>10</v>
      </c>
      <c r="C294" s="178">
        <f t="shared" ca="1" si="8"/>
        <v>51.612903225806448</v>
      </c>
      <c r="H294" s="178"/>
    </row>
    <row r="295" spans="1:8" x14ac:dyDescent="0.2">
      <c r="A295" s="180">
        <v>44855</v>
      </c>
      <c r="B295" s="181">
        <f t="shared" si="9"/>
        <v>10</v>
      </c>
      <c r="C295" s="178">
        <f t="shared" ca="1" si="8"/>
        <v>51.612903225806448</v>
      </c>
      <c r="H295" s="178"/>
    </row>
    <row r="296" spans="1:8" x14ac:dyDescent="0.2">
      <c r="A296" s="180">
        <v>44856</v>
      </c>
      <c r="B296" s="181">
        <f t="shared" si="9"/>
        <v>10</v>
      </c>
      <c r="C296" s="178">
        <f t="shared" ca="1" si="8"/>
        <v>51.612903225806448</v>
      </c>
      <c r="H296" s="178"/>
    </row>
    <row r="297" spans="1:8" x14ac:dyDescent="0.2">
      <c r="A297" s="180">
        <v>44857</v>
      </c>
      <c r="B297" s="181">
        <f t="shared" si="9"/>
        <v>10</v>
      </c>
      <c r="C297" s="178">
        <f t="shared" ca="1" si="8"/>
        <v>51.612903225806448</v>
      </c>
      <c r="H297" s="178"/>
    </row>
    <row r="298" spans="1:8" x14ac:dyDescent="0.2">
      <c r="A298" s="180">
        <v>44858</v>
      </c>
      <c r="B298" s="181">
        <f t="shared" si="9"/>
        <v>10</v>
      </c>
      <c r="C298" s="178">
        <f t="shared" ca="1" si="8"/>
        <v>51.612903225806448</v>
      </c>
      <c r="H298" s="178"/>
    </row>
    <row r="299" spans="1:8" x14ac:dyDescent="0.2">
      <c r="A299" s="180">
        <v>44859</v>
      </c>
      <c r="B299" s="181">
        <f t="shared" si="9"/>
        <v>10</v>
      </c>
      <c r="C299" s="178">
        <f t="shared" ca="1" si="8"/>
        <v>51.612903225806448</v>
      </c>
      <c r="H299" s="178"/>
    </row>
    <row r="300" spans="1:8" x14ac:dyDescent="0.2">
      <c r="A300" s="180">
        <v>44860</v>
      </c>
      <c r="B300" s="181">
        <f t="shared" si="9"/>
        <v>10</v>
      </c>
      <c r="C300" s="178">
        <f t="shared" ca="1" si="8"/>
        <v>51.612903225806448</v>
      </c>
      <c r="H300" s="178"/>
    </row>
    <row r="301" spans="1:8" x14ac:dyDescent="0.2">
      <c r="A301" s="180">
        <v>44861</v>
      </c>
      <c r="B301" s="181">
        <f t="shared" si="9"/>
        <v>10</v>
      </c>
      <c r="C301" s="178">
        <f t="shared" ca="1" si="8"/>
        <v>51.612903225806448</v>
      </c>
      <c r="H301" s="178"/>
    </row>
    <row r="302" spans="1:8" x14ac:dyDescent="0.2">
      <c r="A302" s="180">
        <v>44862</v>
      </c>
      <c r="B302" s="181">
        <f t="shared" si="9"/>
        <v>10</v>
      </c>
      <c r="C302" s="178">
        <f t="shared" ca="1" si="8"/>
        <v>51.612903225806448</v>
      </c>
      <c r="H302" s="178"/>
    </row>
    <row r="303" spans="1:8" x14ac:dyDescent="0.2">
      <c r="A303" s="180">
        <v>44863</v>
      </c>
      <c r="B303" s="181">
        <f t="shared" si="9"/>
        <v>10</v>
      </c>
      <c r="C303" s="178">
        <f t="shared" ca="1" si="8"/>
        <v>51.612903225806448</v>
      </c>
      <c r="H303" s="178"/>
    </row>
    <row r="304" spans="1:8" x14ac:dyDescent="0.2">
      <c r="A304" s="180">
        <v>44864</v>
      </c>
      <c r="B304" s="181">
        <f t="shared" si="9"/>
        <v>10</v>
      </c>
      <c r="C304" s="178">
        <f t="shared" ca="1" si="8"/>
        <v>51.612903225806448</v>
      </c>
      <c r="H304" s="178"/>
    </row>
    <row r="305" spans="1:8" x14ac:dyDescent="0.2">
      <c r="A305" s="180">
        <v>44865</v>
      </c>
      <c r="B305" s="181">
        <f t="shared" si="9"/>
        <v>10</v>
      </c>
      <c r="C305" s="178">
        <f t="shared" ca="1" si="8"/>
        <v>51.612903225806448</v>
      </c>
      <c r="H305" s="178"/>
    </row>
    <row r="306" spans="1:8" x14ac:dyDescent="0.2">
      <c r="A306" s="180">
        <v>44866</v>
      </c>
      <c r="B306" s="181">
        <f t="shared" si="9"/>
        <v>11</v>
      </c>
      <c r="C306" s="178">
        <f t="shared" ca="1" si="8"/>
        <v>53.333333333333336</v>
      </c>
      <c r="H306" s="178"/>
    </row>
    <row r="307" spans="1:8" x14ac:dyDescent="0.2">
      <c r="A307" s="180">
        <v>44867</v>
      </c>
      <c r="B307" s="181">
        <f t="shared" si="9"/>
        <v>11</v>
      </c>
      <c r="C307" s="178">
        <f t="shared" ca="1" si="8"/>
        <v>53.333333333333336</v>
      </c>
      <c r="H307" s="178"/>
    </row>
    <row r="308" spans="1:8" x14ac:dyDescent="0.2">
      <c r="A308" s="180">
        <v>44868</v>
      </c>
      <c r="B308" s="181">
        <f t="shared" si="9"/>
        <v>11</v>
      </c>
      <c r="C308" s="178">
        <f t="shared" ca="1" si="8"/>
        <v>53.333333333333336</v>
      </c>
      <c r="H308" s="178"/>
    </row>
    <row r="309" spans="1:8" x14ac:dyDescent="0.2">
      <c r="A309" s="180">
        <v>44869</v>
      </c>
      <c r="B309" s="181">
        <f t="shared" si="9"/>
        <v>11</v>
      </c>
      <c r="C309" s="178">
        <f t="shared" ca="1" si="8"/>
        <v>53.333333333333336</v>
      </c>
      <c r="H309" s="178"/>
    </row>
    <row r="310" spans="1:8" x14ac:dyDescent="0.2">
      <c r="A310" s="180">
        <v>44870</v>
      </c>
      <c r="B310" s="181">
        <f t="shared" si="9"/>
        <v>11</v>
      </c>
      <c r="C310" s="178">
        <f t="shared" ca="1" si="8"/>
        <v>53.333333333333336</v>
      </c>
      <c r="H310" s="178"/>
    </row>
    <row r="311" spans="1:8" x14ac:dyDescent="0.2">
      <c r="A311" s="180">
        <v>44871</v>
      </c>
      <c r="B311" s="181">
        <f t="shared" si="9"/>
        <v>11</v>
      </c>
      <c r="C311" s="178">
        <f t="shared" ca="1" si="8"/>
        <v>53.333333333333336</v>
      </c>
      <c r="H311" s="178"/>
    </row>
    <row r="312" spans="1:8" x14ac:dyDescent="0.2">
      <c r="A312" s="180">
        <v>44872</v>
      </c>
      <c r="B312" s="181">
        <f t="shared" si="9"/>
        <v>11</v>
      </c>
      <c r="C312" s="178">
        <f t="shared" ca="1" si="8"/>
        <v>53.333333333333336</v>
      </c>
      <c r="H312" s="178"/>
    </row>
    <row r="313" spans="1:8" x14ac:dyDescent="0.2">
      <c r="A313" s="180">
        <v>44873</v>
      </c>
      <c r="B313" s="181">
        <f t="shared" si="9"/>
        <v>11</v>
      </c>
      <c r="C313" s="178">
        <f t="shared" ca="1" si="8"/>
        <v>53.333333333333336</v>
      </c>
      <c r="H313" s="178"/>
    </row>
    <row r="314" spans="1:8" x14ac:dyDescent="0.2">
      <c r="A314" s="180">
        <v>44874</v>
      </c>
      <c r="B314" s="181">
        <f t="shared" si="9"/>
        <v>11</v>
      </c>
      <c r="C314" s="178">
        <f t="shared" ca="1" si="8"/>
        <v>53.333333333333336</v>
      </c>
      <c r="H314" s="178"/>
    </row>
    <row r="315" spans="1:8" x14ac:dyDescent="0.2">
      <c r="A315" s="180">
        <v>44875</v>
      </c>
      <c r="B315" s="181">
        <f t="shared" si="9"/>
        <v>11</v>
      </c>
      <c r="C315" s="178">
        <f t="shared" ca="1" si="8"/>
        <v>53.333333333333336</v>
      </c>
      <c r="H315" s="178"/>
    </row>
    <row r="316" spans="1:8" x14ac:dyDescent="0.2">
      <c r="A316" s="180">
        <v>44876</v>
      </c>
      <c r="B316" s="181">
        <f t="shared" si="9"/>
        <v>11</v>
      </c>
      <c r="C316" s="178">
        <f t="shared" ca="1" si="8"/>
        <v>53.333333333333336</v>
      </c>
      <c r="H316" s="178"/>
    </row>
    <row r="317" spans="1:8" x14ac:dyDescent="0.2">
      <c r="A317" s="180">
        <v>44877</v>
      </c>
      <c r="B317" s="181">
        <f t="shared" si="9"/>
        <v>11</v>
      </c>
      <c r="C317" s="178">
        <f t="shared" ca="1" si="8"/>
        <v>53.333333333333336</v>
      </c>
      <c r="H317" s="178"/>
    </row>
    <row r="318" spans="1:8" x14ac:dyDescent="0.2">
      <c r="A318" s="180">
        <v>44878</v>
      </c>
      <c r="B318" s="181">
        <f t="shared" si="9"/>
        <v>11</v>
      </c>
      <c r="C318" s="178">
        <f t="shared" ca="1" si="8"/>
        <v>53.333333333333336</v>
      </c>
      <c r="H318" s="178"/>
    </row>
    <row r="319" spans="1:8" x14ac:dyDescent="0.2">
      <c r="A319" s="180">
        <v>44879</v>
      </c>
      <c r="B319" s="181">
        <f t="shared" si="9"/>
        <v>11</v>
      </c>
      <c r="C319" s="178">
        <f t="shared" ca="1" si="8"/>
        <v>53.333333333333336</v>
      </c>
      <c r="H319" s="178"/>
    </row>
    <row r="320" spans="1:8" x14ac:dyDescent="0.2">
      <c r="A320" s="180">
        <v>44880</v>
      </c>
      <c r="B320" s="181">
        <f t="shared" si="9"/>
        <v>11</v>
      </c>
      <c r="C320" s="178">
        <f t="shared" ca="1" si="8"/>
        <v>53.333333333333336</v>
      </c>
      <c r="H320" s="178"/>
    </row>
    <row r="321" spans="1:8" x14ac:dyDescent="0.2">
      <c r="A321" s="180">
        <v>44881</v>
      </c>
      <c r="B321" s="181">
        <f t="shared" si="9"/>
        <v>11</v>
      </c>
      <c r="C321" s="178">
        <f t="shared" ca="1" si="8"/>
        <v>53.333333333333336</v>
      </c>
      <c r="H321" s="178"/>
    </row>
    <row r="322" spans="1:8" x14ac:dyDescent="0.2">
      <c r="A322" s="180">
        <v>44882</v>
      </c>
      <c r="B322" s="181">
        <f t="shared" si="9"/>
        <v>11</v>
      </c>
      <c r="C322" s="178">
        <f t="shared" ref="C322:C385" ca="1" si="10">IF(A322&lt;=$G$2,VLOOKUP(B322,$E$4:$H$15,4),0)</f>
        <v>53.333333333333336</v>
      </c>
      <c r="H322" s="178"/>
    </row>
    <row r="323" spans="1:8" x14ac:dyDescent="0.2">
      <c r="A323" s="180">
        <v>44883</v>
      </c>
      <c r="B323" s="181">
        <f t="shared" ref="B323:B386" si="11">MONTH(A323)</f>
        <v>11</v>
      </c>
      <c r="C323" s="178">
        <f t="shared" ca="1" si="10"/>
        <v>53.333333333333336</v>
      </c>
      <c r="H323" s="178"/>
    </row>
    <row r="324" spans="1:8" x14ac:dyDescent="0.2">
      <c r="A324" s="180">
        <v>44884</v>
      </c>
      <c r="B324" s="181">
        <f t="shared" si="11"/>
        <v>11</v>
      </c>
      <c r="C324" s="178">
        <f t="shared" ca="1" si="10"/>
        <v>53.333333333333336</v>
      </c>
      <c r="H324" s="178"/>
    </row>
    <row r="325" spans="1:8" x14ac:dyDescent="0.2">
      <c r="A325" s="180">
        <v>44885</v>
      </c>
      <c r="B325" s="181">
        <f t="shared" si="11"/>
        <v>11</v>
      </c>
      <c r="C325" s="178">
        <f t="shared" ca="1" si="10"/>
        <v>53.333333333333336</v>
      </c>
      <c r="H325" s="178"/>
    </row>
    <row r="326" spans="1:8" x14ac:dyDescent="0.2">
      <c r="A326" s="180">
        <v>44886</v>
      </c>
      <c r="B326" s="181">
        <f t="shared" si="11"/>
        <v>11</v>
      </c>
      <c r="C326" s="178">
        <f t="shared" ca="1" si="10"/>
        <v>53.333333333333336</v>
      </c>
      <c r="H326" s="178"/>
    </row>
    <row r="327" spans="1:8" x14ac:dyDescent="0.2">
      <c r="A327" s="180">
        <v>44887</v>
      </c>
      <c r="B327" s="181">
        <f t="shared" si="11"/>
        <v>11</v>
      </c>
      <c r="C327" s="178">
        <f t="shared" ca="1" si="10"/>
        <v>53.333333333333336</v>
      </c>
      <c r="H327" s="178"/>
    </row>
    <row r="328" spans="1:8" x14ac:dyDescent="0.2">
      <c r="A328" s="180">
        <v>44888</v>
      </c>
      <c r="B328" s="181">
        <f t="shared" si="11"/>
        <v>11</v>
      </c>
      <c r="C328" s="178">
        <f t="shared" ca="1" si="10"/>
        <v>53.333333333333336</v>
      </c>
      <c r="H328" s="178"/>
    </row>
    <row r="329" spans="1:8" x14ac:dyDescent="0.2">
      <c r="A329" s="180">
        <v>44889</v>
      </c>
      <c r="B329" s="181">
        <f t="shared" si="11"/>
        <v>11</v>
      </c>
      <c r="C329" s="178">
        <f t="shared" ca="1" si="10"/>
        <v>53.333333333333336</v>
      </c>
      <c r="H329" s="178"/>
    </row>
    <row r="330" spans="1:8" x14ac:dyDescent="0.2">
      <c r="A330" s="180">
        <v>44890</v>
      </c>
      <c r="B330" s="181">
        <f t="shared" si="11"/>
        <v>11</v>
      </c>
      <c r="C330" s="178">
        <f t="shared" ca="1" si="10"/>
        <v>53.333333333333336</v>
      </c>
      <c r="H330" s="178"/>
    </row>
    <row r="331" spans="1:8" x14ac:dyDescent="0.2">
      <c r="A331" s="180">
        <v>44891</v>
      </c>
      <c r="B331" s="181">
        <f t="shared" si="11"/>
        <v>11</v>
      </c>
      <c r="C331" s="178">
        <f t="shared" ca="1" si="10"/>
        <v>53.333333333333336</v>
      </c>
      <c r="H331" s="178"/>
    </row>
    <row r="332" spans="1:8" x14ac:dyDescent="0.2">
      <c r="A332" s="180">
        <v>44892</v>
      </c>
      <c r="B332" s="181">
        <f t="shared" si="11"/>
        <v>11</v>
      </c>
      <c r="C332" s="178">
        <f t="shared" ca="1" si="10"/>
        <v>53.333333333333336</v>
      </c>
      <c r="H332" s="178"/>
    </row>
    <row r="333" spans="1:8" x14ac:dyDescent="0.2">
      <c r="A333" s="180">
        <v>44893</v>
      </c>
      <c r="B333" s="181">
        <f t="shared" si="11"/>
        <v>11</v>
      </c>
      <c r="C333" s="178">
        <f t="shared" ca="1" si="10"/>
        <v>53.333333333333336</v>
      </c>
      <c r="H333" s="178"/>
    </row>
    <row r="334" spans="1:8" x14ac:dyDescent="0.2">
      <c r="A334" s="180">
        <v>44894</v>
      </c>
      <c r="B334" s="181">
        <f t="shared" si="11"/>
        <v>11</v>
      </c>
      <c r="C334" s="178">
        <f t="shared" ca="1" si="10"/>
        <v>53.333333333333336</v>
      </c>
      <c r="H334" s="178"/>
    </row>
    <row r="335" spans="1:8" x14ac:dyDescent="0.2">
      <c r="A335" s="180">
        <v>44895</v>
      </c>
      <c r="B335" s="181">
        <f t="shared" si="11"/>
        <v>11</v>
      </c>
      <c r="C335" s="178">
        <f t="shared" ca="1" si="10"/>
        <v>53.333333333333336</v>
      </c>
      <c r="H335" s="178"/>
    </row>
    <row r="336" spans="1:8" x14ac:dyDescent="0.2">
      <c r="A336" s="180">
        <v>44896</v>
      </c>
      <c r="B336" s="181">
        <f t="shared" si="11"/>
        <v>12</v>
      </c>
      <c r="C336" s="178">
        <f t="shared" ca="1" si="10"/>
        <v>51.612903225806448</v>
      </c>
      <c r="H336" s="178"/>
    </row>
    <row r="337" spans="1:8" x14ac:dyDescent="0.2">
      <c r="A337" s="180">
        <v>44897</v>
      </c>
      <c r="B337" s="181">
        <f t="shared" si="11"/>
        <v>12</v>
      </c>
      <c r="C337" s="178">
        <f t="shared" ca="1" si="10"/>
        <v>51.612903225806448</v>
      </c>
      <c r="H337" s="178"/>
    </row>
    <row r="338" spans="1:8" x14ac:dyDescent="0.2">
      <c r="A338" s="180">
        <v>44898</v>
      </c>
      <c r="B338" s="181">
        <f t="shared" si="11"/>
        <v>12</v>
      </c>
      <c r="C338" s="178">
        <f t="shared" ca="1" si="10"/>
        <v>51.612903225806448</v>
      </c>
      <c r="H338" s="178"/>
    </row>
    <row r="339" spans="1:8" x14ac:dyDescent="0.2">
      <c r="A339" s="180">
        <v>44899</v>
      </c>
      <c r="B339" s="181">
        <f t="shared" si="11"/>
        <v>12</v>
      </c>
      <c r="C339" s="178">
        <f t="shared" ca="1" si="10"/>
        <v>51.612903225806448</v>
      </c>
      <c r="H339" s="178"/>
    </row>
    <row r="340" spans="1:8" x14ac:dyDescent="0.2">
      <c r="A340" s="180">
        <v>44900</v>
      </c>
      <c r="B340" s="181">
        <f t="shared" si="11"/>
        <v>12</v>
      </c>
      <c r="C340" s="178">
        <f t="shared" ca="1" si="10"/>
        <v>51.612903225806448</v>
      </c>
      <c r="H340" s="178"/>
    </row>
    <row r="341" spans="1:8" x14ac:dyDescent="0.2">
      <c r="A341" s="180">
        <v>44901</v>
      </c>
      <c r="B341" s="181">
        <f t="shared" si="11"/>
        <v>12</v>
      </c>
      <c r="C341" s="178">
        <f t="shared" ca="1" si="10"/>
        <v>51.612903225806448</v>
      </c>
      <c r="H341" s="178"/>
    </row>
    <row r="342" spans="1:8" x14ac:dyDescent="0.2">
      <c r="A342" s="180">
        <v>44902</v>
      </c>
      <c r="B342" s="181">
        <f t="shared" si="11"/>
        <v>12</v>
      </c>
      <c r="C342" s="178">
        <f t="shared" ca="1" si="10"/>
        <v>51.612903225806448</v>
      </c>
      <c r="H342" s="178"/>
    </row>
    <row r="343" spans="1:8" x14ac:dyDescent="0.2">
      <c r="A343" s="180">
        <v>44903</v>
      </c>
      <c r="B343" s="181">
        <f t="shared" si="11"/>
        <v>12</v>
      </c>
      <c r="C343" s="178">
        <f t="shared" ca="1" si="10"/>
        <v>51.612903225806448</v>
      </c>
      <c r="H343" s="178"/>
    </row>
    <row r="344" spans="1:8" x14ac:dyDescent="0.2">
      <c r="A344" s="180">
        <v>44904</v>
      </c>
      <c r="B344" s="181">
        <f t="shared" si="11"/>
        <v>12</v>
      </c>
      <c r="C344" s="178">
        <f t="shared" ca="1" si="10"/>
        <v>51.612903225806448</v>
      </c>
      <c r="H344" s="178"/>
    </row>
    <row r="345" spans="1:8" x14ac:dyDescent="0.2">
      <c r="A345" s="180">
        <v>44905</v>
      </c>
      <c r="B345" s="181">
        <f t="shared" si="11"/>
        <v>12</v>
      </c>
      <c r="C345" s="178">
        <f t="shared" ca="1" si="10"/>
        <v>51.612903225806448</v>
      </c>
      <c r="H345" s="178"/>
    </row>
    <row r="346" spans="1:8" x14ac:dyDescent="0.2">
      <c r="A346" s="180">
        <v>44906</v>
      </c>
      <c r="B346" s="181">
        <f t="shared" si="11"/>
        <v>12</v>
      </c>
      <c r="C346" s="178">
        <f t="shared" ca="1" si="10"/>
        <v>51.612903225806448</v>
      </c>
      <c r="H346" s="178"/>
    </row>
    <row r="347" spans="1:8" x14ac:dyDescent="0.2">
      <c r="A347" s="180">
        <v>44907</v>
      </c>
      <c r="B347" s="181">
        <f t="shared" si="11"/>
        <v>12</v>
      </c>
      <c r="C347" s="178">
        <f t="shared" ca="1" si="10"/>
        <v>51.612903225806448</v>
      </c>
      <c r="H347" s="178"/>
    </row>
    <row r="348" spans="1:8" x14ac:dyDescent="0.2">
      <c r="A348" s="180">
        <v>44908</v>
      </c>
      <c r="B348" s="181">
        <f t="shared" si="11"/>
        <v>12</v>
      </c>
      <c r="C348" s="178">
        <f t="shared" ca="1" si="10"/>
        <v>51.612903225806448</v>
      </c>
      <c r="H348" s="178"/>
    </row>
    <row r="349" spans="1:8" x14ac:dyDescent="0.2">
      <c r="A349" s="180">
        <v>44909</v>
      </c>
      <c r="B349" s="181">
        <f t="shared" si="11"/>
        <v>12</v>
      </c>
      <c r="C349" s="178">
        <f t="shared" ca="1" si="10"/>
        <v>51.612903225806448</v>
      </c>
      <c r="H349" s="178"/>
    </row>
    <row r="350" spans="1:8" x14ac:dyDescent="0.2">
      <c r="A350" s="180">
        <v>44910</v>
      </c>
      <c r="B350" s="181">
        <f t="shared" si="11"/>
        <v>12</v>
      </c>
      <c r="C350" s="178">
        <f t="shared" ca="1" si="10"/>
        <v>51.612903225806448</v>
      </c>
      <c r="H350" s="178"/>
    </row>
    <row r="351" spans="1:8" x14ac:dyDescent="0.2">
      <c r="A351" s="180">
        <v>44911</v>
      </c>
      <c r="B351" s="181">
        <f t="shared" si="11"/>
        <v>12</v>
      </c>
      <c r="C351" s="178">
        <f t="shared" ca="1" si="10"/>
        <v>51.612903225806448</v>
      </c>
      <c r="H351" s="178"/>
    </row>
    <row r="352" spans="1:8" x14ac:dyDescent="0.2">
      <c r="A352" s="180">
        <v>44912</v>
      </c>
      <c r="B352" s="181">
        <f t="shared" si="11"/>
        <v>12</v>
      </c>
      <c r="C352" s="178">
        <f t="shared" ca="1" si="10"/>
        <v>51.612903225806448</v>
      </c>
      <c r="H352" s="178"/>
    </row>
    <row r="353" spans="1:8" x14ac:dyDescent="0.2">
      <c r="A353" s="180">
        <v>44913</v>
      </c>
      <c r="B353" s="181">
        <f t="shared" si="11"/>
        <v>12</v>
      </c>
      <c r="C353" s="178">
        <f t="shared" ca="1" si="10"/>
        <v>51.612903225806448</v>
      </c>
      <c r="H353" s="178"/>
    </row>
    <row r="354" spans="1:8" x14ac:dyDescent="0.2">
      <c r="A354" s="180">
        <v>44914</v>
      </c>
      <c r="B354" s="181">
        <f t="shared" si="11"/>
        <v>12</v>
      </c>
      <c r="C354" s="178">
        <f t="shared" ca="1" si="10"/>
        <v>51.612903225806448</v>
      </c>
      <c r="H354" s="178"/>
    </row>
    <row r="355" spans="1:8" x14ac:dyDescent="0.2">
      <c r="A355" s="180">
        <v>44915</v>
      </c>
      <c r="B355" s="181">
        <f t="shared" si="11"/>
        <v>12</v>
      </c>
      <c r="C355" s="178">
        <f t="shared" ca="1" si="10"/>
        <v>51.612903225806448</v>
      </c>
      <c r="H355" s="178"/>
    </row>
    <row r="356" spans="1:8" x14ac:dyDescent="0.2">
      <c r="A356" s="180">
        <v>44916</v>
      </c>
      <c r="B356" s="181">
        <f t="shared" si="11"/>
        <v>12</v>
      </c>
      <c r="C356" s="178">
        <f t="shared" ca="1" si="10"/>
        <v>51.612903225806448</v>
      </c>
      <c r="H356" s="178"/>
    </row>
    <row r="357" spans="1:8" x14ac:dyDescent="0.2">
      <c r="A357" s="180">
        <v>44917</v>
      </c>
      <c r="B357" s="181">
        <f t="shared" si="11"/>
        <v>12</v>
      </c>
      <c r="C357" s="178">
        <f t="shared" ca="1" si="10"/>
        <v>51.612903225806448</v>
      </c>
      <c r="H357" s="178"/>
    </row>
    <row r="358" spans="1:8" x14ac:dyDescent="0.2">
      <c r="A358" s="180">
        <v>44918</v>
      </c>
      <c r="B358" s="181">
        <f t="shared" si="11"/>
        <v>12</v>
      </c>
      <c r="C358" s="178">
        <f t="shared" ca="1" si="10"/>
        <v>51.612903225806448</v>
      </c>
      <c r="H358" s="178"/>
    </row>
    <row r="359" spans="1:8" x14ac:dyDescent="0.2">
      <c r="A359" s="180">
        <v>44919</v>
      </c>
      <c r="B359" s="181">
        <f t="shared" si="11"/>
        <v>12</v>
      </c>
      <c r="C359" s="178">
        <f t="shared" ca="1" si="10"/>
        <v>51.612903225806448</v>
      </c>
      <c r="H359" s="178"/>
    </row>
    <row r="360" spans="1:8" x14ac:dyDescent="0.2">
      <c r="A360" s="180">
        <v>44920</v>
      </c>
      <c r="B360" s="181">
        <f t="shared" si="11"/>
        <v>12</v>
      </c>
      <c r="C360" s="178">
        <f t="shared" ca="1" si="10"/>
        <v>51.612903225806448</v>
      </c>
      <c r="H360" s="178"/>
    </row>
    <row r="361" spans="1:8" x14ac:dyDescent="0.2">
      <c r="A361" s="180">
        <v>44921</v>
      </c>
      <c r="B361" s="181">
        <f t="shared" si="11"/>
        <v>12</v>
      </c>
      <c r="C361" s="178">
        <f t="shared" ca="1" si="10"/>
        <v>51.612903225806448</v>
      </c>
      <c r="H361" s="178"/>
    </row>
    <row r="362" spans="1:8" x14ac:dyDescent="0.2">
      <c r="A362" s="180">
        <v>44922</v>
      </c>
      <c r="B362" s="181">
        <f t="shared" si="11"/>
        <v>12</v>
      </c>
      <c r="C362" s="178">
        <f t="shared" ca="1" si="10"/>
        <v>51.612903225806448</v>
      </c>
      <c r="H362" s="178"/>
    </row>
    <row r="363" spans="1:8" x14ac:dyDescent="0.2">
      <c r="A363" s="180">
        <v>44923</v>
      </c>
      <c r="B363" s="181">
        <f t="shared" si="11"/>
        <v>12</v>
      </c>
      <c r="C363" s="178">
        <f t="shared" ca="1" si="10"/>
        <v>51.612903225806448</v>
      </c>
      <c r="H363" s="178"/>
    </row>
    <row r="364" spans="1:8" x14ac:dyDescent="0.2">
      <c r="A364" s="180">
        <v>44924</v>
      </c>
      <c r="B364" s="181">
        <f t="shared" si="11"/>
        <v>12</v>
      </c>
      <c r="C364" s="178">
        <f t="shared" ca="1" si="10"/>
        <v>51.612903225806448</v>
      </c>
      <c r="H364" s="178"/>
    </row>
    <row r="365" spans="1:8" x14ac:dyDescent="0.2">
      <c r="A365" s="180">
        <v>44925</v>
      </c>
      <c r="B365" s="181">
        <f t="shared" si="11"/>
        <v>12</v>
      </c>
      <c r="C365" s="178">
        <f t="shared" ca="1" si="10"/>
        <v>51.612903225806448</v>
      </c>
      <c r="H365" s="178"/>
    </row>
    <row r="366" spans="1:8" x14ac:dyDescent="0.2">
      <c r="A366" s="180">
        <v>44926</v>
      </c>
      <c r="B366" s="181">
        <f t="shared" si="11"/>
        <v>12</v>
      </c>
      <c r="C366" s="178">
        <f t="shared" ca="1" si="10"/>
        <v>51.612903225806448</v>
      </c>
      <c r="H366" s="178"/>
    </row>
    <row r="367" spans="1:8" x14ac:dyDescent="0.2">
      <c r="A367" s="180">
        <v>44927</v>
      </c>
      <c r="B367" s="181">
        <f t="shared" si="11"/>
        <v>1</v>
      </c>
      <c r="C367" s="178">
        <f t="shared" ca="1" si="10"/>
        <v>51.612903225806448</v>
      </c>
      <c r="H367" s="178"/>
    </row>
    <row r="368" spans="1:8" x14ac:dyDescent="0.2">
      <c r="A368" s="180">
        <v>44928</v>
      </c>
      <c r="B368" s="181">
        <f t="shared" si="11"/>
        <v>1</v>
      </c>
      <c r="C368" s="178">
        <f t="shared" ca="1" si="10"/>
        <v>51.612903225806448</v>
      </c>
      <c r="H368" s="178"/>
    </row>
    <row r="369" spans="1:8" x14ac:dyDescent="0.2">
      <c r="A369" s="180">
        <v>44929</v>
      </c>
      <c r="B369" s="181">
        <f t="shared" si="11"/>
        <v>1</v>
      </c>
      <c r="C369" s="178">
        <f t="shared" ca="1" si="10"/>
        <v>51.612903225806448</v>
      </c>
      <c r="H369" s="178"/>
    </row>
    <row r="370" spans="1:8" x14ac:dyDescent="0.2">
      <c r="A370" s="180">
        <v>44930</v>
      </c>
      <c r="B370" s="181">
        <f t="shared" si="11"/>
        <v>1</v>
      </c>
      <c r="C370" s="178">
        <f t="shared" ca="1" si="10"/>
        <v>51.612903225806448</v>
      </c>
      <c r="H370" s="178"/>
    </row>
    <row r="371" spans="1:8" x14ac:dyDescent="0.2">
      <c r="A371" s="180">
        <v>44931</v>
      </c>
      <c r="B371" s="181">
        <f t="shared" si="11"/>
        <v>1</v>
      </c>
      <c r="C371" s="178">
        <f t="shared" ca="1" si="10"/>
        <v>51.612903225806448</v>
      </c>
      <c r="H371" s="178"/>
    </row>
    <row r="372" spans="1:8" x14ac:dyDescent="0.2">
      <c r="A372" s="180">
        <v>44932</v>
      </c>
      <c r="B372" s="181">
        <f t="shared" si="11"/>
        <v>1</v>
      </c>
      <c r="C372" s="178">
        <f t="shared" ca="1" si="10"/>
        <v>51.612903225806448</v>
      </c>
      <c r="H372" s="178"/>
    </row>
    <row r="373" spans="1:8" x14ac:dyDescent="0.2">
      <c r="A373" s="180">
        <v>44933</v>
      </c>
      <c r="B373" s="181">
        <f t="shared" si="11"/>
        <v>1</v>
      </c>
      <c r="C373" s="178">
        <f t="shared" ca="1" si="10"/>
        <v>51.612903225806448</v>
      </c>
      <c r="H373" s="178"/>
    </row>
    <row r="374" spans="1:8" x14ac:dyDescent="0.2">
      <c r="A374" s="180">
        <v>44934</v>
      </c>
      <c r="B374" s="181">
        <f t="shared" si="11"/>
        <v>1</v>
      </c>
      <c r="C374" s="178">
        <f t="shared" ca="1" si="10"/>
        <v>51.612903225806448</v>
      </c>
      <c r="H374" s="178"/>
    </row>
    <row r="375" spans="1:8" x14ac:dyDescent="0.2">
      <c r="A375" s="180">
        <v>44935</v>
      </c>
      <c r="B375" s="181">
        <f t="shared" si="11"/>
        <v>1</v>
      </c>
      <c r="C375" s="178">
        <f t="shared" ca="1" si="10"/>
        <v>51.612903225806448</v>
      </c>
      <c r="H375" s="178"/>
    </row>
    <row r="376" spans="1:8" x14ac:dyDescent="0.2">
      <c r="A376" s="180">
        <v>44936</v>
      </c>
      <c r="B376" s="181">
        <f t="shared" si="11"/>
        <v>1</v>
      </c>
      <c r="C376" s="178">
        <f t="shared" ca="1" si="10"/>
        <v>51.612903225806448</v>
      </c>
      <c r="H376" s="178"/>
    </row>
    <row r="377" spans="1:8" x14ac:dyDescent="0.2">
      <c r="A377" s="180">
        <v>44937</v>
      </c>
      <c r="B377" s="181">
        <f t="shared" si="11"/>
        <v>1</v>
      </c>
      <c r="C377" s="178">
        <f t="shared" ca="1" si="10"/>
        <v>51.612903225806448</v>
      </c>
      <c r="H377" s="178"/>
    </row>
    <row r="378" spans="1:8" x14ac:dyDescent="0.2">
      <c r="A378" s="180">
        <v>44938</v>
      </c>
      <c r="B378" s="181">
        <f t="shared" si="11"/>
        <v>1</v>
      </c>
      <c r="C378" s="178">
        <f t="shared" ca="1" si="10"/>
        <v>51.612903225806448</v>
      </c>
      <c r="H378" s="178"/>
    </row>
    <row r="379" spans="1:8" x14ac:dyDescent="0.2">
      <c r="A379" s="180">
        <v>44939</v>
      </c>
      <c r="B379" s="181">
        <f t="shared" si="11"/>
        <v>1</v>
      </c>
      <c r="C379" s="178">
        <f t="shared" ca="1" si="10"/>
        <v>51.612903225806448</v>
      </c>
      <c r="H379" s="178"/>
    </row>
    <row r="380" spans="1:8" x14ac:dyDescent="0.2">
      <c r="A380" s="180">
        <v>44940</v>
      </c>
      <c r="B380" s="181">
        <f t="shared" si="11"/>
        <v>1</v>
      </c>
      <c r="C380" s="178">
        <f t="shared" ca="1" si="10"/>
        <v>51.612903225806448</v>
      </c>
      <c r="H380" s="178"/>
    </row>
    <row r="381" spans="1:8" x14ac:dyDescent="0.2">
      <c r="A381" s="180">
        <v>44941</v>
      </c>
      <c r="B381" s="181">
        <f t="shared" si="11"/>
        <v>1</v>
      </c>
      <c r="C381" s="178">
        <f t="shared" ca="1" si="10"/>
        <v>51.612903225806448</v>
      </c>
      <c r="H381" s="178"/>
    </row>
    <row r="382" spans="1:8" x14ac:dyDescent="0.2">
      <c r="A382" s="180">
        <v>44942</v>
      </c>
      <c r="B382" s="181">
        <f t="shared" si="11"/>
        <v>1</v>
      </c>
      <c r="C382" s="178">
        <f t="shared" ca="1" si="10"/>
        <v>51.612903225806448</v>
      </c>
      <c r="H382" s="178"/>
    </row>
    <row r="383" spans="1:8" x14ac:dyDescent="0.2">
      <c r="A383" s="180">
        <v>44943</v>
      </c>
      <c r="B383" s="181">
        <f t="shared" si="11"/>
        <v>1</v>
      </c>
      <c r="C383" s="178">
        <f t="shared" ca="1" si="10"/>
        <v>51.612903225806448</v>
      </c>
      <c r="H383" s="178"/>
    </row>
    <row r="384" spans="1:8" x14ac:dyDescent="0.2">
      <c r="A384" s="180">
        <v>44944</v>
      </c>
      <c r="B384" s="181">
        <f t="shared" si="11"/>
        <v>1</v>
      </c>
      <c r="C384" s="178">
        <f t="shared" ca="1" si="10"/>
        <v>51.612903225806448</v>
      </c>
      <c r="H384" s="178"/>
    </row>
    <row r="385" spans="1:8" x14ac:dyDescent="0.2">
      <c r="A385" s="180">
        <v>44945</v>
      </c>
      <c r="B385" s="181">
        <f t="shared" si="11"/>
        <v>1</v>
      </c>
      <c r="C385" s="178">
        <f t="shared" ca="1" si="10"/>
        <v>51.612903225806448</v>
      </c>
      <c r="H385" s="178"/>
    </row>
    <row r="386" spans="1:8" x14ac:dyDescent="0.2">
      <c r="A386" s="180">
        <v>44946</v>
      </c>
      <c r="B386" s="181">
        <f t="shared" si="11"/>
        <v>1</v>
      </c>
      <c r="C386" s="178">
        <f t="shared" ref="C386:C449" ca="1" si="12">IF(A386&lt;=$G$2,VLOOKUP(B386,$E$4:$H$15,4),0)</f>
        <v>51.612903225806448</v>
      </c>
      <c r="H386" s="178"/>
    </row>
    <row r="387" spans="1:8" x14ac:dyDescent="0.2">
      <c r="A387" s="180">
        <v>44947</v>
      </c>
      <c r="B387" s="181">
        <f t="shared" ref="B387:B450" si="13">MONTH(A387)</f>
        <v>1</v>
      </c>
      <c r="C387" s="178">
        <f t="shared" ca="1" si="12"/>
        <v>51.612903225806448</v>
      </c>
      <c r="H387" s="178"/>
    </row>
    <row r="388" spans="1:8" x14ac:dyDescent="0.2">
      <c r="A388" s="180">
        <v>44948</v>
      </c>
      <c r="B388" s="181">
        <f t="shared" si="13"/>
        <v>1</v>
      </c>
      <c r="C388" s="178">
        <f t="shared" ca="1" si="12"/>
        <v>51.612903225806448</v>
      </c>
      <c r="H388" s="178"/>
    </row>
    <row r="389" spans="1:8" x14ac:dyDescent="0.2">
      <c r="A389" s="180">
        <v>44949</v>
      </c>
      <c r="B389" s="181">
        <f t="shared" si="13"/>
        <v>1</v>
      </c>
      <c r="C389" s="178">
        <f t="shared" ca="1" si="12"/>
        <v>51.612903225806448</v>
      </c>
      <c r="H389" s="178"/>
    </row>
    <row r="390" spans="1:8" x14ac:dyDescent="0.2">
      <c r="A390" s="180">
        <v>44950</v>
      </c>
      <c r="B390" s="181">
        <f t="shared" si="13"/>
        <v>1</v>
      </c>
      <c r="C390" s="178">
        <f t="shared" ca="1" si="12"/>
        <v>51.612903225806448</v>
      </c>
      <c r="H390" s="178"/>
    </row>
    <row r="391" spans="1:8" x14ac:dyDescent="0.2">
      <c r="A391" s="180">
        <v>44951</v>
      </c>
      <c r="B391" s="181">
        <f t="shared" si="13"/>
        <v>1</v>
      </c>
      <c r="C391" s="178">
        <f t="shared" ca="1" si="12"/>
        <v>51.612903225806448</v>
      </c>
      <c r="H391" s="178"/>
    </row>
    <row r="392" spans="1:8" x14ac:dyDescent="0.2">
      <c r="A392" s="180">
        <v>44952</v>
      </c>
      <c r="B392" s="181">
        <f t="shared" si="13"/>
        <v>1</v>
      </c>
      <c r="C392" s="178">
        <f t="shared" ca="1" si="12"/>
        <v>51.612903225806448</v>
      </c>
      <c r="H392" s="178"/>
    </row>
    <row r="393" spans="1:8" x14ac:dyDescent="0.2">
      <c r="A393" s="180">
        <v>44953</v>
      </c>
      <c r="B393" s="181">
        <f t="shared" si="13"/>
        <v>1</v>
      </c>
      <c r="C393" s="178">
        <f t="shared" ca="1" si="12"/>
        <v>51.612903225806448</v>
      </c>
      <c r="H393" s="178"/>
    </row>
    <row r="394" spans="1:8" x14ac:dyDescent="0.2">
      <c r="A394" s="180">
        <v>44954</v>
      </c>
      <c r="B394" s="181">
        <f t="shared" si="13"/>
        <v>1</v>
      </c>
      <c r="C394" s="178">
        <f t="shared" ca="1" si="12"/>
        <v>51.612903225806448</v>
      </c>
      <c r="H394" s="178"/>
    </row>
    <row r="395" spans="1:8" x14ac:dyDescent="0.2">
      <c r="A395" s="180">
        <v>44955</v>
      </c>
      <c r="B395" s="181">
        <f t="shared" si="13"/>
        <v>1</v>
      </c>
      <c r="C395" s="178">
        <f t="shared" ca="1" si="12"/>
        <v>51.612903225806448</v>
      </c>
      <c r="H395" s="178"/>
    </row>
    <row r="396" spans="1:8" x14ac:dyDescent="0.2">
      <c r="A396" s="180">
        <v>44956</v>
      </c>
      <c r="B396" s="181">
        <f t="shared" si="13"/>
        <v>1</v>
      </c>
      <c r="C396" s="178">
        <f t="shared" ca="1" si="12"/>
        <v>51.612903225806448</v>
      </c>
      <c r="H396" s="178"/>
    </row>
    <row r="397" spans="1:8" x14ac:dyDescent="0.2">
      <c r="A397" s="180">
        <v>44957</v>
      </c>
      <c r="B397" s="181">
        <f t="shared" si="13"/>
        <v>1</v>
      </c>
      <c r="C397" s="178">
        <f t="shared" ca="1" si="12"/>
        <v>51.612903225806448</v>
      </c>
      <c r="H397" s="178"/>
    </row>
    <row r="398" spans="1:8" x14ac:dyDescent="0.2">
      <c r="A398" s="180">
        <v>44958</v>
      </c>
      <c r="B398" s="181">
        <f t="shared" si="13"/>
        <v>2</v>
      </c>
      <c r="C398" s="178">
        <f t="shared" ca="1" si="12"/>
        <v>57.142857142857146</v>
      </c>
      <c r="H398" s="178"/>
    </row>
    <row r="399" spans="1:8" x14ac:dyDescent="0.2">
      <c r="A399" s="180">
        <v>44959</v>
      </c>
      <c r="B399" s="181">
        <f t="shared" si="13"/>
        <v>2</v>
      </c>
      <c r="C399" s="178">
        <f t="shared" ca="1" si="12"/>
        <v>57.142857142857146</v>
      </c>
      <c r="H399" s="178"/>
    </row>
    <row r="400" spans="1:8" x14ac:dyDescent="0.2">
      <c r="A400" s="180">
        <v>44960</v>
      </c>
      <c r="B400" s="181">
        <f t="shared" si="13"/>
        <v>2</v>
      </c>
      <c r="C400" s="178">
        <f t="shared" ca="1" si="12"/>
        <v>57.142857142857146</v>
      </c>
      <c r="H400" s="178"/>
    </row>
    <row r="401" spans="1:8" x14ac:dyDescent="0.2">
      <c r="A401" s="180">
        <v>44961</v>
      </c>
      <c r="B401" s="181">
        <f t="shared" si="13"/>
        <v>2</v>
      </c>
      <c r="C401" s="178">
        <f t="shared" ca="1" si="12"/>
        <v>57.142857142857146</v>
      </c>
      <c r="H401" s="178"/>
    </row>
    <row r="402" spans="1:8" x14ac:dyDescent="0.2">
      <c r="A402" s="180">
        <v>44962</v>
      </c>
      <c r="B402" s="181">
        <f t="shared" si="13"/>
        <v>2</v>
      </c>
      <c r="C402" s="178">
        <f t="shared" ca="1" si="12"/>
        <v>57.142857142857146</v>
      </c>
      <c r="H402" s="178"/>
    </row>
    <row r="403" spans="1:8" x14ac:dyDescent="0.2">
      <c r="A403" s="180">
        <v>44963</v>
      </c>
      <c r="B403" s="181">
        <f t="shared" si="13"/>
        <v>2</v>
      </c>
      <c r="C403" s="178">
        <f t="shared" ca="1" si="12"/>
        <v>57.142857142857146</v>
      </c>
      <c r="H403" s="178"/>
    </row>
    <row r="404" spans="1:8" x14ac:dyDescent="0.2">
      <c r="A404" s="180">
        <v>44964</v>
      </c>
      <c r="B404" s="181">
        <f t="shared" si="13"/>
        <v>2</v>
      </c>
      <c r="C404" s="178">
        <f t="shared" ca="1" si="12"/>
        <v>57.142857142857146</v>
      </c>
      <c r="H404" s="178"/>
    </row>
    <row r="405" spans="1:8" x14ac:dyDescent="0.2">
      <c r="A405" s="180">
        <v>44965</v>
      </c>
      <c r="B405" s="181">
        <f t="shared" si="13"/>
        <v>2</v>
      </c>
      <c r="C405" s="178">
        <f t="shared" ca="1" si="12"/>
        <v>57.142857142857146</v>
      </c>
      <c r="H405" s="178"/>
    </row>
    <row r="406" spans="1:8" x14ac:dyDescent="0.2">
      <c r="A406" s="180">
        <v>44966</v>
      </c>
      <c r="B406" s="181">
        <f t="shared" si="13"/>
        <v>2</v>
      </c>
      <c r="C406" s="178">
        <f t="shared" ca="1" si="12"/>
        <v>57.142857142857146</v>
      </c>
      <c r="H406" s="178"/>
    </row>
    <row r="407" spans="1:8" x14ac:dyDescent="0.2">
      <c r="A407" s="180">
        <v>44967</v>
      </c>
      <c r="B407" s="181">
        <f t="shared" si="13"/>
        <v>2</v>
      </c>
      <c r="C407" s="178">
        <f t="shared" ca="1" si="12"/>
        <v>57.142857142857146</v>
      </c>
      <c r="H407" s="178"/>
    </row>
    <row r="408" spans="1:8" x14ac:dyDescent="0.2">
      <c r="A408" s="180">
        <v>44968</v>
      </c>
      <c r="B408" s="181">
        <f t="shared" si="13"/>
        <v>2</v>
      </c>
      <c r="C408" s="178">
        <f t="shared" ca="1" si="12"/>
        <v>57.142857142857146</v>
      </c>
      <c r="H408" s="178"/>
    </row>
    <row r="409" spans="1:8" x14ac:dyDescent="0.2">
      <c r="A409" s="180">
        <v>44969</v>
      </c>
      <c r="B409" s="181">
        <f t="shared" si="13"/>
        <v>2</v>
      </c>
      <c r="C409" s="178">
        <f t="shared" ca="1" si="12"/>
        <v>57.142857142857146</v>
      </c>
      <c r="H409" s="178"/>
    </row>
    <row r="410" spans="1:8" x14ac:dyDescent="0.2">
      <c r="A410" s="180">
        <v>44970</v>
      </c>
      <c r="B410" s="181">
        <f t="shared" si="13"/>
        <v>2</v>
      </c>
      <c r="C410" s="178">
        <f t="shared" ca="1" si="12"/>
        <v>57.142857142857146</v>
      </c>
      <c r="H410" s="178"/>
    </row>
    <row r="411" spans="1:8" x14ac:dyDescent="0.2">
      <c r="A411" s="180">
        <v>44971</v>
      </c>
      <c r="B411" s="181">
        <f t="shared" si="13"/>
        <v>2</v>
      </c>
      <c r="C411" s="178">
        <f t="shared" ca="1" si="12"/>
        <v>57.142857142857146</v>
      </c>
      <c r="H411" s="178"/>
    </row>
    <row r="412" spans="1:8" x14ac:dyDescent="0.2">
      <c r="A412" s="180">
        <v>44972</v>
      </c>
      <c r="B412" s="181">
        <f t="shared" si="13"/>
        <v>2</v>
      </c>
      <c r="C412" s="178">
        <f t="shared" ca="1" si="12"/>
        <v>57.142857142857146</v>
      </c>
      <c r="H412" s="178"/>
    </row>
    <row r="413" spans="1:8" x14ac:dyDescent="0.2">
      <c r="A413" s="180">
        <v>44973</v>
      </c>
      <c r="B413" s="181">
        <f t="shared" si="13"/>
        <v>2</v>
      </c>
      <c r="C413" s="178">
        <f t="shared" ca="1" si="12"/>
        <v>57.142857142857146</v>
      </c>
      <c r="H413" s="178"/>
    </row>
    <row r="414" spans="1:8" x14ac:dyDescent="0.2">
      <c r="A414" s="180">
        <v>44974</v>
      </c>
      <c r="B414" s="181">
        <f t="shared" si="13"/>
        <v>2</v>
      </c>
      <c r="C414" s="178">
        <f t="shared" ca="1" si="12"/>
        <v>57.142857142857146</v>
      </c>
      <c r="H414" s="178"/>
    </row>
    <row r="415" spans="1:8" x14ac:dyDescent="0.2">
      <c r="A415" s="180">
        <v>44975</v>
      </c>
      <c r="B415" s="181">
        <f t="shared" si="13"/>
        <v>2</v>
      </c>
      <c r="C415" s="178">
        <f t="shared" ca="1" si="12"/>
        <v>57.142857142857146</v>
      </c>
      <c r="H415" s="178"/>
    </row>
    <row r="416" spans="1:8" x14ac:dyDescent="0.2">
      <c r="A416" s="180">
        <v>44976</v>
      </c>
      <c r="B416" s="181">
        <f t="shared" si="13"/>
        <v>2</v>
      </c>
      <c r="C416" s="178">
        <f t="shared" ca="1" si="12"/>
        <v>57.142857142857146</v>
      </c>
      <c r="H416" s="178"/>
    </row>
    <row r="417" spans="1:8" x14ac:dyDescent="0.2">
      <c r="A417" s="180">
        <v>44977</v>
      </c>
      <c r="B417" s="181">
        <f t="shared" si="13"/>
        <v>2</v>
      </c>
      <c r="C417" s="178">
        <f t="shared" ca="1" si="12"/>
        <v>57.142857142857146</v>
      </c>
      <c r="H417" s="178"/>
    </row>
    <row r="418" spans="1:8" x14ac:dyDescent="0.2">
      <c r="A418" s="180">
        <v>44978</v>
      </c>
      <c r="B418" s="181">
        <f t="shared" si="13"/>
        <v>2</v>
      </c>
      <c r="C418" s="178">
        <f t="shared" ca="1" si="12"/>
        <v>57.142857142857146</v>
      </c>
      <c r="H418" s="178"/>
    </row>
    <row r="419" spans="1:8" x14ac:dyDescent="0.2">
      <c r="A419" s="180">
        <v>44979</v>
      </c>
      <c r="B419" s="181">
        <f t="shared" si="13"/>
        <v>2</v>
      </c>
      <c r="C419" s="178">
        <f t="shared" ca="1" si="12"/>
        <v>57.142857142857146</v>
      </c>
      <c r="H419" s="178"/>
    </row>
    <row r="420" spans="1:8" x14ac:dyDescent="0.2">
      <c r="A420" s="180">
        <v>44980</v>
      </c>
      <c r="B420" s="181">
        <f t="shared" si="13"/>
        <v>2</v>
      </c>
      <c r="C420" s="178">
        <f t="shared" ca="1" si="12"/>
        <v>57.142857142857146</v>
      </c>
      <c r="H420" s="178"/>
    </row>
    <row r="421" spans="1:8" x14ac:dyDescent="0.2">
      <c r="A421" s="180">
        <v>44981</v>
      </c>
      <c r="B421" s="181">
        <f t="shared" si="13"/>
        <v>2</v>
      </c>
      <c r="C421" s="178">
        <f t="shared" ca="1" si="12"/>
        <v>57.142857142857146</v>
      </c>
      <c r="H421" s="178"/>
    </row>
    <row r="422" spans="1:8" x14ac:dyDescent="0.2">
      <c r="A422" s="180">
        <v>44982</v>
      </c>
      <c r="B422" s="181">
        <f t="shared" si="13"/>
        <v>2</v>
      </c>
      <c r="C422" s="178">
        <f t="shared" ca="1" si="12"/>
        <v>57.142857142857146</v>
      </c>
      <c r="H422" s="178"/>
    </row>
    <row r="423" spans="1:8" x14ac:dyDescent="0.2">
      <c r="A423" s="180">
        <v>44983</v>
      </c>
      <c r="B423" s="181">
        <f t="shared" si="13"/>
        <v>2</v>
      </c>
      <c r="C423" s="178">
        <f t="shared" ca="1" si="12"/>
        <v>57.142857142857146</v>
      </c>
      <c r="H423" s="178"/>
    </row>
    <row r="424" spans="1:8" x14ac:dyDescent="0.2">
      <c r="A424" s="180">
        <v>44984</v>
      </c>
      <c r="B424" s="181">
        <f t="shared" si="13"/>
        <v>2</v>
      </c>
      <c r="C424" s="178">
        <f t="shared" ca="1" si="12"/>
        <v>57.142857142857146</v>
      </c>
      <c r="H424" s="178"/>
    </row>
    <row r="425" spans="1:8" x14ac:dyDescent="0.2">
      <c r="A425" s="180">
        <v>44985</v>
      </c>
      <c r="B425" s="181">
        <f t="shared" si="13"/>
        <v>2</v>
      </c>
      <c r="C425" s="178">
        <f t="shared" ca="1" si="12"/>
        <v>57.142857142857146</v>
      </c>
      <c r="H425" s="178"/>
    </row>
    <row r="426" spans="1:8" x14ac:dyDescent="0.2">
      <c r="A426" s="180">
        <v>44986</v>
      </c>
      <c r="B426" s="181">
        <f t="shared" si="13"/>
        <v>3</v>
      </c>
      <c r="C426" s="178">
        <f t="shared" ca="1" si="12"/>
        <v>51.612903225806448</v>
      </c>
      <c r="H426" s="178"/>
    </row>
    <row r="427" spans="1:8" x14ac:dyDescent="0.2">
      <c r="A427" s="180">
        <v>44987</v>
      </c>
      <c r="B427" s="181">
        <f t="shared" si="13"/>
        <v>3</v>
      </c>
      <c r="C427" s="178">
        <f t="shared" ca="1" si="12"/>
        <v>51.612903225806448</v>
      </c>
      <c r="H427" s="178"/>
    </row>
    <row r="428" spans="1:8" x14ac:dyDescent="0.2">
      <c r="A428" s="180">
        <v>44988</v>
      </c>
      <c r="B428" s="181">
        <f t="shared" si="13"/>
        <v>3</v>
      </c>
      <c r="C428" s="178">
        <f t="shared" ca="1" si="12"/>
        <v>51.612903225806448</v>
      </c>
      <c r="H428" s="178"/>
    </row>
    <row r="429" spans="1:8" x14ac:dyDescent="0.2">
      <c r="A429" s="180">
        <v>44989</v>
      </c>
      <c r="B429" s="181">
        <f t="shared" si="13"/>
        <v>3</v>
      </c>
      <c r="C429" s="178">
        <f t="shared" ca="1" si="12"/>
        <v>51.612903225806448</v>
      </c>
      <c r="H429" s="178"/>
    </row>
    <row r="430" spans="1:8" x14ac:dyDescent="0.2">
      <c r="A430" s="180">
        <v>44990</v>
      </c>
      <c r="B430" s="181">
        <f t="shared" si="13"/>
        <v>3</v>
      </c>
      <c r="C430" s="178">
        <f t="shared" ca="1" si="12"/>
        <v>51.612903225806448</v>
      </c>
      <c r="H430" s="178"/>
    </row>
    <row r="431" spans="1:8" x14ac:dyDescent="0.2">
      <c r="A431" s="180">
        <v>44991</v>
      </c>
      <c r="B431" s="181">
        <f t="shared" si="13"/>
        <v>3</v>
      </c>
      <c r="C431" s="178">
        <f t="shared" ca="1" si="12"/>
        <v>51.612903225806448</v>
      </c>
      <c r="H431" s="178"/>
    </row>
    <row r="432" spans="1:8" x14ac:dyDescent="0.2">
      <c r="A432" s="180">
        <v>44992</v>
      </c>
      <c r="B432" s="181">
        <f t="shared" si="13"/>
        <v>3</v>
      </c>
      <c r="C432" s="178">
        <f t="shared" ca="1" si="12"/>
        <v>51.612903225806448</v>
      </c>
      <c r="H432" s="178"/>
    </row>
    <row r="433" spans="1:8" x14ac:dyDescent="0.2">
      <c r="A433" s="180">
        <v>44993</v>
      </c>
      <c r="B433" s="181">
        <f t="shared" si="13"/>
        <v>3</v>
      </c>
      <c r="C433" s="178">
        <f t="shared" ca="1" si="12"/>
        <v>51.612903225806448</v>
      </c>
      <c r="H433" s="178"/>
    </row>
    <row r="434" spans="1:8" x14ac:dyDescent="0.2">
      <c r="A434" s="180">
        <v>44994</v>
      </c>
      <c r="B434" s="181">
        <f t="shared" si="13"/>
        <v>3</v>
      </c>
      <c r="C434" s="178">
        <f t="shared" ca="1" si="12"/>
        <v>51.612903225806448</v>
      </c>
      <c r="H434" s="178"/>
    </row>
    <row r="435" spans="1:8" x14ac:dyDescent="0.2">
      <c r="A435" s="180">
        <v>44995</v>
      </c>
      <c r="B435" s="181">
        <f t="shared" si="13"/>
        <v>3</v>
      </c>
      <c r="C435" s="178">
        <f t="shared" ca="1" si="12"/>
        <v>51.612903225806448</v>
      </c>
      <c r="H435" s="178"/>
    </row>
    <row r="436" spans="1:8" x14ac:dyDescent="0.2">
      <c r="A436" s="180">
        <v>44996</v>
      </c>
      <c r="B436" s="181">
        <f t="shared" si="13"/>
        <v>3</v>
      </c>
      <c r="C436" s="178">
        <f t="shared" ca="1" si="12"/>
        <v>51.612903225806448</v>
      </c>
      <c r="H436" s="178"/>
    </row>
    <row r="437" spans="1:8" x14ac:dyDescent="0.2">
      <c r="A437" s="180">
        <v>44997</v>
      </c>
      <c r="B437" s="181">
        <f t="shared" si="13"/>
        <v>3</v>
      </c>
      <c r="C437" s="178">
        <f t="shared" ca="1" si="12"/>
        <v>51.612903225806448</v>
      </c>
      <c r="H437" s="178"/>
    </row>
    <row r="438" spans="1:8" x14ac:dyDescent="0.2">
      <c r="A438" s="180">
        <v>44998</v>
      </c>
      <c r="B438" s="181">
        <f t="shared" si="13"/>
        <v>3</v>
      </c>
      <c r="C438" s="178">
        <f t="shared" ca="1" si="12"/>
        <v>51.612903225806448</v>
      </c>
      <c r="H438" s="178"/>
    </row>
    <row r="439" spans="1:8" x14ac:dyDescent="0.2">
      <c r="A439" s="180">
        <v>44999</v>
      </c>
      <c r="B439" s="181">
        <f t="shared" si="13"/>
        <v>3</v>
      </c>
      <c r="C439" s="178">
        <f t="shared" ca="1" si="12"/>
        <v>51.612903225806448</v>
      </c>
      <c r="H439" s="178"/>
    </row>
    <row r="440" spans="1:8" x14ac:dyDescent="0.2">
      <c r="A440" s="180">
        <v>45000</v>
      </c>
      <c r="B440" s="181">
        <f t="shared" si="13"/>
        <v>3</v>
      </c>
      <c r="C440" s="178">
        <f t="shared" ca="1" si="12"/>
        <v>51.612903225806448</v>
      </c>
      <c r="H440" s="178"/>
    </row>
    <row r="441" spans="1:8" x14ac:dyDescent="0.2">
      <c r="A441" s="180">
        <v>45001</v>
      </c>
      <c r="B441" s="181">
        <f t="shared" si="13"/>
        <v>3</v>
      </c>
      <c r="C441" s="178">
        <f t="shared" ca="1" si="12"/>
        <v>51.612903225806448</v>
      </c>
      <c r="H441" s="178"/>
    </row>
    <row r="442" spans="1:8" x14ac:dyDescent="0.2">
      <c r="A442" s="180">
        <v>45002</v>
      </c>
      <c r="B442" s="181">
        <f t="shared" si="13"/>
        <v>3</v>
      </c>
      <c r="C442" s="178">
        <f t="shared" ca="1" si="12"/>
        <v>51.612903225806448</v>
      </c>
      <c r="H442" s="178"/>
    </row>
    <row r="443" spans="1:8" x14ac:dyDescent="0.2">
      <c r="A443" s="180">
        <v>45003</v>
      </c>
      <c r="B443" s="181">
        <f t="shared" si="13"/>
        <v>3</v>
      </c>
      <c r="C443" s="178">
        <f t="shared" ca="1" si="12"/>
        <v>51.612903225806448</v>
      </c>
      <c r="H443" s="178"/>
    </row>
    <row r="444" spans="1:8" x14ac:dyDescent="0.2">
      <c r="A444" s="180">
        <v>45004</v>
      </c>
      <c r="B444" s="181">
        <f t="shared" si="13"/>
        <v>3</v>
      </c>
      <c r="C444" s="178">
        <f t="shared" ca="1" si="12"/>
        <v>51.612903225806448</v>
      </c>
      <c r="H444" s="178"/>
    </row>
    <row r="445" spans="1:8" x14ac:dyDescent="0.2">
      <c r="A445" s="180">
        <v>45005</v>
      </c>
      <c r="B445" s="181">
        <f t="shared" si="13"/>
        <v>3</v>
      </c>
      <c r="C445" s="178">
        <f t="shared" ca="1" si="12"/>
        <v>51.612903225806448</v>
      </c>
      <c r="H445" s="178"/>
    </row>
    <row r="446" spans="1:8" x14ac:dyDescent="0.2">
      <c r="A446" s="180">
        <v>45006</v>
      </c>
      <c r="B446" s="181">
        <f t="shared" si="13"/>
        <v>3</v>
      </c>
      <c r="C446" s="178">
        <f t="shared" ca="1" si="12"/>
        <v>51.612903225806448</v>
      </c>
      <c r="H446" s="178"/>
    </row>
    <row r="447" spans="1:8" x14ac:dyDescent="0.2">
      <c r="A447" s="180">
        <v>45007</v>
      </c>
      <c r="B447" s="181">
        <f t="shared" si="13"/>
        <v>3</v>
      </c>
      <c r="C447" s="178">
        <f t="shared" ca="1" si="12"/>
        <v>51.612903225806448</v>
      </c>
      <c r="H447" s="178"/>
    </row>
    <row r="448" spans="1:8" x14ac:dyDescent="0.2">
      <c r="A448" s="180">
        <v>45008</v>
      </c>
      <c r="B448" s="181">
        <f t="shared" si="13"/>
        <v>3</v>
      </c>
      <c r="C448" s="178">
        <f t="shared" ca="1" si="12"/>
        <v>51.612903225806448</v>
      </c>
      <c r="H448" s="178"/>
    </row>
    <row r="449" spans="1:8" x14ac:dyDescent="0.2">
      <c r="A449" s="180">
        <v>45009</v>
      </c>
      <c r="B449" s="181">
        <f t="shared" si="13"/>
        <v>3</v>
      </c>
      <c r="C449" s="178">
        <f t="shared" ca="1" si="12"/>
        <v>51.612903225806448</v>
      </c>
      <c r="H449" s="178"/>
    </row>
    <row r="450" spans="1:8" x14ac:dyDescent="0.2">
      <c r="A450" s="180">
        <v>45010</v>
      </c>
      <c r="B450" s="181">
        <f t="shared" si="13"/>
        <v>3</v>
      </c>
      <c r="C450" s="178">
        <f t="shared" ref="C450:C513" ca="1" si="14">IF(A450&lt;=$G$2,VLOOKUP(B450,$E$4:$H$15,4),0)</f>
        <v>51.612903225806448</v>
      </c>
      <c r="H450" s="178"/>
    </row>
    <row r="451" spans="1:8" x14ac:dyDescent="0.2">
      <c r="A451" s="180">
        <v>45011</v>
      </c>
      <c r="B451" s="181">
        <f t="shared" ref="B451:B514" si="15">MONTH(A451)</f>
        <v>3</v>
      </c>
      <c r="C451" s="178">
        <f t="shared" ca="1" si="14"/>
        <v>51.612903225806448</v>
      </c>
      <c r="H451" s="178"/>
    </row>
    <row r="452" spans="1:8" x14ac:dyDescent="0.2">
      <c r="A452" s="180">
        <v>45012</v>
      </c>
      <c r="B452" s="181">
        <f t="shared" si="15"/>
        <v>3</v>
      </c>
      <c r="C452" s="178">
        <f t="shared" ca="1" si="14"/>
        <v>51.612903225806448</v>
      </c>
      <c r="H452" s="178"/>
    </row>
    <row r="453" spans="1:8" x14ac:dyDescent="0.2">
      <c r="A453" s="180">
        <v>45013</v>
      </c>
      <c r="B453" s="181">
        <f t="shared" si="15"/>
        <v>3</v>
      </c>
      <c r="C453" s="178">
        <f t="shared" ca="1" si="14"/>
        <v>51.612903225806448</v>
      </c>
      <c r="H453" s="178"/>
    </row>
    <row r="454" spans="1:8" x14ac:dyDescent="0.2">
      <c r="A454" s="180">
        <v>45014</v>
      </c>
      <c r="B454" s="181">
        <f t="shared" si="15"/>
        <v>3</v>
      </c>
      <c r="C454" s="178">
        <f t="shared" ca="1" si="14"/>
        <v>51.612903225806448</v>
      </c>
      <c r="H454" s="178"/>
    </row>
    <row r="455" spans="1:8" x14ac:dyDescent="0.2">
      <c r="A455" s="180">
        <v>45015</v>
      </c>
      <c r="B455" s="181">
        <f t="shared" si="15"/>
        <v>3</v>
      </c>
      <c r="C455" s="178">
        <f t="shared" ca="1" si="14"/>
        <v>51.612903225806448</v>
      </c>
      <c r="H455" s="178"/>
    </row>
    <row r="456" spans="1:8" x14ac:dyDescent="0.2">
      <c r="A456" s="180">
        <v>45016</v>
      </c>
      <c r="B456" s="181">
        <f t="shared" si="15"/>
        <v>3</v>
      </c>
      <c r="C456" s="178">
        <f t="shared" ca="1" si="14"/>
        <v>51.612903225806448</v>
      </c>
      <c r="H456" s="178"/>
    </row>
    <row r="457" spans="1:8" x14ac:dyDescent="0.2">
      <c r="A457" s="180">
        <v>45017</v>
      </c>
      <c r="B457" s="181">
        <f t="shared" si="15"/>
        <v>4</v>
      </c>
      <c r="C457" s="178">
        <f t="shared" ca="1" si="14"/>
        <v>53.333333333333336</v>
      </c>
      <c r="H457" s="178"/>
    </row>
    <row r="458" spans="1:8" x14ac:dyDescent="0.2">
      <c r="A458" s="180">
        <v>45018</v>
      </c>
      <c r="B458" s="181">
        <f t="shared" si="15"/>
        <v>4</v>
      </c>
      <c r="C458" s="178">
        <f t="shared" ca="1" si="14"/>
        <v>53.333333333333336</v>
      </c>
      <c r="H458" s="178"/>
    </row>
    <row r="459" spans="1:8" x14ac:dyDescent="0.2">
      <c r="A459" s="180">
        <v>45019</v>
      </c>
      <c r="B459" s="181">
        <f t="shared" si="15"/>
        <v>4</v>
      </c>
      <c r="C459" s="178">
        <f t="shared" ca="1" si="14"/>
        <v>53.333333333333336</v>
      </c>
      <c r="H459" s="178"/>
    </row>
    <row r="460" spans="1:8" x14ac:dyDescent="0.2">
      <c r="A460" s="180">
        <v>45020</v>
      </c>
      <c r="B460" s="181">
        <f t="shared" si="15"/>
        <v>4</v>
      </c>
      <c r="C460" s="178">
        <f t="shared" ca="1" si="14"/>
        <v>53.333333333333336</v>
      </c>
      <c r="H460" s="178"/>
    </row>
    <row r="461" spans="1:8" x14ac:dyDescent="0.2">
      <c r="A461" s="180">
        <v>45021</v>
      </c>
      <c r="B461" s="181">
        <f t="shared" si="15"/>
        <v>4</v>
      </c>
      <c r="C461" s="178">
        <f t="shared" ca="1" si="14"/>
        <v>53.333333333333336</v>
      </c>
      <c r="H461" s="178"/>
    </row>
    <row r="462" spans="1:8" x14ac:dyDescent="0.2">
      <c r="A462" s="180">
        <v>45022</v>
      </c>
      <c r="B462" s="181">
        <f t="shared" si="15"/>
        <v>4</v>
      </c>
      <c r="C462" s="178">
        <f t="shared" ca="1" si="14"/>
        <v>53.333333333333336</v>
      </c>
      <c r="H462" s="178"/>
    </row>
    <row r="463" spans="1:8" x14ac:dyDescent="0.2">
      <c r="A463" s="180">
        <v>45023</v>
      </c>
      <c r="B463" s="181">
        <f t="shared" si="15"/>
        <v>4</v>
      </c>
      <c r="C463" s="178">
        <f t="shared" ca="1" si="14"/>
        <v>53.333333333333336</v>
      </c>
      <c r="H463" s="178"/>
    </row>
    <row r="464" spans="1:8" x14ac:dyDescent="0.2">
      <c r="A464" s="180">
        <v>45024</v>
      </c>
      <c r="B464" s="181">
        <f t="shared" si="15"/>
        <v>4</v>
      </c>
      <c r="C464" s="178">
        <f t="shared" ca="1" si="14"/>
        <v>53.333333333333336</v>
      </c>
      <c r="H464" s="178"/>
    </row>
    <row r="465" spans="1:8" x14ac:dyDescent="0.2">
      <c r="A465" s="180">
        <v>45025</v>
      </c>
      <c r="B465" s="181">
        <f t="shared" si="15"/>
        <v>4</v>
      </c>
      <c r="C465" s="178">
        <f t="shared" ca="1" si="14"/>
        <v>53.333333333333336</v>
      </c>
      <c r="H465" s="178"/>
    </row>
    <row r="466" spans="1:8" x14ac:dyDescent="0.2">
      <c r="A466" s="180">
        <v>45026</v>
      </c>
      <c r="B466" s="181">
        <f t="shared" si="15"/>
        <v>4</v>
      </c>
      <c r="C466" s="178">
        <f t="shared" ca="1" si="14"/>
        <v>53.333333333333336</v>
      </c>
      <c r="H466" s="178"/>
    </row>
    <row r="467" spans="1:8" x14ac:dyDescent="0.2">
      <c r="A467" s="180">
        <v>45027</v>
      </c>
      <c r="B467" s="181">
        <f t="shared" si="15"/>
        <v>4</v>
      </c>
      <c r="C467" s="178">
        <f t="shared" ca="1" si="14"/>
        <v>53.333333333333336</v>
      </c>
      <c r="H467" s="178"/>
    </row>
    <row r="468" spans="1:8" x14ac:dyDescent="0.2">
      <c r="A468" s="180">
        <v>45028</v>
      </c>
      <c r="B468" s="181">
        <f t="shared" si="15"/>
        <v>4</v>
      </c>
      <c r="C468" s="178">
        <f t="shared" ca="1" si="14"/>
        <v>53.333333333333336</v>
      </c>
      <c r="H468" s="178"/>
    </row>
    <row r="469" spans="1:8" x14ac:dyDescent="0.2">
      <c r="A469" s="180">
        <v>45029</v>
      </c>
      <c r="B469" s="181">
        <f t="shared" si="15"/>
        <v>4</v>
      </c>
      <c r="C469" s="178">
        <f t="shared" ca="1" si="14"/>
        <v>53.333333333333336</v>
      </c>
      <c r="H469" s="178"/>
    </row>
    <row r="470" spans="1:8" x14ac:dyDescent="0.2">
      <c r="A470" s="180">
        <v>45030</v>
      </c>
      <c r="B470" s="181">
        <f t="shared" si="15"/>
        <v>4</v>
      </c>
      <c r="C470" s="178">
        <f t="shared" ca="1" si="14"/>
        <v>53.333333333333336</v>
      </c>
      <c r="H470" s="178"/>
    </row>
    <row r="471" spans="1:8" x14ac:dyDescent="0.2">
      <c r="A471" s="180">
        <v>45031</v>
      </c>
      <c r="B471" s="181">
        <f t="shared" si="15"/>
        <v>4</v>
      </c>
      <c r="C471" s="178">
        <f t="shared" ca="1" si="14"/>
        <v>53.333333333333336</v>
      </c>
      <c r="H471" s="178"/>
    </row>
    <row r="472" spans="1:8" x14ac:dyDescent="0.2">
      <c r="A472" s="180">
        <v>45032</v>
      </c>
      <c r="B472" s="181">
        <f t="shared" si="15"/>
        <v>4</v>
      </c>
      <c r="C472" s="178">
        <f t="shared" ca="1" si="14"/>
        <v>53.333333333333336</v>
      </c>
      <c r="H472" s="178"/>
    </row>
    <row r="473" spans="1:8" x14ac:dyDescent="0.2">
      <c r="A473" s="180">
        <v>45033</v>
      </c>
      <c r="B473" s="181">
        <f t="shared" si="15"/>
        <v>4</v>
      </c>
      <c r="C473" s="178">
        <f t="shared" ca="1" si="14"/>
        <v>53.333333333333336</v>
      </c>
      <c r="H473" s="178"/>
    </row>
    <row r="474" spans="1:8" x14ac:dyDescent="0.2">
      <c r="A474" s="180">
        <v>45034</v>
      </c>
      <c r="B474" s="181">
        <f t="shared" si="15"/>
        <v>4</v>
      </c>
      <c r="C474" s="178">
        <f t="shared" ca="1" si="14"/>
        <v>53.333333333333336</v>
      </c>
      <c r="H474" s="178"/>
    </row>
    <row r="475" spans="1:8" x14ac:dyDescent="0.2">
      <c r="A475" s="180">
        <v>45035</v>
      </c>
      <c r="B475" s="181">
        <f t="shared" si="15"/>
        <v>4</v>
      </c>
      <c r="C475" s="178">
        <f t="shared" ca="1" si="14"/>
        <v>53.333333333333336</v>
      </c>
      <c r="H475" s="178"/>
    </row>
    <row r="476" spans="1:8" x14ac:dyDescent="0.2">
      <c r="A476" s="180">
        <v>45036</v>
      </c>
      <c r="B476" s="181">
        <f t="shared" si="15"/>
        <v>4</v>
      </c>
      <c r="C476" s="178">
        <f t="shared" ca="1" si="14"/>
        <v>53.333333333333336</v>
      </c>
      <c r="H476" s="178"/>
    </row>
    <row r="477" spans="1:8" x14ac:dyDescent="0.2">
      <c r="A477" s="180">
        <v>45037</v>
      </c>
      <c r="B477" s="181">
        <f t="shared" si="15"/>
        <v>4</v>
      </c>
      <c r="C477" s="178">
        <f t="shared" ca="1" si="14"/>
        <v>53.333333333333336</v>
      </c>
      <c r="H477" s="178"/>
    </row>
    <row r="478" spans="1:8" x14ac:dyDescent="0.2">
      <c r="A478" s="180">
        <v>45038</v>
      </c>
      <c r="B478" s="181">
        <f t="shared" si="15"/>
        <v>4</v>
      </c>
      <c r="C478" s="178">
        <f t="shared" ca="1" si="14"/>
        <v>53.333333333333336</v>
      </c>
      <c r="H478" s="178"/>
    </row>
    <row r="479" spans="1:8" x14ac:dyDescent="0.2">
      <c r="A479" s="180">
        <v>45039</v>
      </c>
      <c r="B479" s="181">
        <f t="shared" si="15"/>
        <v>4</v>
      </c>
      <c r="C479" s="178">
        <f t="shared" ca="1" si="14"/>
        <v>53.333333333333336</v>
      </c>
      <c r="H479" s="178"/>
    </row>
    <row r="480" spans="1:8" x14ac:dyDescent="0.2">
      <c r="A480" s="180">
        <v>45040</v>
      </c>
      <c r="B480" s="181">
        <f t="shared" si="15"/>
        <v>4</v>
      </c>
      <c r="C480" s="178">
        <f t="shared" ca="1" si="14"/>
        <v>53.333333333333336</v>
      </c>
      <c r="H480" s="178"/>
    </row>
    <row r="481" spans="1:8" x14ac:dyDescent="0.2">
      <c r="A481" s="180">
        <v>45041</v>
      </c>
      <c r="B481" s="181">
        <f t="shared" si="15"/>
        <v>4</v>
      </c>
      <c r="C481" s="178">
        <f t="shared" ca="1" si="14"/>
        <v>53.333333333333336</v>
      </c>
      <c r="H481" s="178"/>
    </row>
    <row r="482" spans="1:8" x14ac:dyDescent="0.2">
      <c r="A482" s="180">
        <v>45042</v>
      </c>
      <c r="B482" s="181">
        <f t="shared" si="15"/>
        <v>4</v>
      </c>
      <c r="C482" s="178">
        <f t="shared" ca="1" si="14"/>
        <v>53.333333333333336</v>
      </c>
      <c r="H482" s="178"/>
    </row>
    <row r="483" spans="1:8" x14ac:dyDescent="0.2">
      <c r="A483" s="180">
        <v>45043</v>
      </c>
      <c r="B483" s="181">
        <f t="shared" si="15"/>
        <v>4</v>
      </c>
      <c r="C483" s="178">
        <f t="shared" ca="1" si="14"/>
        <v>53.333333333333336</v>
      </c>
      <c r="H483" s="178"/>
    </row>
    <row r="484" spans="1:8" x14ac:dyDescent="0.2">
      <c r="A484" s="180">
        <v>45044</v>
      </c>
      <c r="B484" s="181">
        <f t="shared" si="15"/>
        <v>4</v>
      </c>
      <c r="C484" s="178">
        <f t="shared" ca="1" si="14"/>
        <v>53.333333333333336</v>
      </c>
      <c r="H484" s="178"/>
    </row>
    <row r="485" spans="1:8" x14ac:dyDescent="0.2">
      <c r="A485" s="180">
        <v>45045</v>
      </c>
      <c r="B485" s="181">
        <f t="shared" si="15"/>
        <v>4</v>
      </c>
      <c r="C485" s="178">
        <f t="shared" ca="1" si="14"/>
        <v>53.333333333333336</v>
      </c>
      <c r="H485" s="178"/>
    </row>
    <row r="486" spans="1:8" x14ac:dyDescent="0.2">
      <c r="A486" s="180">
        <v>45046</v>
      </c>
      <c r="B486" s="181">
        <f t="shared" si="15"/>
        <v>4</v>
      </c>
      <c r="C486" s="178">
        <f t="shared" ca="1" si="14"/>
        <v>53.333333333333336</v>
      </c>
      <c r="H486" s="178"/>
    </row>
    <row r="487" spans="1:8" x14ac:dyDescent="0.2">
      <c r="A487" s="180">
        <v>45047</v>
      </c>
      <c r="B487" s="181">
        <f t="shared" si="15"/>
        <v>5</v>
      </c>
      <c r="C487" s="178">
        <f t="shared" ca="1" si="14"/>
        <v>51.612903225806448</v>
      </c>
      <c r="H487" s="178"/>
    </row>
    <row r="488" spans="1:8" x14ac:dyDescent="0.2">
      <c r="A488" s="180">
        <v>45048</v>
      </c>
      <c r="B488" s="181">
        <f t="shared" si="15"/>
        <v>5</v>
      </c>
      <c r="C488" s="178">
        <f t="shared" ca="1" si="14"/>
        <v>51.612903225806448</v>
      </c>
      <c r="H488" s="178"/>
    </row>
    <row r="489" spans="1:8" x14ac:dyDescent="0.2">
      <c r="A489" s="180">
        <v>45049</v>
      </c>
      <c r="B489" s="181">
        <f t="shared" si="15"/>
        <v>5</v>
      </c>
      <c r="C489" s="178">
        <f t="shared" ca="1" si="14"/>
        <v>51.612903225806448</v>
      </c>
      <c r="H489" s="178"/>
    </row>
    <row r="490" spans="1:8" x14ac:dyDescent="0.2">
      <c r="A490" s="180">
        <v>45050</v>
      </c>
      <c r="B490" s="181">
        <f t="shared" si="15"/>
        <v>5</v>
      </c>
      <c r="C490" s="178">
        <f t="shared" ca="1" si="14"/>
        <v>51.612903225806448</v>
      </c>
      <c r="H490" s="178"/>
    </row>
    <row r="491" spans="1:8" x14ac:dyDescent="0.2">
      <c r="A491" s="180">
        <v>45051</v>
      </c>
      <c r="B491" s="181">
        <f t="shared" si="15"/>
        <v>5</v>
      </c>
      <c r="C491" s="178">
        <f t="shared" ca="1" si="14"/>
        <v>51.612903225806448</v>
      </c>
      <c r="H491" s="178"/>
    </row>
    <row r="492" spans="1:8" x14ac:dyDescent="0.2">
      <c r="A492" s="180">
        <v>45052</v>
      </c>
      <c r="B492" s="181">
        <f t="shared" si="15"/>
        <v>5</v>
      </c>
      <c r="C492" s="178">
        <f t="shared" ca="1" si="14"/>
        <v>51.612903225806448</v>
      </c>
      <c r="H492" s="178"/>
    </row>
    <row r="493" spans="1:8" x14ac:dyDescent="0.2">
      <c r="A493" s="180">
        <v>45053</v>
      </c>
      <c r="B493" s="181">
        <f t="shared" si="15"/>
        <v>5</v>
      </c>
      <c r="C493" s="178">
        <f t="shared" ca="1" si="14"/>
        <v>51.612903225806448</v>
      </c>
      <c r="H493" s="178"/>
    </row>
    <row r="494" spans="1:8" x14ac:dyDescent="0.2">
      <c r="A494" s="180">
        <v>45054</v>
      </c>
      <c r="B494" s="181">
        <f t="shared" si="15"/>
        <v>5</v>
      </c>
      <c r="C494" s="178">
        <f t="shared" ca="1" si="14"/>
        <v>51.612903225806448</v>
      </c>
      <c r="H494" s="178"/>
    </row>
    <row r="495" spans="1:8" x14ac:dyDescent="0.2">
      <c r="A495" s="180">
        <v>45055</v>
      </c>
      <c r="B495" s="181">
        <f t="shared" si="15"/>
        <v>5</v>
      </c>
      <c r="C495" s="178">
        <f t="shared" ca="1" si="14"/>
        <v>51.612903225806448</v>
      </c>
      <c r="H495" s="178"/>
    </row>
    <row r="496" spans="1:8" x14ac:dyDescent="0.2">
      <c r="A496" s="180">
        <v>45056</v>
      </c>
      <c r="B496" s="181">
        <f t="shared" si="15"/>
        <v>5</v>
      </c>
      <c r="C496" s="178">
        <f t="shared" ca="1" si="14"/>
        <v>51.612903225806448</v>
      </c>
      <c r="H496" s="178"/>
    </row>
    <row r="497" spans="1:8" x14ac:dyDescent="0.2">
      <c r="A497" s="180">
        <v>45057</v>
      </c>
      <c r="B497" s="181">
        <f t="shared" si="15"/>
        <v>5</v>
      </c>
      <c r="C497" s="178">
        <f t="shared" ca="1" si="14"/>
        <v>51.612903225806448</v>
      </c>
      <c r="H497" s="178"/>
    </row>
    <row r="498" spans="1:8" x14ac:dyDescent="0.2">
      <c r="A498" s="180">
        <v>45058</v>
      </c>
      <c r="B498" s="181">
        <f t="shared" si="15"/>
        <v>5</v>
      </c>
      <c r="C498" s="178">
        <f t="shared" ca="1" si="14"/>
        <v>51.612903225806448</v>
      </c>
      <c r="H498" s="178"/>
    </row>
    <row r="499" spans="1:8" x14ac:dyDescent="0.2">
      <c r="A499" s="180">
        <v>45059</v>
      </c>
      <c r="B499" s="181">
        <f t="shared" si="15"/>
        <v>5</v>
      </c>
      <c r="C499" s="178">
        <f t="shared" ca="1" si="14"/>
        <v>51.612903225806448</v>
      </c>
      <c r="H499" s="178"/>
    </row>
    <row r="500" spans="1:8" x14ac:dyDescent="0.2">
      <c r="A500" s="180">
        <v>45060</v>
      </c>
      <c r="B500" s="181">
        <f t="shared" si="15"/>
        <v>5</v>
      </c>
      <c r="C500" s="178">
        <f t="shared" ca="1" si="14"/>
        <v>51.612903225806448</v>
      </c>
      <c r="H500" s="178"/>
    </row>
    <row r="501" spans="1:8" x14ac:dyDescent="0.2">
      <c r="A501" s="180">
        <v>45061</v>
      </c>
      <c r="B501" s="181">
        <f t="shared" si="15"/>
        <v>5</v>
      </c>
      <c r="C501" s="178">
        <f t="shared" ca="1" si="14"/>
        <v>51.612903225806448</v>
      </c>
      <c r="H501" s="178"/>
    </row>
    <row r="502" spans="1:8" x14ac:dyDescent="0.2">
      <c r="A502" s="180">
        <v>45062</v>
      </c>
      <c r="B502" s="181">
        <f t="shared" si="15"/>
        <v>5</v>
      </c>
      <c r="C502" s="178">
        <f t="shared" ca="1" si="14"/>
        <v>51.612903225806448</v>
      </c>
      <c r="H502" s="178"/>
    </row>
    <row r="503" spans="1:8" x14ac:dyDescent="0.2">
      <c r="A503" s="180">
        <v>45063</v>
      </c>
      <c r="B503" s="181">
        <f t="shared" si="15"/>
        <v>5</v>
      </c>
      <c r="C503" s="178">
        <f t="shared" ca="1" si="14"/>
        <v>51.612903225806448</v>
      </c>
      <c r="H503" s="178"/>
    </row>
    <row r="504" spans="1:8" x14ac:dyDescent="0.2">
      <c r="A504" s="180">
        <v>45064</v>
      </c>
      <c r="B504" s="181">
        <f t="shared" si="15"/>
        <v>5</v>
      </c>
      <c r="C504" s="178">
        <f t="shared" ca="1" si="14"/>
        <v>51.612903225806448</v>
      </c>
      <c r="H504" s="178"/>
    </row>
    <row r="505" spans="1:8" x14ac:dyDescent="0.2">
      <c r="A505" s="180">
        <v>45065</v>
      </c>
      <c r="B505" s="181">
        <f t="shared" si="15"/>
        <v>5</v>
      </c>
      <c r="C505" s="178">
        <f t="shared" ca="1" si="14"/>
        <v>51.612903225806448</v>
      </c>
      <c r="H505" s="178"/>
    </row>
    <row r="506" spans="1:8" x14ac:dyDescent="0.2">
      <c r="A506" s="180">
        <v>45066</v>
      </c>
      <c r="B506" s="181">
        <f t="shared" si="15"/>
        <v>5</v>
      </c>
      <c r="C506" s="178">
        <f t="shared" ca="1" si="14"/>
        <v>51.612903225806448</v>
      </c>
      <c r="H506" s="178"/>
    </row>
    <row r="507" spans="1:8" x14ac:dyDescent="0.2">
      <c r="A507" s="180">
        <v>45067</v>
      </c>
      <c r="B507" s="181">
        <f t="shared" si="15"/>
        <v>5</v>
      </c>
      <c r="C507" s="178">
        <f t="shared" ca="1" si="14"/>
        <v>51.612903225806448</v>
      </c>
      <c r="H507" s="178"/>
    </row>
    <row r="508" spans="1:8" x14ac:dyDescent="0.2">
      <c r="A508" s="180">
        <v>45068</v>
      </c>
      <c r="B508" s="181">
        <f t="shared" si="15"/>
        <v>5</v>
      </c>
      <c r="C508" s="178">
        <f t="shared" ca="1" si="14"/>
        <v>51.612903225806448</v>
      </c>
      <c r="H508" s="178"/>
    </row>
    <row r="509" spans="1:8" x14ac:dyDescent="0.2">
      <c r="A509" s="180">
        <v>45069</v>
      </c>
      <c r="B509" s="181">
        <f t="shared" si="15"/>
        <v>5</v>
      </c>
      <c r="C509" s="178">
        <f t="shared" ca="1" si="14"/>
        <v>51.612903225806448</v>
      </c>
      <c r="H509" s="178"/>
    </row>
    <row r="510" spans="1:8" x14ac:dyDescent="0.2">
      <c r="A510" s="180">
        <v>45070</v>
      </c>
      <c r="B510" s="181">
        <f t="shared" si="15"/>
        <v>5</v>
      </c>
      <c r="C510" s="178">
        <f t="shared" ca="1" si="14"/>
        <v>51.612903225806448</v>
      </c>
      <c r="H510" s="178"/>
    </row>
    <row r="511" spans="1:8" x14ac:dyDescent="0.2">
      <c r="A511" s="180">
        <v>45071</v>
      </c>
      <c r="B511" s="181">
        <f t="shared" si="15"/>
        <v>5</v>
      </c>
      <c r="C511" s="178">
        <f t="shared" ca="1" si="14"/>
        <v>51.612903225806448</v>
      </c>
      <c r="H511" s="178"/>
    </row>
    <row r="512" spans="1:8" x14ac:dyDescent="0.2">
      <c r="A512" s="180">
        <v>45072</v>
      </c>
      <c r="B512" s="181">
        <f t="shared" si="15"/>
        <v>5</v>
      </c>
      <c r="C512" s="178">
        <f t="shared" ca="1" si="14"/>
        <v>51.612903225806448</v>
      </c>
      <c r="H512" s="178"/>
    </row>
    <row r="513" spans="1:8" x14ac:dyDescent="0.2">
      <c r="A513" s="180">
        <v>45073</v>
      </c>
      <c r="B513" s="181">
        <f t="shared" si="15"/>
        <v>5</v>
      </c>
      <c r="C513" s="178">
        <f t="shared" ca="1" si="14"/>
        <v>51.612903225806448</v>
      </c>
      <c r="H513" s="178"/>
    </row>
    <row r="514" spans="1:8" x14ac:dyDescent="0.2">
      <c r="A514" s="180">
        <v>45074</v>
      </c>
      <c r="B514" s="181">
        <f t="shared" si="15"/>
        <v>5</v>
      </c>
      <c r="C514" s="178">
        <f t="shared" ref="C514:C577" ca="1" si="16">IF(A514&lt;=$G$2,VLOOKUP(B514,$E$4:$H$15,4),0)</f>
        <v>51.612903225806448</v>
      </c>
      <c r="H514" s="178"/>
    </row>
    <row r="515" spans="1:8" x14ac:dyDescent="0.2">
      <c r="A515" s="180">
        <v>45075</v>
      </c>
      <c r="B515" s="181">
        <f t="shared" ref="B515:B578" si="17">MONTH(A515)</f>
        <v>5</v>
      </c>
      <c r="C515" s="178">
        <f t="shared" ca="1" si="16"/>
        <v>51.612903225806448</v>
      </c>
      <c r="H515" s="178"/>
    </row>
    <row r="516" spans="1:8" x14ac:dyDescent="0.2">
      <c r="A516" s="180">
        <v>45076</v>
      </c>
      <c r="B516" s="181">
        <f t="shared" si="17"/>
        <v>5</v>
      </c>
      <c r="C516" s="178">
        <f t="shared" ca="1" si="16"/>
        <v>51.612903225806448</v>
      </c>
      <c r="H516" s="178"/>
    </row>
    <row r="517" spans="1:8" x14ac:dyDescent="0.2">
      <c r="A517" s="180">
        <v>45077</v>
      </c>
      <c r="B517" s="181">
        <f t="shared" si="17"/>
        <v>5</v>
      </c>
      <c r="C517" s="178">
        <f t="shared" ca="1" si="16"/>
        <v>51.612903225806448</v>
      </c>
      <c r="H517" s="178"/>
    </row>
    <row r="518" spans="1:8" x14ac:dyDescent="0.2">
      <c r="A518" s="180">
        <v>45078</v>
      </c>
      <c r="B518" s="181">
        <f t="shared" si="17"/>
        <v>6</v>
      </c>
      <c r="C518" s="178">
        <f t="shared" ca="1" si="16"/>
        <v>53.333333333333336</v>
      </c>
      <c r="H518" s="178"/>
    </row>
    <row r="519" spans="1:8" x14ac:dyDescent="0.2">
      <c r="A519" s="180">
        <v>45079</v>
      </c>
      <c r="B519" s="181">
        <f t="shared" si="17"/>
        <v>6</v>
      </c>
      <c r="C519" s="178">
        <f t="shared" ca="1" si="16"/>
        <v>53.333333333333336</v>
      </c>
      <c r="H519" s="178"/>
    </row>
    <row r="520" spans="1:8" x14ac:dyDescent="0.2">
      <c r="A520" s="180">
        <v>45080</v>
      </c>
      <c r="B520" s="181">
        <f t="shared" si="17"/>
        <v>6</v>
      </c>
      <c r="C520" s="178">
        <f t="shared" ca="1" si="16"/>
        <v>53.333333333333336</v>
      </c>
      <c r="H520" s="178"/>
    </row>
    <row r="521" spans="1:8" x14ac:dyDescent="0.2">
      <c r="A521" s="180">
        <v>45081</v>
      </c>
      <c r="B521" s="181">
        <f t="shared" si="17"/>
        <v>6</v>
      </c>
      <c r="C521" s="178">
        <f t="shared" ca="1" si="16"/>
        <v>53.333333333333336</v>
      </c>
      <c r="H521" s="178"/>
    </row>
    <row r="522" spans="1:8" x14ac:dyDescent="0.2">
      <c r="A522" s="180">
        <v>45082</v>
      </c>
      <c r="B522" s="181">
        <f t="shared" si="17"/>
        <v>6</v>
      </c>
      <c r="C522" s="178">
        <f t="shared" ca="1" si="16"/>
        <v>53.333333333333336</v>
      </c>
      <c r="H522" s="178"/>
    </row>
    <row r="523" spans="1:8" x14ac:dyDescent="0.2">
      <c r="A523" s="180">
        <v>45083</v>
      </c>
      <c r="B523" s="181">
        <f t="shared" si="17"/>
        <v>6</v>
      </c>
      <c r="C523" s="178">
        <f t="shared" ca="1" si="16"/>
        <v>53.333333333333336</v>
      </c>
      <c r="H523" s="178"/>
    </row>
    <row r="524" spans="1:8" x14ac:dyDescent="0.2">
      <c r="A524" s="180">
        <v>45084</v>
      </c>
      <c r="B524" s="181">
        <f t="shared" si="17"/>
        <v>6</v>
      </c>
      <c r="C524" s="178">
        <f t="shared" ca="1" si="16"/>
        <v>53.333333333333336</v>
      </c>
      <c r="H524" s="178"/>
    </row>
    <row r="525" spans="1:8" x14ac:dyDescent="0.2">
      <c r="A525" s="180">
        <v>45085</v>
      </c>
      <c r="B525" s="181">
        <f t="shared" si="17"/>
        <v>6</v>
      </c>
      <c r="C525" s="178">
        <f t="shared" ca="1" si="16"/>
        <v>53.333333333333336</v>
      </c>
      <c r="H525" s="178"/>
    </row>
    <row r="526" spans="1:8" x14ac:dyDescent="0.2">
      <c r="A526" s="180">
        <v>45086</v>
      </c>
      <c r="B526" s="181">
        <f t="shared" si="17"/>
        <v>6</v>
      </c>
      <c r="C526" s="178">
        <f t="shared" ca="1" si="16"/>
        <v>53.333333333333336</v>
      </c>
      <c r="H526" s="178"/>
    </row>
    <row r="527" spans="1:8" x14ac:dyDescent="0.2">
      <c r="A527" s="180">
        <v>45087</v>
      </c>
      <c r="B527" s="181">
        <f t="shared" si="17"/>
        <v>6</v>
      </c>
      <c r="C527" s="178">
        <f t="shared" ca="1" si="16"/>
        <v>53.333333333333336</v>
      </c>
      <c r="H527" s="178"/>
    </row>
    <row r="528" spans="1:8" x14ac:dyDescent="0.2">
      <c r="A528" s="180">
        <v>45088</v>
      </c>
      <c r="B528" s="181">
        <f t="shared" si="17"/>
        <v>6</v>
      </c>
      <c r="C528" s="178">
        <f t="shared" ca="1" si="16"/>
        <v>53.333333333333336</v>
      </c>
      <c r="H528" s="178"/>
    </row>
    <row r="529" spans="1:8" x14ac:dyDescent="0.2">
      <c r="A529" s="180">
        <v>45089</v>
      </c>
      <c r="B529" s="181">
        <f t="shared" si="17"/>
        <v>6</v>
      </c>
      <c r="C529" s="178">
        <f t="shared" ca="1" si="16"/>
        <v>53.333333333333336</v>
      </c>
      <c r="H529" s="178"/>
    </row>
    <row r="530" spans="1:8" x14ac:dyDescent="0.2">
      <c r="A530" s="180">
        <v>45090</v>
      </c>
      <c r="B530" s="181">
        <f t="shared" si="17"/>
        <v>6</v>
      </c>
      <c r="C530" s="178">
        <f t="shared" ca="1" si="16"/>
        <v>53.333333333333336</v>
      </c>
      <c r="H530" s="178"/>
    </row>
    <row r="531" spans="1:8" x14ac:dyDescent="0.2">
      <c r="A531" s="180">
        <v>45091</v>
      </c>
      <c r="B531" s="181">
        <f t="shared" si="17"/>
        <v>6</v>
      </c>
      <c r="C531" s="178">
        <f t="shared" ca="1" si="16"/>
        <v>53.333333333333336</v>
      </c>
      <c r="H531" s="178"/>
    </row>
    <row r="532" spans="1:8" x14ac:dyDescent="0.2">
      <c r="A532" s="180">
        <v>45092</v>
      </c>
      <c r="B532" s="181">
        <f t="shared" si="17"/>
        <v>6</v>
      </c>
      <c r="C532" s="178">
        <f t="shared" ca="1" si="16"/>
        <v>53.333333333333336</v>
      </c>
      <c r="H532" s="178"/>
    </row>
    <row r="533" spans="1:8" x14ac:dyDescent="0.2">
      <c r="A533" s="180">
        <v>45093</v>
      </c>
      <c r="B533" s="181">
        <f t="shared" si="17"/>
        <v>6</v>
      </c>
      <c r="C533" s="178">
        <f t="shared" ca="1" si="16"/>
        <v>53.333333333333336</v>
      </c>
      <c r="H533" s="178"/>
    </row>
    <row r="534" spans="1:8" x14ac:dyDescent="0.2">
      <c r="A534" s="180">
        <v>45094</v>
      </c>
      <c r="B534" s="181">
        <f t="shared" si="17"/>
        <v>6</v>
      </c>
      <c r="C534" s="178">
        <f t="shared" ca="1" si="16"/>
        <v>53.333333333333336</v>
      </c>
      <c r="H534" s="178"/>
    </row>
    <row r="535" spans="1:8" x14ac:dyDescent="0.2">
      <c r="A535" s="180">
        <v>45095</v>
      </c>
      <c r="B535" s="181">
        <f t="shared" si="17"/>
        <v>6</v>
      </c>
      <c r="C535" s="178">
        <f t="shared" ca="1" si="16"/>
        <v>53.333333333333336</v>
      </c>
      <c r="H535" s="178"/>
    </row>
    <row r="536" spans="1:8" x14ac:dyDescent="0.2">
      <c r="A536" s="180">
        <v>45096</v>
      </c>
      <c r="B536" s="181">
        <f t="shared" si="17"/>
        <v>6</v>
      </c>
      <c r="C536" s="178">
        <f t="shared" ca="1" si="16"/>
        <v>53.333333333333336</v>
      </c>
      <c r="H536" s="178"/>
    </row>
    <row r="537" spans="1:8" x14ac:dyDescent="0.2">
      <c r="A537" s="180">
        <v>45097</v>
      </c>
      <c r="B537" s="181">
        <f t="shared" si="17"/>
        <v>6</v>
      </c>
      <c r="C537" s="178">
        <f t="shared" ca="1" si="16"/>
        <v>53.333333333333336</v>
      </c>
      <c r="H537" s="178"/>
    </row>
    <row r="538" spans="1:8" x14ac:dyDescent="0.2">
      <c r="A538" s="180">
        <v>45098</v>
      </c>
      <c r="B538" s="181">
        <f t="shared" si="17"/>
        <v>6</v>
      </c>
      <c r="C538" s="178">
        <f t="shared" ca="1" si="16"/>
        <v>53.333333333333336</v>
      </c>
      <c r="H538" s="178"/>
    </row>
    <row r="539" spans="1:8" x14ac:dyDescent="0.2">
      <c r="A539" s="180">
        <v>45099</v>
      </c>
      <c r="B539" s="181">
        <f t="shared" si="17"/>
        <v>6</v>
      </c>
      <c r="C539" s="178">
        <f t="shared" ca="1" si="16"/>
        <v>53.333333333333336</v>
      </c>
      <c r="H539" s="178"/>
    </row>
    <row r="540" spans="1:8" x14ac:dyDescent="0.2">
      <c r="A540" s="180">
        <v>45100</v>
      </c>
      <c r="B540" s="181">
        <f t="shared" si="17"/>
        <v>6</v>
      </c>
      <c r="C540" s="178">
        <f t="shared" ca="1" si="16"/>
        <v>53.333333333333336</v>
      </c>
      <c r="H540" s="178"/>
    </row>
    <row r="541" spans="1:8" x14ac:dyDescent="0.2">
      <c r="A541" s="180">
        <v>45101</v>
      </c>
      <c r="B541" s="181">
        <f t="shared" si="17"/>
        <v>6</v>
      </c>
      <c r="C541" s="178">
        <f t="shared" ca="1" si="16"/>
        <v>53.333333333333336</v>
      </c>
      <c r="H541" s="178"/>
    </row>
    <row r="542" spans="1:8" x14ac:dyDescent="0.2">
      <c r="A542" s="180">
        <v>45102</v>
      </c>
      <c r="B542" s="181">
        <f t="shared" si="17"/>
        <v>6</v>
      </c>
      <c r="C542" s="178">
        <f t="shared" ca="1" si="16"/>
        <v>53.333333333333336</v>
      </c>
      <c r="H542" s="178"/>
    </row>
    <row r="543" spans="1:8" x14ac:dyDescent="0.2">
      <c r="A543" s="180">
        <v>45103</v>
      </c>
      <c r="B543" s="181">
        <f t="shared" si="17"/>
        <v>6</v>
      </c>
      <c r="C543" s="178">
        <f t="shared" ca="1" si="16"/>
        <v>53.333333333333336</v>
      </c>
      <c r="H543" s="178"/>
    </row>
    <row r="544" spans="1:8" x14ac:dyDescent="0.2">
      <c r="A544" s="180">
        <v>45104</v>
      </c>
      <c r="B544" s="181">
        <f t="shared" si="17"/>
        <v>6</v>
      </c>
      <c r="C544" s="178">
        <f t="shared" ca="1" si="16"/>
        <v>53.333333333333336</v>
      </c>
      <c r="H544" s="178"/>
    </row>
    <row r="545" spans="1:8" x14ac:dyDescent="0.2">
      <c r="A545" s="180">
        <v>45105</v>
      </c>
      <c r="B545" s="181">
        <f t="shared" si="17"/>
        <v>6</v>
      </c>
      <c r="C545" s="178">
        <f t="shared" ca="1" si="16"/>
        <v>53.333333333333336</v>
      </c>
      <c r="H545" s="178"/>
    </row>
    <row r="546" spans="1:8" x14ac:dyDescent="0.2">
      <c r="A546" s="180">
        <v>45106</v>
      </c>
      <c r="B546" s="181">
        <f t="shared" si="17"/>
        <v>6</v>
      </c>
      <c r="C546" s="178">
        <f t="shared" ca="1" si="16"/>
        <v>53.333333333333336</v>
      </c>
      <c r="H546" s="178"/>
    </row>
    <row r="547" spans="1:8" x14ac:dyDescent="0.2">
      <c r="A547" s="180">
        <v>45107</v>
      </c>
      <c r="B547" s="181">
        <f t="shared" si="17"/>
        <v>6</v>
      </c>
      <c r="C547" s="178">
        <f t="shared" ca="1" si="16"/>
        <v>53.333333333333336</v>
      </c>
      <c r="H547" s="178"/>
    </row>
    <row r="548" spans="1:8" x14ac:dyDescent="0.2">
      <c r="A548" s="180">
        <v>45108</v>
      </c>
      <c r="B548" s="181">
        <f t="shared" si="17"/>
        <v>7</v>
      </c>
      <c r="C548" s="178">
        <f t="shared" ca="1" si="16"/>
        <v>51.612903225806448</v>
      </c>
      <c r="H548" s="178"/>
    </row>
    <row r="549" spans="1:8" x14ac:dyDescent="0.2">
      <c r="A549" s="180">
        <v>45109</v>
      </c>
      <c r="B549" s="181">
        <f t="shared" si="17"/>
        <v>7</v>
      </c>
      <c r="C549" s="178">
        <f t="shared" ca="1" si="16"/>
        <v>51.612903225806448</v>
      </c>
      <c r="H549" s="178"/>
    </row>
    <row r="550" spans="1:8" x14ac:dyDescent="0.2">
      <c r="A550" s="180">
        <v>45110</v>
      </c>
      <c r="B550" s="181">
        <f t="shared" si="17"/>
        <v>7</v>
      </c>
      <c r="C550" s="178">
        <f t="shared" ca="1" si="16"/>
        <v>51.612903225806448</v>
      </c>
      <c r="H550" s="178"/>
    </row>
    <row r="551" spans="1:8" x14ac:dyDescent="0.2">
      <c r="A551" s="180">
        <v>45111</v>
      </c>
      <c r="B551" s="181">
        <f t="shared" si="17"/>
        <v>7</v>
      </c>
      <c r="C551" s="178">
        <f t="shared" ca="1" si="16"/>
        <v>51.612903225806448</v>
      </c>
      <c r="H551" s="178"/>
    </row>
    <row r="552" spans="1:8" x14ac:dyDescent="0.2">
      <c r="A552" s="180">
        <v>45112</v>
      </c>
      <c r="B552" s="181">
        <f t="shared" si="17"/>
        <v>7</v>
      </c>
      <c r="C552" s="178">
        <f t="shared" ca="1" si="16"/>
        <v>51.612903225806448</v>
      </c>
      <c r="H552" s="178"/>
    </row>
    <row r="553" spans="1:8" x14ac:dyDescent="0.2">
      <c r="A553" s="180">
        <v>45113</v>
      </c>
      <c r="B553" s="181">
        <f t="shared" si="17"/>
        <v>7</v>
      </c>
      <c r="C553" s="178">
        <f t="shared" ca="1" si="16"/>
        <v>51.612903225806448</v>
      </c>
      <c r="H553" s="178"/>
    </row>
    <row r="554" spans="1:8" x14ac:dyDescent="0.2">
      <c r="A554" s="180">
        <v>45114</v>
      </c>
      <c r="B554" s="181">
        <f t="shared" si="17"/>
        <v>7</v>
      </c>
      <c r="C554" s="178">
        <f t="shared" ca="1" si="16"/>
        <v>51.612903225806448</v>
      </c>
      <c r="H554" s="178"/>
    </row>
    <row r="555" spans="1:8" x14ac:dyDescent="0.2">
      <c r="A555" s="180">
        <v>45115</v>
      </c>
      <c r="B555" s="181">
        <f t="shared" si="17"/>
        <v>7</v>
      </c>
      <c r="C555" s="178">
        <f t="shared" ca="1" si="16"/>
        <v>51.612903225806448</v>
      </c>
      <c r="H555" s="178"/>
    </row>
    <row r="556" spans="1:8" x14ac:dyDescent="0.2">
      <c r="A556" s="180">
        <v>45116</v>
      </c>
      <c r="B556" s="181">
        <f t="shared" si="17"/>
        <v>7</v>
      </c>
      <c r="C556" s="178">
        <f t="shared" ca="1" si="16"/>
        <v>51.612903225806448</v>
      </c>
      <c r="H556" s="178"/>
    </row>
    <row r="557" spans="1:8" x14ac:dyDescent="0.2">
      <c r="A557" s="180">
        <v>45117</v>
      </c>
      <c r="B557" s="181">
        <f t="shared" si="17"/>
        <v>7</v>
      </c>
      <c r="C557" s="178">
        <f t="shared" ca="1" si="16"/>
        <v>51.612903225806448</v>
      </c>
      <c r="H557" s="178"/>
    </row>
    <row r="558" spans="1:8" x14ac:dyDescent="0.2">
      <c r="A558" s="180">
        <v>45118</v>
      </c>
      <c r="B558" s="181">
        <f t="shared" si="17"/>
        <v>7</v>
      </c>
      <c r="C558" s="178">
        <f t="shared" ca="1" si="16"/>
        <v>51.612903225806448</v>
      </c>
      <c r="H558" s="178"/>
    </row>
    <row r="559" spans="1:8" x14ac:dyDescent="0.2">
      <c r="A559" s="180">
        <v>45119</v>
      </c>
      <c r="B559" s="181">
        <f t="shared" si="17"/>
        <v>7</v>
      </c>
      <c r="C559" s="178">
        <f t="shared" ca="1" si="16"/>
        <v>51.612903225806448</v>
      </c>
      <c r="H559" s="178"/>
    </row>
    <row r="560" spans="1:8" x14ac:dyDescent="0.2">
      <c r="A560" s="180">
        <v>45120</v>
      </c>
      <c r="B560" s="181">
        <f t="shared" si="17"/>
        <v>7</v>
      </c>
      <c r="C560" s="178">
        <f t="shared" ca="1" si="16"/>
        <v>51.612903225806448</v>
      </c>
      <c r="H560" s="178"/>
    </row>
    <row r="561" spans="1:8" x14ac:dyDescent="0.2">
      <c r="A561" s="180">
        <v>45121</v>
      </c>
      <c r="B561" s="181">
        <f t="shared" si="17"/>
        <v>7</v>
      </c>
      <c r="C561" s="178">
        <f t="shared" ca="1" si="16"/>
        <v>51.612903225806448</v>
      </c>
      <c r="H561" s="178"/>
    </row>
    <row r="562" spans="1:8" x14ac:dyDescent="0.2">
      <c r="A562" s="180">
        <v>45122</v>
      </c>
      <c r="B562" s="181">
        <f t="shared" si="17"/>
        <v>7</v>
      </c>
      <c r="C562" s="178">
        <f t="shared" ca="1" si="16"/>
        <v>51.612903225806448</v>
      </c>
      <c r="H562" s="178"/>
    </row>
    <row r="563" spans="1:8" x14ac:dyDescent="0.2">
      <c r="A563" s="180">
        <v>45123</v>
      </c>
      <c r="B563" s="181">
        <f t="shared" si="17"/>
        <v>7</v>
      </c>
      <c r="C563" s="178">
        <f t="shared" ca="1" si="16"/>
        <v>51.612903225806448</v>
      </c>
      <c r="H563" s="178"/>
    </row>
    <row r="564" spans="1:8" x14ac:dyDescent="0.2">
      <c r="A564" s="180">
        <v>45124</v>
      </c>
      <c r="B564" s="181">
        <f t="shared" si="17"/>
        <v>7</v>
      </c>
      <c r="C564" s="178">
        <f t="shared" ca="1" si="16"/>
        <v>51.612903225806448</v>
      </c>
      <c r="H564" s="178"/>
    </row>
    <row r="565" spans="1:8" x14ac:dyDescent="0.2">
      <c r="A565" s="180">
        <v>45125</v>
      </c>
      <c r="B565" s="181">
        <f t="shared" si="17"/>
        <v>7</v>
      </c>
      <c r="C565" s="178">
        <f t="shared" ca="1" si="16"/>
        <v>51.612903225806448</v>
      </c>
      <c r="H565" s="178"/>
    </row>
    <row r="566" spans="1:8" x14ac:dyDescent="0.2">
      <c r="A566" s="180">
        <v>45126</v>
      </c>
      <c r="B566" s="181">
        <f t="shared" si="17"/>
        <v>7</v>
      </c>
      <c r="C566" s="178">
        <f t="shared" ca="1" si="16"/>
        <v>51.612903225806448</v>
      </c>
      <c r="H566" s="178"/>
    </row>
    <row r="567" spans="1:8" x14ac:dyDescent="0.2">
      <c r="A567" s="180">
        <v>45127</v>
      </c>
      <c r="B567" s="181">
        <f t="shared" si="17"/>
        <v>7</v>
      </c>
      <c r="C567" s="178">
        <f t="shared" ca="1" si="16"/>
        <v>51.612903225806448</v>
      </c>
      <c r="H567" s="178"/>
    </row>
    <row r="568" spans="1:8" x14ac:dyDescent="0.2">
      <c r="A568" s="180">
        <v>45128</v>
      </c>
      <c r="B568" s="181">
        <f t="shared" si="17"/>
        <v>7</v>
      </c>
      <c r="C568" s="178">
        <f t="shared" ca="1" si="16"/>
        <v>51.612903225806448</v>
      </c>
      <c r="H568" s="178"/>
    </row>
    <row r="569" spans="1:8" x14ac:dyDescent="0.2">
      <c r="A569" s="180">
        <v>45129</v>
      </c>
      <c r="B569" s="181">
        <f t="shared" si="17"/>
        <v>7</v>
      </c>
      <c r="C569" s="178">
        <f t="shared" ca="1" si="16"/>
        <v>51.612903225806448</v>
      </c>
      <c r="H569" s="178"/>
    </row>
    <row r="570" spans="1:8" x14ac:dyDescent="0.2">
      <c r="A570" s="180">
        <v>45130</v>
      </c>
      <c r="B570" s="181">
        <f t="shared" si="17"/>
        <v>7</v>
      </c>
      <c r="C570" s="178">
        <f t="shared" ca="1" si="16"/>
        <v>51.612903225806448</v>
      </c>
      <c r="H570" s="178"/>
    </row>
    <row r="571" spans="1:8" x14ac:dyDescent="0.2">
      <c r="A571" s="180">
        <v>45131</v>
      </c>
      <c r="B571" s="181">
        <f t="shared" si="17"/>
        <v>7</v>
      </c>
      <c r="C571" s="178">
        <f t="shared" ca="1" si="16"/>
        <v>51.612903225806448</v>
      </c>
      <c r="H571" s="178"/>
    </row>
    <row r="572" spans="1:8" x14ac:dyDescent="0.2">
      <c r="A572" s="180">
        <v>45132</v>
      </c>
      <c r="B572" s="181">
        <f t="shared" si="17"/>
        <v>7</v>
      </c>
      <c r="C572" s="178">
        <f t="shared" ca="1" si="16"/>
        <v>51.612903225806448</v>
      </c>
      <c r="H572" s="178"/>
    </row>
    <row r="573" spans="1:8" x14ac:dyDescent="0.2">
      <c r="A573" s="180">
        <v>45133</v>
      </c>
      <c r="B573" s="181">
        <f t="shared" si="17"/>
        <v>7</v>
      </c>
      <c r="C573" s="178">
        <f t="shared" ca="1" si="16"/>
        <v>51.612903225806448</v>
      </c>
      <c r="H573" s="178"/>
    </row>
    <row r="574" spans="1:8" x14ac:dyDescent="0.2">
      <c r="A574" s="180">
        <v>45134</v>
      </c>
      <c r="B574" s="181">
        <f t="shared" si="17"/>
        <v>7</v>
      </c>
      <c r="C574" s="178">
        <f t="shared" ca="1" si="16"/>
        <v>51.612903225806448</v>
      </c>
      <c r="H574" s="178"/>
    </row>
    <row r="575" spans="1:8" x14ac:dyDescent="0.2">
      <c r="A575" s="180">
        <v>45135</v>
      </c>
      <c r="B575" s="181">
        <f t="shared" si="17"/>
        <v>7</v>
      </c>
      <c r="C575" s="178">
        <f t="shared" ca="1" si="16"/>
        <v>51.612903225806448</v>
      </c>
      <c r="H575" s="178"/>
    </row>
    <row r="576" spans="1:8" x14ac:dyDescent="0.2">
      <c r="A576" s="180">
        <v>45136</v>
      </c>
      <c r="B576" s="181">
        <f t="shared" si="17"/>
        <v>7</v>
      </c>
      <c r="C576" s="178">
        <f t="shared" ca="1" si="16"/>
        <v>51.612903225806448</v>
      </c>
      <c r="H576" s="178"/>
    </row>
    <row r="577" spans="1:8" x14ac:dyDescent="0.2">
      <c r="A577" s="180">
        <v>45137</v>
      </c>
      <c r="B577" s="181">
        <f t="shared" si="17"/>
        <v>7</v>
      </c>
      <c r="C577" s="178">
        <f t="shared" ca="1" si="16"/>
        <v>51.612903225806448</v>
      </c>
      <c r="H577" s="178"/>
    </row>
    <row r="578" spans="1:8" x14ac:dyDescent="0.2">
      <c r="A578" s="180">
        <v>45138</v>
      </c>
      <c r="B578" s="181">
        <f t="shared" si="17"/>
        <v>7</v>
      </c>
      <c r="C578" s="178">
        <f t="shared" ref="C578:C641" ca="1" si="18">IF(A578&lt;=$G$2,VLOOKUP(B578,$E$4:$H$15,4),0)</f>
        <v>51.612903225806448</v>
      </c>
      <c r="H578" s="178"/>
    </row>
    <row r="579" spans="1:8" x14ac:dyDescent="0.2">
      <c r="A579" s="180">
        <v>45139</v>
      </c>
      <c r="B579" s="181">
        <f t="shared" ref="B579:B642" si="19">MONTH(A579)</f>
        <v>8</v>
      </c>
      <c r="C579" s="178">
        <f t="shared" ca="1" si="18"/>
        <v>51.612903225806448</v>
      </c>
      <c r="H579" s="178"/>
    </row>
    <row r="580" spans="1:8" x14ac:dyDescent="0.2">
      <c r="A580" s="180">
        <v>45140</v>
      </c>
      <c r="B580" s="181">
        <f t="shared" si="19"/>
        <v>8</v>
      </c>
      <c r="C580" s="178">
        <f t="shared" ca="1" si="18"/>
        <v>51.612903225806448</v>
      </c>
      <c r="H580" s="178"/>
    </row>
    <row r="581" spans="1:8" x14ac:dyDescent="0.2">
      <c r="A581" s="180">
        <v>45141</v>
      </c>
      <c r="B581" s="181">
        <f t="shared" si="19"/>
        <v>8</v>
      </c>
      <c r="C581" s="178">
        <f t="shared" ca="1" si="18"/>
        <v>51.612903225806448</v>
      </c>
      <c r="H581" s="178"/>
    </row>
    <row r="582" spans="1:8" x14ac:dyDescent="0.2">
      <c r="A582" s="180">
        <v>45142</v>
      </c>
      <c r="B582" s="181">
        <f t="shared" si="19"/>
        <v>8</v>
      </c>
      <c r="C582" s="178">
        <f t="shared" ca="1" si="18"/>
        <v>51.612903225806448</v>
      </c>
      <c r="H582" s="178"/>
    </row>
    <row r="583" spans="1:8" x14ac:dyDescent="0.2">
      <c r="A583" s="180">
        <v>45143</v>
      </c>
      <c r="B583" s="181">
        <f t="shared" si="19"/>
        <v>8</v>
      </c>
      <c r="C583" s="178">
        <f t="shared" ca="1" si="18"/>
        <v>51.612903225806448</v>
      </c>
      <c r="H583" s="178"/>
    </row>
    <row r="584" spans="1:8" x14ac:dyDescent="0.2">
      <c r="A584" s="180">
        <v>45144</v>
      </c>
      <c r="B584" s="181">
        <f t="shared" si="19"/>
        <v>8</v>
      </c>
      <c r="C584" s="178">
        <f t="shared" ca="1" si="18"/>
        <v>51.612903225806448</v>
      </c>
      <c r="H584" s="178"/>
    </row>
    <row r="585" spans="1:8" x14ac:dyDescent="0.2">
      <c r="A585" s="180">
        <v>45145</v>
      </c>
      <c r="B585" s="181">
        <f t="shared" si="19"/>
        <v>8</v>
      </c>
      <c r="C585" s="178">
        <f t="shared" ca="1" si="18"/>
        <v>51.612903225806448</v>
      </c>
      <c r="H585" s="178"/>
    </row>
    <row r="586" spans="1:8" x14ac:dyDescent="0.2">
      <c r="A586" s="180">
        <v>45146</v>
      </c>
      <c r="B586" s="181">
        <f t="shared" si="19"/>
        <v>8</v>
      </c>
      <c r="C586" s="178">
        <f t="shared" ca="1" si="18"/>
        <v>51.612903225806448</v>
      </c>
      <c r="H586" s="178"/>
    </row>
    <row r="587" spans="1:8" x14ac:dyDescent="0.2">
      <c r="A587" s="180">
        <v>45147</v>
      </c>
      <c r="B587" s="181">
        <f t="shared" si="19"/>
        <v>8</v>
      </c>
      <c r="C587" s="178">
        <f t="shared" ca="1" si="18"/>
        <v>51.612903225806448</v>
      </c>
      <c r="H587" s="178"/>
    </row>
    <row r="588" spans="1:8" x14ac:dyDescent="0.2">
      <c r="A588" s="180">
        <v>45148</v>
      </c>
      <c r="B588" s="181">
        <f t="shared" si="19"/>
        <v>8</v>
      </c>
      <c r="C588" s="178">
        <f t="shared" ca="1" si="18"/>
        <v>51.612903225806448</v>
      </c>
      <c r="H588" s="178"/>
    </row>
    <row r="589" spans="1:8" x14ac:dyDescent="0.2">
      <c r="A589" s="180">
        <v>45149</v>
      </c>
      <c r="B589" s="181">
        <f t="shared" si="19"/>
        <v>8</v>
      </c>
      <c r="C589" s="178">
        <f t="shared" ca="1" si="18"/>
        <v>51.612903225806448</v>
      </c>
      <c r="H589" s="178"/>
    </row>
    <row r="590" spans="1:8" x14ac:dyDescent="0.2">
      <c r="A590" s="180">
        <v>45150</v>
      </c>
      <c r="B590" s="181">
        <f t="shared" si="19"/>
        <v>8</v>
      </c>
      <c r="C590" s="178">
        <f t="shared" ca="1" si="18"/>
        <v>51.612903225806448</v>
      </c>
      <c r="H590" s="178"/>
    </row>
    <row r="591" spans="1:8" x14ac:dyDescent="0.2">
      <c r="A591" s="180">
        <v>45151</v>
      </c>
      <c r="B591" s="181">
        <f t="shared" si="19"/>
        <v>8</v>
      </c>
      <c r="C591" s="178">
        <f t="shared" ca="1" si="18"/>
        <v>51.612903225806448</v>
      </c>
      <c r="H591" s="178"/>
    </row>
    <row r="592" spans="1:8" x14ac:dyDescent="0.2">
      <c r="A592" s="180">
        <v>45152</v>
      </c>
      <c r="B592" s="181">
        <f t="shared" si="19"/>
        <v>8</v>
      </c>
      <c r="C592" s="178">
        <f t="shared" ca="1" si="18"/>
        <v>51.612903225806448</v>
      </c>
      <c r="H592" s="178"/>
    </row>
    <row r="593" spans="1:8" x14ac:dyDescent="0.2">
      <c r="A593" s="180">
        <v>45153</v>
      </c>
      <c r="B593" s="181">
        <f t="shared" si="19"/>
        <v>8</v>
      </c>
      <c r="C593" s="178">
        <f t="shared" ca="1" si="18"/>
        <v>51.612903225806448</v>
      </c>
      <c r="H593" s="178"/>
    </row>
    <row r="594" spans="1:8" x14ac:dyDescent="0.2">
      <c r="A594" s="180">
        <v>45154</v>
      </c>
      <c r="B594" s="181">
        <f t="shared" si="19"/>
        <v>8</v>
      </c>
      <c r="C594" s="178">
        <f t="shared" ca="1" si="18"/>
        <v>51.612903225806448</v>
      </c>
      <c r="H594" s="178"/>
    </row>
    <row r="595" spans="1:8" x14ac:dyDescent="0.2">
      <c r="A595" s="180">
        <v>45155</v>
      </c>
      <c r="B595" s="181">
        <f t="shared" si="19"/>
        <v>8</v>
      </c>
      <c r="C595" s="178">
        <f t="shared" ca="1" si="18"/>
        <v>51.612903225806448</v>
      </c>
      <c r="H595" s="178"/>
    </row>
    <row r="596" spans="1:8" x14ac:dyDescent="0.2">
      <c r="A596" s="180">
        <v>45156</v>
      </c>
      <c r="B596" s="181">
        <f t="shared" si="19"/>
        <v>8</v>
      </c>
      <c r="C596" s="178">
        <f t="shared" ca="1" si="18"/>
        <v>51.612903225806448</v>
      </c>
      <c r="H596" s="178"/>
    </row>
    <row r="597" spans="1:8" x14ac:dyDescent="0.2">
      <c r="A597" s="180">
        <v>45157</v>
      </c>
      <c r="B597" s="181">
        <f t="shared" si="19"/>
        <v>8</v>
      </c>
      <c r="C597" s="178">
        <f t="shared" ca="1" si="18"/>
        <v>51.612903225806448</v>
      </c>
      <c r="H597" s="178"/>
    </row>
    <row r="598" spans="1:8" x14ac:dyDescent="0.2">
      <c r="A598" s="180">
        <v>45158</v>
      </c>
      <c r="B598" s="181">
        <f t="shared" si="19"/>
        <v>8</v>
      </c>
      <c r="C598" s="178">
        <f t="shared" ca="1" si="18"/>
        <v>51.612903225806448</v>
      </c>
      <c r="H598" s="178"/>
    </row>
    <row r="599" spans="1:8" x14ac:dyDescent="0.2">
      <c r="A599" s="180">
        <v>45159</v>
      </c>
      <c r="B599" s="181">
        <f t="shared" si="19"/>
        <v>8</v>
      </c>
      <c r="C599" s="178">
        <f t="shared" ca="1" si="18"/>
        <v>51.612903225806448</v>
      </c>
      <c r="H599" s="178"/>
    </row>
    <row r="600" spans="1:8" x14ac:dyDescent="0.2">
      <c r="A600" s="180">
        <v>45160</v>
      </c>
      <c r="B600" s="181">
        <f t="shared" si="19"/>
        <v>8</v>
      </c>
      <c r="C600" s="178">
        <f t="shared" ca="1" si="18"/>
        <v>51.612903225806448</v>
      </c>
      <c r="H600" s="178"/>
    </row>
    <row r="601" spans="1:8" x14ac:dyDescent="0.2">
      <c r="A601" s="180">
        <v>45161</v>
      </c>
      <c r="B601" s="181">
        <f t="shared" si="19"/>
        <v>8</v>
      </c>
      <c r="C601" s="178">
        <f t="shared" ca="1" si="18"/>
        <v>51.612903225806448</v>
      </c>
      <c r="H601" s="178"/>
    </row>
    <row r="602" spans="1:8" x14ac:dyDescent="0.2">
      <c r="A602" s="180">
        <v>45162</v>
      </c>
      <c r="B602" s="181">
        <f t="shared" si="19"/>
        <v>8</v>
      </c>
      <c r="C602" s="178">
        <f t="shared" ca="1" si="18"/>
        <v>51.612903225806448</v>
      </c>
      <c r="H602" s="178"/>
    </row>
    <row r="603" spans="1:8" x14ac:dyDescent="0.2">
      <c r="A603" s="180">
        <v>45163</v>
      </c>
      <c r="B603" s="181">
        <f t="shared" si="19"/>
        <v>8</v>
      </c>
      <c r="C603" s="178">
        <f t="shared" ca="1" si="18"/>
        <v>51.612903225806448</v>
      </c>
      <c r="H603" s="178"/>
    </row>
    <row r="604" spans="1:8" x14ac:dyDescent="0.2">
      <c r="A604" s="180">
        <v>45164</v>
      </c>
      <c r="B604" s="181">
        <f t="shared" si="19"/>
        <v>8</v>
      </c>
      <c r="C604" s="178">
        <f t="shared" ca="1" si="18"/>
        <v>51.612903225806448</v>
      </c>
      <c r="H604" s="178"/>
    </row>
    <row r="605" spans="1:8" x14ac:dyDescent="0.2">
      <c r="A605" s="180">
        <v>45165</v>
      </c>
      <c r="B605" s="181">
        <f t="shared" si="19"/>
        <v>8</v>
      </c>
      <c r="C605" s="178">
        <f t="shared" ca="1" si="18"/>
        <v>51.612903225806448</v>
      </c>
      <c r="H605" s="178"/>
    </row>
    <row r="606" spans="1:8" x14ac:dyDescent="0.2">
      <c r="A606" s="180">
        <v>45166</v>
      </c>
      <c r="B606" s="181">
        <f t="shared" si="19"/>
        <v>8</v>
      </c>
      <c r="C606" s="178">
        <f t="shared" ca="1" si="18"/>
        <v>51.612903225806448</v>
      </c>
      <c r="H606" s="178"/>
    </row>
    <row r="607" spans="1:8" x14ac:dyDescent="0.2">
      <c r="A607" s="180">
        <v>45167</v>
      </c>
      <c r="B607" s="181">
        <f t="shared" si="19"/>
        <v>8</v>
      </c>
      <c r="C607" s="178">
        <f t="shared" ca="1" si="18"/>
        <v>51.612903225806448</v>
      </c>
      <c r="H607" s="178"/>
    </row>
    <row r="608" spans="1:8" x14ac:dyDescent="0.2">
      <c r="A608" s="180">
        <v>45168</v>
      </c>
      <c r="B608" s="181">
        <f t="shared" si="19"/>
        <v>8</v>
      </c>
      <c r="C608" s="178">
        <f t="shared" ca="1" si="18"/>
        <v>51.612903225806448</v>
      </c>
      <c r="H608" s="178"/>
    </row>
    <row r="609" spans="1:8" x14ac:dyDescent="0.2">
      <c r="A609" s="180">
        <v>45169</v>
      </c>
      <c r="B609" s="181">
        <f t="shared" si="19"/>
        <v>8</v>
      </c>
      <c r="C609" s="178">
        <f t="shared" ca="1" si="18"/>
        <v>51.612903225806448</v>
      </c>
      <c r="H609" s="178"/>
    </row>
    <row r="610" spans="1:8" x14ac:dyDescent="0.2">
      <c r="A610" s="180">
        <v>45170</v>
      </c>
      <c r="B610" s="181">
        <f t="shared" si="19"/>
        <v>9</v>
      </c>
      <c r="C610" s="178">
        <f t="shared" ca="1" si="18"/>
        <v>53.333333333333336</v>
      </c>
      <c r="H610" s="178"/>
    </row>
    <row r="611" spans="1:8" x14ac:dyDescent="0.2">
      <c r="A611" s="180">
        <v>45171</v>
      </c>
      <c r="B611" s="181">
        <f t="shared" si="19"/>
        <v>9</v>
      </c>
      <c r="C611" s="178">
        <f t="shared" ca="1" si="18"/>
        <v>53.333333333333336</v>
      </c>
      <c r="H611" s="178"/>
    </row>
    <row r="612" spans="1:8" x14ac:dyDescent="0.2">
      <c r="A612" s="180">
        <v>45172</v>
      </c>
      <c r="B612" s="181">
        <f t="shared" si="19"/>
        <v>9</v>
      </c>
      <c r="C612" s="178">
        <f t="shared" ca="1" si="18"/>
        <v>53.333333333333336</v>
      </c>
      <c r="H612" s="178"/>
    </row>
    <row r="613" spans="1:8" x14ac:dyDescent="0.2">
      <c r="A613" s="180">
        <v>45173</v>
      </c>
      <c r="B613" s="181">
        <f t="shared" si="19"/>
        <v>9</v>
      </c>
      <c r="C613" s="178">
        <f t="shared" ca="1" si="18"/>
        <v>53.333333333333336</v>
      </c>
      <c r="H613" s="178"/>
    </row>
    <row r="614" spans="1:8" x14ac:dyDescent="0.2">
      <c r="A614" s="180">
        <v>45174</v>
      </c>
      <c r="B614" s="181">
        <f t="shared" si="19"/>
        <v>9</v>
      </c>
      <c r="C614" s="178">
        <f t="shared" ca="1" si="18"/>
        <v>53.333333333333336</v>
      </c>
      <c r="H614" s="178"/>
    </row>
    <row r="615" spans="1:8" x14ac:dyDescent="0.2">
      <c r="A615" s="180">
        <v>45175</v>
      </c>
      <c r="B615" s="181">
        <f t="shared" si="19"/>
        <v>9</v>
      </c>
      <c r="C615" s="178">
        <f t="shared" ca="1" si="18"/>
        <v>53.333333333333336</v>
      </c>
      <c r="H615" s="178"/>
    </row>
    <row r="616" spans="1:8" x14ac:dyDescent="0.2">
      <c r="A616" s="180">
        <v>45176</v>
      </c>
      <c r="B616" s="181">
        <f t="shared" si="19"/>
        <v>9</v>
      </c>
      <c r="C616" s="178">
        <f t="shared" ca="1" si="18"/>
        <v>53.333333333333336</v>
      </c>
      <c r="H616" s="178"/>
    </row>
    <row r="617" spans="1:8" x14ac:dyDescent="0.2">
      <c r="A617" s="180">
        <v>45177</v>
      </c>
      <c r="B617" s="181">
        <f t="shared" si="19"/>
        <v>9</v>
      </c>
      <c r="C617" s="178">
        <f t="shared" ca="1" si="18"/>
        <v>53.333333333333336</v>
      </c>
      <c r="H617" s="178"/>
    </row>
    <row r="618" spans="1:8" x14ac:dyDescent="0.2">
      <c r="A618" s="180">
        <v>45178</v>
      </c>
      <c r="B618" s="181">
        <f t="shared" si="19"/>
        <v>9</v>
      </c>
      <c r="C618" s="178">
        <f t="shared" ca="1" si="18"/>
        <v>53.333333333333336</v>
      </c>
      <c r="H618" s="178"/>
    </row>
    <row r="619" spans="1:8" x14ac:dyDescent="0.2">
      <c r="A619" s="180">
        <v>45179</v>
      </c>
      <c r="B619" s="181">
        <f t="shared" si="19"/>
        <v>9</v>
      </c>
      <c r="C619" s="178">
        <f t="shared" ca="1" si="18"/>
        <v>53.333333333333336</v>
      </c>
      <c r="H619" s="178"/>
    </row>
    <row r="620" spans="1:8" x14ac:dyDescent="0.2">
      <c r="A620" s="180">
        <v>45180</v>
      </c>
      <c r="B620" s="181">
        <f t="shared" si="19"/>
        <v>9</v>
      </c>
      <c r="C620" s="178">
        <f t="shared" ca="1" si="18"/>
        <v>53.333333333333336</v>
      </c>
      <c r="H620" s="178"/>
    </row>
    <row r="621" spans="1:8" x14ac:dyDescent="0.2">
      <c r="A621" s="180">
        <v>45181</v>
      </c>
      <c r="B621" s="181">
        <f t="shared" si="19"/>
        <v>9</v>
      </c>
      <c r="C621" s="178">
        <f t="shared" ca="1" si="18"/>
        <v>53.333333333333336</v>
      </c>
      <c r="H621" s="178"/>
    </row>
    <row r="622" spans="1:8" x14ac:dyDescent="0.2">
      <c r="A622" s="180">
        <v>45182</v>
      </c>
      <c r="B622" s="181">
        <f t="shared" si="19"/>
        <v>9</v>
      </c>
      <c r="C622" s="178">
        <f t="shared" ca="1" si="18"/>
        <v>53.333333333333336</v>
      </c>
      <c r="H622" s="178"/>
    </row>
    <row r="623" spans="1:8" x14ac:dyDescent="0.2">
      <c r="A623" s="180">
        <v>45183</v>
      </c>
      <c r="B623" s="181">
        <f t="shared" si="19"/>
        <v>9</v>
      </c>
      <c r="C623" s="178">
        <f t="shared" ca="1" si="18"/>
        <v>53.333333333333336</v>
      </c>
      <c r="H623" s="178"/>
    </row>
    <row r="624" spans="1:8" x14ac:dyDescent="0.2">
      <c r="A624" s="180">
        <v>45184</v>
      </c>
      <c r="B624" s="181">
        <f t="shared" si="19"/>
        <v>9</v>
      </c>
      <c r="C624" s="178">
        <f t="shared" ca="1" si="18"/>
        <v>53.333333333333336</v>
      </c>
      <c r="H624" s="178"/>
    </row>
    <row r="625" spans="1:8" x14ac:dyDescent="0.2">
      <c r="A625" s="180">
        <v>45185</v>
      </c>
      <c r="B625" s="181">
        <f t="shared" si="19"/>
        <v>9</v>
      </c>
      <c r="C625" s="178">
        <f t="shared" ca="1" si="18"/>
        <v>53.333333333333336</v>
      </c>
      <c r="H625" s="178"/>
    </row>
    <row r="626" spans="1:8" x14ac:dyDescent="0.2">
      <c r="A626" s="180">
        <v>45186</v>
      </c>
      <c r="B626" s="181">
        <f t="shared" si="19"/>
        <v>9</v>
      </c>
      <c r="C626" s="178">
        <f t="shared" ca="1" si="18"/>
        <v>53.333333333333336</v>
      </c>
      <c r="H626" s="178"/>
    </row>
    <row r="627" spans="1:8" x14ac:dyDescent="0.2">
      <c r="A627" s="180">
        <v>45187</v>
      </c>
      <c r="B627" s="181">
        <f t="shared" si="19"/>
        <v>9</v>
      </c>
      <c r="C627" s="178">
        <f t="shared" ca="1" si="18"/>
        <v>53.333333333333336</v>
      </c>
      <c r="H627" s="178"/>
    </row>
    <row r="628" spans="1:8" x14ac:dyDescent="0.2">
      <c r="A628" s="180">
        <v>45188</v>
      </c>
      <c r="B628" s="181">
        <f t="shared" si="19"/>
        <v>9</v>
      </c>
      <c r="C628" s="178">
        <f t="shared" ca="1" si="18"/>
        <v>53.333333333333336</v>
      </c>
      <c r="H628" s="178"/>
    </row>
    <row r="629" spans="1:8" x14ac:dyDescent="0.2">
      <c r="A629" s="180">
        <v>45189</v>
      </c>
      <c r="B629" s="181">
        <f t="shared" si="19"/>
        <v>9</v>
      </c>
      <c r="C629" s="178">
        <f t="shared" ca="1" si="18"/>
        <v>53.333333333333336</v>
      </c>
      <c r="H629" s="178"/>
    </row>
    <row r="630" spans="1:8" x14ac:dyDescent="0.2">
      <c r="A630" s="180">
        <v>45190</v>
      </c>
      <c r="B630" s="181">
        <f t="shared" si="19"/>
        <v>9</v>
      </c>
      <c r="C630" s="178">
        <f t="shared" ca="1" si="18"/>
        <v>53.333333333333336</v>
      </c>
      <c r="H630" s="178"/>
    </row>
    <row r="631" spans="1:8" x14ac:dyDescent="0.2">
      <c r="A631" s="180">
        <v>45191</v>
      </c>
      <c r="B631" s="181">
        <f t="shared" si="19"/>
        <v>9</v>
      </c>
      <c r="C631" s="178">
        <f t="shared" ca="1" si="18"/>
        <v>53.333333333333336</v>
      </c>
      <c r="H631" s="178"/>
    </row>
    <row r="632" spans="1:8" x14ac:dyDescent="0.2">
      <c r="A632" s="180">
        <v>45192</v>
      </c>
      <c r="B632" s="181">
        <f t="shared" si="19"/>
        <v>9</v>
      </c>
      <c r="C632" s="178">
        <f t="shared" ca="1" si="18"/>
        <v>53.333333333333336</v>
      </c>
      <c r="H632" s="178"/>
    </row>
    <row r="633" spans="1:8" x14ac:dyDescent="0.2">
      <c r="A633" s="180">
        <v>45193</v>
      </c>
      <c r="B633" s="181">
        <f t="shared" si="19"/>
        <v>9</v>
      </c>
      <c r="C633" s="178">
        <f t="shared" ca="1" si="18"/>
        <v>53.333333333333336</v>
      </c>
      <c r="H633" s="178"/>
    </row>
    <row r="634" spans="1:8" x14ac:dyDescent="0.2">
      <c r="A634" s="180">
        <v>45194</v>
      </c>
      <c r="B634" s="181">
        <f t="shared" si="19"/>
        <v>9</v>
      </c>
      <c r="C634" s="178">
        <f t="shared" ca="1" si="18"/>
        <v>53.333333333333336</v>
      </c>
      <c r="H634" s="178"/>
    </row>
    <row r="635" spans="1:8" x14ac:dyDescent="0.2">
      <c r="A635" s="180">
        <v>45195</v>
      </c>
      <c r="B635" s="181">
        <f t="shared" si="19"/>
        <v>9</v>
      </c>
      <c r="C635" s="178">
        <f t="shared" ca="1" si="18"/>
        <v>53.333333333333336</v>
      </c>
      <c r="H635" s="178"/>
    </row>
    <row r="636" spans="1:8" x14ac:dyDescent="0.2">
      <c r="A636" s="180">
        <v>45196</v>
      </c>
      <c r="B636" s="181">
        <f t="shared" si="19"/>
        <v>9</v>
      </c>
      <c r="C636" s="178">
        <f t="shared" ca="1" si="18"/>
        <v>53.333333333333336</v>
      </c>
      <c r="H636" s="178"/>
    </row>
    <row r="637" spans="1:8" x14ac:dyDescent="0.2">
      <c r="A637" s="180">
        <v>45197</v>
      </c>
      <c r="B637" s="181">
        <f t="shared" si="19"/>
        <v>9</v>
      </c>
      <c r="C637" s="178">
        <f t="shared" ca="1" si="18"/>
        <v>53.333333333333336</v>
      </c>
      <c r="H637" s="178"/>
    </row>
    <row r="638" spans="1:8" x14ac:dyDescent="0.2">
      <c r="A638" s="180">
        <v>45198</v>
      </c>
      <c r="B638" s="181">
        <f t="shared" si="19"/>
        <v>9</v>
      </c>
      <c r="C638" s="178">
        <f t="shared" ca="1" si="18"/>
        <v>53.333333333333336</v>
      </c>
      <c r="H638" s="178"/>
    </row>
    <row r="639" spans="1:8" x14ac:dyDescent="0.2">
      <c r="A639" s="180">
        <v>45199</v>
      </c>
      <c r="B639" s="181">
        <f t="shared" si="19"/>
        <v>9</v>
      </c>
      <c r="C639" s="178">
        <f t="shared" ca="1" si="18"/>
        <v>53.333333333333336</v>
      </c>
      <c r="H639" s="178"/>
    </row>
    <row r="640" spans="1:8" x14ac:dyDescent="0.2">
      <c r="A640" s="180">
        <v>45200</v>
      </c>
      <c r="B640" s="181">
        <f t="shared" si="19"/>
        <v>10</v>
      </c>
      <c r="C640" s="178">
        <f t="shared" ca="1" si="18"/>
        <v>51.612903225806448</v>
      </c>
      <c r="H640" s="178"/>
    </row>
    <row r="641" spans="1:8" x14ac:dyDescent="0.2">
      <c r="A641" s="180">
        <v>45201</v>
      </c>
      <c r="B641" s="181">
        <f t="shared" si="19"/>
        <v>10</v>
      </c>
      <c r="C641" s="178">
        <f t="shared" ca="1" si="18"/>
        <v>51.612903225806448</v>
      </c>
      <c r="H641" s="178"/>
    </row>
    <row r="642" spans="1:8" x14ac:dyDescent="0.2">
      <c r="A642" s="180">
        <v>45202</v>
      </c>
      <c r="B642" s="181">
        <f t="shared" si="19"/>
        <v>10</v>
      </c>
      <c r="C642" s="178">
        <f t="shared" ref="C642:C705" ca="1" si="20">IF(A642&lt;=$G$2,VLOOKUP(B642,$E$4:$H$15,4),0)</f>
        <v>51.612903225806448</v>
      </c>
      <c r="H642" s="178"/>
    </row>
    <row r="643" spans="1:8" x14ac:dyDescent="0.2">
      <c r="A643" s="180">
        <v>45203</v>
      </c>
      <c r="B643" s="181">
        <f t="shared" ref="B643:B706" si="21">MONTH(A643)</f>
        <v>10</v>
      </c>
      <c r="C643" s="178">
        <f t="shared" ca="1" si="20"/>
        <v>51.612903225806448</v>
      </c>
      <c r="H643" s="178"/>
    </row>
    <row r="644" spans="1:8" x14ac:dyDescent="0.2">
      <c r="A644" s="180">
        <v>45204</v>
      </c>
      <c r="B644" s="181">
        <f t="shared" si="21"/>
        <v>10</v>
      </c>
      <c r="C644" s="178">
        <f t="shared" ca="1" si="20"/>
        <v>51.612903225806448</v>
      </c>
      <c r="H644" s="178"/>
    </row>
    <row r="645" spans="1:8" x14ac:dyDescent="0.2">
      <c r="A645" s="180">
        <v>45205</v>
      </c>
      <c r="B645" s="181">
        <f t="shared" si="21"/>
        <v>10</v>
      </c>
      <c r="C645" s="178">
        <f t="shared" ca="1" si="20"/>
        <v>51.612903225806448</v>
      </c>
      <c r="H645" s="178"/>
    </row>
    <row r="646" spans="1:8" x14ac:dyDescent="0.2">
      <c r="A646" s="180">
        <v>45206</v>
      </c>
      <c r="B646" s="181">
        <f t="shared" si="21"/>
        <v>10</v>
      </c>
      <c r="C646" s="178">
        <f t="shared" ca="1" si="20"/>
        <v>51.612903225806448</v>
      </c>
      <c r="H646" s="178"/>
    </row>
    <row r="647" spans="1:8" x14ac:dyDescent="0.2">
      <c r="A647" s="180">
        <v>45207</v>
      </c>
      <c r="B647" s="181">
        <f t="shared" si="21"/>
        <v>10</v>
      </c>
      <c r="C647" s="178">
        <f t="shared" ca="1" si="20"/>
        <v>51.612903225806448</v>
      </c>
      <c r="H647" s="178"/>
    </row>
    <row r="648" spans="1:8" x14ac:dyDescent="0.2">
      <c r="A648" s="180">
        <v>45208</v>
      </c>
      <c r="B648" s="181">
        <f t="shared" si="21"/>
        <v>10</v>
      </c>
      <c r="C648" s="178">
        <f t="shared" ca="1" si="20"/>
        <v>51.612903225806448</v>
      </c>
      <c r="H648" s="178"/>
    </row>
    <row r="649" spans="1:8" x14ac:dyDescent="0.2">
      <c r="A649" s="180">
        <v>45209</v>
      </c>
      <c r="B649" s="181">
        <f t="shared" si="21"/>
        <v>10</v>
      </c>
      <c r="C649" s="178">
        <f t="shared" ca="1" si="20"/>
        <v>51.612903225806448</v>
      </c>
      <c r="H649" s="178"/>
    </row>
    <row r="650" spans="1:8" x14ac:dyDescent="0.2">
      <c r="A650" s="180">
        <v>45210</v>
      </c>
      <c r="B650" s="181">
        <f t="shared" si="21"/>
        <v>10</v>
      </c>
      <c r="C650" s="178">
        <f t="shared" ca="1" si="20"/>
        <v>51.612903225806448</v>
      </c>
      <c r="H650" s="178"/>
    </row>
    <row r="651" spans="1:8" x14ac:dyDescent="0.2">
      <c r="A651" s="180">
        <v>45211</v>
      </c>
      <c r="B651" s="181">
        <f t="shared" si="21"/>
        <v>10</v>
      </c>
      <c r="C651" s="178">
        <f t="shared" ca="1" si="20"/>
        <v>51.612903225806448</v>
      </c>
      <c r="H651" s="178"/>
    </row>
    <row r="652" spans="1:8" x14ac:dyDescent="0.2">
      <c r="A652" s="180">
        <v>45212</v>
      </c>
      <c r="B652" s="181">
        <f t="shared" si="21"/>
        <v>10</v>
      </c>
      <c r="C652" s="178">
        <f t="shared" ca="1" si="20"/>
        <v>51.612903225806448</v>
      </c>
      <c r="H652" s="178"/>
    </row>
    <row r="653" spans="1:8" x14ac:dyDescent="0.2">
      <c r="A653" s="180">
        <v>45213</v>
      </c>
      <c r="B653" s="181">
        <f t="shared" si="21"/>
        <v>10</v>
      </c>
      <c r="C653" s="178">
        <f t="shared" ca="1" si="20"/>
        <v>51.612903225806448</v>
      </c>
      <c r="H653" s="178"/>
    </row>
    <row r="654" spans="1:8" x14ac:dyDescent="0.2">
      <c r="A654" s="180">
        <v>45214</v>
      </c>
      <c r="B654" s="181">
        <f t="shared" si="21"/>
        <v>10</v>
      </c>
      <c r="C654" s="178">
        <f t="shared" ca="1" si="20"/>
        <v>51.612903225806448</v>
      </c>
      <c r="H654" s="178"/>
    </row>
    <row r="655" spans="1:8" x14ac:dyDescent="0.2">
      <c r="A655" s="180">
        <v>45215</v>
      </c>
      <c r="B655" s="181">
        <f t="shared" si="21"/>
        <v>10</v>
      </c>
      <c r="C655" s="178">
        <f t="shared" ca="1" si="20"/>
        <v>51.612903225806448</v>
      </c>
      <c r="H655" s="178"/>
    </row>
    <row r="656" spans="1:8" x14ac:dyDescent="0.2">
      <c r="A656" s="180">
        <v>45216</v>
      </c>
      <c r="B656" s="181">
        <f t="shared" si="21"/>
        <v>10</v>
      </c>
      <c r="C656" s="178">
        <f t="shared" ca="1" si="20"/>
        <v>51.612903225806448</v>
      </c>
      <c r="H656" s="178"/>
    </row>
    <row r="657" spans="1:8" x14ac:dyDescent="0.2">
      <c r="A657" s="180">
        <v>45217</v>
      </c>
      <c r="B657" s="181">
        <f t="shared" si="21"/>
        <v>10</v>
      </c>
      <c r="C657" s="178">
        <f t="shared" ca="1" si="20"/>
        <v>51.612903225806448</v>
      </c>
      <c r="H657" s="178"/>
    </row>
    <row r="658" spans="1:8" x14ac:dyDescent="0.2">
      <c r="A658" s="180">
        <v>45218</v>
      </c>
      <c r="B658" s="181">
        <f t="shared" si="21"/>
        <v>10</v>
      </c>
      <c r="C658" s="178">
        <f t="shared" ca="1" si="20"/>
        <v>51.612903225806448</v>
      </c>
      <c r="H658" s="178"/>
    </row>
    <row r="659" spans="1:8" x14ac:dyDescent="0.2">
      <c r="A659" s="180">
        <v>45219</v>
      </c>
      <c r="B659" s="181">
        <f t="shared" si="21"/>
        <v>10</v>
      </c>
      <c r="C659" s="178">
        <f t="shared" ca="1" si="20"/>
        <v>51.612903225806448</v>
      </c>
      <c r="H659" s="178"/>
    </row>
    <row r="660" spans="1:8" x14ac:dyDescent="0.2">
      <c r="A660" s="180">
        <v>45220</v>
      </c>
      <c r="B660" s="181">
        <f t="shared" si="21"/>
        <v>10</v>
      </c>
      <c r="C660" s="178">
        <f t="shared" ca="1" si="20"/>
        <v>51.612903225806448</v>
      </c>
      <c r="H660" s="178"/>
    </row>
    <row r="661" spans="1:8" x14ac:dyDescent="0.2">
      <c r="A661" s="180">
        <v>45221</v>
      </c>
      <c r="B661" s="181">
        <f t="shared" si="21"/>
        <v>10</v>
      </c>
      <c r="C661" s="178">
        <f t="shared" ca="1" si="20"/>
        <v>51.612903225806448</v>
      </c>
      <c r="H661" s="178"/>
    </row>
    <row r="662" spans="1:8" x14ac:dyDescent="0.2">
      <c r="A662" s="180">
        <v>45222</v>
      </c>
      <c r="B662" s="181">
        <f t="shared" si="21"/>
        <v>10</v>
      </c>
      <c r="C662" s="178">
        <f t="shared" ca="1" si="20"/>
        <v>51.612903225806448</v>
      </c>
      <c r="H662" s="178"/>
    </row>
    <row r="663" spans="1:8" x14ac:dyDescent="0.2">
      <c r="A663" s="180">
        <v>45223</v>
      </c>
      <c r="B663" s="181">
        <f t="shared" si="21"/>
        <v>10</v>
      </c>
      <c r="C663" s="178">
        <f t="shared" ca="1" si="20"/>
        <v>51.612903225806448</v>
      </c>
      <c r="H663" s="178"/>
    </row>
    <row r="664" spans="1:8" x14ac:dyDescent="0.2">
      <c r="A664" s="180">
        <v>45224</v>
      </c>
      <c r="B664" s="181">
        <f t="shared" si="21"/>
        <v>10</v>
      </c>
      <c r="C664" s="178">
        <f t="shared" ca="1" si="20"/>
        <v>51.612903225806448</v>
      </c>
      <c r="H664" s="178"/>
    </row>
    <row r="665" spans="1:8" x14ac:dyDescent="0.2">
      <c r="A665" s="180">
        <v>45225</v>
      </c>
      <c r="B665" s="181">
        <f t="shared" si="21"/>
        <v>10</v>
      </c>
      <c r="C665" s="178">
        <f t="shared" ca="1" si="20"/>
        <v>51.612903225806448</v>
      </c>
      <c r="H665" s="178"/>
    </row>
    <row r="666" spans="1:8" x14ac:dyDescent="0.2">
      <c r="A666" s="180">
        <v>45226</v>
      </c>
      <c r="B666" s="181">
        <f t="shared" si="21"/>
        <v>10</v>
      </c>
      <c r="C666" s="178">
        <f t="shared" ca="1" si="20"/>
        <v>51.612903225806448</v>
      </c>
      <c r="H666" s="178"/>
    </row>
    <row r="667" spans="1:8" x14ac:dyDescent="0.2">
      <c r="A667" s="180">
        <v>45227</v>
      </c>
      <c r="B667" s="181">
        <f t="shared" si="21"/>
        <v>10</v>
      </c>
      <c r="C667" s="178">
        <f t="shared" ca="1" si="20"/>
        <v>51.612903225806448</v>
      </c>
      <c r="H667" s="178"/>
    </row>
    <row r="668" spans="1:8" x14ac:dyDescent="0.2">
      <c r="A668" s="180">
        <v>45228</v>
      </c>
      <c r="B668" s="181">
        <f t="shared" si="21"/>
        <v>10</v>
      </c>
      <c r="C668" s="178">
        <f t="shared" ca="1" si="20"/>
        <v>51.612903225806448</v>
      </c>
      <c r="H668" s="178"/>
    </row>
    <row r="669" spans="1:8" x14ac:dyDescent="0.2">
      <c r="A669" s="180">
        <v>45229</v>
      </c>
      <c r="B669" s="181">
        <f t="shared" si="21"/>
        <v>10</v>
      </c>
      <c r="C669" s="178">
        <f t="shared" ca="1" si="20"/>
        <v>51.612903225806448</v>
      </c>
      <c r="H669" s="178"/>
    </row>
    <row r="670" spans="1:8" x14ac:dyDescent="0.2">
      <c r="A670" s="180">
        <v>45230</v>
      </c>
      <c r="B670" s="181">
        <f t="shared" si="21"/>
        <v>10</v>
      </c>
      <c r="C670" s="178">
        <f t="shared" ca="1" si="20"/>
        <v>51.612903225806448</v>
      </c>
      <c r="H670" s="178"/>
    </row>
    <row r="671" spans="1:8" x14ac:dyDescent="0.2">
      <c r="A671" s="180">
        <v>45231</v>
      </c>
      <c r="B671" s="181">
        <f t="shared" si="21"/>
        <v>11</v>
      </c>
      <c r="C671" s="178">
        <f t="shared" ca="1" si="20"/>
        <v>53.333333333333336</v>
      </c>
      <c r="H671" s="178"/>
    </row>
    <row r="672" spans="1:8" x14ac:dyDescent="0.2">
      <c r="A672" s="180">
        <v>45232</v>
      </c>
      <c r="B672" s="181">
        <f t="shared" si="21"/>
        <v>11</v>
      </c>
      <c r="C672" s="178">
        <f t="shared" ca="1" si="20"/>
        <v>53.333333333333336</v>
      </c>
      <c r="H672" s="178"/>
    </row>
    <row r="673" spans="1:8" x14ac:dyDescent="0.2">
      <c r="A673" s="180">
        <v>45233</v>
      </c>
      <c r="B673" s="181">
        <f t="shared" si="21"/>
        <v>11</v>
      </c>
      <c r="C673" s="178">
        <f t="shared" ca="1" si="20"/>
        <v>53.333333333333336</v>
      </c>
      <c r="H673" s="178"/>
    </row>
    <row r="674" spans="1:8" x14ac:dyDescent="0.2">
      <c r="A674" s="180">
        <v>45234</v>
      </c>
      <c r="B674" s="181">
        <f t="shared" si="21"/>
        <v>11</v>
      </c>
      <c r="C674" s="178">
        <f t="shared" ca="1" si="20"/>
        <v>53.333333333333336</v>
      </c>
      <c r="H674" s="178"/>
    </row>
    <row r="675" spans="1:8" x14ac:dyDescent="0.2">
      <c r="A675" s="180">
        <v>45235</v>
      </c>
      <c r="B675" s="181">
        <f t="shared" si="21"/>
        <v>11</v>
      </c>
      <c r="C675" s="178">
        <f t="shared" ca="1" si="20"/>
        <v>53.333333333333336</v>
      </c>
      <c r="H675" s="178"/>
    </row>
    <row r="676" spans="1:8" x14ac:dyDescent="0.2">
      <c r="A676" s="180">
        <v>45236</v>
      </c>
      <c r="B676" s="181">
        <f t="shared" si="21"/>
        <v>11</v>
      </c>
      <c r="C676" s="178">
        <f t="shared" ca="1" si="20"/>
        <v>53.333333333333336</v>
      </c>
      <c r="H676" s="178"/>
    </row>
    <row r="677" spans="1:8" x14ac:dyDescent="0.2">
      <c r="A677" s="180">
        <v>45237</v>
      </c>
      <c r="B677" s="181">
        <f t="shared" si="21"/>
        <v>11</v>
      </c>
      <c r="C677" s="178">
        <f t="shared" ca="1" si="20"/>
        <v>53.333333333333336</v>
      </c>
      <c r="H677" s="178"/>
    </row>
    <row r="678" spans="1:8" x14ac:dyDescent="0.2">
      <c r="A678" s="180">
        <v>45238</v>
      </c>
      <c r="B678" s="181">
        <f t="shared" si="21"/>
        <v>11</v>
      </c>
      <c r="C678" s="178">
        <f t="shared" ca="1" si="20"/>
        <v>53.333333333333336</v>
      </c>
      <c r="H678" s="178"/>
    </row>
    <row r="679" spans="1:8" x14ac:dyDescent="0.2">
      <c r="A679" s="180">
        <v>45239</v>
      </c>
      <c r="B679" s="181">
        <f t="shared" si="21"/>
        <v>11</v>
      </c>
      <c r="C679" s="178">
        <f t="shared" ca="1" si="20"/>
        <v>53.333333333333336</v>
      </c>
      <c r="H679" s="178"/>
    </row>
    <row r="680" spans="1:8" x14ac:dyDescent="0.2">
      <c r="A680" s="180">
        <v>45240</v>
      </c>
      <c r="B680" s="181">
        <f t="shared" si="21"/>
        <v>11</v>
      </c>
      <c r="C680" s="178">
        <f t="shared" ca="1" si="20"/>
        <v>53.333333333333336</v>
      </c>
      <c r="H680" s="178"/>
    </row>
    <row r="681" spans="1:8" x14ac:dyDescent="0.2">
      <c r="A681" s="180">
        <v>45241</v>
      </c>
      <c r="B681" s="181">
        <f t="shared" si="21"/>
        <v>11</v>
      </c>
      <c r="C681" s="178">
        <f t="shared" ca="1" si="20"/>
        <v>53.333333333333336</v>
      </c>
      <c r="H681" s="178"/>
    </row>
    <row r="682" spans="1:8" x14ac:dyDescent="0.2">
      <c r="A682" s="180">
        <v>45242</v>
      </c>
      <c r="B682" s="181">
        <f t="shared" si="21"/>
        <v>11</v>
      </c>
      <c r="C682" s="178">
        <f t="shared" ca="1" si="20"/>
        <v>53.333333333333336</v>
      </c>
      <c r="H682" s="178"/>
    </row>
    <row r="683" spans="1:8" x14ac:dyDescent="0.2">
      <c r="A683" s="180">
        <v>45243</v>
      </c>
      <c r="B683" s="181">
        <f t="shared" si="21"/>
        <v>11</v>
      </c>
      <c r="C683" s="178">
        <f t="shared" ca="1" si="20"/>
        <v>53.333333333333336</v>
      </c>
      <c r="H683" s="178"/>
    </row>
    <row r="684" spans="1:8" x14ac:dyDescent="0.2">
      <c r="A684" s="180">
        <v>45244</v>
      </c>
      <c r="B684" s="181">
        <f t="shared" si="21"/>
        <v>11</v>
      </c>
      <c r="C684" s="178">
        <f t="shared" ca="1" si="20"/>
        <v>53.333333333333336</v>
      </c>
      <c r="H684" s="178"/>
    </row>
    <row r="685" spans="1:8" x14ac:dyDescent="0.2">
      <c r="A685" s="180">
        <v>45245</v>
      </c>
      <c r="B685" s="181">
        <f t="shared" si="21"/>
        <v>11</v>
      </c>
      <c r="C685" s="178">
        <f t="shared" ca="1" si="20"/>
        <v>53.333333333333336</v>
      </c>
      <c r="H685" s="178"/>
    </row>
    <row r="686" spans="1:8" x14ac:dyDescent="0.2">
      <c r="A686" s="180">
        <v>45246</v>
      </c>
      <c r="B686" s="181">
        <f t="shared" si="21"/>
        <v>11</v>
      </c>
      <c r="C686" s="178">
        <f t="shared" ca="1" si="20"/>
        <v>53.333333333333336</v>
      </c>
      <c r="H686" s="178"/>
    </row>
    <row r="687" spans="1:8" x14ac:dyDescent="0.2">
      <c r="A687" s="180">
        <v>45247</v>
      </c>
      <c r="B687" s="181">
        <f t="shared" si="21"/>
        <v>11</v>
      </c>
      <c r="C687" s="178">
        <f t="shared" ca="1" si="20"/>
        <v>53.333333333333336</v>
      </c>
      <c r="H687" s="178"/>
    </row>
    <row r="688" spans="1:8" x14ac:dyDescent="0.2">
      <c r="A688" s="180">
        <v>45248</v>
      </c>
      <c r="B688" s="181">
        <f t="shared" si="21"/>
        <v>11</v>
      </c>
      <c r="C688" s="178">
        <f t="shared" ca="1" si="20"/>
        <v>53.333333333333336</v>
      </c>
      <c r="H688" s="178"/>
    </row>
    <row r="689" spans="1:8" x14ac:dyDescent="0.2">
      <c r="A689" s="180">
        <v>45249</v>
      </c>
      <c r="B689" s="181">
        <f t="shared" si="21"/>
        <v>11</v>
      </c>
      <c r="C689" s="178">
        <f t="shared" ca="1" si="20"/>
        <v>53.333333333333336</v>
      </c>
      <c r="H689" s="178"/>
    </row>
    <row r="690" spans="1:8" x14ac:dyDescent="0.2">
      <c r="A690" s="180">
        <v>45250</v>
      </c>
      <c r="B690" s="181">
        <f t="shared" si="21"/>
        <v>11</v>
      </c>
      <c r="C690" s="178">
        <f t="shared" ca="1" si="20"/>
        <v>53.333333333333336</v>
      </c>
      <c r="H690" s="178"/>
    </row>
    <row r="691" spans="1:8" x14ac:dyDescent="0.2">
      <c r="A691" s="180">
        <v>45251</v>
      </c>
      <c r="B691" s="181">
        <f t="shared" si="21"/>
        <v>11</v>
      </c>
      <c r="C691" s="178">
        <f t="shared" ca="1" si="20"/>
        <v>53.333333333333336</v>
      </c>
      <c r="H691" s="178"/>
    </row>
    <row r="692" spans="1:8" x14ac:dyDescent="0.2">
      <c r="A692" s="180">
        <v>45252</v>
      </c>
      <c r="B692" s="181">
        <f t="shared" si="21"/>
        <v>11</v>
      </c>
      <c r="C692" s="178">
        <f t="shared" ca="1" si="20"/>
        <v>53.333333333333336</v>
      </c>
      <c r="H692" s="178"/>
    </row>
    <row r="693" spans="1:8" x14ac:dyDescent="0.2">
      <c r="A693" s="180">
        <v>45253</v>
      </c>
      <c r="B693" s="181">
        <f t="shared" si="21"/>
        <v>11</v>
      </c>
      <c r="C693" s="178">
        <f t="shared" ca="1" si="20"/>
        <v>53.333333333333336</v>
      </c>
      <c r="H693" s="178"/>
    </row>
    <row r="694" spans="1:8" x14ac:dyDescent="0.2">
      <c r="A694" s="180">
        <v>45254</v>
      </c>
      <c r="B694" s="181">
        <f t="shared" si="21"/>
        <v>11</v>
      </c>
      <c r="C694" s="178">
        <f t="shared" ca="1" si="20"/>
        <v>53.333333333333336</v>
      </c>
      <c r="H694" s="178"/>
    </row>
    <row r="695" spans="1:8" x14ac:dyDescent="0.2">
      <c r="A695" s="180">
        <v>45255</v>
      </c>
      <c r="B695" s="181">
        <f t="shared" si="21"/>
        <v>11</v>
      </c>
      <c r="C695" s="178">
        <f t="shared" ca="1" si="20"/>
        <v>53.333333333333336</v>
      </c>
      <c r="H695" s="178"/>
    </row>
    <row r="696" spans="1:8" x14ac:dyDescent="0.2">
      <c r="A696" s="180">
        <v>45256</v>
      </c>
      <c r="B696" s="181">
        <f t="shared" si="21"/>
        <v>11</v>
      </c>
      <c r="C696" s="178">
        <f t="shared" ca="1" si="20"/>
        <v>53.333333333333336</v>
      </c>
      <c r="H696" s="178"/>
    </row>
    <row r="697" spans="1:8" x14ac:dyDescent="0.2">
      <c r="A697" s="180">
        <v>45257</v>
      </c>
      <c r="B697" s="181">
        <f t="shared" si="21"/>
        <v>11</v>
      </c>
      <c r="C697" s="178">
        <f t="shared" ca="1" si="20"/>
        <v>53.333333333333336</v>
      </c>
      <c r="H697" s="178"/>
    </row>
    <row r="698" spans="1:8" x14ac:dyDescent="0.2">
      <c r="A698" s="180">
        <v>45258</v>
      </c>
      <c r="B698" s="181">
        <f t="shared" si="21"/>
        <v>11</v>
      </c>
      <c r="C698" s="178">
        <f t="shared" ca="1" si="20"/>
        <v>53.333333333333336</v>
      </c>
      <c r="H698" s="178"/>
    </row>
    <row r="699" spans="1:8" x14ac:dyDescent="0.2">
      <c r="A699" s="180">
        <v>45259</v>
      </c>
      <c r="B699" s="181">
        <f t="shared" si="21"/>
        <v>11</v>
      </c>
      <c r="C699" s="178">
        <f t="shared" ca="1" si="20"/>
        <v>53.333333333333336</v>
      </c>
      <c r="H699" s="178"/>
    </row>
    <row r="700" spans="1:8" x14ac:dyDescent="0.2">
      <c r="A700" s="180">
        <v>45260</v>
      </c>
      <c r="B700" s="181">
        <f t="shared" si="21"/>
        <v>11</v>
      </c>
      <c r="C700" s="178">
        <f t="shared" ca="1" si="20"/>
        <v>53.333333333333336</v>
      </c>
      <c r="H700" s="178"/>
    </row>
    <row r="701" spans="1:8" x14ac:dyDescent="0.2">
      <c r="A701" s="180">
        <v>45261</v>
      </c>
      <c r="B701" s="181">
        <f t="shared" si="21"/>
        <v>12</v>
      </c>
      <c r="C701" s="178">
        <f t="shared" ca="1" si="20"/>
        <v>51.612903225806448</v>
      </c>
      <c r="H701" s="178"/>
    </row>
    <row r="702" spans="1:8" x14ac:dyDescent="0.2">
      <c r="A702" s="180">
        <v>45262</v>
      </c>
      <c r="B702" s="181">
        <f t="shared" si="21"/>
        <v>12</v>
      </c>
      <c r="C702" s="178">
        <f t="shared" ca="1" si="20"/>
        <v>51.612903225806448</v>
      </c>
      <c r="H702" s="178"/>
    </row>
    <row r="703" spans="1:8" x14ac:dyDescent="0.2">
      <c r="A703" s="180">
        <v>45263</v>
      </c>
      <c r="B703" s="181">
        <f t="shared" si="21"/>
        <v>12</v>
      </c>
      <c r="C703" s="178">
        <f t="shared" ca="1" si="20"/>
        <v>51.612903225806448</v>
      </c>
      <c r="H703" s="178"/>
    </row>
    <row r="704" spans="1:8" x14ac:dyDescent="0.2">
      <c r="A704" s="180">
        <v>45264</v>
      </c>
      <c r="B704" s="181">
        <f t="shared" si="21"/>
        <v>12</v>
      </c>
      <c r="C704" s="178">
        <f t="shared" ca="1" si="20"/>
        <v>51.612903225806448</v>
      </c>
      <c r="H704" s="178"/>
    </row>
    <row r="705" spans="1:8" x14ac:dyDescent="0.2">
      <c r="A705" s="180">
        <v>45265</v>
      </c>
      <c r="B705" s="181">
        <f t="shared" si="21"/>
        <v>12</v>
      </c>
      <c r="C705" s="178">
        <f t="shared" ca="1" si="20"/>
        <v>51.612903225806448</v>
      </c>
      <c r="H705" s="178"/>
    </row>
    <row r="706" spans="1:8" x14ac:dyDescent="0.2">
      <c r="A706" s="180">
        <v>45266</v>
      </c>
      <c r="B706" s="181">
        <f t="shared" si="21"/>
        <v>12</v>
      </c>
      <c r="C706" s="178">
        <f t="shared" ref="C706:C731" ca="1" si="22">IF(A706&lt;=$G$2,VLOOKUP(B706,$E$4:$H$15,4),0)</f>
        <v>51.612903225806448</v>
      </c>
      <c r="H706" s="178"/>
    </row>
    <row r="707" spans="1:8" x14ac:dyDescent="0.2">
      <c r="A707" s="180">
        <v>45267</v>
      </c>
      <c r="B707" s="181">
        <f t="shared" ref="B707:B731" si="23">MONTH(A707)</f>
        <v>12</v>
      </c>
      <c r="C707" s="178">
        <f t="shared" ca="1" si="22"/>
        <v>51.612903225806448</v>
      </c>
      <c r="H707" s="178"/>
    </row>
    <row r="708" spans="1:8" x14ac:dyDescent="0.2">
      <c r="A708" s="180">
        <v>45268</v>
      </c>
      <c r="B708" s="181">
        <f t="shared" si="23"/>
        <v>12</v>
      </c>
      <c r="C708" s="178">
        <f t="shared" ca="1" si="22"/>
        <v>51.612903225806448</v>
      </c>
      <c r="H708" s="178"/>
    </row>
    <row r="709" spans="1:8" x14ac:dyDescent="0.2">
      <c r="A709" s="180">
        <v>45269</v>
      </c>
      <c r="B709" s="181">
        <f t="shared" si="23"/>
        <v>12</v>
      </c>
      <c r="C709" s="178">
        <f t="shared" ca="1" si="22"/>
        <v>51.612903225806448</v>
      </c>
      <c r="H709" s="178"/>
    </row>
    <row r="710" spans="1:8" x14ac:dyDescent="0.2">
      <c r="A710" s="180">
        <v>45270</v>
      </c>
      <c r="B710" s="181">
        <f t="shared" si="23"/>
        <v>12</v>
      </c>
      <c r="C710" s="178">
        <f t="shared" ca="1" si="22"/>
        <v>51.612903225806448</v>
      </c>
      <c r="H710" s="178"/>
    </row>
    <row r="711" spans="1:8" x14ac:dyDescent="0.2">
      <c r="A711" s="180">
        <v>45271</v>
      </c>
      <c r="B711" s="181">
        <f t="shared" si="23"/>
        <v>12</v>
      </c>
      <c r="C711" s="178">
        <f t="shared" ca="1" si="22"/>
        <v>51.612903225806448</v>
      </c>
      <c r="H711" s="178"/>
    </row>
    <row r="712" spans="1:8" x14ac:dyDescent="0.2">
      <c r="A712" s="180">
        <v>45272</v>
      </c>
      <c r="B712" s="181">
        <f t="shared" si="23"/>
        <v>12</v>
      </c>
      <c r="C712" s="178">
        <f t="shared" ca="1" si="22"/>
        <v>51.612903225806448</v>
      </c>
      <c r="H712" s="178"/>
    </row>
    <row r="713" spans="1:8" x14ac:dyDescent="0.2">
      <c r="A713" s="180">
        <v>45273</v>
      </c>
      <c r="B713" s="181">
        <f t="shared" si="23"/>
        <v>12</v>
      </c>
      <c r="C713" s="178">
        <f t="shared" ca="1" si="22"/>
        <v>51.612903225806448</v>
      </c>
      <c r="H713" s="178"/>
    </row>
    <row r="714" spans="1:8" x14ac:dyDescent="0.2">
      <c r="A714" s="180">
        <v>45274</v>
      </c>
      <c r="B714" s="181">
        <f t="shared" si="23"/>
        <v>12</v>
      </c>
      <c r="C714" s="178">
        <f t="shared" ca="1" si="22"/>
        <v>51.612903225806448</v>
      </c>
      <c r="H714" s="178"/>
    </row>
    <row r="715" spans="1:8" x14ac:dyDescent="0.2">
      <c r="A715" s="180">
        <v>45275</v>
      </c>
      <c r="B715" s="181">
        <f t="shared" si="23"/>
        <v>12</v>
      </c>
      <c r="C715" s="178">
        <f t="shared" ca="1" si="22"/>
        <v>51.612903225806448</v>
      </c>
      <c r="H715" s="178"/>
    </row>
    <row r="716" spans="1:8" x14ac:dyDescent="0.2">
      <c r="A716" s="180">
        <v>45276</v>
      </c>
      <c r="B716" s="181">
        <f t="shared" si="23"/>
        <v>12</v>
      </c>
      <c r="C716" s="178">
        <f t="shared" ca="1" si="22"/>
        <v>51.612903225806448</v>
      </c>
      <c r="H716" s="178"/>
    </row>
    <row r="717" spans="1:8" x14ac:dyDescent="0.2">
      <c r="A717" s="180">
        <v>45277</v>
      </c>
      <c r="B717" s="181">
        <f t="shared" si="23"/>
        <v>12</v>
      </c>
      <c r="C717" s="178">
        <f t="shared" ca="1" si="22"/>
        <v>51.612903225806448</v>
      </c>
      <c r="H717" s="178"/>
    </row>
    <row r="718" spans="1:8" x14ac:dyDescent="0.2">
      <c r="A718" s="180">
        <v>45278</v>
      </c>
      <c r="B718" s="181">
        <f t="shared" si="23"/>
        <v>12</v>
      </c>
      <c r="C718" s="178">
        <f t="shared" ca="1" si="22"/>
        <v>51.612903225806448</v>
      </c>
      <c r="H718" s="178"/>
    </row>
    <row r="719" spans="1:8" x14ac:dyDescent="0.2">
      <c r="A719" s="180">
        <v>45279</v>
      </c>
      <c r="B719" s="181">
        <f t="shared" si="23"/>
        <v>12</v>
      </c>
      <c r="C719" s="178">
        <f t="shared" ca="1" si="22"/>
        <v>51.612903225806448</v>
      </c>
      <c r="H719" s="178"/>
    </row>
    <row r="720" spans="1:8" x14ac:dyDescent="0.2">
      <c r="A720" s="180">
        <v>45280</v>
      </c>
      <c r="B720" s="181">
        <f t="shared" si="23"/>
        <v>12</v>
      </c>
      <c r="C720" s="178">
        <f t="shared" ca="1" si="22"/>
        <v>51.612903225806448</v>
      </c>
      <c r="H720" s="178"/>
    </row>
    <row r="721" spans="1:8" x14ac:dyDescent="0.2">
      <c r="A721" s="180">
        <v>45281</v>
      </c>
      <c r="B721" s="181">
        <f t="shared" si="23"/>
        <v>12</v>
      </c>
      <c r="C721" s="178">
        <f t="shared" ca="1" si="22"/>
        <v>51.612903225806448</v>
      </c>
      <c r="H721" s="178"/>
    </row>
    <row r="722" spans="1:8" x14ac:dyDescent="0.2">
      <c r="A722" s="180">
        <v>45282</v>
      </c>
      <c r="B722" s="181">
        <f t="shared" si="23"/>
        <v>12</v>
      </c>
      <c r="C722" s="178">
        <f t="shared" ca="1" si="22"/>
        <v>51.612903225806448</v>
      </c>
      <c r="H722" s="178"/>
    </row>
    <row r="723" spans="1:8" x14ac:dyDescent="0.2">
      <c r="A723" s="180">
        <v>45283</v>
      </c>
      <c r="B723" s="181">
        <f t="shared" si="23"/>
        <v>12</v>
      </c>
      <c r="C723" s="178">
        <f t="shared" ca="1" si="22"/>
        <v>51.612903225806448</v>
      </c>
      <c r="H723" s="178"/>
    </row>
    <row r="724" spans="1:8" x14ac:dyDescent="0.2">
      <c r="A724" s="180">
        <v>45284</v>
      </c>
      <c r="B724" s="181">
        <f t="shared" si="23"/>
        <v>12</v>
      </c>
      <c r="C724" s="178">
        <f t="shared" ca="1" si="22"/>
        <v>51.612903225806448</v>
      </c>
      <c r="H724" s="178"/>
    </row>
    <row r="725" spans="1:8" x14ac:dyDescent="0.2">
      <c r="A725" s="180">
        <v>45285</v>
      </c>
      <c r="B725" s="181">
        <f t="shared" si="23"/>
        <v>12</v>
      </c>
      <c r="C725" s="178">
        <f t="shared" ca="1" si="22"/>
        <v>51.612903225806448</v>
      </c>
      <c r="H725" s="178"/>
    </row>
    <row r="726" spans="1:8" x14ac:dyDescent="0.2">
      <c r="A726" s="180">
        <v>45286</v>
      </c>
      <c r="B726" s="181">
        <f t="shared" si="23"/>
        <v>12</v>
      </c>
      <c r="C726" s="178">
        <f t="shared" ca="1" si="22"/>
        <v>51.612903225806448</v>
      </c>
      <c r="H726" s="178"/>
    </row>
    <row r="727" spans="1:8" x14ac:dyDescent="0.2">
      <c r="A727" s="180">
        <v>45287</v>
      </c>
      <c r="B727" s="181">
        <f t="shared" si="23"/>
        <v>12</v>
      </c>
      <c r="C727" s="178">
        <f t="shared" ca="1" si="22"/>
        <v>51.612903225806448</v>
      </c>
      <c r="H727" s="178"/>
    </row>
    <row r="728" spans="1:8" x14ac:dyDescent="0.2">
      <c r="A728" s="180">
        <v>45288</v>
      </c>
      <c r="B728" s="181">
        <f t="shared" si="23"/>
        <v>12</v>
      </c>
      <c r="C728" s="178">
        <f t="shared" ca="1" si="22"/>
        <v>51.612903225806448</v>
      </c>
      <c r="H728" s="178"/>
    </row>
    <row r="729" spans="1:8" x14ac:dyDescent="0.2">
      <c r="A729" s="180">
        <v>45289</v>
      </c>
      <c r="B729" s="181">
        <f t="shared" si="23"/>
        <v>12</v>
      </c>
      <c r="C729" s="178">
        <f t="shared" ca="1" si="22"/>
        <v>51.612903225806448</v>
      </c>
      <c r="H729" s="178"/>
    </row>
    <row r="730" spans="1:8" x14ac:dyDescent="0.2">
      <c r="A730" s="180">
        <v>45290</v>
      </c>
      <c r="B730" s="181">
        <f t="shared" si="23"/>
        <v>12</v>
      </c>
      <c r="C730" s="178">
        <f t="shared" ca="1" si="22"/>
        <v>51.612903225806448</v>
      </c>
      <c r="H730" s="178"/>
    </row>
    <row r="731" spans="1:8" x14ac:dyDescent="0.2">
      <c r="A731" s="180">
        <v>45291</v>
      </c>
      <c r="B731" s="181">
        <f t="shared" si="23"/>
        <v>12</v>
      </c>
      <c r="C731" s="178">
        <f t="shared" ca="1" si="22"/>
        <v>51.612903225806448</v>
      </c>
      <c r="H731" s="178"/>
    </row>
    <row r="732" spans="1:8" x14ac:dyDescent="0.2">
      <c r="A732" s="180"/>
      <c r="B732" s="183"/>
      <c r="C732" s="178"/>
      <c r="D732" s="178"/>
      <c r="H732" s="178"/>
    </row>
    <row r="733" spans="1:8" x14ac:dyDescent="0.2">
      <c r="A733" s="180"/>
      <c r="B733" s="183"/>
      <c r="C733" s="178"/>
      <c r="D733" s="178"/>
      <c r="H733" s="178"/>
    </row>
    <row r="734" spans="1:8" x14ac:dyDescent="0.2">
      <c r="A734" s="180"/>
      <c r="B734" s="183"/>
      <c r="C734" s="178"/>
      <c r="D734" s="178"/>
      <c r="H734" s="178"/>
    </row>
    <row r="735" spans="1:8" x14ac:dyDescent="0.2">
      <c r="A735" s="180"/>
      <c r="B735" s="183"/>
      <c r="C735" s="178"/>
      <c r="D735" s="178"/>
      <c r="H735" s="178"/>
    </row>
    <row r="736" spans="1:8" x14ac:dyDescent="0.2">
      <c r="A736" s="180"/>
      <c r="B736" s="183"/>
      <c r="C736" s="178"/>
      <c r="D736" s="178"/>
      <c r="H736" s="178"/>
    </row>
    <row r="737" spans="1:8" x14ac:dyDescent="0.2">
      <c r="A737" s="180"/>
      <c r="B737" s="183"/>
      <c r="C737" s="178"/>
      <c r="D737" s="178"/>
      <c r="H737" s="178"/>
    </row>
    <row r="738" spans="1:8" x14ac:dyDescent="0.2">
      <c r="A738" s="180"/>
      <c r="B738" s="183"/>
      <c r="C738" s="178"/>
      <c r="D738" s="178"/>
      <c r="H738" s="178"/>
    </row>
    <row r="739" spans="1:8" x14ac:dyDescent="0.2">
      <c r="A739" s="180"/>
      <c r="B739" s="183"/>
      <c r="C739" s="178"/>
      <c r="D739" s="178"/>
      <c r="H739" s="178"/>
    </row>
    <row r="740" spans="1:8" x14ac:dyDescent="0.2">
      <c r="A740" s="180"/>
      <c r="B740" s="183"/>
      <c r="C740" s="178"/>
      <c r="D740" s="178"/>
      <c r="H740" s="178"/>
    </row>
    <row r="741" spans="1:8" x14ac:dyDescent="0.2">
      <c r="A741" s="180"/>
      <c r="B741" s="183"/>
      <c r="C741" s="178"/>
      <c r="D741" s="178"/>
      <c r="H741" s="178"/>
    </row>
    <row r="742" spans="1:8" x14ac:dyDescent="0.2">
      <c r="A742" s="180"/>
      <c r="B742" s="183"/>
      <c r="C742" s="178"/>
      <c r="D742" s="178"/>
      <c r="H742" s="178"/>
    </row>
    <row r="743" spans="1:8" x14ac:dyDescent="0.2">
      <c r="A743" s="180"/>
      <c r="B743" s="183"/>
      <c r="C743" s="178"/>
      <c r="D743" s="178"/>
      <c r="H743" s="178"/>
    </row>
    <row r="744" spans="1:8" x14ac:dyDescent="0.2">
      <c r="A744" s="180"/>
      <c r="B744" s="183"/>
      <c r="C744" s="178"/>
      <c r="D744" s="178"/>
      <c r="H744" s="178"/>
    </row>
    <row r="745" spans="1:8" x14ac:dyDescent="0.2">
      <c r="A745" s="180"/>
      <c r="B745" s="183"/>
      <c r="C745" s="178"/>
      <c r="D745" s="178"/>
      <c r="H745" s="178"/>
    </row>
    <row r="746" spans="1:8" x14ac:dyDescent="0.2">
      <c r="A746" s="180"/>
      <c r="B746" s="183"/>
      <c r="C746" s="178"/>
      <c r="D746" s="178"/>
      <c r="H746" s="178"/>
    </row>
    <row r="747" spans="1:8" x14ac:dyDescent="0.2">
      <c r="A747" s="180"/>
      <c r="B747" s="183"/>
      <c r="C747" s="178"/>
      <c r="D747" s="178"/>
      <c r="H747" s="178"/>
    </row>
    <row r="748" spans="1:8" x14ac:dyDescent="0.2">
      <c r="A748" s="180"/>
      <c r="B748" s="183"/>
      <c r="C748" s="178"/>
      <c r="D748" s="178"/>
      <c r="H748" s="178"/>
    </row>
    <row r="749" spans="1:8" x14ac:dyDescent="0.2">
      <c r="A749" s="180"/>
      <c r="B749" s="183"/>
      <c r="C749" s="178"/>
      <c r="D749" s="178"/>
      <c r="H749" s="178"/>
    </row>
    <row r="750" spans="1:8" x14ac:dyDescent="0.2">
      <c r="A750" s="180"/>
      <c r="B750" s="183"/>
      <c r="C750" s="178"/>
      <c r="D750" s="178"/>
      <c r="H750" s="178"/>
    </row>
    <row r="751" spans="1:8" x14ac:dyDescent="0.2">
      <c r="A751" s="180"/>
      <c r="B751" s="183"/>
      <c r="C751" s="178"/>
      <c r="D751" s="178"/>
      <c r="H751" s="178"/>
    </row>
    <row r="752" spans="1:8" x14ac:dyDescent="0.2">
      <c r="A752" s="180"/>
      <c r="B752" s="183"/>
      <c r="C752" s="178"/>
      <c r="D752" s="178"/>
      <c r="H752" s="178"/>
    </row>
    <row r="753" spans="1:8" x14ac:dyDescent="0.2">
      <c r="A753" s="180"/>
      <c r="B753" s="183"/>
      <c r="C753" s="178"/>
      <c r="D753" s="178"/>
      <c r="H753" s="178"/>
    </row>
    <row r="754" spans="1:8" x14ac:dyDescent="0.2">
      <c r="A754" s="180"/>
      <c r="B754" s="183"/>
      <c r="C754" s="178"/>
      <c r="D754" s="178"/>
      <c r="H754" s="178"/>
    </row>
    <row r="755" spans="1:8" x14ac:dyDescent="0.2">
      <c r="A755" s="180"/>
      <c r="B755" s="183"/>
      <c r="C755" s="178"/>
      <c r="D755" s="178"/>
      <c r="H755" s="178"/>
    </row>
    <row r="756" spans="1:8" x14ac:dyDescent="0.2">
      <c r="A756" s="180"/>
      <c r="B756" s="183"/>
      <c r="C756" s="178"/>
      <c r="D756" s="178"/>
      <c r="H756" s="178"/>
    </row>
    <row r="757" spans="1:8" x14ac:dyDescent="0.2">
      <c r="A757" s="180"/>
      <c r="B757" s="183"/>
      <c r="C757" s="178"/>
      <c r="D757" s="178"/>
      <c r="H757" s="178"/>
    </row>
    <row r="758" spans="1:8" x14ac:dyDescent="0.2">
      <c r="A758" s="180"/>
      <c r="B758" s="183"/>
      <c r="C758" s="178"/>
      <c r="D758" s="178"/>
      <c r="H758" s="178"/>
    </row>
    <row r="759" spans="1:8" x14ac:dyDescent="0.2">
      <c r="A759" s="180"/>
      <c r="B759" s="183"/>
      <c r="C759" s="178"/>
      <c r="D759" s="178"/>
      <c r="H759" s="178"/>
    </row>
    <row r="760" spans="1:8" x14ac:dyDescent="0.2">
      <c r="A760" s="180"/>
      <c r="B760" s="183"/>
      <c r="C760" s="178"/>
      <c r="D760" s="178"/>
      <c r="H760" s="178"/>
    </row>
    <row r="761" spans="1:8" x14ac:dyDescent="0.2">
      <c r="A761" s="180"/>
      <c r="B761" s="183"/>
      <c r="C761" s="178"/>
      <c r="D761" s="178"/>
      <c r="H761" s="178"/>
    </row>
    <row r="762" spans="1:8" x14ac:dyDescent="0.2">
      <c r="A762" s="180"/>
      <c r="B762" s="183"/>
      <c r="C762" s="178"/>
      <c r="D762" s="178"/>
      <c r="H762" s="178"/>
    </row>
    <row r="763" spans="1:8" x14ac:dyDescent="0.2">
      <c r="A763" s="180"/>
      <c r="B763" s="183"/>
      <c r="C763" s="178"/>
      <c r="D763" s="178"/>
      <c r="H763" s="178"/>
    </row>
    <row r="764" spans="1:8" x14ac:dyDescent="0.2">
      <c r="A764" s="180"/>
      <c r="B764" s="183"/>
      <c r="C764" s="178"/>
      <c r="D764" s="178"/>
      <c r="H764" s="178"/>
    </row>
    <row r="765" spans="1:8" x14ac:dyDescent="0.2">
      <c r="A765" s="180"/>
      <c r="B765" s="183"/>
      <c r="C765" s="178"/>
      <c r="D765" s="178"/>
      <c r="H765" s="178"/>
    </row>
    <row r="766" spans="1:8" x14ac:dyDescent="0.2">
      <c r="A766" s="180"/>
      <c r="B766" s="183"/>
      <c r="C766" s="178"/>
      <c r="D766" s="178"/>
      <c r="H766" s="178"/>
    </row>
    <row r="767" spans="1:8" x14ac:dyDescent="0.2">
      <c r="A767" s="180"/>
      <c r="B767" s="183"/>
      <c r="C767" s="178"/>
      <c r="D767" s="178"/>
      <c r="H767" s="178"/>
    </row>
    <row r="768" spans="1:8" x14ac:dyDescent="0.2">
      <c r="A768" s="180"/>
      <c r="B768" s="183"/>
      <c r="C768" s="178"/>
      <c r="D768" s="178"/>
      <c r="H768" s="178"/>
    </row>
    <row r="769" spans="1:8" x14ac:dyDescent="0.2">
      <c r="A769" s="180"/>
      <c r="B769" s="183"/>
      <c r="C769" s="178"/>
      <c r="D769" s="178"/>
      <c r="H769" s="178"/>
    </row>
    <row r="770" spans="1:8" x14ac:dyDescent="0.2">
      <c r="A770" s="180"/>
      <c r="B770" s="183"/>
      <c r="C770" s="178"/>
      <c r="D770" s="178"/>
      <c r="H770" s="178"/>
    </row>
    <row r="771" spans="1:8" x14ac:dyDescent="0.2">
      <c r="A771" s="180"/>
      <c r="B771" s="183"/>
      <c r="C771" s="178"/>
      <c r="D771" s="178"/>
      <c r="H771" s="178"/>
    </row>
    <row r="772" spans="1:8" x14ac:dyDescent="0.2">
      <c r="A772" s="180"/>
      <c r="B772" s="183"/>
      <c r="C772" s="178"/>
      <c r="D772" s="178"/>
      <c r="H772" s="178"/>
    </row>
    <row r="773" spans="1:8" x14ac:dyDescent="0.2">
      <c r="A773" s="180"/>
      <c r="B773" s="183"/>
      <c r="C773" s="178"/>
      <c r="D773" s="178"/>
      <c r="H773" s="178"/>
    </row>
    <row r="774" spans="1:8" x14ac:dyDescent="0.2">
      <c r="A774" s="180"/>
      <c r="B774" s="183"/>
      <c r="C774" s="178"/>
      <c r="D774" s="178"/>
      <c r="H774" s="178"/>
    </row>
    <row r="775" spans="1:8" x14ac:dyDescent="0.2">
      <c r="A775" s="180"/>
      <c r="B775" s="183"/>
      <c r="C775" s="178"/>
      <c r="D775" s="178"/>
      <c r="H775" s="178"/>
    </row>
    <row r="776" spans="1:8" x14ac:dyDescent="0.2">
      <c r="A776" s="180"/>
      <c r="B776" s="183"/>
      <c r="C776" s="178"/>
      <c r="D776" s="178"/>
      <c r="H776" s="178"/>
    </row>
    <row r="777" spans="1:8" x14ac:dyDescent="0.2">
      <c r="A777" s="180"/>
      <c r="B777" s="183"/>
      <c r="C777" s="178"/>
      <c r="D777" s="178"/>
      <c r="H777" s="178"/>
    </row>
    <row r="778" spans="1:8" x14ac:dyDescent="0.2">
      <c r="A778" s="180"/>
      <c r="B778" s="183"/>
      <c r="C778" s="178"/>
      <c r="D778" s="178"/>
      <c r="H778" s="178"/>
    </row>
    <row r="779" spans="1:8" x14ac:dyDescent="0.2">
      <c r="A779" s="180"/>
      <c r="B779" s="183"/>
      <c r="C779" s="178"/>
      <c r="D779" s="178"/>
      <c r="H779" s="178"/>
    </row>
    <row r="780" spans="1:8" x14ac:dyDescent="0.2">
      <c r="A780" s="180"/>
      <c r="B780" s="183"/>
      <c r="C780" s="178"/>
      <c r="D780" s="178"/>
      <c r="H780" s="178"/>
    </row>
    <row r="781" spans="1:8" x14ac:dyDescent="0.2">
      <c r="A781" s="180"/>
      <c r="B781" s="183"/>
      <c r="C781" s="178"/>
      <c r="D781" s="178"/>
      <c r="H781" s="178"/>
    </row>
    <row r="782" spans="1:8" x14ac:dyDescent="0.2">
      <c r="A782" s="180"/>
      <c r="B782" s="183"/>
      <c r="C782" s="178"/>
      <c r="D782" s="178"/>
      <c r="H782" s="178"/>
    </row>
    <row r="783" spans="1:8" x14ac:dyDescent="0.2">
      <c r="A783" s="180"/>
      <c r="B783" s="183"/>
      <c r="C783" s="178"/>
      <c r="D783" s="178"/>
      <c r="H783" s="178"/>
    </row>
    <row r="784" spans="1:8" x14ac:dyDescent="0.2">
      <c r="A784" s="180"/>
      <c r="B784" s="183"/>
      <c r="C784" s="178"/>
      <c r="D784" s="178"/>
      <c r="H784" s="178"/>
    </row>
    <row r="785" spans="1:8" x14ac:dyDescent="0.2">
      <c r="A785" s="180"/>
      <c r="B785" s="183"/>
      <c r="C785" s="178"/>
      <c r="D785" s="178"/>
      <c r="H785" s="178"/>
    </row>
    <row r="786" spans="1:8" x14ac:dyDescent="0.2">
      <c r="A786" s="180"/>
      <c r="B786" s="183"/>
      <c r="C786" s="178"/>
      <c r="D786" s="178"/>
      <c r="H786" s="178"/>
    </row>
    <row r="787" spans="1:8" x14ac:dyDescent="0.2">
      <c r="A787" s="180"/>
      <c r="B787" s="183"/>
      <c r="C787" s="178"/>
      <c r="D787" s="178"/>
      <c r="H787" s="178"/>
    </row>
    <row r="788" spans="1:8" x14ac:dyDescent="0.2">
      <c r="A788" s="180"/>
      <c r="B788" s="183"/>
      <c r="C788" s="178"/>
      <c r="D788" s="178"/>
      <c r="H788" s="178"/>
    </row>
    <row r="789" spans="1:8" x14ac:dyDescent="0.2">
      <c r="A789" s="180"/>
      <c r="B789" s="183"/>
      <c r="C789" s="178"/>
      <c r="D789" s="178"/>
      <c r="H789" s="178"/>
    </row>
    <row r="790" spans="1:8" x14ac:dyDescent="0.2">
      <c r="A790" s="180"/>
      <c r="B790" s="183"/>
      <c r="C790" s="178"/>
      <c r="D790" s="178"/>
      <c r="H790" s="178"/>
    </row>
    <row r="791" spans="1:8" x14ac:dyDescent="0.2">
      <c r="A791" s="180"/>
      <c r="B791" s="183"/>
      <c r="C791" s="178"/>
      <c r="D791" s="178"/>
      <c r="H791" s="178"/>
    </row>
    <row r="792" spans="1:8" x14ac:dyDescent="0.2">
      <c r="A792" s="180"/>
      <c r="B792" s="183"/>
      <c r="C792" s="178"/>
      <c r="D792" s="178"/>
      <c r="H792" s="178"/>
    </row>
    <row r="793" spans="1:8" x14ac:dyDescent="0.2">
      <c r="A793" s="180"/>
      <c r="B793" s="183"/>
      <c r="C793" s="178"/>
      <c r="D793" s="178"/>
      <c r="H793" s="178"/>
    </row>
    <row r="794" spans="1:8" x14ac:dyDescent="0.2">
      <c r="A794" s="180"/>
      <c r="B794" s="183"/>
      <c r="C794" s="178"/>
      <c r="D794" s="178"/>
      <c r="H794" s="178"/>
    </row>
    <row r="795" spans="1:8" x14ac:dyDescent="0.2">
      <c r="A795" s="180"/>
      <c r="B795" s="183"/>
      <c r="C795" s="178"/>
      <c r="D795" s="178"/>
      <c r="H795" s="178"/>
    </row>
    <row r="796" spans="1:8" x14ac:dyDescent="0.2">
      <c r="A796" s="180"/>
      <c r="B796" s="183"/>
      <c r="C796" s="178"/>
      <c r="D796" s="178"/>
      <c r="H796" s="178"/>
    </row>
    <row r="797" spans="1:8" x14ac:dyDescent="0.2">
      <c r="A797" s="180"/>
      <c r="B797" s="183"/>
      <c r="C797" s="178"/>
      <c r="D797" s="178"/>
      <c r="H797" s="178"/>
    </row>
    <row r="798" spans="1:8" x14ac:dyDescent="0.2">
      <c r="A798" s="180"/>
      <c r="B798" s="183"/>
      <c r="C798" s="178"/>
      <c r="D798" s="178"/>
      <c r="H798" s="178"/>
    </row>
    <row r="799" spans="1:8" x14ac:dyDescent="0.2">
      <c r="A799" s="180"/>
      <c r="B799" s="183"/>
      <c r="C799" s="178"/>
      <c r="D799" s="178"/>
      <c r="H799" s="178"/>
    </row>
    <row r="800" spans="1:8" x14ac:dyDescent="0.2">
      <c r="A800" s="180"/>
      <c r="B800" s="183"/>
      <c r="C800" s="178"/>
      <c r="D800" s="178"/>
      <c r="H800" s="178"/>
    </row>
    <row r="801" spans="1:8" x14ac:dyDescent="0.2">
      <c r="A801" s="180"/>
      <c r="B801" s="183"/>
      <c r="C801" s="178"/>
      <c r="D801" s="178"/>
      <c r="H801" s="178"/>
    </row>
    <row r="802" spans="1:8" x14ac:dyDescent="0.2">
      <c r="A802" s="180"/>
      <c r="B802" s="183"/>
      <c r="C802" s="178"/>
      <c r="D802" s="178"/>
      <c r="H802" s="178"/>
    </row>
    <row r="803" spans="1:8" x14ac:dyDescent="0.2">
      <c r="A803" s="180"/>
      <c r="B803" s="183"/>
      <c r="C803" s="178"/>
      <c r="D803" s="178"/>
      <c r="H803" s="178"/>
    </row>
    <row r="804" spans="1:8" x14ac:dyDescent="0.2">
      <c r="A804" s="180"/>
      <c r="B804" s="183"/>
      <c r="C804" s="178"/>
      <c r="D804" s="178"/>
      <c r="H804" s="178"/>
    </row>
    <row r="805" spans="1:8" x14ac:dyDescent="0.2">
      <c r="A805" s="180"/>
      <c r="B805" s="183"/>
      <c r="C805" s="178"/>
      <c r="D805" s="178"/>
      <c r="H805" s="178"/>
    </row>
    <row r="806" spans="1:8" x14ac:dyDescent="0.2">
      <c r="A806" s="180"/>
      <c r="B806" s="183"/>
      <c r="C806" s="178"/>
      <c r="D806" s="178"/>
      <c r="H806" s="178"/>
    </row>
    <row r="807" spans="1:8" x14ac:dyDescent="0.2">
      <c r="A807" s="180"/>
      <c r="B807" s="183"/>
      <c r="C807" s="178"/>
      <c r="D807" s="178"/>
      <c r="H807" s="178"/>
    </row>
    <row r="808" spans="1:8" x14ac:dyDescent="0.2">
      <c r="A808" s="180"/>
      <c r="B808" s="183"/>
      <c r="C808" s="178"/>
      <c r="D808" s="178"/>
      <c r="H808" s="178"/>
    </row>
    <row r="809" spans="1:8" x14ac:dyDescent="0.2">
      <c r="A809" s="180"/>
      <c r="B809" s="183"/>
      <c r="C809" s="178"/>
      <c r="D809" s="178"/>
      <c r="H809" s="178"/>
    </row>
    <row r="810" spans="1:8" x14ac:dyDescent="0.2">
      <c r="A810" s="180"/>
      <c r="B810" s="183"/>
      <c r="C810" s="178"/>
      <c r="D810" s="178"/>
      <c r="H810" s="178"/>
    </row>
    <row r="811" spans="1:8" x14ac:dyDescent="0.2">
      <c r="A811" s="180"/>
      <c r="B811" s="183"/>
      <c r="C811" s="178"/>
      <c r="D811" s="178"/>
      <c r="H811" s="178"/>
    </row>
    <row r="812" spans="1:8" x14ac:dyDescent="0.2">
      <c r="A812" s="180"/>
      <c r="B812" s="183"/>
      <c r="C812" s="178"/>
      <c r="D812" s="178"/>
      <c r="H812" s="178"/>
    </row>
    <row r="813" spans="1:8" x14ac:dyDescent="0.2">
      <c r="A813" s="180"/>
      <c r="B813" s="183"/>
      <c r="C813" s="178"/>
      <c r="D813" s="178"/>
      <c r="H813" s="178"/>
    </row>
    <row r="814" spans="1:8" x14ac:dyDescent="0.2">
      <c r="A814" s="180"/>
      <c r="B814" s="183"/>
      <c r="C814" s="178"/>
      <c r="D814" s="178"/>
      <c r="H814" s="178"/>
    </row>
    <row r="815" spans="1:8" x14ac:dyDescent="0.2">
      <c r="A815" s="180"/>
      <c r="B815" s="183"/>
      <c r="C815" s="178"/>
      <c r="D815" s="178"/>
      <c r="H815" s="178"/>
    </row>
    <row r="816" spans="1:8" x14ac:dyDescent="0.2">
      <c r="A816" s="180"/>
      <c r="B816" s="183"/>
      <c r="C816" s="178"/>
      <c r="D816" s="178"/>
      <c r="H816" s="178"/>
    </row>
    <row r="817" spans="1:8" x14ac:dyDescent="0.2">
      <c r="A817" s="180"/>
      <c r="B817" s="183"/>
      <c r="C817" s="178"/>
      <c r="D817" s="178"/>
      <c r="H817" s="178"/>
    </row>
    <row r="818" spans="1:8" x14ac:dyDescent="0.2">
      <c r="A818" s="180"/>
      <c r="B818" s="183"/>
      <c r="C818" s="178"/>
      <c r="D818" s="178"/>
      <c r="H818" s="178"/>
    </row>
    <row r="819" spans="1:8" x14ac:dyDescent="0.2">
      <c r="A819" s="180"/>
      <c r="B819" s="183"/>
      <c r="C819" s="178"/>
      <c r="D819" s="178"/>
      <c r="H819" s="178"/>
    </row>
    <row r="820" spans="1:8" x14ac:dyDescent="0.2">
      <c r="A820" s="180"/>
      <c r="B820" s="183"/>
      <c r="C820" s="178"/>
      <c r="D820" s="178"/>
      <c r="H820" s="178"/>
    </row>
    <row r="821" spans="1:8" x14ac:dyDescent="0.2">
      <c r="A821" s="180"/>
      <c r="B821" s="183"/>
      <c r="C821" s="178"/>
      <c r="D821" s="178"/>
      <c r="H821" s="178"/>
    </row>
    <row r="822" spans="1:8" x14ac:dyDescent="0.2">
      <c r="A822" s="180"/>
      <c r="B822" s="183"/>
      <c r="C822" s="178"/>
      <c r="D822" s="178"/>
      <c r="H822" s="178"/>
    </row>
    <row r="823" spans="1:8" x14ac:dyDescent="0.2">
      <c r="A823" s="180"/>
      <c r="B823" s="183"/>
      <c r="C823" s="178"/>
      <c r="D823" s="178"/>
      <c r="H823" s="178"/>
    </row>
    <row r="824" spans="1:8" x14ac:dyDescent="0.2">
      <c r="A824" s="180"/>
      <c r="B824" s="183"/>
      <c r="C824" s="178"/>
      <c r="D824" s="178"/>
      <c r="H824" s="178"/>
    </row>
    <row r="825" spans="1:8" x14ac:dyDescent="0.2">
      <c r="A825" s="180"/>
      <c r="B825" s="183"/>
      <c r="C825" s="178"/>
      <c r="D825" s="178"/>
      <c r="H825" s="178"/>
    </row>
    <row r="826" spans="1:8" x14ac:dyDescent="0.2">
      <c r="A826" s="180"/>
      <c r="B826" s="183"/>
      <c r="C826" s="178"/>
      <c r="D826" s="178"/>
      <c r="H826" s="178"/>
    </row>
    <row r="827" spans="1:8" x14ac:dyDescent="0.2">
      <c r="A827" s="180"/>
      <c r="B827" s="183"/>
      <c r="C827" s="178"/>
      <c r="D827" s="178"/>
      <c r="H827" s="178"/>
    </row>
    <row r="828" spans="1:8" x14ac:dyDescent="0.2">
      <c r="A828" s="180"/>
      <c r="B828" s="183"/>
      <c r="C828" s="178"/>
      <c r="D828" s="178"/>
      <c r="H828" s="178"/>
    </row>
    <row r="829" spans="1:8" x14ac:dyDescent="0.2">
      <c r="A829" s="180"/>
      <c r="B829" s="183"/>
      <c r="C829" s="178"/>
      <c r="D829" s="178"/>
      <c r="H829" s="178"/>
    </row>
    <row r="830" spans="1:8" x14ac:dyDescent="0.2">
      <c r="A830" s="180"/>
      <c r="B830" s="183"/>
      <c r="C830" s="178"/>
      <c r="D830" s="178"/>
      <c r="H830" s="178"/>
    </row>
    <row r="831" spans="1:8" x14ac:dyDescent="0.2">
      <c r="A831" s="180"/>
      <c r="B831" s="183"/>
      <c r="C831" s="178"/>
      <c r="D831" s="178"/>
      <c r="H831" s="178"/>
    </row>
    <row r="832" spans="1:8" x14ac:dyDescent="0.2">
      <c r="A832" s="180"/>
      <c r="B832" s="183"/>
      <c r="C832" s="178"/>
      <c r="D832" s="178"/>
      <c r="H832" s="178"/>
    </row>
    <row r="833" spans="1:8" x14ac:dyDescent="0.2">
      <c r="A833" s="180"/>
      <c r="B833" s="183"/>
      <c r="C833" s="178"/>
      <c r="D833" s="178"/>
      <c r="H833" s="178"/>
    </row>
    <row r="834" spans="1:8" x14ac:dyDescent="0.2">
      <c r="A834" s="180"/>
      <c r="B834" s="183"/>
      <c r="C834" s="178"/>
      <c r="D834" s="178"/>
      <c r="H834" s="178"/>
    </row>
    <row r="835" spans="1:8" x14ac:dyDescent="0.2">
      <c r="A835" s="180"/>
      <c r="B835" s="183"/>
      <c r="C835" s="178"/>
      <c r="D835" s="178"/>
      <c r="H835" s="178"/>
    </row>
    <row r="836" spans="1:8" x14ac:dyDescent="0.2">
      <c r="A836" s="180"/>
      <c r="B836" s="183"/>
      <c r="C836" s="178"/>
      <c r="D836" s="178"/>
      <c r="H836" s="178"/>
    </row>
    <row r="837" spans="1:8" x14ac:dyDescent="0.2">
      <c r="A837" s="180"/>
      <c r="B837" s="183"/>
      <c r="C837" s="178"/>
      <c r="D837" s="178"/>
      <c r="H837" s="178"/>
    </row>
    <row r="838" spans="1:8" x14ac:dyDescent="0.2">
      <c r="A838" s="180"/>
      <c r="B838" s="183"/>
      <c r="C838" s="178"/>
      <c r="D838" s="178"/>
      <c r="H838" s="178"/>
    </row>
    <row r="839" spans="1:8" x14ac:dyDescent="0.2">
      <c r="A839" s="180"/>
      <c r="B839" s="183"/>
      <c r="C839" s="178"/>
      <c r="D839" s="178"/>
      <c r="H839" s="178"/>
    </row>
    <row r="840" spans="1:8" x14ac:dyDescent="0.2">
      <c r="A840" s="180"/>
      <c r="B840" s="183"/>
      <c r="C840" s="178"/>
      <c r="D840" s="178"/>
      <c r="H840" s="178"/>
    </row>
    <row r="841" spans="1:8" x14ac:dyDescent="0.2">
      <c r="A841" s="180"/>
      <c r="B841" s="183"/>
      <c r="C841" s="178"/>
      <c r="D841" s="178"/>
      <c r="H841" s="178"/>
    </row>
    <row r="842" spans="1:8" x14ac:dyDescent="0.2">
      <c r="A842" s="180"/>
      <c r="B842" s="183"/>
      <c r="C842" s="178"/>
      <c r="D842" s="178"/>
      <c r="H842" s="178"/>
    </row>
    <row r="843" spans="1:8" x14ac:dyDescent="0.2">
      <c r="A843" s="180"/>
      <c r="B843" s="183"/>
      <c r="C843" s="178"/>
      <c r="D843" s="178"/>
      <c r="H843" s="178"/>
    </row>
    <row r="844" spans="1:8" x14ac:dyDescent="0.2">
      <c r="A844" s="180"/>
      <c r="B844" s="183"/>
      <c r="C844" s="178"/>
      <c r="D844" s="178"/>
      <c r="H844" s="178"/>
    </row>
    <row r="845" spans="1:8" x14ac:dyDescent="0.2">
      <c r="A845" s="180"/>
      <c r="B845" s="183"/>
      <c r="C845" s="178"/>
      <c r="D845" s="178"/>
      <c r="H845" s="178"/>
    </row>
    <row r="846" spans="1:8" x14ac:dyDescent="0.2">
      <c r="A846" s="180"/>
      <c r="B846" s="183"/>
      <c r="C846" s="178"/>
      <c r="D846" s="178"/>
      <c r="H846" s="178"/>
    </row>
    <row r="847" spans="1:8" x14ac:dyDescent="0.2">
      <c r="A847" s="180"/>
      <c r="B847" s="183"/>
      <c r="C847" s="178"/>
      <c r="D847" s="178"/>
      <c r="H847" s="178"/>
    </row>
    <row r="848" spans="1:8" x14ac:dyDescent="0.2">
      <c r="A848" s="180"/>
      <c r="B848" s="183"/>
      <c r="C848" s="178"/>
      <c r="D848" s="178"/>
      <c r="H848" s="178"/>
    </row>
    <row r="849" spans="1:8" x14ac:dyDescent="0.2">
      <c r="A849" s="180"/>
      <c r="B849" s="183"/>
      <c r="C849" s="178"/>
      <c r="D849" s="178"/>
      <c r="H849" s="178"/>
    </row>
    <row r="850" spans="1:8" x14ac:dyDescent="0.2">
      <c r="A850" s="180"/>
      <c r="B850" s="183"/>
      <c r="C850" s="178"/>
      <c r="D850" s="178"/>
      <c r="H850" s="178"/>
    </row>
    <row r="851" spans="1:8" x14ac:dyDescent="0.2">
      <c r="A851" s="180"/>
      <c r="B851" s="183"/>
      <c r="C851" s="178"/>
      <c r="D851" s="178"/>
      <c r="H851" s="178"/>
    </row>
    <row r="852" spans="1:8" x14ac:dyDescent="0.2">
      <c r="A852" s="180"/>
      <c r="B852" s="183"/>
      <c r="C852" s="178"/>
      <c r="D852" s="178"/>
      <c r="H852" s="178"/>
    </row>
    <row r="853" spans="1:8" x14ac:dyDescent="0.2">
      <c r="A853" s="180"/>
      <c r="B853" s="183"/>
      <c r="C853" s="178"/>
      <c r="D853" s="178"/>
      <c r="H853" s="178"/>
    </row>
    <row r="854" spans="1:8" x14ac:dyDescent="0.2">
      <c r="A854" s="180"/>
      <c r="B854" s="183"/>
      <c r="C854" s="178"/>
      <c r="D854" s="178"/>
      <c r="H854" s="178"/>
    </row>
    <row r="855" spans="1:8" x14ac:dyDescent="0.2">
      <c r="A855" s="180"/>
      <c r="B855" s="183"/>
      <c r="C855" s="178"/>
      <c r="D855" s="178"/>
      <c r="H855" s="178"/>
    </row>
    <row r="856" spans="1:8" x14ac:dyDescent="0.2">
      <c r="A856" s="180"/>
      <c r="B856" s="183"/>
      <c r="C856" s="178"/>
      <c r="D856" s="178"/>
      <c r="H856" s="178"/>
    </row>
    <row r="857" spans="1:8" x14ac:dyDescent="0.2">
      <c r="A857" s="180"/>
      <c r="B857" s="183"/>
      <c r="C857" s="178"/>
      <c r="D857" s="178"/>
      <c r="H857" s="178"/>
    </row>
    <row r="858" spans="1:8" x14ac:dyDescent="0.2">
      <c r="A858" s="180"/>
      <c r="B858" s="183"/>
      <c r="C858" s="178"/>
      <c r="D858" s="178"/>
      <c r="H858" s="178"/>
    </row>
    <row r="859" spans="1:8" x14ac:dyDescent="0.2">
      <c r="A859" s="180"/>
      <c r="B859" s="183"/>
      <c r="C859" s="178"/>
      <c r="D859" s="178"/>
      <c r="H859" s="178"/>
    </row>
    <row r="860" spans="1:8" x14ac:dyDescent="0.2">
      <c r="A860" s="180"/>
      <c r="B860" s="183"/>
      <c r="C860" s="178"/>
      <c r="D860" s="178"/>
      <c r="H860" s="178"/>
    </row>
    <row r="861" spans="1:8" x14ac:dyDescent="0.2">
      <c r="A861" s="180"/>
      <c r="B861" s="183"/>
      <c r="C861" s="178"/>
      <c r="D861" s="178"/>
      <c r="H861" s="178"/>
    </row>
    <row r="862" spans="1:8" x14ac:dyDescent="0.2">
      <c r="A862" s="180"/>
      <c r="B862" s="183"/>
      <c r="C862" s="178"/>
      <c r="D862" s="178"/>
      <c r="H862" s="178"/>
    </row>
    <row r="863" spans="1:8" x14ac:dyDescent="0.2">
      <c r="A863" s="180"/>
      <c r="B863" s="183"/>
      <c r="C863" s="178"/>
      <c r="D863" s="178"/>
      <c r="H863" s="178"/>
    </row>
    <row r="864" spans="1:8" x14ac:dyDescent="0.2">
      <c r="A864" s="180"/>
      <c r="B864" s="183"/>
      <c r="C864" s="178"/>
      <c r="D864" s="178"/>
      <c r="H864" s="178"/>
    </row>
    <row r="865" spans="1:8" x14ac:dyDescent="0.2">
      <c r="A865" s="180"/>
      <c r="B865" s="183"/>
      <c r="C865" s="178"/>
      <c r="D865" s="178"/>
      <c r="H865" s="178"/>
    </row>
    <row r="866" spans="1:8" x14ac:dyDescent="0.2">
      <c r="A866" s="180"/>
      <c r="B866" s="183"/>
      <c r="C866" s="178"/>
      <c r="D866" s="178"/>
      <c r="H866" s="178"/>
    </row>
    <row r="867" spans="1:8" x14ac:dyDescent="0.2">
      <c r="A867" s="180"/>
      <c r="B867" s="183"/>
      <c r="C867" s="178"/>
      <c r="D867" s="178"/>
      <c r="H867" s="178"/>
    </row>
    <row r="868" spans="1:8" x14ac:dyDescent="0.2">
      <c r="A868" s="180"/>
      <c r="B868" s="183"/>
      <c r="C868" s="178"/>
      <c r="D868" s="178"/>
      <c r="H868" s="178"/>
    </row>
    <row r="869" spans="1:8" x14ac:dyDescent="0.2">
      <c r="A869" s="180"/>
      <c r="B869" s="183"/>
      <c r="C869" s="178"/>
      <c r="D869" s="178"/>
      <c r="H869" s="178"/>
    </row>
    <row r="870" spans="1:8" x14ac:dyDescent="0.2">
      <c r="A870" s="180"/>
      <c r="B870" s="183"/>
      <c r="C870" s="178"/>
      <c r="D870" s="178"/>
      <c r="H870" s="178"/>
    </row>
    <row r="871" spans="1:8" x14ac:dyDescent="0.2">
      <c r="A871" s="180"/>
      <c r="B871" s="183"/>
      <c r="C871" s="178"/>
      <c r="D871" s="178"/>
      <c r="H871" s="178"/>
    </row>
    <row r="872" spans="1:8" x14ac:dyDescent="0.2">
      <c r="A872" s="180"/>
      <c r="B872" s="183"/>
      <c r="C872" s="178"/>
      <c r="D872" s="178"/>
      <c r="H872" s="178"/>
    </row>
    <row r="873" spans="1:8" x14ac:dyDescent="0.2">
      <c r="A873" s="180"/>
      <c r="B873" s="183"/>
      <c r="C873" s="178"/>
      <c r="D873" s="178"/>
      <c r="H873" s="178"/>
    </row>
    <row r="874" spans="1:8" x14ac:dyDescent="0.2">
      <c r="A874" s="180"/>
      <c r="B874" s="183"/>
      <c r="C874" s="178"/>
      <c r="D874" s="178"/>
      <c r="H874" s="178"/>
    </row>
    <row r="875" spans="1:8" x14ac:dyDescent="0.2">
      <c r="A875" s="180"/>
      <c r="B875" s="183"/>
      <c r="C875" s="178"/>
      <c r="D875" s="178"/>
      <c r="H875" s="178"/>
    </row>
    <row r="876" spans="1:8" x14ac:dyDescent="0.2">
      <c r="A876" s="180"/>
      <c r="B876" s="183"/>
      <c r="C876" s="178"/>
      <c r="D876" s="178"/>
      <c r="H876" s="178"/>
    </row>
    <row r="877" spans="1:8" x14ac:dyDescent="0.2">
      <c r="A877" s="180"/>
      <c r="B877" s="183"/>
      <c r="C877" s="178"/>
      <c r="D877" s="178"/>
      <c r="H877" s="178"/>
    </row>
    <row r="878" spans="1:8" x14ac:dyDescent="0.2">
      <c r="A878" s="180"/>
      <c r="B878" s="183"/>
      <c r="C878" s="178"/>
      <c r="D878" s="178"/>
      <c r="H878" s="178"/>
    </row>
    <row r="879" spans="1:8" x14ac:dyDescent="0.2">
      <c r="A879" s="180"/>
      <c r="B879" s="183"/>
      <c r="C879" s="178"/>
      <c r="D879" s="178"/>
      <c r="H879" s="178"/>
    </row>
    <row r="880" spans="1:8" x14ac:dyDescent="0.2">
      <c r="A880" s="180"/>
      <c r="B880" s="183"/>
      <c r="C880" s="178"/>
      <c r="D880" s="178"/>
      <c r="H880" s="178"/>
    </row>
    <row r="881" spans="1:8" x14ac:dyDescent="0.2">
      <c r="A881" s="180"/>
      <c r="B881" s="183"/>
      <c r="C881" s="178"/>
      <c r="D881" s="178"/>
      <c r="H881" s="178"/>
    </row>
    <row r="882" spans="1:8" x14ac:dyDescent="0.2">
      <c r="A882" s="180"/>
      <c r="B882" s="183"/>
      <c r="C882" s="178"/>
      <c r="D882" s="178"/>
      <c r="H882" s="178"/>
    </row>
    <row r="883" spans="1:8" x14ac:dyDescent="0.2">
      <c r="A883" s="180"/>
      <c r="B883" s="183"/>
      <c r="C883" s="178"/>
      <c r="D883" s="178"/>
      <c r="H883" s="178"/>
    </row>
    <row r="884" spans="1:8" x14ac:dyDescent="0.2">
      <c r="A884" s="180"/>
      <c r="B884" s="183"/>
      <c r="C884" s="178"/>
      <c r="D884" s="178"/>
      <c r="H884" s="178"/>
    </row>
    <row r="885" spans="1:8" x14ac:dyDescent="0.2">
      <c r="A885" s="180"/>
      <c r="B885" s="183"/>
      <c r="C885" s="178"/>
      <c r="D885" s="178"/>
      <c r="H885" s="178"/>
    </row>
    <row r="886" spans="1:8" x14ac:dyDescent="0.2">
      <c r="A886" s="180"/>
      <c r="B886" s="183"/>
      <c r="C886" s="178"/>
      <c r="D886" s="178"/>
      <c r="H886" s="178"/>
    </row>
    <row r="887" spans="1:8" x14ac:dyDescent="0.2">
      <c r="A887" s="180"/>
      <c r="B887" s="183"/>
      <c r="C887" s="178"/>
      <c r="D887" s="178"/>
      <c r="H887" s="178"/>
    </row>
    <row r="888" spans="1:8" x14ac:dyDescent="0.2">
      <c r="A888" s="180"/>
      <c r="B888" s="183"/>
      <c r="C888" s="178"/>
      <c r="D888" s="178"/>
      <c r="H888" s="178"/>
    </row>
    <row r="889" spans="1:8" x14ac:dyDescent="0.2">
      <c r="A889" s="180"/>
      <c r="B889" s="183"/>
      <c r="C889" s="178"/>
      <c r="D889" s="178"/>
      <c r="H889" s="178"/>
    </row>
    <row r="890" spans="1:8" x14ac:dyDescent="0.2">
      <c r="A890" s="180"/>
      <c r="B890" s="183"/>
      <c r="C890" s="178"/>
      <c r="D890" s="178"/>
      <c r="H890" s="178"/>
    </row>
    <row r="891" spans="1:8" x14ac:dyDescent="0.2">
      <c r="A891" s="180"/>
      <c r="B891" s="183"/>
      <c r="C891" s="178"/>
      <c r="D891" s="178"/>
      <c r="H891" s="178"/>
    </row>
    <row r="892" spans="1:8" x14ac:dyDescent="0.2">
      <c r="A892" s="180"/>
      <c r="B892" s="183"/>
      <c r="C892" s="178"/>
      <c r="D892" s="178"/>
      <c r="H892" s="178"/>
    </row>
    <row r="893" spans="1:8" x14ac:dyDescent="0.2">
      <c r="A893" s="180"/>
      <c r="B893" s="183"/>
      <c r="C893" s="178"/>
      <c r="D893" s="178"/>
      <c r="H893" s="178"/>
    </row>
    <row r="894" spans="1:8" x14ac:dyDescent="0.2">
      <c r="A894" s="180"/>
      <c r="B894" s="183"/>
      <c r="C894" s="178"/>
      <c r="D894" s="178"/>
      <c r="H894" s="178"/>
    </row>
    <row r="895" spans="1:8" x14ac:dyDescent="0.2">
      <c r="A895" s="180"/>
      <c r="B895" s="183"/>
      <c r="C895" s="178"/>
      <c r="D895" s="178"/>
      <c r="H895" s="178"/>
    </row>
    <row r="896" spans="1:8" x14ac:dyDescent="0.2">
      <c r="A896" s="180"/>
      <c r="B896" s="183"/>
      <c r="C896" s="178"/>
      <c r="D896" s="178"/>
      <c r="H896" s="178"/>
    </row>
    <row r="897" spans="1:8" x14ac:dyDescent="0.2">
      <c r="A897" s="180"/>
      <c r="B897" s="183"/>
      <c r="C897" s="178"/>
      <c r="D897" s="178"/>
      <c r="H897" s="178"/>
    </row>
    <row r="898" spans="1:8" x14ac:dyDescent="0.2">
      <c r="A898" s="180"/>
      <c r="B898" s="183"/>
      <c r="C898" s="178"/>
      <c r="D898" s="178"/>
      <c r="H898" s="178"/>
    </row>
    <row r="899" spans="1:8" x14ac:dyDescent="0.2">
      <c r="A899" s="180"/>
      <c r="B899" s="183"/>
      <c r="C899" s="178"/>
      <c r="D899" s="178"/>
      <c r="H899" s="178"/>
    </row>
    <row r="900" spans="1:8" x14ac:dyDescent="0.2">
      <c r="A900" s="180"/>
      <c r="B900" s="183"/>
      <c r="C900" s="178"/>
      <c r="D900" s="178"/>
      <c r="H900" s="178"/>
    </row>
    <row r="901" spans="1:8" x14ac:dyDescent="0.2">
      <c r="A901" s="180"/>
      <c r="B901" s="183"/>
      <c r="C901" s="178"/>
      <c r="D901" s="178"/>
      <c r="H901" s="178"/>
    </row>
    <row r="902" spans="1:8" x14ac:dyDescent="0.2">
      <c r="A902" s="180"/>
      <c r="B902" s="183"/>
      <c r="C902" s="178"/>
      <c r="D902" s="178"/>
      <c r="H902" s="178"/>
    </row>
    <row r="903" spans="1:8" x14ac:dyDescent="0.2">
      <c r="A903" s="180"/>
      <c r="B903" s="183"/>
      <c r="C903" s="178"/>
      <c r="D903" s="178"/>
      <c r="H903" s="178"/>
    </row>
    <row r="904" spans="1:8" x14ac:dyDescent="0.2">
      <c r="A904" s="180"/>
      <c r="B904" s="183"/>
      <c r="C904" s="178"/>
      <c r="D904" s="178"/>
      <c r="H904" s="178"/>
    </row>
    <row r="905" spans="1:8" x14ac:dyDescent="0.2">
      <c r="A905" s="180"/>
      <c r="B905" s="183"/>
      <c r="C905" s="178"/>
      <c r="D905" s="178"/>
      <c r="H905" s="178"/>
    </row>
    <row r="906" spans="1:8" x14ac:dyDescent="0.2">
      <c r="A906" s="180"/>
      <c r="B906" s="183"/>
      <c r="C906" s="178"/>
      <c r="D906" s="178"/>
      <c r="H906" s="178"/>
    </row>
    <row r="907" spans="1:8" x14ac:dyDescent="0.2">
      <c r="A907" s="180"/>
      <c r="B907" s="183"/>
      <c r="C907" s="178"/>
      <c r="D907" s="178"/>
      <c r="H907" s="178"/>
    </row>
    <row r="908" spans="1:8" x14ac:dyDescent="0.2">
      <c r="A908" s="180"/>
      <c r="B908" s="183"/>
      <c r="C908" s="178"/>
      <c r="D908" s="178"/>
      <c r="H908" s="178"/>
    </row>
    <row r="909" spans="1:8" x14ac:dyDescent="0.2">
      <c r="A909" s="180"/>
      <c r="B909" s="183"/>
      <c r="C909" s="178"/>
      <c r="D909" s="178"/>
      <c r="H909" s="178"/>
    </row>
    <row r="910" spans="1:8" x14ac:dyDescent="0.2">
      <c r="A910" s="180"/>
      <c r="B910" s="183"/>
      <c r="C910" s="178"/>
      <c r="D910" s="178"/>
      <c r="H910" s="178"/>
    </row>
    <row r="911" spans="1:8" x14ac:dyDescent="0.2">
      <c r="A911" s="180"/>
      <c r="B911" s="183"/>
      <c r="C911" s="178"/>
      <c r="D911" s="178"/>
      <c r="H911" s="178"/>
    </row>
    <row r="912" spans="1:8" x14ac:dyDescent="0.2">
      <c r="A912" s="180"/>
      <c r="B912" s="183"/>
      <c r="C912" s="178"/>
      <c r="D912" s="178"/>
      <c r="H912" s="178"/>
    </row>
    <row r="913" spans="1:8" x14ac:dyDescent="0.2">
      <c r="A913" s="180"/>
      <c r="B913" s="183"/>
      <c r="C913" s="178"/>
      <c r="D913" s="178"/>
      <c r="H913" s="178"/>
    </row>
    <row r="914" spans="1:8" x14ac:dyDescent="0.2">
      <c r="A914" s="180"/>
      <c r="B914" s="183"/>
      <c r="C914" s="178"/>
      <c r="D914" s="178"/>
      <c r="H914" s="178"/>
    </row>
    <row r="915" spans="1:8" x14ac:dyDescent="0.2">
      <c r="A915" s="180"/>
      <c r="B915" s="183"/>
      <c r="C915" s="178"/>
      <c r="D915" s="178"/>
      <c r="H915" s="178"/>
    </row>
    <row r="916" spans="1:8" x14ac:dyDescent="0.2">
      <c r="A916" s="180"/>
      <c r="B916" s="183"/>
      <c r="C916" s="178"/>
      <c r="D916" s="178"/>
      <c r="H916" s="178"/>
    </row>
    <row r="917" spans="1:8" x14ac:dyDescent="0.2">
      <c r="A917" s="180"/>
      <c r="B917" s="183"/>
      <c r="C917" s="178"/>
      <c r="D917" s="178"/>
      <c r="H917" s="178"/>
    </row>
    <row r="918" spans="1:8" x14ac:dyDescent="0.2">
      <c r="A918" s="180"/>
      <c r="B918" s="183"/>
      <c r="C918" s="178"/>
      <c r="D918" s="178"/>
      <c r="H918" s="178"/>
    </row>
    <row r="919" spans="1:8" x14ac:dyDescent="0.2">
      <c r="A919" s="180"/>
      <c r="B919" s="183"/>
      <c r="C919" s="178"/>
      <c r="D919" s="178"/>
      <c r="H919" s="178"/>
    </row>
    <row r="920" spans="1:8" x14ac:dyDescent="0.2">
      <c r="A920" s="180"/>
      <c r="B920" s="183"/>
      <c r="C920" s="178"/>
      <c r="D920" s="178"/>
      <c r="H920" s="178"/>
    </row>
    <row r="921" spans="1:8" x14ac:dyDescent="0.2">
      <c r="A921" s="180"/>
      <c r="B921" s="183"/>
      <c r="C921" s="178"/>
      <c r="D921" s="178"/>
      <c r="H921" s="178"/>
    </row>
    <row r="922" spans="1:8" x14ac:dyDescent="0.2">
      <c r="A922" s="180"/>
      <c r="B922" s="183"/>
      <c r="C922" s="178"/>
      <c r="D922" s="178"/>
      <c r="H922" s="178"/>
    </row>
    <row r="923" spans="1:8" x14ac:dyDescent="0.2">
      <c r="A923" s="180"/>
      <c r="B923" s="183"/>
      <c r="C923" s="178"/>
      <c r="D923" s="178"/>
      <c r="H923" s="178"/>
    </row>
    <row r="924" spans="1:8" x14ac:dyDescent="0.2">
      <c r="A924" s="180"/>
      <c r="B924" s="183"/>
      <c r="C924" s="178"/>
      <c r="D924" s="178"/>
      <c r="H924" s="178"/>
    </row>
    <row r="925" spans="1:8" x14ac:dyDescent="0.2">
      <c r="A925" s="180"/>
      <c r="B925" s="183"/>
      <c r="C925" s="178"/>
      <c r="D925" s="178"/>
      <c r="H925" s="178"/>
    </row>
    <row r="926" spans="1:8" x14ac:dyDescent="0.2">
      <c r="A926" s="180"/>
      <c r="B926" s="183"/>
      <c r="C926" s="178"/>
      <c r="D926" s="178"/>
      <c r="H926" s="178"/>
    </row>
    <row r="927" spans="1:8" x14ac:dyDescent="0.2">
      <c r="A927" s="180"/>
      <c r="B927" s="183"/>
      <c r="C927" s="178"/>
      <c r="D927" s="178"/>
      <c r="H927" s="178"/>
    </row>
    <row r="928" spans="1:8" x14ac:dyDescent="0.2">
      <c r="A928" s="180"/>
      <c r="B928" s="183"/>
      <c r="C928" s="178"/>
      <c r="D928" s="178"/>
      <c r="H928" s="178"/>
    </row>
    <row r="929" spans="1:8" x14ac:dyDescent="0.2">
      <c r="A929" s="180"/>
      <c r="B929" s="183"/>
      <c r="C929" s="178"/>
      <c r="D929" s="178"/>
      <c r="H929" s="178"/>
    </row>
    <row r="930" spans="1:8" x14ac:dyDescent="0.2">
      <c r="A930" s="180"/>
      <c r="B930" s="183"/>
      <c r="C930" s="178"/>
      <c r="D930" s="178"/>
      <c r="H930" s="178"/>
    </row>
    <row r="931" spans="1:8" x14ac:dyDescent="0.2">
      <c r="A931" s="180"/>
      <c r="B931" s="183"/>
      <c r="C931" s="178"/>
      <c r="D931" s="178"/>
      <c r="H931" s="178"/>
    </row>
    <row r="932" spans="1:8" x14ac:dyDescent="0.2">
      <c r="A932" s="180"/>
      <c r="B932" s="183"/>
      <c r="C932" s="178"/>
      <c r="D932" s="178"/>
      <c r="H932" s="178"/>
    </row>
    <row r="933" spans="1:8" x14ac:dyDescent="0.2">
      <c r="A933" s="180"/>
      <c r="B933" s="183"/>
      <c r="C933" s="178"/>
      <c r="D933" s="178"/>
      <c r="H933" s="178"/>
    </row>
    <row r="934" spans="1:8" x14ac:dyDescent="0.2">
      <c r="A934" s="180"/>
      <c r="B934" s="183"/>
      <c r="C934" s="178"/>
      <c r="D934" s="178"/>
      <c r="H934" s="178"/>
    </row>
    <row r="935" spans="1:8" x14ac:dyDescent="0.2">
      <c r="A935" s="180"/>
      <c r="B935" s="183"/>
      <c r="C935" s="178"/>
      <c r="D935" s="178"/>
      <c r="H935" s="178"/>
    </row>
    <row r="936" spans="1:8" x14ac:dyDescent="0.2">
      <c r="A936" s="180"/>
      <c r="B936" s="183"/>
      <c r="C936" s="178"/>
      <c r="D936" s="178"/>
      <c r="H936" s="178"/>
    </row>
    <row r="937" spans="1:8" x14ac:dyDescent="0.2">
      <c r="A937" s="180"/>
      <c r="B937" s="183"/>
      <c r="C937" s="178"/>
      <c r="D937" s="178"/>
      <c r="H937" s="178"/>
    </row>
    <row r="938" spans="1:8" x14ac:dyDescent="0.2">
      <c r="A938" s="180"/>
      <c r="B938" s="183"/>
      <c r="C938" s="178"/>
      <c r="D938" s="178"/>
      <c r="H938" s="178"/>
    </row>
    <row r="939" spans="1:8" x14ac:dyDescent="0.2">
      <c r="A939" s="180"/>
      <c r="B939" s="183"/>
      <c r="C939" s="178"/>
      <c r="D939" s="178"/>
      <c r="H939" s="178"/>
    </row>
    <row r="940" spans="1:8" x14ac:dyDescent="0.2">
      <c r="A940" s="180"/>
      <c r="B940" s="183"/>
      <c r="C940" s="178"/>
      <c r="D940" s="178"/>
      <c r="H940" s="178"/>
    </row>
    <row r="941" spans="1:8" x14ac:dyDescent="0.2">
      <c r="A941" s="180"/>
      <c r="B941" s="183"/>
      <c r="C941" s="178"/>
      <c r="D941" s="178"/>
      <c r="H941" s="178"/>
    </row>
    <row r="942" spans="1:8" x14ac:dyDescent="0.2">
      <c r="A942" s="180"/>
      <c r="B942" s="183"/>
      <c r="C942" s="178"/>
      <c r="D942" s="178"/>
      <c r="H942" s="178"/>
    </row>
    <row r="943" spans="1:8" x14ac:dyDescent="0.2">
      <c r="A943" s="180"/>
      <c r="B943" s="183"/>
      <c r="C943" s="178"/>
      <c r="D943" s="178"/>
      <c r="H943" s="178"/>
    </row>
    <row r="944" spans="1:8" x14ac:dyDescent="0.2">
      <c r="A944" s="180"/>
      <c r="B944" s="183"/>
      <c r="C944" s="178"/>
      <c r="D944" s="178"/>
      <c r="H944" s="178"/>
    </row>
    <row r="945" spans="1:8" x14ac:dyDescent="0.2">
      <c r="A945" s="180"/>
      <c r="B945" s="183"/>
      <c r="C945" s="178"/>
      <c r="D945" s="178"/>
      <c r="H945" s="178"/>
    </row>
    <row r="946" spans="1:8" x14ac:dyDescent="0.2">
      <c r="A946" s="180"/>
      <c r="B946" s="183"/>
      <c r="C946" s="178"/>
      <c r="D946" s="178"/>
      <c r="H946" s="178"/>
    </row>
    <row r="947" spans="1:8" x14ac:dyDescent="0.2">
      <c r="A947" s="180"/>
      <c r="B947" s="183"/>
      <c r="C947" s="178"/>
      <c r="D947" s="178"/>
      <c r="H947" s="178"/>
    </row>
    <row r="948" spans="1:8" x14ac:dyDescent="0.2">
      <c r="A948" s="180"/>
      <c r="B948" s="183"/>
      <c r="C948" s="178"/>
      <c r="D948" s="178"/>
      <c r="H948" s="178"/>
    </row>
    <row r="949" spans="1:8" x14ac:dyDescent="0.2">
      <c r="A949" s="180"/>
      <c r="B949" s="183"/>
      <c r="C949" s="178"/>
      <c r="D949" s="178"/>
      <c r="H949" s="178"/>
    </row>
    <row r="950" spans="1:8" x14ac:dyDescent="0.2">
      <c r="A950" s="180"/>
      <c r="B950" s="183"/>
      <c r="C950" s="178"/>
      <c r="D950" s="178"/>
      <c r="H950" s="178"/>
    </row>
    <row r="951" spans="1:8" x14ac:dyDescent="0.2">
      <c r="A951" s="180"/>
      <c r="B951" s="183"/>
      <c r="C951" s="178"/>
      <c r="D951" s="178"/>
      <c r="H951" s="178"/>
    </row>
    <row r="952" spans="1:8" x14ac:dyDescent="0.2">
      <c r="A952" s="180"/>
      <c r="B952" s="183"/>
      <c r="C952" s="178"/>
      <c r="D952" s="178"/>
      <c r="H952" s="178"/>
    </row>
    <row r="953" spans="1:8" x14ac:dyDescent="0.2">
      <c r="A953" s="180"/>
      <c r="B953" s="183"/>
      <c r="C953" s="178"/>
      <c r="D953" s="178"/>
      <c r="H953" s="178"/>
    </row>
    <row r="954" spans="1:8" x14ac:dyDescent="0.2">
      <c r="A954" s="180"/>
      <c r="B954" s="183"/>
      <c r="C954" s="178"/>
      <c r="D954" s="178"/>
      <c r="H954" s="178"/>
    </row>
    <row r="955" spans="1:8" x14ac:dyDescent="0.2">
      <c r="A955" s="180"/>
      <c r="B955" s="183"/>
      <c r="C955" s="178"/>
      <c r="D955" s="178"/>
      <c r="H955" s="178"/>
    </row>
    <row r="956" spans="1:8" x14ac:dyDescent="0.2">
      <c r="A956" s="180"/>
      <c r="B956" s="183"/>
      <c r="C956" s="178"/>
      <c r="D956" s="178"/>
      <c r="H956" s="178"/>
    </row>
    <row r="957" spans="1:8" x14ac:dyDescent="0.2">
      <c r="A957" s="180"/>
      <c r="B957" s="183"/>
      <c r="C957" s="178"/>
      <c r="D957" s="178"/>
      <c r="H957" s="178"/>
    </row>
    <row r="958" spans="1:8" x14ac:dyDescent="0.2">
      <c r="A958" s="180"/>
      <c r="B958" s="183"/>
      <c r="C958" s="178"/>
      <c r="D958" s="178"/>
      <c r="H958" s="178"/>
    </row>
    <row r="959" spans="1:8" x14ac:dyDescent="0.2">
      <c r="A959" s="180"/>
      <c r="B959" s="183"/>
      <c r="C959" s="178"/>
      <c r="D959" s="178"/>
      <c r="H959" s="178"/>
    </row>
    <row r="960" spans="1:8" x14ac:dyDescent="0.2">
      <c r="A960" s="180"/>
      <c r="B960" s="183"/>
      <c r="C960" s="178"/>
      <c r="D960" s="178"/>
      <c r="H960" s="178"/>
    </row>
    <row r="961" spans="1:8" x14ac:dyDescent="0.2">
      <c r="A961" s="180"/>
      <c r="B961" s="183"/>
      <c r="C961" s="178"/>
      <c r="D961" s="178"/>
      <c r="H961" s="178"/>
    </row>
    <row r="962" spans="1:8" x14ac:dyDescent="0.2">
      <c r="A962" s="180"/>
      <c r="B962" s="183"/>
      <c r="C962" s="178"/>
      <c r="D962" s="178"/>
      <c r="H962" s="178"/>
    </row>
    <row r="963" spans="1:8" x14ac:dyDescent="0.2">
      <c r="A963" s="180"/>
      <c r="B963" s="183"/>
      <c r="C963" s="178"/>
      <c r="D963" s="178"/>
      <c r="H963" s="178"/>
    </row>
    <row r="964" spans="1:8" x14ac:dyDescent="0.2">
      <c r="A964" s="180"/>
      <c r="B964" s="183"/>
      <c r="C964" s="178"/>
      <c r="D964" s="178"/>
      <c r="H964" s="178"/>
    </row>
    <row r="965" spans="1:8" x14ac:dyDescent="0.2">
      <c r="A965" s="180"/>
      <c r="B965" s="183"/>
      <c r="C965" s="178"/>
      <c r="D965" s="178"/>
      <c r="H965" s="178"/>
    </row>
    <row r="966" spans="1:8" x14ac:dyDescent="0.2">
      <c r="A966" s="180"/>
      <c r="B966" s="183"/>
      <c r="C966" s="178"/>
      <c r="D966" s="178"/>
      <c r="H966" s="178"/>
    </row>
    <row r="967" spans="1:8" x14ac:dyDescent="0.2">
      <c r="A967" s="180"/>
      <c r="B967" s="183"/>
      <c r="C967" s="178"/>
      <c r="D967" s="178"/>
      <c r="H967" s="178"/>
    </row>
    <row r="968" spans="1:8" x14ac:dyDescent="0.2">
      <c r="A968" s="180"/>
      <c r="B968" s="183"/>
      <c r="C968" s="178"/>
      <c r="D968" s="178"/>
      <c r="H968" s="178"/>
    </row>
    <row r="969" spans="1:8" x14ac:dyDescent="0.2">
      <c r="A969" s="180"/>
      <c r="B969" s="183"/>
      <c r="C969" s="178"/>
      <c r="D969" s="178"/>
      <c r="H969" s="178"/>
    </row>
    <row r="970" spans="1:8" x14ac:dyDescent="0.2">
      <c r="A970" s="180"/>
      <c r="B970" s="183"/>
      <c r="C970" s="178"/>
      <c r="D970" s="178"/>
      <c r="H970" s="178"/>
    </row>
    <row r="971" spans="1:8" x14ac:dyDescent="0.2">
      <c r="A971" s="180"/>
      <c r="B971" s="183"/>
      <c r="C971" s="178"/>
      <c r="D971" s="178"/>
      <c r="H971" s="178"/>
    </row>
    <row r="972" spans="1:8" x14ac:dyDescent="0.2">
      <c r="A972" s="180"/>
      <c r="B972" s="183"/>
      <c r="C972" s="178"/>
      <c r="D972" s="178"/>
      <c r="H972" s="178"/>
    </row>
    <row r="973" spans="1:8" x14ac:dyDescent="0.2">
      <c r="A973" s="180"/>
      <c r="B973" s="183"/>
      <c r="C973" s="178"/>
      <c r="D973" s="178"/>
      <c r="H973" s="178"/>
    </row>
    <row r="974" spans="1:8" x14ac:dyDescent="0.2">
      <c r="A974" s="180"/>
      <c r="B974" s="183"/>
      <c r="C974" s="178"/>
      <c r="D974" s="178"/>
      <c r="H974" s="178"/>
    </row>
    <row r="975" spans="1:8" x14ac:dyDescent="0.2">
      <c r="A975" s="180"/>
      <c r="B975" s="183"/>
      <c r="C975" s="178"/>
      <c r="D975" s="178"/>
      <c r="H975" s="178"/>
    </row>
    <row r="976" spans="1:8" x14ac:dyDescent="0.2">
      <c r="A976" s="180"/>
      <c r="B976" s="183"/>
      <c r="C976" s="178"/>
      <c r="D976" s="178"/>
      <c r="H976" s="178"/>
    </row>
    <row r="977" spans="1:8" x14ac:dyDescent="0.2">
      <c r="A977" s="180"/>
      <c r="B977" s="183"/>
      <c r="C977" s="178"/>
      <c r="D977" s="178"/>
      <c r="H977" s="178"/>
    </row>
    <row r="978" spans="1:8" x14ac:dyDescent="0.2">
      <c r="A978" s="180"/>
      <c r="B978" s="183"/>
      <c r="C978" s="178"/>
      <c r="D978" s="178"/>
      <c r="H978" s="178"/>
    </row>
    <row r="979" spans="1:8" x14ac:dyDescent="0.2">
      <c r="A979" s="180"/>
      <c r="B979" s="183"/>
      <c r="C979" s="178"/>
      <c r="D979" s="178"/>
      <c r="H979" s="178"/>
    </row>
    <row r="980" spans="1:8" x14ac:dyDescent="0.2">
      <c r="A980" s="180"/>
      <c r="B980" s="183"/>
      <c r="C980" s="178"/>
      <c r="D980" s="178"/>
      <c r="H980" s="178"/>
    </row>
    <row r="981" spans="1:8" x14ac:dyDescent="0.2">
      <c r="A981" s="180"/>
      <c r="B981" s="183"/>
      <c r="C981" s="178"/>
      <c r="D981" s="178"/>
      <c r="H981" s="178"/>
    </row>
    <row r="982" spans="1:8" x14ac:dyDescent="0.2">
      <c r="A982" s="180"/>
      <c r="B982" s="183"/>
      <c r="C982" s="178"/>
      <c r="D982" s="178"/>
      <c r="H982" s="178"/>
    </row>
    <row r="983" spans="1:8" x14ac:dyDescent="0.2">
      <c r="A983" s="180"/>
      <c r="B983" s="183"/>
      <c r="C983" s="178"/>
      <c r="D983" s="178"/>
      <c r="H983" s="178"/>
    </row>
    <row r="984" spans="1:8" x14ac:dyDescent="0.2">
      <c r="A984" s="180"/>
      <c r="B984" s="183"/>
      <c r="C984" s="178"/>
      <c r="D984" s="178"/>
      <c r="H984" s="178"/>
    </row>
    <row r="985" spans="1:8" x14ac:dyDescent="0.2">
      <c r="A985" s="180"/>
      <c r="B985" s="183"/>
      <c r="C985" s="178"/>
      <c r="D985" s="178"/>
      <c r="H985" s="178"/>
    </row>
    <row r="986" spans="1:8" x14ac:dyDescent="0.2">
      <c r="A986" s="180"/>
      <c r="B986" s="183"/>
      <c r="C986" s="178"/>
      <c r="D986" s="178"/>
      <c r="H986" s="178"/>
    </row>
    <row r="987" spans="1:8" x14ac:dyDescent="0.2">
      <c r="A987" s="180"/>
      <c r="B987" s="183"/>
      <c r="C987" s="178"/>
      <c r="D987" s="178"/>
      <c r="H987" s="178"/>
    </row>
    <row r="988" spans="1:8" x14ac:dyDescent="0.2">
      <c r="A988" s="180"/>
      <c r="B988" s="183"/>
      <c r="C988" s="178"/>
      <c r="D988" s="178"/>
      <c r="H988" s="178"/>
    </row>
    <row r="989" spans="1:8" x14ac:dyDescent="0.2">
      <c r="A989" s="180"/>
      <c r="B989" s="183"/>
      <c r="C989" s="178"/>
      <c r="D989" s="178"/>
      <c r="H989" s="178"/>
    </row>
    <row r="990" spans="1:8" x14ac:dyDescent="0.2">
      <c r="A990" s="180"/>
      <c r="B990" s="183"/>
      <c r="C990" s="178"/>
      <c r="D990" s="178"/>
      <c r="H990" s="178"/>
    </row>
    <row r="991" spans="1:8" x14ac:dyDescent="0.2">
      <c r="A991" s="180"/>
      <c r="B991" s="183"/>
      <c r="C991" s="178"/>
      <c r="D991" s="178"/>
      <c r="H991" s="178"/>
    </row>
    <row r="992" spans="1:8" x14ac:dyDescent="0.2">
      <c r="A992" s="180"/>
      <c r="B992" s="183"/>
      <c r="C992" s="178"/>
      <c r="D992" s="178"/>
      <c r="H992" s="178"/>
    </row>
    <row r="993" spans="1:8" x14ac:dyDescent="0.2">
      <c r="A993" s="180"/>
      <c r="B993" s="183"/>
      <c r="C993" s="178"/>
      <c r="D993" s="178"/>
      <c r="H993" s="178"/>
    </row>
    <row r="994" spans="1:8" x14ac:dyDescent="0.2">
      <c r="A994" s="180"/>
      <c r="B994" s="183"/>
      <c r="C994" s="178"/>
      <c r="D994" s="178"/>
      <c r="H994" s="178"/>
    </row>
    <row r="995" spans="1:8" x14ac:dyDescent="0.2">
      <c r="A995" s="180"/>
      <c r="B995" s="183"/>
      <c r="C995" s="178"/>
      <c r="D995" s="178"/>
      <c r="H995" s="178"/>
    </row>
    <row r="996" spans="1:8" x14ac:dyDescent="0.2">
      <c r="A996" s="180"/>
      <c r="B996" s="183"/>
      <c r="C996" s="178"/>
      <c r="D996" s="178"/>
      <c r="H996" s="178"/>
    </row>
    <row r="997" spans="1:8" x14ac:dyDescent="0.2">
      <c r="A997" s="180"/>
      <c r="B997" s="183"/>
      <c r="C997" s="178"/>
      <c r="D997" s="178"/>
      <c r="H997" s="178"/>
    </row>
    <row r="998" spans="1:8" x14ac:dyDescent="0.2">
      <c r="A998" s="180"/>
      <c r="B998" s="183"/>
      <c r="C998" s="178"/>
      <c r="D998" s="178"/>
      <c r="H998" s="178"/>
    </row>
    <row r="999" spans="1:8" x14ac:dyDescent="0.2">
      <c r="A999" s="180"/>
      <c r="B999" s="183"/>
      <c r="C999" s="178"/>
      <c r="D999" s="178"/>
      <c r="H999" s="178"/>
    </row>
    <row r="1000" spans="1:8" x14ac:dyDescent="0.2">
      <c r="A1000" s="180"/>
      <c r="B1000" s="183"/>
      <c r="C1000" s="178"/>
      <c r="D1000" s="178"/>
      <c r="H1000" s="178"/>
    </row>
    <row r="1001" spans="1:8" x14ac:dyDescent="0.2">
      <c r="A1001" s="180"/>
      <c r="B1001" s="183"/>
      <c r="C1001" s="178"/>
      <c r="D1001" s="178"/>
      <c r="H1001" s="178"/>
    </row>
    <row r="1002" spans="1:8" x14ac:dyDescent="0.2">
      <c r="A1002" s="180"/>
      <c r="B1002" s="183"/>
      <c r="C1002" s="178"/>
      <c r="D1002" s="178"/>
      <c r="H1002" s="178"/>
    </row>
    <row r="1003" spans="1:8" x14ac:dyDescent="0.2">
      <c r="A1003" s="180"/>
      <c r="B1003" s="183"/>
      <c r="C1003" s="178"/>
      <c r="D1003" s="178"/>
      <c r="H1003" s="178"/>
    </row>
    <row r="1004" spans="1:8" x14ac:dyDescent="0.2">
      <c r="A1004" s="180"/>
      <c r="B1004" s="183"/>
      <c r="C1004" s="178"/>
      <c r="D1004" s="178"/>
      <c r="H1004" s="178"/>
    </row>
    <row r="1005" spans="1:8" x14ac:dyDescent="0.2">
      <c r="A1005" s="180"/>
      <c r="B1005" s="183"/>
      <c r="C1005" s="178"/>
      <c r="D1005" s="178"/>
      <c r="H1005" s="178"/>
    </row>
    <row r="1006" spans="1:8" x14ac:dyDescent="0.2">
      <c r="A1006" s="180"/>
      <c r="B1006" s="183"/>
      <c r="C1006" s="178"/>
      <c r="D1006" s="178"/>
      <c r="H1006" s="178"/>
    </row>
    <row r="1007" spans="1:8" x14ac:dyDescent="0.2">
      <c r="A1007" s="180"/>
      <c r="B1007" s="183"/>
      <c r="C1007" s="178"/>
      <c r="D1007" s="178"/>
      <c r="H1007" s="178"/>
    </row>
    <row r="1008" spans="1:8" x14ac:dyDescent="0.2">
      <c r="A1008" s="180"/>
      <c r="B1008" s="183"/>
      <c r="C1008" s="178"/>
      <c r="D1008" s="178"/>
      <c r="H1008" s="178"/>
    </row>
    <row r="1009" spans="1:8" x14ac:dyDescent="0.2">
      <c r="A1009" s="180"/>
      <c r="B1009" s="183"/>
      <c r="C1009" s="178"/>
      <c r="D1009" s="178"/>
      <c r="H1009" s="178"/>
    </row>
    <row r="1010" spans="1:8" x14ac:dyDescent="0.2">
      <c r="A1010" s="180"/>
      <c r="B1010" s="183"/>
      <c r="C1010" s="178"/>
      <c r="D1010" s="178"/>
      <c r="H1010" s="178"/>
    </row>
    <row r="1011" spans="1:8" x14ac:dyDescent="0.2">
      <c r="A1011" s="180"/>
      <c r="B1011" s="183"/>
      <c r="C1011" s="178"/>
      <c r="D1011" s="178"/>
      <c r="H1011" s="178"/>
    </row>
    <row r="1012" spans="1:8" x14ac:dyDescent="0.2">
      <c r="A1012" s="180"/>
      <c r="B1012" s="183"/>
      <c r="C1012" s="178"/>
      <c r="D1012" s="178"/>
      <c r="H1012" s="178"/>
    </row>
    <row r="1013" spans="1:8" x14ac:dyDescent="0.2">
      <c r="A1013" s="180"/>
      <c r="B1013" s="183"/>
      <c r="C1013" s="178"/>
      <c r="D1013" s="178"/>
      <c r="H1013" s="178"/>
    </row>
    <row r="1014" spans="1:8" x14ac:dyDescent="0.2">
      <c r="A1014" s="180"/>
      <c r="B1014" s="183"/>
      <c r="C1014" s="178"/>
      <c r="D1014" s="178"/>
      <c r="H1014" s="178"/>
    </row>
    <row r="1015" spans="1:8" x14ac:dyDescent="0.2">
      <c r="A1015" s="180"/>
      <c r="B1015" s="183"/>
      <c r="C1015" s="178"/>
      <c r="D1015" s="178"/>
      <c r="H1015" s="178"/>
    </row>
    <row r="1016" spans="1:8" x14ac:dyDescent="0.2">
      <c r="A1016" s="180"/>
      <c r="B1016" s="183"/>
      <c r="C1016" s="178"/>
      <c r="D1016" s="178"/>
      <c r="H1016" s="178"/>
    </row>
    <row r="1017" spans="1:8" x14ac:dyDescent="0.2">
      <c r="A1017" s="180"/>
      <c r="B1017" s="183"/>
      <c r="C1017" s="178"/>
      <c r="D1017" s="178"/>
      <c r="H1017" s="178"/>
    </row>
    <row r="1018" spans="1:8" x14ac:dyDescent="0.2">
      <c r="A1018" s="180"/>
      <c r="B1018" s="183"/>
      <c r="C1018" s="178"/>
      <c r="D1018" s="178"/>
      <c r="H1018" s="178"/>
    </row>
    <row r="1019" spans="1:8" x14ac:dyDescent="0.2">
      <c r="A1019" s="180"/>
      <c r="B1019" s="183"/>
      <c r="C1019" s="178"/>
      <c r="D1019" s="178"/>
      <c r="H1019" s="178"/>
    </row>
    <row r="1020" spans="1:8" x14ac:dyDescent="0.2">
      <c r="A1020" s="180"/>
      <c r="B1020" s="183"/>
      <c r="C1020" s="178"/>
      <c r="D1020" s="178"/>
      <c r="H1020" s="178"/>
    </row>
    <row r="1021" spans="1:8" x14ac:dyDescent="0.2">
      <c r="A1021" s="180"/>
      <c r="B1021" s="183"/>
      <c r="C1021" s="178"/>
      <c r="D1021" s="178"/>
      <c r="H1021" s="178"/>
    </row>
    <row r="1022" spans="1:8" x14ac:dyDescent="0.2">
      <c r="A1022" s="180"/>
      <c r="B1022" s="183"/>
      <c r="C1022" s="178"/>
      <c r="D1022" s="178"/>
      <c r="H1022" s="178"/>
    </row>
    <row r="1023" spans="1:8" x14ac:dyDescent="0.2">
      <c r="A1023" s="180"/>
      <c r="B1023" s="183"/>
      <c r="C1023" s="178"/>
      <c r="D1023" s="178"/>
      <c r="H1023" s="178"/>
    </row>
    <row r="1024" spans="1:8" x14ac:dyDescent="0.2">
      <c r="A1024" s="180"/>
      <c r="B1024" s="183"/>
      <c r="C1024" s="178"/>
      <c r="D1024" s="178"/>
      <c r="H1024" s="178"/>
    </row>
    <row r="1025" spans="1:8" x14ac:dyDescent="0.2">
      <c r="A1025" s="180"/>
      <c r="B1025" s="183"/>
      <c r="C1025" s="178"/>
      <c r="D1025" s="178"/>
      <c r="H1025" s="178"/>
    </row>
    <row r="1026" spans="1:8" x14ac:dyDescent="0.2">
      <c r="A1026" s="180"/>
      <c r="B1026" s="183"/>
      <c r="C1026" s="178"/>
      <c r="D1026" s="178"/>
      <c r="H1026" s="178"/>
    </row>
    <row r="1027" spans="1:8" x14ac:dyDescent="0.2">
      <c r="A1027" s="180"/>
      <c r="B1027" s="183"/>
      <c r="C1027" s="178"/>
      <c r="D1027" s="178"/>
      <c r="H1027" s="178"/>
    </row>
    <row r="1028" spans="1:8" x14ac:dyDescent="0.2">
      <c r="A1028" s="180"/>
      <c r="B1028" s="183"/>
      <c r="C1028" s="178"/>
      <c r="D1028" s="178"/>
      <c r="H1028" s="178"/>
    </row>
    <row r="1029" spans="1:8" x14ac:dyDescent="0.2">
      <c r="A1029" s="180"/>
      <c r="B1029" s="183"/>
      <c r="C1029" s="178"/>
      <c r="D1029" s="178"/>
      <c r="H1029" s="178"/>
    </row>
    <row r="1030" spans="1:8" x14ac:dyDescent="0.2">
      <c r="A1030" s="180"/>
      <c r="B1030" s="183"/>
      <c r="C1030" s="178"/>
      <c r="D1030" s="178"/>
      <c r="H1030" s="178"/>
    </row>
    <row r="1031" spans="1:8" x14ac:dyDescent="0.2">
      <c r="A1031" s="180"/>
      <c r="B1031" s="183"/>
      <c r="C1031" s="178"/>
      <c r="D1031" s="178"/>
      <c r="H1031" s="178"/>
    </row>
    <row r="1032" spans="1:8" x14ac:dyDescent="0.2">
      <c r="A1032" s="180"/>
      <c r="B1032" s="183"/>
      <c r="C1032" s="178"/>
      <c r="D1032" s="178"/>
      <c r="H1032" s="178"/>
    </row>
    <row r="1033" spans="1:8" x14ac:dyDescent="0.2">
      <c r="A1033" s="180"/>
      <c r="B1033" s="183"/>
      <c r="C1033" s="178"/>
      <c r="D1033" s="178"/>
      <c r="H1033" s="178"/>
    </row>
    <row r="1034" spans="1:8" x14ac:dyDescent="0.2">
      <c r="A1034" s="180"/>
      <c r="B1034" s="183"/>
      <c r="C1034" s="178"/>
      <c r="D1034" s="178"/>
      <c r="H1034" s="178"/>
    </row>
    <row r="1035" spans="1:8" x14ac:dyDescent="0.2">
      <c r="A1035" s="180"/>
      <c r="B1035" s="183"/>
      <c r="C1035" s="178"/>
      <c r="D1035" s="178"/>
      <c r="H1035" s="178"/>
    </row>
    <row r="1036" spans="1:8" x14ac:dyDescent="0.2">
      <c r="A1036" s="180"/>
      <c r="B1036" s="183"/>
      <c r="C1036" s="178"/>
      <c r="D1036" s="178"/>
      <c r="H1036" s="178"/>
    </row>
    <row r="1037" spans="1:8" x14ac:dyDescent="0.2">
      <c r="A1037" s="180"/>
      <c r="B1037" s="183"/>
      <c r="C1037" s="178"/>
      <c r="D1037" s="178"/>
      <c r="H1037" s="178"/>
    </row>
    <row r="1038" spans="1:8" x14ac:dyDescent="0.2">
      <c r="A1038" s="180"/>
      <c r="B1038" s="183"/>
      <c r="C1038" s="178"/>
      <c r="D1038" s="178"/>
      <c r="H1038" s="178"/>
    </row>
    <row r="1039" spans="1:8" x14ac:dyDescent="0.2">
      <c r="A1039" s="180"/>
      <c r="B1039" s="183"/>
      <c r="C1039" s="178"/>
      <c r="D1039" s="178"/>
      <c r="H1039" s="178"/>
    </row>
    <row r="1040" spans="1:8" x14ac:dyDescent="0.2">
      <c r="A1040" s="180"/>
      <c r="B1040" s="183"/>
      <c r="C1040" s="178"/>
      <c r="D1040" s="178"/>
      <c r="H1040" s="178"/>
    </row>
    <row r="1041" spans="1:8" x14ac:dyDescent="0.2">
      <c r="A1041" s="180"/>
      <c r="B1041" s="183"/>
      <c r="C1041" s="178"/>
      <c r="D1041" s="178"/>
      <c r="H1041" s="178"/>
    </row>
    <row r="1042" spans="1:8" x14ac:dyDescent="0.2">
      <c r="A1042" s="180"/>
      <c r="B1042" s="183"/>
      <c r="C1042" s="178"/>
      <c r="D1042" s="178"/>
      <c r="H1042" s="178"/>
    </row>
    <row r="1043" spans="1:8" x14ac:dyDescent="0.2">
      <c r="A1043" s="180"/>
      <c r="B1043" s="183"/>
      <c r="C1043" s="178"/>
      <c r="D1043" s="178"/>
      <c r="H1043" s="178"/>
    </row>
    <row r="1044" spans="1:8" x14ac:dyDescent="0.2">
      <c r="A1044" s="180"/>
      <c r="B1044" s="183"/>
      <c r="C1044" s="178"/>
      <c r="D1044" s="178"/>
      <c r="H1044" s="178"/>
    </row>
    <row r="1045" spans="1:8" x14ac:dyDescent="0.2">
      <c r="A1045" s="180"/>
      <c r="B1045" s="183"/>
      <c r="C1045" s="178"/>
      <c r="D1045" s="178"/>
      <c r="H1045" s="178"/>
    </row>
    <row r="1046" spans="1:8" x14ac:dyDescent="0.2">
      <c r="A1046" s="180"/>
      <c r="B1046" s="183"/>
      <c r="C1046" s="178"/>
      <c r="D1046" s="178"/>
      <c r="H1046" s="178"/>
    </row>
    <row r="1047" spans="1:8" x14ac:dyDescent="0.2">
      <c r="A1047" s="180"/>
      <c r="B1047" s="183"/>
      <c r="C1047" s="178"/>
      <c r="D1047" s="178"/>
      <c r="H1047" s="178"/>
    </row>
    <row r="1048" spans="1:8" x14ac:dyDescent="0.2">
      <c r="A1048" s="180"/>
      <c r="B1048" s="183"/>
      <c r="C1048" s="178"/>
      <c r="D1048" s="178"/>
      <c r="H1048" s="178"/>
    </row>
    <row r="1049" spans="1:8" x14ac:dyDescent="0.2">
      <c r="A1049" s="180"/>
      <c r="B1049" s="183"/>
      <c r="C1049" s="178"/>
      <c r="D1049" s="178"/>
      <c r="H1049" s="178"/>
    </row>
    <row r="1050" spans="1:8" x14ac:dyDescent="0.2">
      <c r="A1050" s="180"/>
      <c r="B1050" s="183"/>
      <c r="C1050" s="178"/>
      <c r="D1050" s="178"/>
      <c r="H1050" s="178"/>
    </row>
    <row r="1051" spans="1:8" x14ac:dyDescent="0.2">
      <c r="A1051" s="180"/>
      <c r="B1051" s="183"/>
      <c r="C1051" s="178"/>
      <c r="D1051" s="178"/>
      <c r="H1051" s="178"/>
    </row>
    <row r="1052" spans="1:8" x14ac:dyDescent="0.2">
      <c r="A1052" s="180"/>
      <c r="B1052" s="183"/>
      <c r="C1052" s="178"/>
      <c r="D1052" s="178"/>
      <c r="H1052" s="178"/>
    </row>
    <row r="1053" spans="1:8" x14ac:dyDescent="0.2">
      <c r="A1053" s="180"/>
      <c r="B1053" s="183"/>
      <c r="C1053" s="178"/>
      <c r="D1053" s="178"/>
      <c r="H1053" s="178"/>
    </row>
    <row r="1054" spans="1:8" x14ac:dyDescent="0.2">
      <c r="A1054" s="180"/>
      <c r="B1054" s="183"/>
      <c r="C1054" s="178"/>
      <c r="D1054" s="178"/>
      <c r="H1054" s="178"/>
    </row>
    <row r="1055" spans="1:8" x14ac:dyDescent="0.2">
      <c r="A1055" s="180"/>
      <c r="B1055" s="183"/>
      <c r="C1055" s="178"/>
      <c r="D1055" s="178"/>
      <c r="H1055" s="178"/>
    </row>
    <row r="1056" spans="1:8" x14ac:dyDescent="0.2">
      <c r="A1056" s="180"/>
      <c r="B1056" s="183"/>
      <c r="C1056" s="178"/>
      <c r="D1056" s="178"/>
      <c r="H1056" s="178"/>
    </row>
    <row r="1057" spans="1:8" x14ac:dyDescent="0.2">
      <c r="A1057" s="180"/>
      <c r="B1057" s="183"/>
      <c r="C1057" s="178"/>
      <c r="D1057" s="178"/>
      <c r="H1057" s="178"/>
    </row>
    <row r="1058" spans="1:8" x14ac:dyDescent="0.2">
      <c r="A1058" s="180"/>
      <c r="B1058" s="183"/>
      <c r="C1058" s="178"/>
      <c r="D1058" s="178"/>
      <c r="H1058" s="178"/>
    </row>
    <row r="1059" spans="1:8" x14ac:dyDescent="0.2">
      <c r="A1059" s="180"/>
      <c r="B1059" s="183"/>
      <c r="C1059" s="178"/>
      <c r="D1059" s="178"/>
      <c r="H1059" s="178"/>
    </row>
    <row r="1060" spans="1:8" x14ac:dyDescent="0.2">
      <c r="A1060" s="180"/>
      <c r="B1060" s="183"/>
      <c r="C1060" s="178"/>
      <c r="D1060" s="178"/>
      <c r="H1060" s="178"/>
    </row>
    <row r="1061" spans="1:8" x14ac:dyDescent="0.2">
      <c r="A1061" s="180"/>
      <c r="B1061" s="183"/>
      <c r="C1061" s="178"/>
      <c r="D1061" s="178"/>
      <c r="H1061" s="178"/>
    </row>
    <row r="1062" spans="1:8" x14ac:dyDescent="0.2">
      <c r="A1062" s="180"/>
      <c r="B1062" s="183"/>
      <c r="C1062" s="178"/>
      <c r="D1062" s="178"/>
      <c r="H1062" s="178"/>
    </row>
    <row r="1063" spans="1:8" x14ac:dyDescent="0.2">
      <c r="A1063" s="180"/>
      <c r="B1063" s="183"/>
      <c r="C1063" s="178"/>
      <c r="D1063" s="178"/>
      <c r="H1063" s="178"/>
    </row>
    <row r="1064" spans="1:8" x14ac:dyDescent="0.2">
      <c r="A1064" s="180"/>
      <c r="B1064" s="183"/>
      <c r="C1064" s="178"/>
      <c r="D1064" s="178"/>
      <c r="H1064" s="178"/>
    </row>
    <row r="1065" spans="1:8" x14ac:dyDescent="0.2">
      <c r="A1065" s="180"/>
      <c r="B1065" s="183"/>
      <c r="C1065" s="178"/>
      <c r="D1065" s="178"/>
      <c r="H1065" s="178"/>
    </row>
    <row r="1066" spans="1:8" x14ac:dyDescent="0.2">
      <c r="A1066" s="180"/>
      <c r="B1066" s="183"/>
      <c r="C1066" s="178"/>
      <c r="D1066" s="178"/>
      <c r="H1066" s="178"/>
    </row>
    <row r="1067" spans="1:8" x14ac:dyDescent="0.2">
      <c r="A1067" s="180"/>
      <c r="B1067" s="183"/>
      <c r="C1067" s="178"/>
      <c r="D1067" s="178"/>
      <c r="H1067" s="178"/>
    </row>
    <row r="1068" spans="1:8" x14ac:dyDescent="0.2">
      <c r="A1068" s="180"/>
      <c r="B1068" s="183"/>
      <c r="C1068" s="178"/>
      <c r="D1068" s="178"/>
      <c r="H1068" s="178"/>
    </row>
    <row r="1069" spans="1:8" x14ac:dyDescent="0.2">
      <c r="A1069" s="180"/>
      <c r="B1069" s="183"/>
      <c r="C1069" s="178"/>
      <c r="D1069" s="178"/>
      <c r="H1069" s="178"/>
    </row>
    <row r="1070" spans="1:8" x14ac:dyDescent="0.2">
      <c r="A1070" s="180"/>
      <c r="B1070" s="183"/>
      <c r="C1070" s="178"/>
      <c r="D1070" s="178"/>
      <c r="H1070" s="178"/>
    </row>
    <row r="1071" spans="1:8" x14ac:dyDescent="0.2">
      <c r="A1071" s="180"/>
      <c r="B1071" s="183"/>
      <c r="C1071" s="178"/>
      <c r="D1071" s="178"/>
      <c r="H1071" s="178"/>
    </row>
    <row r="1072" spans="1:8" x14ac:dyDescent="0.2">
      <c r="A1072" s="180"/>
      <c r="B1072" s="183"/>
      <c r="C1072" s="178"/>
      <c r="D1072" s="178"/>
      <c r="H1072" s="178"/>
    </row>
    <row r="1073" spans="1:8" x14ac:dyDescent="0.2">
      <c r="A1073" s="180"/>
      <c r="B1073" s="183"/>
      <c r="C1073" s="178"/>
      <c r="D1073" s="178"/>
      <c r="H1073" s="178"/>
    </row>
    <row r="1074" spans="1:8" x14ac:dyDescent="0.2">
      <c r="A1074" s="180"/>
      <c r="B1074" s="183"/>
      <c r="C1074" s="178"/>
      <c r="D1074" s="178"/>
      <c r="H1074" s="178"/>
    </row>
    <row r="1075" spans="1:8" x14ac:dyDescent="0.2">
      <c r="A1075" s="180"/>
      <c r="B1075" s="183"/>
      <c r="C1075" s="178"/>
      <c r="D1075" s="178"/>
      <c r="H1075" s="178"/>
    </row>
    <row r="1076" spans="1:8" x14ac:dyDescent="0.2">
      <c r="A1076" s="180"/>
      <c r="B1076" s="183"/>
      <c r="C1076" s="178"/>
      <c r="D1076" s="178"/>
      <c r="H1076" s="178"/>
    </row>
    <row r="1077" spans="1:8" x14ac:dyDescent="0.2">
      <c r="A1077" s="180"/>
      <c r="B1077" s="183"/>
      <c r="C1077" s="178"/>
      <c r="D1077" s="178"/>
      <c r="H1077" s="178"/>
    </row>
    <row r="1078" spans="1:8" x14ac:dyDescent="0.2">
      <c r="A1078" s="180"/>
      <c r="B1078" s="183"/>
      <c r="C1078" s="178"/>
      <c r="D1078" s="178"/>
      <c r="H1078" s="178"/>
    </row>
    <row r="1079" spans="1:8" x14ac:dyDescent="0.2">
      <c r="A1079" s="180"/>
      <c r="B1079" s="183"/>
      <c r="C1079" s="178"/>
      <c r="D1079" s="178"/>
      <c r="H1079" s="178"/>
    </row>
    <row r="1080" spans="1:8" x14ac:dyDescent="0.2">
      <c r="A1080" s="180"/>
      <c r="B1080" s="183"/>
      <c r="C1080" s="178"/>
      <c r="D1080" s="178"/>
      <c r="H1080" s="178"/>
    </row>
    <row r="1081" spans="1:8" x14ac:dyDescent="0.2">
      <c r="A1081" s="180"/>
      <c r="B1081" s="183"/>
      <c r="C1081" s="178"/>
      <c r="D1081" s="178"/>
      <c r="H1081" s="178"/>
    </row>
    <row r="1082" spans="1:8" x14ac:dyDescent="0.2">
      <c r="A1082" s="180"/>
      <c r="B1082" s="183"/>
      <c r="C1082" s="178"/>
      <c r="D1082" s="178"/>
      <c r="H1082" s="178"/>
    </row>
    <row r="1083" spans="1:8" x14ac:dyDescent="0.2">
      <c r="A1083" s="180"/>
      <c r="B1083" s="183"/>
      <c r="C1083" s="178"/>
      <c r="D1083" s="178"/>
      <c r="H1083" s="178"/>
    </row>
    <row r="1084" spans="1:8" x14ac:dyDescent="0.2">
      <c r="A1084" s="180"/>
      <c r="B1084" s="183"/>
      <c r="C1084" s="178"/>
      <c r="D1084" s="178"/>
      <c r="H1084" s="178"/>
    </row>
    <row r="1085" spans="1:8" x14ac:dyDescent="0.2">
      <c r="A1085" s="180"/>
      <c r="B1085" s="183"/>
      <c r="C1085" s="178"/>
      <c r="D1085" s="178"/>
      <c r="H1085" s="178"/>
    </row>
    <row r="1086" spans="1:8" x14ac:dyDescent="0.2">
      <c r="A1086" s="180"/>
      <c r="B1086" s="183"/>
      <c r="C1086" s="178"/>
      <c r="D1086" s="178"/>
      <c r="H1086" s="178"/>
    </row>
    <row r="1087" spans="1:8" x14ac:dyDescent="0.2">
      <c r="A1087" s="180"/>
      <c r="B1087" s="183"/>
      <c r="C1087" s="178"/>
      <c r="D1087" s="178"/>
      <c r="H1087" s="178"/>
    </row>
    <row r="1088" spans="1:8" x14ac:dyDescent="0.2">
      <c r="A1088" s="180"/>
      <c r="B1088" s="183"/>
      <c r="C1088" s="178"/>
      <c r="D1088" s="178"/>
      <c r="H1088" s="178"/>
    </row>
    <row r="1089" spans="1:8" x14ac:dyDescent="0.2">
      <c r="A1089" s="180"/>
      <c r="B1089" s="183"/>
      <c r="C1089" s="178"/>
      <c r="D1089" s="178"/>
      <c r="H1089" s="178"/>
    </row>
    <row r="1090" spans="1:8" x14ac:dyDescent="0.2">
      <c r="A1090" s="180"/>
      <c r="B1090" s="183"/>
      <c r="C1090" s="178"/>
      <c r="D1090" s="178"/>
      <c r="H1090" s="178"/>
    </row>
    <row r="1091" spans="1:8" x14ac:dyDescent="0.2">
      <c r="A1091" s="180"/>
      <c r="B1091" s="183"/>
      <c r="C1091" s="178"/>
      <c r="D1091" s="178"/>
      <c r="H1091" s="178"/>
    </row>
    <row r="1092" spans="1:8" x14ac:dyDescent="0.2">
      <c r="A1092" s="180"/>
      <c r="B1092" s="183"/>
      <c r="C1092" s="178"/>
      <c r="D1092" s="178"/>
      <c r="H1092" s="178"/>
    </row>
    <row r="1093" spans="1:8" x14ac:dyDescent="0.2">
      <c r="A1093" s="180"/>
      <c r="B1093" s="183"/>
      <c r="C1093" s="178"/>
      <c r="D1093" s="178"/>
      <c r="H1093" s="178"/>
    </row>
    <row r="1094" spans="1:8" x14ac:dyDescent="0.2">
      <c r="A1094" s="180"/>
      <c r="B1094" s="183"/>
      <c r="C1094" s="178"/>
      <c r="D1094" s="178"/>
      <c r="H1094" s="178"/>
    </row>
    <row r="1095" spans="1:8" x14ac:dyDescent="0.2">
      <c r="A1095" s="180"/>
      <c r="B1095" s="183"/>
      <c r="C1095" s="178"/>
      <c r="D1095" s="178"/>
      <c r="H1095" s="178"/>
    </row>
    <row r="1096" spans="1:8" x14ac:dyDescent="0.2">
      <c r="A1096" s="180"/>
      <c r="B1096" s="183"/>
      <c r="C1096" s="178"/>
      <c r="D1096" s="178"/>
    </row>
  </sheetData>
  <phoneticPr fontId="9" type="noConversion"/>
  <conditionalFormatting sqref="A2:B1096">
    <cfRule type="cellIs" dxfId="358" priority="1" operator="equal">
      <formula>TODAY()</formula>
    </cfRule>
  </conditionalFormatting>
  <conditionalFormatting sqref="A3:B1096">
    <cfRule type="cellIs" dxfId="357" priority="2" operator="equal">
      <formula>$A$2</formula>
    </cfRule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BF18B-08DD-4146-B90C-D3EBB823F8B8}">
  <dimension ref="A1:G118"/>
  <sheetViews>
    <sheetView topLeftCell="A94" workbookViewId="0">
      <selection activeCell="B2" sqref="B2:B118"/>
    </sheetView>
  </sheetViews>
  <sheetFormatPr defaultRowHeight="12.75" x14ac:dyDescent="0.2"/>
  <cols>
    <col min="1" max="1" width="10.140625" bestFit="1" customWidth="1"/>
    <col min="2" max="2" width="7.140625" bestFit="1" customWidth="1"/>
  </cols>
  <sheetData>
    <row r="1" spans="1:7" x14ac:dyDescent="0.2">
      <c r="A1" t="s">
        <v>20</v>
      </c>
      <c r="B1" t="s">
        <v>32</v>
      </c>
    </row>
    <row r="2" spans="1:7" x14ac:dyDescent="0.2">
      <c r="A2" s="128">
        <v>45084</v>
      </c>
      <c r="B2">
        <v>17.68</v>
      </c>
      <c r="G2" s="189"/>
    </row>
    <row r="3" spans="1:7" x14ac:dyDescent="0.2">
      <c r="A3" s="128">
        <v>45085</v>
      </c>
      <c r="B3">
        <v>34.22</v>
      </c>
      <c r="F3" s="110" t="s">
        <v>33</v>
      </c>
      <c r="G3" s="189" t="s">
        <v>34</v>
      </c>
    </row>
    <row r="4" spans="1:7" x14ac:dyDescent="0.2">
      <c r="A4" s="128">
        <v>45086</v>
      </c>
      <c r="B4">
        <v>32.79</v>
      </c>
      <c r="F4" s="110" t="s">
        <v>35</v>
      </c>
      <c r="G4" s="189" t="s">
        <v>36</v>
      </c>
    </row>
    <row r="5" spans="1:7" x14ac:dyDescent="0.2">
      <c r="A5" s="128">
        <v>45087</v>
      </c>
      <c r="B5">
        <v>32.08</v>
      </c>
    </row>
    <row r="6" spans="1:7" x14ac:dyDescent="0.2">
      <c r="A6" s="128">
        <v>45088</v>
      </c>
      <c r="B6">
        <v>27.05</v>
      </c>
    </row>
    <row r="7" spans="1:7" x14ac:dyDescent="0.2">
      <c r="A7" s="128">
        <v>45089</v>
      </c>
      <c r="B7">
        <v>5.07</v>
      </c>
    </row>
    <row r="8" spans="1:7" x14ac:dyDescent="0.2">
      <c r="A8" s="128">
        <v>45092</v>
      </c>
      <c r="B8">
        <v>9.0399999999999991</v>
      </c>
    </row>
    <row r="9" spans="1:7" x14ac:dyDescent="0.2">
      <c r="A9" s="128">
        <v>45093</v>
      </c>
      <c r="B9">
        <v>58.88</v>
      </c>
    </row>
    <row r="10" spans="1:7" x14ac:dyDescent="0.2">
      <c r="A10" s="128">
        <v>45094</v>
      </c>
      <c r="B10">
        <v>45.36</v>
      </c>
    </row>
    <row r="11" spans="1:7" x14ac:dyDescent="0.2">
      <c r="A11" s="128">
        <v>45095</v>
      </c>
      <c r="B11">
        <v>18.28</v>
      </c>
    </row>
    <row r="12" spans="1:7" x14ac:dyDescent="0.2">
      <c r="A12" s="128">
        <v>45096</v>
      </c>
      <c r="B12">
        <v>38.14</v>
      </c>
    </row>
    <row r="13" spans="1:7" x14ac:dyDescent="0.2">
      <c r="A13" s="128">
        <v>45097</v>
      </c>
      <c r="B13">
        <v>27.87</v>
      </c>
    </row>
    <row r="14" spans="1:7" x14ac:dyDescent="0.2">
      <c r="A14" s="128">
        <v>45098</v>
      </c>
      <c r="B14">
        <v>19.79</v>
      </c>
    </row>
    <row r="15" spans="1:7" x14ac:dyDescent="0.2">
      <c r="A15" s="128">
        <v>45099</v>
      </c>
      <c r="B15">
        <v>20</v>
      </c>
    </row>
    <row r="16" spans="1:7" x14ac:dyDescent="0.2">
      <c r="A16" s="128">
        <v>45100</v>
      </c>
      <c r="B16">
        <v>20</v>
      </c>
    </row>
    <row r="17" spans="1:2" x14ac:dyDescent="0.2">
      <c r="A17" s="128">
        <v>45101</v>
      </c>
      <c r="B17">
        <v>20</v>
      </c>
    </row>
    <row r="18" spans="1:2" x14ac:dyDescent="0.2">
      <c r="A18" s="128">
        <v>45102</v>
      </c>
      <c r="B18">
        <v>20</v>
      </c>
    </row>
    <row r="19" spans="1:2" x14ac:dyDescent="0.2">
      <c r="A19" s="128">
        <v>45103</v>
      </c>
      <c r="B19">
        <v>69.75</v>
      </c>
    </row>
    <row r="20" spans="1:2" x14ac:dyDescent="0.2">
      <c r="A20" s="128">
        <v>45104</v>
      </c>
      <c r="B20">
        <v>75.28</v>
      </c>
    </row>
    <row r="21" spans="1:2" x14ac:dyDescent="0.2">
      <c r="A21" s="128">
        <v>45105</v>
      </c>
      <c r="B21">
        <v>39.799999999999997</v>
      </c>
    </row>
    <row r="22" spans="1:2" x14ac:dyDescent="0.2">
      <c r="A22" s="128">
        <v>45106</v>
      </c>
      <c r="B22">
        <v>49.32</v>
      </c>
    </row>
    <row r="23" spans="1:2" x14ac:dyDescent="0.2">
      <c r="A23" s="128">
        <v>45107</v>
      </c>
      <c r="B23">
        <v>62.2</v>
      </c>
    </row>
    <row r="24" spans="1:2" x14ac:dyDescent="0.2">
      <c r="A24" s="128">
        <v>45108</v>
      </c>
      <c r="B24">
        <v>40.590000000000003</v>
      </c>
    </row>
    <row r="25" spans="1:2" x14ac:dyDescent="0.2">
      <c r="A25" s="128">
        <v>45109</v>
      </c>
      <c r="B25">
        <v>41.71</v>
      </c>
    </row>
    <row r="26" spans="1:2" x14ac:dyDescent="0.2">
      <c r="A26" s="128">
        <v>45110</v>
      </c>
      <c r="B26">
        <v>41.34</v>
      </c>
    </row>
    <row r="27" spans="1:2" x14ac:dyDescent="0.2">
      <c r="A27" s="128">
        <v>45111</v>
      </c>
      <c r="B27">
        <v>41.86</v>
      </c>
    </row>
    <row r="28" spans="1:2" x14ac:dyDescent="0.2">
      <c r="A28" s="128">
        <v>45112</v>
      </c>
      <c r="B28">
        <v>35.07</v>
      </c>
    </row>
    <row r="29" spans="1:2" x14ac:dyDescent="0.2">
      <c r="A29" s="128">
        <v>45113</v>
      </c>
      <c r="B29">
        <v>17.22</v>
      </c>
    </row>
    <row r="30" spans="1:2" x14ac:dyDescent="0.2">
      <c r="A30" s="128">
        <v>45114</v>
      </c>
      <c r="B30">
        <v>5.24</v>
      </c>
    </row>
    <row r="31" spans="1:2" x14ac:dyDescent="0.2">
      <c r="A31" s="128">
        <v>45126</v>
      </c>
      <c r="B31">
        <v>19.3</v>
      </c>
    </row>
    <row r="32" spans="1:2" x14ac:dyDescent="0.2">
      <c r="A32" s="128">
        <v>45127</v>
      </c>
      <c r="B32">
        <v>19.75</v>
      </c>
    </row>
    <row r="33" spans="1:2" x14ac:dyDescent="0.2">
      <c r="A33" s="128">
        <v>45128</v>
      </c>
      <c r="B33">
        <v>19.68</v>
      </c>
    </row>
    <row r="34" spans="1:2" x14ac:dyDescent="0.2">
      <c r="A34" s="128">
        <v>45129</v>
      </c>
      <c r="B34">
        <v>19.489999999999998</v>
      </c>
    </row>
    <row r="35" spans="1:2" x14ac:dyDescent="0.2">
      <c r="A35" s="128">
        <v>45130</v>
      </c>
      <c r="B35">
        <v>19.95</v>
      </c>
    </row>
    <row r="36" spans="1:2" x14ac:dyDescent="0.2">
      <c r="A36" s="128">
        <v>45131</v>
      </c>
      <c r="B36">
        <v>19.93</v>
      </c>
    </row>
    <row r="37" spans="1:2" x14ac:dyDescent="0.2">
      <c r="A37" s="128">
        <v>45141</v>
      </c>
      <c r="B37">
        <v>15</v>
      </c>
    </row>
    <row r="38" spans="1:2" x14ac:dyDescent="0.2">
      <c r="A38" s="128">
        <v>45142</v>
      </c>
      <c r="B38">
        <v>18.34</v>
      </c>
    </row>
    <row r="39" spans="1:2" x14ac:dyDescent="0.2">
      <c r="A39" s="128">
        <v>45143</v>
      </c>
      <c r="B39">
        <v>19.829999999999998</v>
      </c>
    </row>
    <row r="40" spans="1:2" x14ac:dyDescent="0.2">
      <c r="A40" s="128">
        <v>45144</v>
      </c>
      <c r="B40">
        <v>19.73</v>
      </c>
    </row>
    <row r="41" spans="1:2" x14ac:dyDescent="0.2">
      <c r="A41" s="128">
        <v>45145</v>
      </c>
      <c r="B41">
        <v>19.62</v>
      </c>
    </row>
    <row r="42" spans="1:2" x14ac:dyDescent="0.2">
      <c r="A42" s="128">
        <v>45146</v>
      </c>
      <c r="B42">
        <v>19.48</v>
      </c>
    </row>
    <row r="43" spans="1:2" x14ac:dyDescent="0.2">
      <c r="A43" s="128">
        <v>45147</v>
      </c>
      <c r="B43">
        <v>19.07</v>
      </c>
    </row>
    <row r="44" spans="1:2" x14ac:dyDescent="0.2">
      <c r="A44" s="128">
        <v>45148</v>
      </c>
      <c r="B44">
        <v>19.59</v>
      </c>
    </row>
    <row r="45" spans="1:2" x14ac:dyDescent="0.2">
      <c r="A45" s="128">
        <v>45149</v>
      </c>
      <c r="B45">
        <v>2.48</v>
      </c>
    </row>
    <row r="46" spans="1:2" x14ac:dyDescent="0.2">
      <c r="A46" s="128"/>
    </row>
    <row r="47" spans="1:2" x14ac:dyDescent="0.2">
      <c r="A47" s="128"/>
    </row>
    <row r="48" spans="1:2" x14ac:dyDescent="0.2">
      <c r="A48" s="128"/>
    </row>
    <row r="49" spans="1:1" x14ac:dyDescent="0.2">
      <c r="A49" s="128"/>
    </row>
    <row r="50" spans="1:1" x14ac:dyDescent="0.2">
      <c r="A50" s="128"/>
    </row>
    <row r="51" spans="1:1" x14ac:dyDescent="0.2">
      <c r="A51" s="128"/>
    </row>
    <row r="52" spans="1:1" x14ac:dyDescent="0.2">
      <c r="A52" s="128"/>
    </row>
    <row r="53" spans="1:1" x14ac:dyDescent="0.2">
      <c r="A53" s="128"/>
    </row>
    <row r="54" spans="1:1" x14ac:dyDescent="0.2">
      <c r="A54" s="128"/>
    </row>
    <row r="55" spans="1:1" x14ac:dyDescent="0.2">
      <c r="A55" s="128"/>
    </row>
    <row r="56" spans="1:1" x14ac:dyDescent="0.2">
      <c r="A56" s="128"/>
    </row>
    <row r="57" spans="1:1" x14ac:dyDescent="0.2">
      <c r="A57" s="128"/>
    </row>
    <row r="58" spans="1:1" x14ac:dyDescent="0.2">
      <c r="A58" s="128"/>
    </row>
    <row r="59" spans="1:1" x14ac:dyDescent="0.2">
      <c r="A59" s="128"/>
    </row>
    <row r="60" spans="1:1" x14ac:dyDescent="0.2">
      <c r="A60" s="128"/>
    </row>
    <row r="61" spans="1:1" x14ac:dyDescent="0.2">
      <c r="A61" s="128"/>
    </row>
    <row r="62" spans="1:1" x14ac:dyDescent="0.2">
      <c r="A62" s="128"/>
    </row>
    <row r="63" spans="1:1" x14ac:dyDescent="0.2">
      <c r="A63" s="128"/>
    </row>
    <row r="64" spans="1:1" x14ac:dyDescent="0.2">
      <c r="A64" s="128"/>
    </row>
    <row r="65" spans="1:1" x14ac:dyDescent="0.2">
      <c r="A65" s="128"/>
    </row>
    <row r="66" spans="1:1" x14ac:dyDescent="0.2">
      <c r="A66" s="128"/>
    </row>
    <row r="67" spans="1:1" x14ac:dyDescent="0.2">
      <c r="A67" s="128"/>
    </row>
    <row r="68" spans="1:1" x14ac:dyDescent="0.2">
      <c r="A68" s="128"/>
    </row>
    <row r="69" spans="1:1" x14ac:dyDescent="0.2">
      <c r="A69" s="128"/>
    </row>
    <row r="70" spans="1:1" x14ac:dyDescent="0.2">
      <c r="A70" s="128"/>
    </row>
    <row r="71" spans="1:1" x14ac:dyDescent="0.2">
      <c r="A71" s="128"/>
    </row>
    <row r="72" spans="1:1" x14ac:dyDescent="0.2">
      <c r="A72" s="128"/>
    </row>
    <row r="73" spans="1:1" x14ac:dyDescent="0.2">
      <c r="A73" s="128"/>
    </row>
    <row r="74" spans="1:1" x14ac:dyDescent="0.2">
      <c r="A74" s="128"/>
    </row>
    <row r="75" spans="1:1" x14ac:dyDescent="0.2">
      <c r="A75" s="128"/>
    </row>
    <row r="76" spans="1:1" x14ac:dyDescent="0.2">
      <c r="A76" s="128"/>
    </row>
    <row r="77" spans="1:1" x14ac:dyDescent="0.2">
      <c r="A77" s="128"/>
    </row>
    <row r="78" spans="1:1" x14ac:dyDescent="0.2">
      <c r="A78" s="128"/>
    </row>
    <row r="79" spans="1:1" x14ac:dyDescent="0.2">
      <c r="A79" s="128"/>
    </row>
    <row r="80" spans="1:1" x14ac:dyDescent="0.2">
      <c r="A80" s="128"/>
    </row>
    <row r="81" spans="1:1" x14ac:dyDescent="0.2">
      <c r="A81" s="128"/>
    </row>
    <row r="82" spans="1:1" x14ac:dyDescent="0.2">
      <c r="A82" s="128"/>
    </row>
    <row r="83" spans="1:1" x14ac:dyDescent="0.2">
      <c r="A83" s="128"/>
    </row>
    <row r="84" spans="1:1" x14ac:dyDescent="0.2">
      <c r="A84" s="128"/>
    </row>
    <row r="85" spans="1:1" x14ac:dyDescent="0.2">
      <c r="A85" s="128"/>
    </row>
    <row r="86" spans="1:1" x14ac:dyDescent="0.2">
      <c r="A86" s="128"/>
    </row>
    <row r="87" spans="1:1" x14ac:dyDescent="0.2">
      <c r="A87" s="128"/>
    </row>
    <row r="88" spans="1:1" x14ac:dyDescent="0.2">
      <c r="A88" s="128"/>
    </row>
    <row r="89" spans="1:1" x14ac:dyDescent="0.2">
      <c r="A89" s="128"/>
    </row>
    <row r="90" spans="1:1" x14ac:dyDescent="0.2">
      <c r="A90" s="128"/>
    </row>
    <row r="91" spans="1:1" x14ac:dyDescent="0.2">
      <c r="A91" s="128"/>
    </row>
    <row r="92" spans="1:1" x14ac:dyDescent="0.2">
      <c r="A92" s="128"/>
    </row>
    <row r="93" spans="1:1" x14ac:dyDescent="0.2">
      <c r="A93" s="128"/>
    </row>
    <row r="94" spans="1:1" x14ac:dyDescent="0.2">
      <c r="A94" s="128"/>
    </row>
    <row r="95" spans="1:1" x14ac:dyDescent="0.2">
      <c r="A95" s="128"/>
    </row>
    <row r="96" spans="1:1" x14ac:dyDescent="0.2">
      <c r="A96" s="128"/>
    </row>
    <row r="97" spans="1:1" x14ac:dyDescent="0.2">
      <c r="A97" s="128"/>
    </row>
    <row r="98" spans="1:1" x14ac:dyDescent="0.2">
      <c r="A98" s="128"/>
    </row>
    <row r="99" spans="1:1" x14ac:dyDescent="0.2">
      <c r="A99" s="128"/>
    </row>
    <row r="100" spans="1:1" x14ac:dyDescent="0.2">
      <c r="A100" s="128"/>
    </row>
    <row r="101" spans="1:1" x14ac:dyDescent="0.2">
      <c r="A101" s="128"/>
    </row>
    <row r="102" spans="1:1" x14ac:dyDescent="0.2">
      <c r="A102" s="128"/>
    </row>
    <row r="103" spans="1:1" x14ac:dyDescent="0.2">
      <c r="A103" s="128"/>
    </row>
    <row r="104" spans="1:1" x14ac:dyDescent="0.2">
      <c r="A104" s="128"/>
    </row>
    <row r="105" spans="1:1" x14ac:dyDescent="0.2">
      <c r="A105" s="128"/>
    </row>
    <row r="106" spans="1:1" x14ac:dyDescent="0.2">
      <c r="A106" s="128"/>
    </row>
    <row r="107" spans="1:1" x14ac:dyDescent="0.2">
      <c r="A107" s="128"/>
    </row>
    <row r="108" spans="1:1" x14ac:dyDescent="0.2">
      <c r="A108" s="128"/>
    </row>
    <row r="109" spans="1:1" x14ac:dyDescent="0.2">
      <c r="A109" s="128"/>
    </row>
    <row r="110" spans="1:1" x14ac:dyDescent="0.2">
      <c r="A110" s="128"/>
    </row>
    <row r="111" spans="1:1" x14ac:dyDescent="0.2">
      <c r="A111" s="128"/>
    </row>
    <row r="112" spans="1:1" x14ac:dyDescent="0.2">
      <c r="A112" s="128"/>
    </row>
    <row r="113" spans="1:1" x14ac:dyDescent="0.2">
      <c r="A113" s="128"/>
    </row>
    <row r="114" spans="1:1" x14ac:dyDescent="0.2">
      <c r="A114" s="128"/>
    </row>
    <row r="115" spans="1:1" x14ac:dyDescent="0.2">
      <c r="A115" s="128"/>
    </row>
    <row r="116" spans="1:1" x14ac:dyDescent="0.2">
      <c r="A116" s="128"/>
    </row>
    <row r="117" spans="1:1" x14ac:dyDescent="0.2">
      <c r="A117" s="128"/>
    </row>
    <row r="118" spans="1:1" x14ac:dyDescent="0.2">
      <c r="A118" s="128"/>
    </row>
  </sheetData>
  <conditionalFormatting sqref="A2:A45">
    <cfRule type="duplicateValues" dxfId="356" priority="1"/>
  </conditionalFormatting>
  <hyperlinks>
    <hyperlink ref="G3" r:id="rId1" xr:uid="{7B22807F-5ABD-4BFE-B7F2-7FC273C38B88}"/>
    <hyperlink ref="G4" r:id="rId2" xr:uid="{B03E795C-3446-4F83-9B8F-EEE543A32178}"/>
  </hyperlinks>
  <pageMargins left="0.511811024" right="0.511811024" top="0.78740157499999996" bottom="0.78740157499999996" header="0.31496062000000002" footer="0.3149606200000000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CD0F8-C10F-4580-A3AC-EF37446E346A}">
  <dimension ref="A1:C2452"/>
  <sheetViews>
    <sheetView workbookViewId="0">
      <selection activeCell="A2" sqref="A2"/>
    </sheetView>
  </sheetViews>
  <sheetFormatPr defaultRowHeight="12.75" x14ac:dyDescent="0.2"/>
  <cols>
    <col min="1" max="1" width="10.42578125" style="128" bestFit="1" customWidth="1"/>
    <col min="2" max="2" width="21" style="154" bestFit="1" customWidth="1"/>
    <col min="3" max="3" width="11.7109375" style="154" bestFit="1" customWidth="1"/>
  </cols>
  <sheetData>
    <row r="1" spans="1:3" x14ac:dyDescent="0.2">
      <c r="A1" s="128" t="s">
        <v>37</v>
      </c>
      <c r="B1" s="154" t="s">
        <v>38</v>
      </c>
      <c r="C1" s="154" t="s">
        <v>39</v>
      </c>
    </row>
    <row r="2" spans="1:3" ht="15" x14ac:dyDescent="0.2">
      <c r="A2" s="218">
        <v>44562</v>
      </c>
      <c r="B2" s="214">
        <v>255.52</v>
      </c>
      <c r="C2" s="216">
        <v>296444</v>
      </c>
    </row>
    <row r="3" spans="1:3" ht="15" x14ac:dyDescent="0.2">
      <c r="A3" s="218">
        <v>44563</v>
      </c>
      <c r="B3" s="214">
        <v>82.05</v>
      </c>
      <c r="C3" s="216">
        <v>4573</v>
      </c>
    </row>
    <row r="4" spans="1:3" ht="15" x14ac:dyDescent="0.2">
      <c r="A4" s="218">
        <v>44564</v>
      </c>
      <c r="B4" s="214">
        <v>80.63</v>
      </c>
      <c r="C4" s="216">
        <v>3601</v>
      </c>
    </row>
    <row r="5" spans="1:3" ht="15" x14ac:dyDescent="0.2">
      <c r="A5" s="218">
        <v>44565</v>
      </c>
      <c r="B5" s="214">
        <v>138.16999999999999</v>
      </c>
      <c r="C5" s="216">
        <v>9906</v>
      </c>
    </row>
    <row r="6" spans="1:3" ht="15" x14ac:dyDescent="0.2">
      <c r="A6" s="218">
        <v>44566</v>
      </c>
      <c r="B6" s="214">
        <v>158.86000000000001</v>
      </c>
      <c r="C6" s="216">
        <v>12883</v>
      </c>
    </row>
    <row r="7" spans="1:3" ht="15" x14ac:dyDescent="0.2">
      <c r="A7" s="218">
        <v>44567</v>
      </c>
      <c r="B7" s="214">
        <v>214.41</v>
      </c>
      <c r="C7" s="216">
        <v>100546</v>
      </c>
    </row>
    <row r="8" spans="1:3" ht="15" x14ac:dyDescent="0.2">
      <c r="A8" s="218">
        <v>44568</v>
      </c>
      <c r="B8" s="214">
        <v>280.10000000000002</v>
      </c>
      <c r="C8" s="216">
        <v>129882</v>
      </c>
    </row>
    <row r="9" spans="1:3" ht="15" x14ac:dyDescent="0.2">
      <c r="A9" s="218">
        <v>44569</v>
      </c>
      <c r="B9" s="214">
        <v>293.8</v>
      </c>
      <c r="C9" s="216">
        <v>144064</v>
      </c>
    </row>
    <row r="10" spans="1:3" ht="15" x14ac:dyDescent="0.2">
      <c r="A10" s="218">
        <v>44570</v>
      </c>
      <c r="B10" s="214">
        <v>303.73</v>
      </c>
      <c r="C10" s="216">
        <v>169534</v>
      </c>
    </row>
    <row r="11" spans="1:3" ht="15" x14ac:dyDescent="0.2">
      <c r="A11" s="218">
        <v>44571</v>
      </c>
      <c r="B11" s="214">
        <v>298.39999999999998</v>
      </c>
      <c r="C11" s="216">
        <v>145950</v>
      </c>
    </row>
    <row r="12" spans="1:3" ht="15" x14ac:dyDescent="0.2">
      <c r="A12" s="218">
        <v>44572</v>
      </c>
      <c r="B12" s="214">
        <v>146.02000000000001</v>
      </c>
      <c r="C12" s="216">
        <v>30280</v>
      </c>
    </row>
    <row r="13" spans="1:3" ht="15" x14ac:dyDescent="0.2">
      <c r="A13" s="218">
        <v>44573</v>
      </c>
      <c r="B13" s="214">
        <v>149.76</v>
      </c>
      <c r="C13" s="216">
        <v>21580</v>
      </c>
    </row>
    <row r="14" spans="1:3" ht="15" x14ac:dyDescent="0.2">
      <c r="A14" s="218">
        <v>44574</v>
      </c>
      <c r="B14" s="214">
        <v>200.41</v>
      </c>
      <c r="C14" s="216">
        <v>26112</v>
      </c>
    </row>
    <row r="15" spans="1:3" ht="15" x14ac:dyDescent="0.2">
      <c r="A15" s="218">
        <v>44575</v>
      </c>
      <c r="B15" s="214">
        <v>214.12</v>
      </c>
      <c r="C15" s="216">
        <v>23599</v>
      </c>
    </row>
    <row r="16" spans="1:3" ht="15" x14ac:dyDescent="0.2">
      <c r="A16" s="218">
        <v>44576</v>
      </c>
      <c r="B16" s="214">
        <v>219.2</v>
      </c>
      <c r="C16" s="216">
        <v>26217</v>
      </c>
    </row>
    <row r="17" spans="1:3" ht="15" x14ac:dyDescent="0.2">
      <c r="A17" s="218">
        <v>44577</v>
      </c>
      <c r="B17" s="214">
        <v>217.95</v>
      </c>
      <c r="C17" s="216">
        <v>30360</v>
      </c>
    </row>
    <row r="18" spans="1:3" ht="15" x14ac:dyDescent="0.2">
      <c r="A18" s="218">
        <v>44578</v>
      </c>
      <c r="B18" s="214">
        <v>255.99</v>
      </c>
      <c r="C18" s="216">
        <v>31848</v>
      </c>
    </row>
    <row r="19" spans="1:3" ht="15" x14ac:dyDescent="0.2">
      <c r="A19" s="218">
        <v>44579</v>
      </c>
      <c r="B19" s="214">
        <v>191.31</v>
      </c>
      <c r="C19" s="216">
        <v>22411</v>
      </c>
    </row>
    <row r="20" spans="1:3" ht="15" x14ac:dyDescent="0.2">
      <c r="A20" s="218">
        <v>44580</v>
      </c>
      <c r="B20" s="214">
        <v>190.07</v>
      </c>
      <c r="C20" s="216">
        <v>20467</v>
      </c>
    </row>
    <row r="21" spans="1:3" ht="15" x14ac:dyDescent="0.2">
      <c r="A21" s="218">
        <v>44581</v>
      </c>
      <c r="B21" s="214">
        <v>224.86</v>
      </c>
      <c r="C21" s="216">
        <v>71019</v>
      </c>
    </row>
    <row r="22" spans="1:3" ht="15" x14ac:dyDescent="0.2">
      <c r="A22" s="218">
        <v>44582</v>
      </c>
      <c r="B22" s="214">
        <v>282.42</v>
      </c>
      <c r="C22" s="216">
        <v>127488</v>
      </c>
    </row>
    <row r="23" spans="1:3" ht="15" x14ac:dyDescent="0.2">
      <c r="A23" s="218">
        <v>44583</v>
      </c>
      <c r="B23" s="214">
        <v>293.99</v>
      </c>
      <c r="C23" s="216">
        <v>162561</v>
      </c>
    </row>
    <row r="24" spans="1:3" ht="15" x14ac:dyDescent="0.2">
      <c r="A24" s="218">
        <v>44584</v>
      </c>
      <c r="B24" s="214">
        <v>300.58</v>
      </c>
      <c r="C24" s="216">
        <v>187424</v>
      </c>
    </row>
    <row r="25" spans="1:3" ht="15" x14ac:dyDescent="0.2">
      <c r="A25" s="218">
        <v>44585</v>
      </c>
      <c r="B25" s="214">
        <v>389.88</v>
      </c>
      <c r="C25" s="216">
        <v>180061</v>
      </c>
    </row>
    <row r="26" spans="1:3" ht="15" x14ac:dyDescent="0.2">
      <c r="A26" s="218">
        <v>44586</v>
      </c>
      <c r="B26" s="214">
        <v>429.51</v>
      </c>
      <c r="C26" s="216">
        <v>207653</v>
      </c>
    </row>
    <row r="27" spans="1:3" ht="15" x14ac:dyDescent="0.2">
      <c r="A27" s="218">
        <v>44587</v>
      </c>
      <c r="B27" s="214">
        <v>324.56</v>
      </c>
      <c r="C27" s="216">
        <v>71804</v>
      </c>
    </row>
    <row r="28" spans="1:3" ht="15" x14ac:dyDescent="0.2">
      <c r="A28" s="218">
        <v>44588</v>
      </c>
      <c r="B28" s="214">
        <v>321.88</v>
      </c>
      <c r="C28" s="216">
        <v>106366</v>
      </c>
    </row>
    <row r="29" spans="1:3" ht="15" x14ac:dyDescent="0.2">
      <c r="A29" s="218">
        <v>44589</v>
      </c>
      <c r="B29" s="214">
        <v>288.85000000000002</v>
      </c>
      <c r="C29" s="216">
        <v>121864</v>
      </c>
    </row>
    <row r="30" spans="1:3" ht="15" x14ac:dyDescent="0.2">
      <c r="A30" s="218">
        <v>44590</v>
      </c>
      <c r="B30" s="214">
        <v>287.97000000000003</v>
      </c>
      <c r="C30" s="216">
        <v>125536</v>
      </c>
    </row>
    <row r="31" spans="1:3" ht="15" x14ac:dyDescent="0.2">
      <c r="A31" s="218">
        <v>44591</v>
      </c>
      <c r="B31" s="214">
        <v>296.58999999999997</v>
      </c>
      <c r="C31" s="216">
        <v>140512</v>
      </c>
    </row>
    <row r="32" spans="1:3" ht="15" x14ac:dyDescent="0.2">
      <c r="A32" s="218">
        <v>44592</v>
      </c>
      <c r="B32" s="214">
        <v>346.83</v>
      </c>
      <c r="C32" s="216">
        <v>199038</v>
      </c>
    </row>
    <row r="33" spans="1:3" ht="15" x14ac:dyDescent="0.2">
      <c r="A33" s="218">
        <v>44593</v>
      </c>
      <c r="B33" s="214">
        <v>418.58</v>
      </c>
      <c r="C33" s="216">
        <v>216003</v>
      </c>
    </row>
    <row r="34" spans="1:3" ht="15" x14ac:dyDescent="0.2">
      <c r="A34" s="218">
        <v>44594</v>
      </c>
      <c r="B34" s="214">
        <v>321.33</v>
      </c>
      <c r="C34" s="216">
        <v>38280</v>
      </c>
    </row>
    <row r="35" spans="1:3" ht="15" x14ac:dyDescent="0.2">
      <c r="A35" s="218">
        <v>44595</v>
      </c>
      <c r="B35" s="214">
        <v>232.36</v>
      </c>
      <c r="C35" s="216">
        <v>19588</v>
      </c>
    </row>
    <row r="36" spans="1:3" ht="15" x14ac:dyDescent="0.2">
      <c r="A36" s="218">
        <v>44596</v>
      </c>
      <c r="B36" s="214">
        <v>256.62</v>
      </c>
      <c r="C36" s="216">
        <v>19504</v>
      </c>
    </row>
    <row r="37" spans="1:3" ht="15" x14ac:dyDescent="0.2">
      <c r="A37" s="218">
        <v>44597</v>
      </c>
      <c r="B37" s="214">
        <v>269.83</v>
      </c>
      <c r="C37" s="216">
        <v>20376</v>
      </c>
    </row>
    <row r="38" spans="1:3" ht="15" x14ac:dyDescent="0.2">
      <c r="A38" s="218">
        <v>44598</v>
      </c>
      <c r="B38" s="214">
        <v>266.67</v>
      </c>
      <c r="C38" s="216">
        <v>26000</v>
      </c>
    </row>
    <row r="39" spans="1:3" ht="15" x14ac:dyDescent="0.2">
      <c r="A39" s="218">
        <v>44599</v>
      </c>
      <c r="B39" s="214">
        <v>262.58999999999997</v>
      </c>
      <c r="C39" s="216">
        <v>15964</v>
      </c>
    </row>
    <row r="40" spans="1:3" ht="15" x14ac:dyDescent="0.2">
      <c r="A40" s="218">
        <v>44600</v>
      </c>
      <c r="B40" s="214">
        <v>271.12</v>
      </c>
      <c r="C40" s="216">
        <v>16090</v>
      </c>
    </row>
    <row r="41" spans="1:3" ht="15" x14ac:dyDescent="0.2">
      <c r="A41" s="218">
        <v>44601</v>
      </c>
      <c r="B41" s="214">
        <v>702.02</v>
      </c>
      <c r="C41" s="216">
        <v>354625</v>
      </c>
    </row>
    <row r="42" spans="1:3" ht="15" x14ac:dyDescent="0.2">
      <c r="A42" s="218">
        <v>44602</v>
      </c>
      <c r="B42" s="214">
        <v>425.73</v>
      </c>
      <c r="C42" s="216">
        <v>161952</v>
      </c>
    </row>
    <row r="43" spans="1:3" ht="15" x14ac:dyDescent="0.2">
      <c r="A43" s="218">
        <v>44603</v>
      </c>
      <c r="B43" s="214">
        <v>376.83</v>
      </c>
      <c r="C43" s="216">
        <v>124417</v>
      </c>
    </row>
    <row r="44" spans="1:3" ht="15" x14ac:dyDescent="0.2">
      <c r="A44" s="218">
        <v>44604</v>
      </c>
      <c r="B44" s="214">
        <v>390.93</v>
      </c>
      <c r="C44" s="216">
        <v>133024</v>
      </c>
    </row>
    <row r="45" spans="1:3" ht="15" x14ac:dyDescent="0.2">
      <c r="A45" s="218">
        <v>44605</v>
      </c>
      <c r="B45" s="214">
        <v>386.27</v>
      </c>
      <c r="C45" s="216">
        <v>169376</v>
      </c>
    </row>
    <row r="46" spans="1:3" ht="15" x14ac:dyDescent="0.2">
      <c r="A46" s="218">
        <v>44606</v>
      </c>
      <c r="B46" s="214">
        <v>478.68</v>
      </c>
      <c r="C46" s="216">
        <v>202465</v>
      </c>
    </row>
    <row r="47" spans="1:3" ht="15" x14ac:dyDescent="0.2">
      <c r="A47" s="218">
        <v>44607</v>
      </c>
      <c r="B47" s="214">
        <v>479.32</v>
      </c>
      <c r="C47" s="216">
        <v>176929</v>
      </c>
    </row>
    <row r="48" spans="1:3" ht="15" x14ac:dyDescent="0.2">
      <c r="A48" s="218">
        <v>44608</v>
      </c>
      <c r="B48" s="214">
        <v>502.48</v>
      </c>
      <c r="C48" s="216">
        <v>201141</v>
      </c>
    </row>
    <row r="49" spans="1:3" ht="15" x14ac:dyDescent="0.2">
      <c r="A49" s="218">
        <v>44609</v>
      </c>
      <c r="B49" s="214">
        <v>508</v>
      </c>
      <c r="C49" s="216">
        <v>165119</v>
      </c>
    </row>
    <row r="50" spans="1:3" ht="15" x14ac:dyDescent="0.2">
      <c r="A50" s="218">
        <v>44610</v>
      </c>
      <c r="B50" s="214">
        <v>424.02</v>
      </c>
      <c r="C50" s="216">
        <v>118400</v>
      </c>
    </row>
    <row r="51" spans="1:3" ht="15" x14ac:dyDescent="0.2">
      <c r="A51" s="218">
        <v>44611</v>
      </c>
      <c r="B51" s="214">
        <v>433.7</v>
      </c>
      <c r="C51" s="216">
        <v>129919</v>
      </c>
    </row>
    <row r="52" spans="1:3" ht="15" x14ac:dyDescent="0.2">
      <c r="A52" s="218">
        <v>44612</v>
      </c>
      <c r="B52" s="214">
        <v>439.53</v>
      </c>
      <c r="C52" s="216">
        <v>156928</v>
      </c>
    </row>
    <row r="53" spans="1:3" ht="15" x14ac:dyDescent="0.2">
      <c r="A53" s="218">
        <v>44613</v>
      </c>
      <c r="B53" s="214">
        <v>473</v>
      </c>
      <c r="C53" s="216">
        <v>191840</v>
      </c>
    </row>
    <row r="54" spans="1:3" ht="15" x14ac:dyDescent="0.2">
      <c r="A54" s="218">
        <v>44614</v>
      </c>
      <c r="B54" s="214">
        <v>544.4</v>
      </c>
      <c r="C54" s="216">
        <v>220096</v>
      </c>
    </row>
    <row r="55" spans="1:3" ht="15" x14ac:dyDescent="0.2">
      <c r="A55" s="218">
        <v>44615</v>
      </c>
      <c r="B55" s="214">
        <v>504.99</v>
      </c>
      <c r="C55" s="216">
        <v>186818</v>
      </c>
    </row>
    <row r="56" spans="1:3" ht="15" x14ac:dyDescent="0.2">
      <c r="A56" s="218">
        <v>44616</v>
      </c>
      <c r="B56" s="214">
        <v>563.54999999999995</v>
      </c>
      <c r="C56" s="216">
        <v>198305</v>
      </c>
    </row>
    <row r="57" spans="1:3" ht="15" x14ac:dyDescent="0.2">
      <c r="A57" s="218">
        <v>44617</v>
      </c>
      <c r="B57" s="214">
        <v>591.54</v>
      </c>
      <c r="C57" s="216">
        <v>200927</v>
      </c>
    </row>
    <row r="58" spans="1:3" ht="15" x14ac:dyDescent="0.2">
      <c r="A58" s="218">
        <v>44618</v>
      </c>
      <c r="B58" s="214">
        <v>536.03</v>
      </c>
      <c r="C58" s="216">
        <v>151360</v>
      </c>
    </row>
    <row r="59" spans="1:3" ht="15" x14ac:dyDescent="0.2">
      <c r="A59" s="218">
        <v>44619</v>
      </c>
      <c r="B59" s="214">
        <v>470.57</v>
      </c>
      <c r="C59" s="216">
        <v>108992</v>
      </c>
    </row>
    <row r="60" spans="1:3" ht="15" x14ac:dyDescent="0.2">
      <c r="A60" s="218">
        <v>44620</v>
      </c>
      <c r="B60" s="214">
        <v>327.23</v>
      </c>
      <c r="C60" s="216">
        <v>22432</v>
      </c>
    </row>
    <row r="61" spans="1:3" ht="15" x14ac:dyDescent="0.2">
      <c r="A61" s="218">
        <v>44621</v>
      </c>
      <c r="B61" s="214">
        <v>81.87</v>
      </c>
      <c r="C61" s="216">
        <v>3802</v>
      </c>
    </row>
    <row r="62" spans="1:3" ht="15" x14ac:dyDescent="0.2">
      <c r="A62" s="218">
        <v>44622</v>
      </c>
      <c r="B62" s="214">
        <v>80.59</v>
      </c>
      <c r="C62" s="216">
        <v>4057</v>
      </c>
    </row>
    <row r="63" spans="1:3" ht="15" x14ac:dyDescent="0.2">
      <c r="A63" s="218">
        <v>44623</v>
      </c>
      <c r="B63" s="214">
        <v>118.46</v>
      </c>
      <c r="C63" s="216">
        <v>68370</v>
      </c>
    </row>
    <row r="64" spans="1:3" ht="15" x14ac:dyDescent="0.2">
      <c r="A64" s="218">
        <v>44624</v>
      </c>
      <c r="B64" s="214">
        <v>135.63</v>
      </c>
      <c r="C64" s="216">
        <v>83551</v>
      </c>
    </row>
    <row r="65" spans="1:3" ht="15" x14ac:dyDescent="0.2">
      <c r="A65" s="218">
        <v>44625</v>
      </c>
      <c r="B65" s="214">
        <v>138.09</v>
      </c>
      <c r="C65" s="216">
        <v>86976</v>
      </c>
    </row>
    <row r="66" spans="1:3" ht="15" x14ac:dyDescent="0.2">
      <c r="A66" s="218">
        <v>44626</v>
      </c>
      <c r="B66" s="214">
        <v>140.32</v>
      </c>
      <c r="C66" s="216">
        <v>101854</v>
      </c>
    </row>
    <row r="67" spans="1:3" ht="15" x14ac:dyDescent="0.2">
      <c r="A67" s="218">
        <v>44627</v>
      </c>
      <c r="B67" s="214">
        <v>172.66</v>
      </c>
      <c r="C67" s="216">
        <v>125473</v>
      </c>
    </row>
    <row r="68" spans="1:3" ht="15" x14ac:dyDescent="0.2">
      <c r="A68" s="218">
        <v>44628</v>
      </c>
      <c r="B68" s="214">
        <v>183.19</v>
      </c>
      <c r="C68" s="216">
        <v>130785</v>
      </c>
    </row>
    <row r="69" spans="1:3" ht="15" x14ac:dyDescent="0.2">
      <c r="A69" s="218">
        <v>44629</v>
      </c>
      <c r="B69" s="214">
        <v>165.13</v>
      </c>
      <c r="C69" s="216">
        <v>83808</v>
      </c>
    </row>
    <row r="70" spans="1:3" ht="15" x14ac:dyDescent="0.2">
      <c r="A70" s="218">
        <v>44630</v>
      </c>
      <c r="B70" s="214">
        <v>219.52</v>
      </c>
      <c r="C70" s="216">
        <v>109024</v>
      </c>
    </row>
    <row r="71" spans="1:3" ht="15" x14ac:dyDescent="0.2">
      <c r="A71" s="218">
        <v>44631</v>
      </c>
      <c r="B71" s="214">
        <v>271.87</v>
      </c>
      <c r="C71" s="216">
        <v>143009</v>
      </c>
    </row>
    <row r="72" spans="1:3" ht="15" x14ac:dyDescent="0.2">
      <c r="A72" s="218">
        <v>44632</v>
      </c>
      <c r="B72" s="214">
        <v>283.97000000000003</v>
      </c>
      <c r="C72" s="216">
        <v>159170</v>
      </c>
    </row>
    <row r="73" spans="1:3" ht="15" x14ac:dyDescent="0.2">
      <c r="A73" s="218">
        <v>44633</v>
      </c>
      <c r="B73" s="214">
        <v>294.72000000000003</v>
      </c>
      <c r="C73" s="216">
        <v>195936</v>
      </c>
    </row>
    <row r="74" spans="1:3" ht="15" x14ac:dyDescent="0.2">
      <c r="A74" s="218">
        <v>44634</v>
      </c>
      <c r="B74" s="214">
        <v>350.21</v>
      </c>
      <c r="C74" s="216">
        <v>237187</v>
      </c>
    </row>
    <row r="75" spans="1:3" ht="15" x14ac:dyDescent="0.2">
      <c r="A75" s="218">
        <v>44635</v>
      </c>
      <c r="B75" s="214">
        <v>400.93</v>
      </c>
      <c r="C75" s="216">
        <v>232392</v>
      </c>
    </row>
    <row r="76" spans="1:3" ht="15" x14ac:dyDescent="0.2">
      <c r="A76" s="218">
        <v>44636</v>
      </c>
      <c r="B76" s="214">
        <v>375.1</v>
      </c>
      <c r="C76" s="216">
        <v>205536</v>
      </c>
    </row>
    <row r="77" spans="1:3" ht="15" x14ac:dyDescent="0.2">
      <c r="A77" s="218">
        <v>44637</v>
      </c>
      <c r="B77" s="214">
        <v>367.57</v>
      </c>
      <c r="C77" s="216">
        <v>187426</v>
      </c>
    </row>
    <row r="78" spans="1:3" ht="15" x14ac:dyDescent="0.2">
      <c r="A78" s="218">
        <v>44638</v>
      </c>
      <c r="B78" s="214">
        <v>321.69</v>
      </c>
      <c r="C78" s="216">
        <v>165857</v>
      </c>
    </row>
    <row r="79" spans="1:3" ht="15" x14ac:dyDescent="0.2">
      <c r="A79" s="218">
        <v>44639</v>
      </c>
      <c r="B79" s="214">
        <v>323.33</v>
      </c>
      <c r="C79" s="216">
        <v>166524</v>
      </c>
    </row>
    <row r="80" spans="1:3" ht="15" x14ac:dyDescent="0.2">
      <c r="A80" s="218">
        <v>44640</v>
      </c>
      <c r="B80" s="214">
        <v>331.79</v>
      </c>
      <c r="C80" s="216">
        <v>192800</v>
      </c>
    </row>
    <row r="81" spans="1:3" ht="15" x14ac:dyDescent="0.2">
      <c r="A81" s="218">
        <v>44641</v>
      </c>
      <c r="B81" s="214">
        <v>330.24</v>
      </c>
      <c r="C81" s="216">
        <v>173505</v>
      </c>
    </row>
    <row r="82" spans="1:3" ht="15" x14ac:dyDescent="0.2">
      <c r="A82" s="218">
        <v>44642</v>
      </c>
      <c r="B82" s="214">
        <v>370.29</v>
      </c>
      <c r="C82" s="216">
        <v>159266</v>
      </c>
    </row>
    <row r="83" spans="1:3" ht="15" x14ac:dyDescent="0.2">
      <c r="A83" s="218">
        <v>44643</v>
      </c>
      <c r="B83" s="214">
        <v>431</v>
      </c>
      <c r="C83" s="216">
        <v>186752</v>
      </c>
    </row>
    <row r="84" spans="1:3" ht="15" x14ac:dyDescent="0.2">
      <c r="A84" s="218">
        <v>44644</v>
      </c>
      <c r="B84" s="214">
        <v>491.84</v>
      </c>
      <c r="C84" s="216">
        <v>195615</v>
      </c>
    </row>
    <row r="85" spans="1:3" ht="15" x14ac:dyDescent="0.2">
      <c r="A85" s="218">
        <v>44645</v>
      </c>
      <c r="B85" s="214">
        <v>506.54</v>
      </c>
      <c r="C85" s="216">
        <v>193825</v>
      </c>
    </row>
    <row r="86" spans="1:3" ht="15" x14ac:dyDescent="0.2">
      <c r="A86" s="218">
        <v>44646</v>
      </c>
      <c r="B86" s="214">
        <v>470.55</v>
      </c>
      <c r="C86" s="216">
        <v>185249</v>
      </c>
    </row>
    <row r="87" spans="1:3" ht="15" x14ac:dyDescent="0.2">
      <c r="A87" s="218">
        <v>44647</v>
      </c>
      <c r="B87" s="214">
        <v>323.04000000000002</v>
      </c>
      <c r="C87" s="216">
        <v>136736</v>
      </c>
    </row>
    <row r="88" spans="1:3" ht="15" x14ac:dyDescent="0.2">
      <c r="A88" s="218">
        <v>44648</v>
      </c>
      <c r="B88" s="214">
        <v>200.48</v>
      </c>
      <c r="C88" s="216">
        <v>36232</v>
      </c>
    </row>
    <row r="89" spans="1:3" ht="15" x14ac:dyDescent="0.2">
      <c r="A89" s="218">
        <v>44649</v>
      </c>
      <c r="B89" s="214">
        <v>261.36</v>
      </c>
      <c r="C89" s="216">
        <v>76704</v>
      </c>
    </row>
    <row r="90" spans="1:3" ht="15" x14ac:dyDescent="0.2">
      <c r="A90" s="218">
        <v>44650</v>
      </c>
      <c r="B90" s="214">
        <v>219.54</v>
      </c>
      <c r="C90" s="216">
        <v>79920</v>
      </c>
    </row>
    <row r="91" spans="1:3" ht="15" x14ac:dyDescent="0.2">
      <c r="A91" s="218">
        <v>44651</v>
      </c>
      <c r="B91" s="214">
        <v>216.07</v>
      </c>
      <c r="C91" s="216">
        <v>87376</v>
      </c>
    </row>
    <row r="92" spans="1:3" ht="15" x14ac:dyDescent="0.2">
      <c r="A92" s="218">
        <v>44652</v>
      </c>
      <c r="B92" s="214">
        <v>171.81</v>
      </c>
      <c r="C92" s="216">
        <v>104032</v>
      </c>
    </row>
    <row r="93" spans="1:3" ht="15" x14ac:dyDescent="0.2">
      <c r="A93" s="218">
        <v>44653</v>
      </c>
      <c r="B93" s="214">
        <v>91.68</v>
      </c>
      <c r="C93" s="216">
        <v>14800</v>
      </c>
    </row>
    <row r="94" spans="1:3" ht="15" x14ac:dyDescent="0.2">
      <c r="A94" s="218">
        <v>44654</v>
      </c>
      <c r="B94" s="214">
        <v>94.8</v>
      </c>
      <c r="C94" s="216">
        <v>17656</v>
      </c>
    </row>
    <row r="95" spans="1:3" ht="15" x14ac:dyDescent="0.2">
      <c r="A95" s="218">
        <v>44655</v>
      </c>
      <c r="B95" s="214">
        <v>147.54</v>
      </c>
      <c r="C95" s="216">
        <v>60642</v>
      </c>
    </row>
    <row r="96" spans="1:3" ht="15" x14ac:dyDescent="0.2">
      <c r="A96" s="218">
        <v>44656</v>
      </c>
      <c r="B96" s="214">
        <v>236.06</v>
      </c>
      <c r="C96" s="216">
        <v>150689</v>
      </c>
    </row>
    <row r="97" spans="1:3" ht="15" x14ac:dyDescent="0.2">
      <c r="A97" s="218">
        <v>44657</v>
      </c>
      <c r="B97" s="214">
        <v>260.58</v>
      </c>
      <c r="C97" s="216">
        <v>158084</v>
      </c>
    </row>
    <row r="98" spans="1:3" ht="15" x14ac:dyDescent="0.2">
      <c r="A98" s="218">
        <v>44658</v>
      </c>
      <c r="B98" s="214">
        <v>286.92</v>
      </c>
      <c r="C98" s="216">
        <v>193122</v>
      </c>
    </row>
    <row r="99" spans="1:3" ht="15" x14ac:dyDescent="0.2">
      <c r="A99" s="218">
        <v>44659</v>
      </c>
      <c r="B99" s="214">
        <v>202</v>
      </c>
      <c r="C99" s="216">
        <v>118656</v>
      </c>
    </row>
    <row r="100" spans="1:3" ht="15" x14ac:dyDescent="0.2">
      <c r="A100" s="218">
        <v>44660</v>
      </c>
      <c r="B100" s="214">
        <v>202.85</v>
      </c>
      <c r="C100" s="216">
        <v>114016</v>
      </c>
    </row>
    <row r="101" spans="1:3" ht="15" x14ac:dyDescent="0.2">
      <c r="A101" s="218">
        <v>44661</v>
      </c>
      <c r="B101" s="214">
        <v>134.44999999999999</v>
      </c>
      <c r="C101" s="216">
        <v>62704</v>
      </c>
    </row>
    <row r="102" spans="1:3" ht="15" x14ac:dyDescent="0.2">
      <c r="A102" s="218">
        <v>44662</v>
      </c>
      <c r="B102" s="214">
        <v>195.78</v>
      </c>
      <c r="C102" s="216">
        <v>131168</v>
      </c>
    </row>
    <row r="103" spans="1:3" ht="15" x14ac:dyDescent="0.2">
      <c r="A103" s="218">
        <v>44663</v>
      </c>
      <c r="B103" s="214">
        <v>186.81</v>
      </c>
      <c r="C103" s="216">
        <v>110816</v>
      </c>
    </row>
    <row r="104" spans="1:3" ht="15" x14ac:dyDescent="0.2">
      <c r="A104" s="218">
        <v>44664</v>
      </c>
      <c r="B104" s="214">
        <v>140.88999999999999</v>
      </c>
      <c r="C104" s="216">
        <v>86239</v>
      </c>
    </row>
    <row r="105" spans="1:3" ht="15" x14ac:dyDescent="0.2">
      <c r="A105" s="218">
        <v>44665</v>
      </c>
      <c r="B105" s="214">
        <v>220.2</v>
      </c>
      <c r="C105" s="216">
        <v>134336</v>
      </c>
    </row>
    <row r="106" spans="1:3" ht="15" x14ac:dyDescent="0.2">
      <c r="A106" s="218">
        <v>44666</v>
      </c>
      <c r="B106" s="214">
        <v>155.74</v>
      </c>
      <c r="C106" s="216">
        <v>94688</v>
      </c>
    </row>
    <row r="107" spans="1:3" ht="15" x14ac:dyDescent="0.2">
      <c r="A107" s="218">
        <v>44667</v>
      </c>
      <c r="B107" s="214">
        <v>64.69</v>
      </c>
      <c r="C107" s="216">
        <v>1429</v>
      </c>
    </row>
    <row r="108" spans="1:3" ht="15" x14ac:dyDescent="0.2">
      <c r="A108" s="218">
        <v>44668</v>
      </c>
      <c r="B108" s="214">
        <v>69.790000000000006</v>
      </c>
      <c r="C108" s="216">
        <v>1433</v>
      </c>
    </row>
    <row r="109" spans="1:3" ht="15" x14ac:dyDescent="0.2">
      <c r="A109" s="218">
        <v>44669</v>
      </c>
      <c r="B109" s="214">
        <v>148.71</v>
      </c>
      <c r="C109" s="216">
        <v>46480</v>
      </c>
    </row>
    <row r="110" spans="1:3" ht="15" x14ac:dyDescent="0.2">
      <c r="A110" s="218">
        <v>44670</v>
      </c>
      <c r="B110" s="214">
        <v>280.16000000000003</v>
      </c>
      <c r="C110" s="216">
        <v>94384</v>
      </c>
    </row>
    <row r="111" spans="1:3" ht="15" x14ac:dyDescent="0.2">
      <c r="A111" s="218">
        <v>44671</v>
      </c>
      <c r="B111" s="214">
        <v>197.16</v>
      </c>
      <c r="C111" s="216">
        <v>16320</v>
      </c>
    </row>
    <row r="112" spans="1:3" ht="15" x14ac:dyDescent="0.2">
      <c r="A112" s="218">
        <v>44672</v>
      </c>
      <c r="B112" s="214">
        <v>280.37</v>
      </c>
      <c r="C112" s="216">
        <v>87632</v>
      </c>
    </row>
    <row r="113" spans="1:3" ht="15" x14ac:dyDescent="0.2">
      <c r="A113" s="218">
        <v>44673</v>
      </c>
      <c r="B113" s="214">
        <v>277.43</v>
      </c>
      <c r="C113" s="216">
        <v>88944</v>
      </c>
    </row>
    <row r="114" spans="1:3" ht="15" x14ac:dyDescent="0.2">
      <c r="A114" s="218">
        <v>44674</v>
      </c>
      <c r="B114" s="214">
        <v>282.83</v>
      </c>
      <c r="C114" s="216">
        <v>89392</v>
      </c>
    </row>
    <row r="115" spans="1:3" ht="15" x14ac:dyDescent="0.2">
      <c r="A115" s="218">
        <v>44675</v>
      </c>
      <c r="B115" s="214">
        <v>221.03</v>
      </c>
      <c r="C115" s="216">
        <v>34784</v>
      </c>
    </row>
    <row r="116" spans="1:3" ht="15" x14ac:dyDescent="0.2">
      <c r="A116" s="218">
        <v>44676</v>
      </c>
      <c r="B116" s="214">
        <v>114.07</v>
      </c>
      <c r="C116" s="216">
        <v>6400</v>
      </c>
    </row>
    <row r="117" spans="1:3" ht="15" x14ac:dyDescent="0.2">
      <c r="A117" s="218">
        <v>44677</v>
      </c>
      <c r="B117" s="214">
        <v>108.22</v>
      </c>
      <c r="C117" s="216">
        <v>5290</v>
      </c>
    </row>
    <row r="118" spans="1:3" ht="15" x14ac:dyDescent="0.2">
      <c r="A118" s="218">
        <v>44678</v>
      </c>
      <c r="B118" s="214">
        <v>121.83</v>
      </c>
      <c r="C118" s="216">
        <v>18308</v>
      </c>
    </row>
    <row r="119" spans="1:3" ht="15" x14ac:dyDescent="0.2">
      <c r="A119" s="218">
        <v>44679</v>
      </c>
      <c r="B119" s="214">
        <v>151.49</v>
      </c>
      <c r="C119" s="216">
        <v>37615</v>
      </c>
    </row>
    <row r="120" spans="1:3" ht="15" x14ac:dyDescent="0.2">
      <c r="A120" s="218">
        <v>44680</v>
      </c>
      <c r="B120" s="214">
        <v>156.51</v>
      </c>
      <c r="C120" s="216">
        <v>37065</v>
      </c>
    </row>
    <row r="121" spans="1:3" ht="15" x14ac:dyDescent="0.2">
      <c r="A121" s="218">
        <v>44681</v>
      </c>
      <c r="B121" s="214">
        <v>118.88</v>
      </c>
      <c r="C121" s="216">
        <v>40960</v>
      </c>
    </row>
    <row r="122" spans="1:3" ht="15" x14ac:dyDescent="0.2">
      <c r="A122" s="218">
        <v>44682</v>
      </c>
      <c r="B122" s="214">
        <v>131.08000000000001</v>
      </c>
      <c r="C122" s="216">
        <v>57744</v>
      </c>
    </row>
    <row r="123" spans="1:3" ht="15" x14ac:dyDescent="0.2">
      <c r="A123" s="218">
        <v>44683</v>
      </c>
      <c r="B123" s="214">
        <v>188.9</v>
      </c>
      <c r="C123" s="216">
        <v>53167</v>
      </c>
    </row>
    <row r="124" spans="1:3" ht="15" x14ac:dyDescent="0.2">
      <c r="A124" s="218">
        <v>44684</v>
      </c>
      <c r="B124" s="214">
        <v>197.24</v>
      </c>
      <c r="C124" s="216">
        <v>44160</v>
      </c>
    </row>
    <row r="125" spans="1:3" ht="15" x14ac:dyDescent="0.2">
      <c r="A125" s="218">
        <v>44685</v>
      </c>
      <c r="B125" s="214">
        <v>245.6</v>
      </c>
      <c r="C125" s="216">
        <v>45296</v>
      </c>
    </row>
    <row r="126" spans="1:3" ht="15" x14ac:dyDescent="0.2">
      <c r="A126" s="218">
        <v>44686</v>
      </c>
      <c r="B126" s="214">
        <v>306.31</v>
      </c>
      <c r="C126" s="216">
        <v>32575</v>
      </c>
    </row>
    <row r="127" spans="1:3" ht="15" x14ac:dyDescent="0.2">
      <c r="A127" s="218">
        <v>44687</v>
      </c>
      <c r="B127" s="214">
        <v>346.86</v>
      </c>
      <c r="C127" s="216">
        <v>12512</v>
      </c>
    </row>
    <row r="128" spans="1:3" ht="15" x14ac:dyDescent="0.2">
      <c r="A128" s="218">
        <v>44688</v>
      </c>
      <c r="B128" s="214">
        <v>358.03</v>
      </c>
      <c r="C128" s="216">
        <v>23768</v>
      </c>
    </row>
    <row r="129" spans="1:3" ht="15" x14ac:dyDescent="0.2">
      <c r="A129" s="218">
        <v>44689</v>
      </c>
      <c r="B129" s="214">
        <v>446.53</v>
      </c>
      <c r="C129" s="216">
        <v>37312</v>
      </c>
    </row>
    <row r="130" spans="1:3" ht="15" x14ac:dyDescent="0.2">
      <c r="A130" s="218">
        <v>44690</v>
      </c>
      <c r="B130" s="214">
        <v>161.1</v>
      </c>
      <c r="C130" s="216">
        <v>6304</v>
      </c>
    </row>
    <row r="131" spans="1:3" ht="15" x14ac:dyDescent="0.2">
      <c r="A131" s="218">
        <v>44691</v>
      </c>
      <c r="B131" s="214">
        <v>143.41999999999999</v>
      </c>
      <c r="C131" s="216">
        <v>5374</v>
      </c>
    </row>
    <row r="132" spans="1:3" ht="15" x14ac:dyDescent="0.2">
      <c r="A132" s="218">
        <v>44692</v>
      </c>
      <c r="B132" s="214">
        <v>156.24</v>
      </c>
      <c r="C132" s="216">
        <v>7112</v>
      </c>
    </row>
    <row r="133" spans="1:3" ht="15" x14ac:dyDescent="0.2">
      <c r="A133" s="218">
        <v>44693</v>
      </c>
      <c r="B133" s="214">
        <v>186.13</v>
      </c>
      <c r="C133" s="216">
        <v>7435</v>
      </c>
    </row>
    <row r="134" spans="1:3" ht="15" x14ac:dyDescent="0.2">
      <c r="A134" s="218">
        <v>44694</v>
      </c>
      <c r="B134" s="214">
        <v>218.49</v>
      </c>
      <c r="C134" s="216">
        <v>9886</v>
      </c>
    </row>
    <row r="135" spans="1:3" ht="15" x14ac:dyDescent="0.2">
      <c r="A135" s="218">
        <v>44695</v>
      </c>
      <c r="B135" s="214">
        <v>247.84</v>
      </c>
      <c r="C135" s="216">
        <v>14060</v>
      </c>
    </row>
    <row r="136" spans="1:3" ht="15" x14ac:dyDescent="0.2">
      <c r="A136" s="218">
        <v>44696</v>
      </c>
      <c r="B136" s="214">
        <v>516.11</v>
      </c>
      <c r="C136" s="216">
        <v>34216</v>
      </c>
    </row>
    <row r="137" spans="1:3" ht="15" x14ac:dyDescent="0.2">
      <c r="A137" s="218">
        <v>44697</v>
      </c>
      <c r="B137" s="214">
        <v>135.52000000000001</v>
      </c>
      <c r="C137" s="216">
        <v>3263</v>
      </c>
    </row>
    <row r="138" spans="1:3" ht="15" x14ac:dyDescent="0.2">
      <c r="A138" s="218">
        <v>44698</v>
      </c>
      <c r="B138" s="214">
        <v>125.49</v>
      </c>
      <c r="C138" s="216">
        <v>4087</v>
      </c>
    </row>
    <row r="139" spans="1:3" ht="15" x14ac:dyDescent="0.2">
      <c r="A139" s="218">
        <v>44699</v>
      </c>
      <c r="B139" s="214">
        <v>160.71</v>
      </c>
      <c r="C139" s="216">
        <v>9863</v>
      </c>
    </row>
    <row r="140" spans="1:3" ht="15" x14ac:dyDescent="0.2">
      <c r="A140" s="218">
        <v>44700</v>
      </c>
      <c r="B140" s="214">
        <v>206.93</v>
      </c>
      <c r="C140" s="216">
        <v>11748</v>
      </c>
    </row>
    <row r="141" spans="1:3" ht="15" x14ac:dyDescent="0.2">
      <c r="A141" s="218">
        <v>44701</v>
      </c>
      <c r="B141" s="214">
        <v>229.51</v>
      </c>
      <c r="C141" s="216">
        <v>13788</v>
      </c>
    </row>
    <row r="142" spans="1:3" ht="15" x14ac:dyDescent="0.2">
      <c r="A142" s="218">
        <v>44702</v>
      </c>
      <c r="B142" s="214">
        <v>332.79</v>
      </c>
      <c r="C142" s="216">
        <v>96224</v>
      </c>
    </row>
    <row r="143" spans="1:3" ht="15" x14ac:dyDescent="0.2">
      <c r="A143" s="218">
        <v>44703</v>
      </c>
      <c r="B143" s="214">
        <v>356.33</v>
      </c>
      <c r="C143" s="216">
        <v>138592</v>
      </c>
    </row>
    <row r="144" spans="1:3" ht="15" x14ac:dyDescent="0.2">
      <c r="A144" s="218">
        <v>44704</v>
      </c>
      <c r="B144" s="214">
        <v>232.79</v>
      </c>
      <c r="C144" s="216">
        <v>73521</v>
      </c>
    </row>
    <row r="145" spans="1:3" ht="15" x14ac:dyDescent="0.2">
      <c r="A145" s="218">
        <v>44705</v>
      </c>
      <c r="B145" s="214">
        <v>155.93</v>
      </c>
      <c r="C145" s="216">
        <v>74240</v>
      </c>
    </row>
    <row r="146" spans="1:3" ht="15" x14ac:dyDescent="0.2">
      <c r="A146" s="218">
        <v>44706</v>
      </c>
      <c r="B146" s="214">
        <v>176.92</v>
      </c>
      <c r="C146" s="216">
        <v>44039</v>
      </c>
    </row>
    <row r="147" spans="1:3" ht="15" x14ac:dyDescent="0.2">
      <c r="A147" s="218">
        <v>44707</v>
      </c>
      <c r="B147" s="214">
        <v>229.34</v>
      </c>
      <c r="C147" s="216">
        <v>49408</v>
      </c>
    </row>
    <row r="148" spans="1:3" ht="15" x14ac:dyDescent="0.2">
      <c r="A148" s="218">
        <v>44708</v>
      </c>
      <c r="B148" s="214">
        <v>179.05</v>
      </c>
      <c r="C148" s="216">
        <v>5192</v>
      </c>
    </row>
    <row r="149" spans="1:3" ht="15" x14ac:dyDescent="0.2">
      <c r="A149" s="218">
        <v>44709</v>
      </c>
      <c r="B149" s="214">
        <v>108.6</v>
      </c>
      <c r="C149" s="216">
        <v>3099</v>
      </c>
    </row>
    <row r="150" spans="1:3" ht="15" x14ac:dyDescent="0.2">
      <c r="A150" s="218">
        <v>44710</v>
      </c>
      <c r="B150" s="214">
        <v>98.59</v>
      </c>
      <c r="C150" s="216">
        <v>2686</v>
      </c>
    </row>
    <row r="151" spans="1:3" ht="15" x14ac:dyDescent="0.2">
      <c r="A151" s="218">
        <v>44711</v>
      </c>
      <c r="B151" s="214">
        <v>181.06</v>
      </c>
      <c r="C151" s="216">
        <v>3598</v>
      </c>
    </row>
    <row r="152" spans="1:3" ht="15" x14ac:dyDescent="0.2">
      <c r="A152" s="218">
        <v>44712</v>
      </c>
      <c r="B152" s="214">
        <v>176.74</v>
      </c>
      <c r="C152" s="216">
        <v>4787</v>
      </c>
    </row>
    <row r="153" spans="1:3" ht="15" x14ac:dyDescent="0.2">
      <c r="A153" s="218">
        <v>44713</v>
      </c>
      <c r="B153" s="214">
        <v>188.5</v>
      </c>
      <c r="C153" s="216">
        <v>6038</v>
      </c>
    </row>
    <row r="154" spans="1:3" ht="15" x14ac:dyDescent="0.2">
      <c r="A154" s="218">
        <v>44714</v>
      </c>
      <c r="B154" s="214">
        <v>186.97</v>
      </c>
      <c r="C154" s="216">
        <v>5254</v>
      </c>
    </row>
    <row r="155" spans="1:3" ht="15" x14ac:dyDescent="0.2">
      <c r="A155" s="218">
        <v>44715</v>
      </c>
      <c r="B155" s="214">
        <v>196.67</v>
      </c>
      <c r="C155" s="216">
        <v>5054</v>
      </c>
    </row>
    <row r="156" spans="1:3" ht="15" x14ac:dyDescent="0.2">
      <c r="A156" s="218">
        <v>44716</v>
      </c>
      <c r="B156" s="214">
        <v>199.77</v>
      </c>
      <c r="C156" s="216">
        <v>5914</v>
      </c>
    </row>
    <row r="157" spans="1:3" ht="15" x14ac:dyDescent="0.2">
      <c r="A157" s="218">
        <v>44717</v>
      </c>
      <c r="B157" s="214">
        <v>215.54</v>
      </c>
      <c r="C157" s="216">
        <v>7758</v>
      </c>
    </row>
    <row r="158" spans="1:3" ht="15" x14ac:dyDescent="0.2">
      <c r="A158" s="218">
        <v>44718</v>
      </c>
      <c r="B158" s="214">
        <v>267.7</v>
      </c>
      <c r="C158" s="216">
        <v>9160</v>
      </c>
    </row>
    <row r="159" spans="1:3" ht="15" x14ac:dyDescent="0.2">
      <c r="A159" s="218">
        <v>44719</v>
      </c>
      <c r="B159" s="214">
        <v>278.49</v>
      </c>
      <c r="C159" s="216">
        <v>9832</v>
      </c>
    </row>
    <row r="160" spans="1:3" ht="15" x14ac:dyDescent="0.2">
      <c r="A160" s="218">
        <v>44720</v>
      </c>
      <c r="B160" s="214">
        <v>276.20999999999998</v>
      </c>
      <c r="C160" s="216">
        <v>10058</v>
      </c>
    </row>
    <row r="161" spans="1:3" ht="15" x14ac:dyDescent="0.2">
      <c r="A161" s="218">
        <v>44721</v>
      </c>
      <c r="B161" s="214">
        <v>271.11</v>
      </c>
      <c r="C161" s="216">
        <v>10456</v>
      </c>
    </row>
    <row r="162" spans="1:3" ht="15" x14ac:dyDescent="0.2">
      <c r="A162" s="218">
        <v>44722</v>
      </c>
      <c r="B162" s="214">
        <v>312.97000000000003</v>
      </c>
      <c r="C162" s="216">
        <v>11016</v>
      </c>
    </row>
    <row r="163" spans="1:3" ht="15" x14ac:dyDescent="0.2">
      <c r="A163" s="218">
        <v>44723</v>
      </c>
      <c r="B163" s="214">
        <v>313.02</v>
      </c>
      <c r="C163" s="216">
        <v>13276</v>
      </c>
    </row>
    <row r="164" spans="1:3" ht="15" x14ac:dyDescent="0.2">
      <c r="A164" s="218">
        <v>44724</v>
      </c>
      <c r="B164" s="214">
        <v>447.67</v>
      </c>
      <c r="C164" s="216">
        <v>45944</v>
      </c>
    </row>
    <row r="165" spans="1:3" ht="15" x14ac:dyDescent="0.2">
      <c r="A165" s="218">
        <v>44725</v>
      </c>
      <c r="B165" s="214">
        <v>257.63</v>
      </c>
      <c r="C165" s="216">
        <v>22236</v>
      </c>
    </row>
    <row r="166" spans="1:3" ht="15" x14ac:dyDescent="0.2">
      <c r="A166" s="218">
        <v>44726</v>
      </c>
      <c r="B166" s="214">
        <v>223.59</v>
      </c>
      <c r="C166" s="216">
        <v>8276</v>
      </c>
    </row>
    <row r="167" spans="1:3" ht="15" x14ac:dyDescent="0.2">
      <c r="A167" s="218">
        <v>44727</v>
      </c>
      <c r="B167" s="214">
        <v>249</v>
      </c>
      <c r="C167" s="216">
        <v>13436</v>
      </c>
    </row>
    <row r="168" spans="1:3" ht="15" x14ac:dyDescent="0.2">
      <c r="A168" s="218">
        <v>44728</v>
      </c>
      <c r="B168" s="214">
        <v>289.08999999999997</v>
      </c>
      <c r="C168" s="216">
        <v>35680</v>
      </c>
    </row>
    <row r="169" spans="1:3" ht="15" x14ac:dyDescent="0.2">
      <c r="A169" s="218">
        <v>44729</v>
      </c>
      <c r="B169" s="214">
        <v>319.77</v>
      </c>
      <c r="C169" s="216">
        <v>48800</v>
      </c>
    </row>
    <row r="170" spans="1:3" ht="15" x14ac:dyDescent="0.2">
      <c r="A170" s="218">
        <v>44730</v>
      </c>
      <c r="B170" s="214">
        <v>330.12</v>
      </c>
      <c r="C170" s="216">
        <v>66752</v>
      </c>
    </row>
    <row r="171" spans="1:3" ht="15" x14ac:dyDescent="0.2">
      <c r="A171" s="218">
        <v>44731</v>
      </c>
      <c r="B171" s="214">
        <v>304.16000000000003</v>
      </c>
      <c r="C171" s="216">
        <v>32095</v>
      </c>
    </row>
    <row r="172" spans="1:3" ht="15" x14ac:dyDescent="0.2">
      <c r="A172" s="218">
        <v>44732</v>
      </c>
      <c r="B172" s="214">
        <v>383.23</v>
      </c>
      <c r="C172" s="216">
        <v>53248</v>
      </c>
    </row>
    <row r="173" spans="1:3" ht="15" x14ac:dyDescent="0.2">
      <c r="A173" s="218">
        <v>44733</v>
      </c>
      <c r="B173" s="214">
        <v>311.64</v>
      </c>
      <c r="C173" s="216">
        <v>36208</v>
      </c>
    </row>
    <row r="174" spans="1:3" ht="15" x14ac:dyDescent="0.2">
      <c r="A174" s="218">
        <v>44734</v>
      </c>
      <c r="B174" s="214">
        <v>256.73</v>
      </c>
      <c r="C174" s="216">
        <v>10313</v>
      </c>
    </row>
    <row r="175" spans="1:3" ht="15" x14ac:dyDescent="0.2">
      <c r="A175" s="218">
        <v>44735</v>
      </c>
      <c r="B175" s="214">
        <v>302.63</v>
      </c>
      <c r="C175" s="216">
        <v>12752</v>
      </c>
    </row>
    <row r="176" spans="1:3" ht="15" x14ac:dyDescent="0.2">
      <c r="A176" s="218">
        <v>44736</v>
      </c>
      <c r="B176" s="214">
        <v>338.44</v>
      </c>
      <c r="C176" s="216">
        <v>12960</v>
      </c>
    </row>
    <row r="177" spans="1:3" ht="15" x14ac:dyDescent="0.2">
      <c r="A177" s="218">
        <v>44737</v>
      </c>
      <c r="B177" s="214">
        <v>324.97000000000003</v>
      </c>
      <c r="C177" s="216">
        <v>12400</v>
      </c>
    </row>
    <row r="178" spans="1:3" ht="15" x14ac:dyDescent="0.2">
      <c r="A178" s="218">
        <v>44738</v>
      </c>
      <c r="B178" s="214">
        <v>330.86</v>
      </c>
      <c r="C178" s="216">
        <v>13012</v>
      </c>
    </row>
    <row r="179" spans="1:3" ht="15" x14ac:dyDescent="0.2">
      <c r="A179" s="218">
        <v>44739</v>
      </c>
      <c r="B179" s="214">
        <v>269.45999999999998</v>
      </c>
      <c r="C179" s="216">
        <v>14128</v>
      </c>
    </row>
    <row r="180" spans="1:3" ht="15" x14ac:dyDescent="0.2">
      <c r="A180" s="218">
        <v>44740</v>
      </c>
      <c r="B180" s="214">
        <v>345.51</v>
      </c>
      <c r="C180" s="216">
        <v>35503</v>
      </c>
    </row>
    <row r="181" spans="1:3" ht="15" x14ac:dyDescent="0.2">
      <c r="A181" s="218">
        <v>44741</v>
      </c>
      <c r="B181" s="214">
        <v>322.41000000000003</v>
      </c>
      <c r="C181" s="216">
        <v>39887</v>
      </c>
    </row>
    <row r="182" spans="1:3" ht="15" x14ac:dyDescent="0.2">
      <c r="A182" s="218">
        <v>44742</v>
      </c>
      <c r="B182" s="214">
        <v>286.86</v>
      </c>
      <c r="C182" s="216">
        <v>29942</v>
      </c>
    </row>
    <row r="183" spans="1:3" ht="15" x14ac:dyDescent="0.2">
      <c r="A183" s="218">
        <v>44743</v>
      </c>
      <c r="B183" s="214">
        <v>164.18</v>
      </c>
      <c r="C183" s="216">
        <v>20448</v>
      </c>
    </row>
    <row r="184" spans="1:3" ht="15" x14ac:dyDescent="0.2">
      <c r="A184" s="218">
        <v>44744</v>
      </c>
      <c r="B184" s="214">
        <v>132.02000000000001</v>
      </c>
      <c r="C184" s="216">
        <v>21480</v>
      </c>
    </row>
    <row r="185" spans="1:3" ht="15" x14ac:dyDescent="0.2">
      <c r="A185" s="218">
        <v>44745</v>
      </c>
      <c r="B185" s="214">
        <v>122.89</v>
      </c>
      <c r="C185" s="216">
        <v>18713</v>
      </c>
    </row>
    <row r="186" spans="1:3" ht="15" x14ac:dyDescent="0.2">
      <c r="A186" s="218">
        <v>44746</v>
      </c>
      <c r="B186" s="214">
        <v>111.06</v>
      </c>
      <c r="C186" s="216">
        <v>58448</v>
      </c>
    </row>
    <row r="187" spans="1:3" ht="15" x14ac:dyDescent="0.2">
      <c r="A187" s="218">
        <v>44747</v>
      </c>
      <c r="B187" s="214">
        <v>126.25</v>
      </c>
      <c r="C187" s="216">
        <v>78208</v>
      </c>
    </row>
    <row r="188" spans="1:3" ht="15" x14ac:dyDescent="0.2">
      <c r="A188" s="218">
        <v>44748</v>
      </c>
      <c r="B188" s="214">
        <v>128.86000000000001</v>
      </c>
      <c r="C188" s="216">
        <v>73408</v>
      </c>
    </row>
    <row r="189" spans="1:3" ht="15" x14ac:dyDescent="0.2">
      <c r="A189" s="218">
        <v>44749</v>
      </c>
      <c r="B189" s="214">
        <v>170.71</v>
      </c>
      <c r="C189" s="216">
        <v>132349</v>
      </c>
    </row>
    <row r="190" spans="1:3" ht="15" x14ac:dyDescent="0.2">
      <c r="A190" s="218">
        <v>44750</v>
      </c>
      <c r="B190" s="214">
        <v>274.18</v>
      </c>
      <c r="C190" s="216">
        <v>157091</v>
      </c>
    </row>
    <row r="191" spans="1:3" ht="15" x14ac:dyDescent="0.2">
      <c r="A191" s="218">
        <v>44751</v>
      </c>
      <c r="B191" s="214">
        <v>310.77999999999997</v>
      </c>
      <c r="C191" s="216">
        <v>110208</v>
      </c>
    </row>
    <row r="192" spans="1:3" ht="15" x14ac:dyDescent="0.2">
      <c r="A192" s="218">
        <v>44752</v>
      </c>
      <c r="B192" s="214">
        <v>311.11</v>
      </c>
      <c r="C192" s="216">
        <v>119744</v>
      </c>
    </row>
    <row r="193" spans="1:3" ht="15" x14ac:dyDescent="0.2">
      <c r="A193" s="218">
        <v>44753</v>
      </c>
      <c r="B193" s="214">
        <v>197.75</v>
      </c>
      <c r="C193" s="216">
        <v>84801</v>
      </c>
    </row>
    <row r="194" spans="1:3" ht="15" x14ac:dyDescent="0.2">
      <c r="A194" s="218">
        <v>44754</v>
      </c>
      <c r="B194" s="214">
        <v>229.39</v>
      </c>
      <c r="C194" s="216">
        <v>84672</v>
      </c>
    </row>
    <row r="195" spans="1:3" ht="15" x14ac:dyDescent="0.2">
      <c r="A195" s="218">
        <v>44755</v>
      </c>
      <c r="B195" s="214">
        <v>314.39</v>
      </c>
      <c r="C195" s="216">
        <v>32336</v>
      </c>
    </row>
    <row r="196" spans="1:3" ht="15" x14ac:dyDescent="0.2">
      <c r="A196" s="218">
        <v>44756</v>
      </c>
      <c r="B196" s="214">
        <v>231.78</v>
      </c>
      <c r="C196" s="216">
        <v>14680</v>
      </c>
    </row>
    <row r="197" spans="1:3" ht="15" x14ac:dyDescent="0.2">
      <c r="A197" s="218">
        <v>44757</v>
      </c>
      <c r="B197" s="214">
        <v>197.12</v>
      </c>
      <c r="C197" s="216">
        <v>13163</v>
      </c>
    </row>
    <row r="198" spans="1:3" ht="15" x14ac:dyDescent="0.2">
      <c r="A198" s="218">
        <v>44758</v>
      </c>
      <c r="B198" s="214">
        <v>204.21</v>
      </c>
      <c r="C198" s="216">
        <v>15084</v>
      </c>
    </row>
    <row r="199" spans="1:3" ht="15" x14ac:dyDescent="0.2">
      <c r="A199" s="218">
        <v>44759</v>
      </c>
      <c r="B199" s="214">
        <v>199.51</v>
      </c>
      <c r="C199" s="216">
        <v>15632</v>
      </c>
    </row>
    <row r="200" spans="1:3" ht="15" x14ac:dyDescent="0.2">
      <c r="A200" s="218">
        <v>44760</v>
      </c>
      <c r="B200" s="214">
        <v>157.79</v>
      </c>
      <c r="C200" s="216">
        <v>10884</v>
      </c>
    </row>
    <row r="201" spans="1:3" ht="15" x14ac:dyDescent="0.2">
      <c r="A201" s="218">
        <v>44761</v>
      </c>
      <c r="B201" s="214">
        <v>184.82</v>
      </c>
      <c r="C201" s="216">
        <v>11668</v>
      </c>
    </row>
    <row r="202" spans="1:3" ht="15" x14ac:dyDescent="0.2">
      <c r="A202" s="218">
        <v>44762</v>
      </c>
      <c r="B202" s="214">
        <v>176.71</v>
      </c>
      <c r="C202" s="216">
        <v>9688</v>
      </c>
    </row>
    <row r="203" spans="1:3" ht="15" x14ac:dyDescent="0.2">
      <c r="A203" s="218">
        <v>44763</v>
      </c>
      <c r="B203" s="214">
        <v>178.42</v>
      </c>
      <c r="C203" s="216">
        <v>9229</v>
      </c>
    </row>
    <row r="204" spans="1:3" ht="15" x14ac:dyDescent="0.2">
      <c r="A204" s="218">
        <v>44764</v>
      </c>
      <c r="B204" s="214">
        <v>179.2</v>
      </c>
      <c r="C204" s="216">
        <v>8870</v>
      </c>
    </row>
    <row r="205" spans="1:3" ht="15" x14ac:dyDescent="0.2">
      <c r="A205" s="218">
        <v>44765</v>
      </c>
      <c r="B205" s="214">
        <v>185.05</v>
      </c>
      <c r="C205" s="216">
        <v>11408</v>
      </c>
    </row>
    <row r="206" spans="1:3" ht="15" x14ac:dyDescent="0.2">
      <c r="A206" s="218">
        <v>44766</v>
      </c>
      <c r="B206" s="214">
        <v>196.93</v>
      </c>
      <c r="C206" s="216">
        <v>11848</v>
      </c>
    </row>
    <row r="207" spans="1:3" ht="15" x14ac:dyDescent="0.2">
      <c r="A207" s="218">
        <v>44767</v>
      </c>
      <c r="B207" s="214">
        <v>256.95</v>
      </c>
      <c r="C207" s="216">
        <v>14644</v>
      </c>
    </row>
    <row r="208" spans="1:3" ht="15" x14ac:dyDescent="0.2">
      <c r="A208" s="218">
        <v>44768</v>
      </c>
      <c r="B208" s="214">
        <v>294.91000000000003</v>
      </c>
      <c r="C208" s="216">
        <v>23999</v>
      </c>
    </row>
    <row r="209" spans="1:3" ht="15" x14ac:dyDescent="0.2">
      <c r="A209" s="218">
        <v>44769</v>
      </c>
      <c r="B209" s="214">
        <v>315.48</v>
      </c>
      <c r="C209" s="216">
        <v>22865</v>
      </c>
    </row>
    <row r="210" spans="1:3" ht="15" x14ac:dyDescent="0.2">
      <c r="A210" s="218">
        <v>44770</v>
      </c>
      <c r="B210" s="214">
        <v>258.64999999999998</v>
      </c>
      <c r="C210" s="216">
        <v>13624</v>
      </c>
    </row>
    <row r="211" spans="1:3" ht="15" x14ac:dyDescent="0.2">
      <c r="A211" s="218">
        <v>44771</v>
      </c>
      <c r="B211" s="214">
        <v>252.65</v>
      </c>
      <c r="C211" s="216">
        <v>13596</v>
      </c>
    </row>
    <row r="212" spans="1:3" ht="15" x14ac:dyDescent="0.2">
      <c r="A212" s="218">
        <v>44772</v>
      </c>
      <c r="B212" s="214">
        <v>307.47000000000003</v>
      </c>
      <c r="C212" s="216">
        <v>17936</v>
      </c>
    </row>
    <row r="213" spans="1:3" ht="15" x14ac:dyDescent="0.2">
      <c r="A213" s="218">
        <v>44773</v>
      </c>
      <c r="B213" s="214">
        <v>292.20999999999998</v>
      </c>
      <c r="C213" s="216">
        <v>15236</v>
      </c>
    </row>
    <row r="214" spans="1:3" ht="15" x14ac:dyDescent="0.2">
      <c r="A214" s="218">
        <v>44774</v>
      </c>
      <c r="B214" s="214">
        <v>155.71</v>
      </c>
      <c r="C214" s="216">
        <v>3479</v>
      </c>
    </row>
    <row r="215" spans="1:3" ht="15" x14ac:dyDescent="0.2">
      <c r="A215" s="218">
        <v>44775</v>
      </c>
      <c r="B215" s="214">
        <v>152.68</v>
      </c>
      <c r="C215" s="216">
        <v>4522</v>
      </c>
    </row>
    <row r="216" spans="1:3" ht="15" x14ac:dyDescent="0.2">
      <c r="A216" s="218">
        <v>44776</v>
      </c>
      <c r="B216" s="214">
        <v>192.83</v>
      </c>
      <c r="C216" s="216">
        <v>8126</v>
      </c>
    </row>
    <row r="217" spans="1:3" ht="15" x14ac:dyDescent="0.2">
      <c r="A217" s="218">
        <v>44777</v>
      </c>
      <c r="B217" s="214">
        <v>247.93</v>
      </c>
      <c r="C217" s="216">
        <v>9796</v>
      </c>
    </row>
    <row r="218" spans="1:3" ht="15" x14ac:dyDescent="0.2">
      <c r="A218" s="218">
        <v>44778</v>
      </c>
      <c r="B218" s="214">
        <v>264.48</v>
      </c>
      <c r="C218" s="216">
        <v>11647</v>
      </c>
    </row>
    <row r="219" spans="1:3" ht="15" x14ac:dyDescent="0.2">
      <c r="A219" s="218">
        <v>44779</v>
      </c>
      <c r="B219" s="214">
        <v>286.88</v>
      </c>
      <c r="C219" s="216">
        <v>19640</v>
      </c>
    </row>
    <row r="220" spans="1:3" ht="15" x14ac:dyDescent="0.2">
      <c r="A220" s="218">
        <v>44780</v>
      </c>
      <c r="B220" s="214">
        <v>319.33999999999997</v>
      </c>
      <c r="C220" s="216">
        <v>19540</v>
      </c>
    </row>
    <row r="221" spans="1:3" ht="15" x14ac:dyDescent="0.2">
      <c r="A221" s="218">
        <v>44781</v>
      </c>
      <c r="B221" s="214">
        <v>301.77</v>
      </c>
      <c r="C221" s="216">
        <v>11208</v>
      </c>
    </row>
    <row r="222" spans="1:3" ht="15" x14ac:dyDescent="0.2">
      <c r="A222" s="218">
        <v>44782</v>
      </c>
      <c r="B222" s="214">
        <v>325.17</v>
      </c>
      <c r="C222" s="216">
        <v>12148</v>
      </c>
    </row>
    <row r="223" spans="1:3" ht="15" x14ac:dyDescent="0.2">
      <c r="A223" s="218">
        <v>44783</v>
      </c>
      <c r="B223" s="214">
        <v>424.33</v>
      </c>
      <c r="C223" s="216">
        <v>18852</v>
      </c>
    </row>
    <row r="224" spans="1:3" ht="15" x14ac:dyDescent="0.2">
      <c r="A224" s="218">
        <v>44784</v>
      </c>
      <c r="B224" s="214">
        <v>414.61</v>
      </c>
      <c r="C224" s="216">
        <v>17560</v>
      </c>
    </row>
    <row r="225" spans="1:3" ht="15" x14ac:dyDescent="0.2">
      <c r="A225" s="218">
        <v>44785</v>
      </c>
      <c r="B225" s="214">
        <v>461.32</v>
      </c>
      <c r="C225" s="216">
        <v>13404</v>
      </c>
    </row>
    <row r="226" spans="1:3" ht="15" x14ac:dyDescent="0.2">
      <c r="A226" s="218">
        <v>44786</v>
      </c>
      <c r="B226" s="214">
        <v>463.34</v>
      </c>
      <c r="C226" s="216">
        <v>17168</v>
      </c>
    </row>
    <row r="227" spans="1:3" ht="15" x14ac:dyDescent="0.2">
      <c r="A227" s="218">
        <v>44787</v>
      </c>
      <c r="B227" s="214">
        <v>692.64</v>
      </c>
      <c r="C227" s="216">
        <v>38232</v>
      </c>
    </row>
    <row r="228" spans="1:3" ht="15" x14ac:dyDescent="0.2">
      <c r="A228" s="218">
        <v>44788</v>
      </c>
      <c r="B228" s="214">
        <v>515.54999999999995</v>
      </c>
      <c r="C228" s="216">
        <v>27329</v>
      </c>
    </row>
    <row r="229" spans="1:3" ht="15" x14ac:dyDescent="0.2">
      <c r="A229" s="218">
        <v>44789</v>
      </c>
      <c r="B229" s="214">
        <v>281.76</v>
      </c>
      <c r="C229" s="216">
        <v>20440</v>
      </c>
    </row>
    <row r="230" spans="1:3" ht="15" x14ac:dyDescent="0.2">
      <c r="A230" s="218">
        <v>44790</v>
      </c>
      <c r="B230" s="214">
        <v>222.72</v>
      </c>
      <c r="C230" s="216">
        <v>13748</v>
      </c>
    </row>
    <row r="231" spans="1:3" ht="15" x14ac:dyDescent="0.2">
      <c r="A231" s="218">
        <v>44791</v>
      </c>
      <c r="B231" s="214">
        <v>222.81</v>
      </c>
      <c r="C231" s="216">
        <v>11392</v>
      </c>
    </row>
    <row r="232" spans="1:3" ht="15" x14ac:dyDescent="0.2">
      <c r="A232" s="218">
        <v>44792</v>
      </c>
      <c r="B232" s="214">
        <v>237.1</v>
      </c>
      <c r="C232" s="216">
        <v>10408</v>
      </c>
    </row>
    <row r="233" spans="1:3" ht="15" x14ac:dyDescent="0.2">
      <c r="A233" s="218">
        <v>44793</v>
      </c>
      <c r="B233" s="214">
        <v>248.33</v>
      </c>
      <c r="C233" s="216">
        <v>12396</v>
      </c>
    </row>
    <row r="234" spans="1:3" ht="15" x14ac:dyDescent="0.2">
      <c r="A234" s="218">
        <v>44794</v>
      </c>
      <c r="B234" s="214">
        <v>266.04000000000002</v>
      </c>
      <c r="C234" s="216">
        <v>14396</v>
      </c>
    </row>
    <row r="235" spans="1:3" ht="15" x14ac:dyDescent="0.2">
      <c r="A235" s="218">
        <v>44795</v>
      </c>
      <c r="B235" s="214">
        <v>270.12</v>
      </c>
      <c r="C235" s="216">
        <v>11496</v>
      </c>
    </row>
    <row r="236" spans="1:3" ht="15" x14ac:dyDescent="0.2">
      <c r="A236" s="218">
        <v>44796</v>
      </c>
      <c r="B236" s="214">
        <v>306.68</v>
      </c>
      <c r="C236" s="216">
        <v>24856</v>
      </c>
    </row>
    <row r="237" spans="1:3" ht="15" x14ac:dyDescent="0.2">
      <c r="A237" s="218">
        <v>44797</v>
      </c>
      <c r="B237" s="214">
        <v>375.56</v>
      </c>
      <c r="C237" s="216">
        <v>87168</v>
      </c>
    </row>
    <row r="238" spans="1:3" ht="15" x14ac:dyDescent="0.2">
      <c r="A238" s="218">
        <v>44798</v>
      </c>
      <c r="B238" s="214">
        <v>366.24</v>
      </c>
      <c r="C238" s="216">
        <v>81425</v>
      </c>
    </row>
    <row r="239" spans="1:3" ht="15" x14ac:dyDescent="0.2">
      <c r="A239" s="218">
        <v>44799</v>
      </c>
      <c r="B239" s="214">
        <v>315.93</v>
      </c>
      <c r="C239" s="216">
        <v>16696</v>
      </c>
    </row>
    <row r="240" spans="1:3" ht="15" x14ac:dyDescent="0.2">
      <c r="A240" s="218">
        <v>44800</v>
      </c>
      <c r="B240" s="214">
        <v>386.32</v>
      </c>
      <c r="C240" s="216">
        <v>30223</v>
      </c>
    </row>
    <row r="241" spans="1:3" ht="15" x14ac:dyDescent="0.2">
      <c r="A241" s="218">
        <v>44801</v>
      </c>
      <c r="B241" s="214">
        <v>408.55</v>
      </c>
      <c r="C241" s="216">
        <v>37544</v>
      </c>
    </row>
    <row r="242" spans="1:3" ht="15" x14ac:dyDescent="0.2">
      <c r="A242" s="218">
        <v>44802</v>
      </c>
      <c r="B242" s="214">
        <v>339.62</v>
      </c>
      <c r="C242" s="216">
        <v>22340</v>
      </c>
    </row>
    <row r="243" spans="1:3" ht="15" x14ac:dyDescent="0.2">
      <c r="A243" s="218">
        <v>44803</v>
      </c>
      <c r="B243" s="214">
        <v>302.16000000000003</v>
      </c>
      <c r="C243" s="216">
        <v>19748</v>
      </c>
    </row>
    <row r="244" spans="1:3" ht="15" x14ac:dyDescent="0.2">
      <c r="A244" s="218">
        <v>44804</v>
      </c>
      <c r="B244" s="214">
        <v>233.45</v>
      </c>
      <c r="C244" s="216">
        <v>13756</v>
      </c>
    </row>
    <row r="245" spans="1:3" ht="15" x14ac:dyDescent="0.2">
      <c r="A245" s="218">
        <v>44805</v>
      </c>
      <c r="B245" s="214">
        <v>236.92</v>
      </c>
      <c r="C245" s="216">
        <v>20176</v>
      </c>
    </row>
    <row r="246" spans="1:3" ht="15" x14ac:dyDescent="0.2">
      <c r="A246" s="218">
        <v>44806</v>
      </c>
      <c r="B246" s="214">
        <v>253.22</v>
      </c>
      <c r="C246" s="216">
        <v>31048</v>
      </c>
    </row>
    <row r="247" spans="1:3" ht="15" x14ac:dyDescent="0.2">
      <c r="A247" s="218">
        <v>44807</v>
      </c>
      <c r="B247" s="214">
        <v>274.77999999999997</v>
      </c>
      <c r="C247" s="216">
        <v>56160</v>
      </c>
    </row>
    <row r="248" spans="1:3" ht="15" x14ac:dyDescent="0.2">
      <c r="A248" s="218">
        <v>44808</v>
      </c>
      <c r="B248" s="214">
        <v>290.38</v>
      </c>
      <c r="C248" s="216">
        <v>58272</v>
      </c>
    </row>
    <row r="249" spans="1:3" ht="15" x14ac:dyDescent="0.2">
      <c r="A249" s="218">
        <v>44809</v>
      </c>
      <c r="B249" s="214">
        <v>231.09</v>
      </c>
      <c r="C249" s="216">
        <v>41976</v>
      </c>
    </row>
    <row r="250" spans="1:3" ht="15" x14ac:dyDescent="0.2">
      <c r="A250" s="218">
        <v>44810</v>
      </c>
      <c r="B250" s="214">
        <v>221.62</v>
      </c>
      <c r="C250" s="216">
        <v>32511</v>
      </c>
    </row>
    <row r="251" spans="1:3" ht="15" x14ac:dyDescent="0.2">
      <c r="A251" s="218">
        <v>44811</v>
      </c>
      <c r="B251" s="214">
        <v>165.66</v>
      </c>
      <c r="C251" s="216">
        <v>10331</v>
      </c>
    </row>
    <row r="252" spans="1:3" ht="15" x14ac:dyDescent="0.2">
      <c r="A252" s="218">
        <v>44812</v>
      </c>
      <c r="B252" s="214">
        <v>226.72</v>
      </c>
      <c r="C252" s="216">
        <v>13804</v>
      </c>
    </row>
    <row r="253" spans="1:3" ht="15" x14ac:dyDescent="0.2">
      <c r="A253" s="218">
        <v>44813</v>
      </c>
      <c r="B253" s="214">
        <v>232.72</v>
      </c>
      <c r="C253" s="216">
        <v>13406</v>
      </c>
    </row>
    <row r="254" spans="1:3" ht="15" x14ac:dyDescent="0.2">
      <c r="A254" s="218">
        <v>44814</v>
      </c>
      <c r="B254" s="214">
        <v>244.58</v>
      </c>
      <c r="C254" s="216">
        <v>15664</v>
      </c>
    </row>
    <row r="255" spans="1:3" ht="15" x14ac:dyDescent="0.2">
      <c r="A255" s="218">
        <v>44815</v>
      </c>
      <c r="B255" s="214">
        <v>254.05</v>
      </c>
      <c r="C255" s="216">
        <v>17408</v>
      </c>
    </row>
    <row r="256" spans="1:3" ht="15" x14ac:dyDescent="0.2">
      <c r="A256" s="218">
        <v>44816</v>
      </c>
      <c r="B256" s="214">
        <v>251.97</v>
      </c>
      <c r="C256" s="216">
        <v>12477</v>
      </c>
    </row>
    <row r="257" spans="1:3" ht="15" x14ac:dyDescent="0.2">
      <c r="A257" s="218">
        <v>44817</v>
      </c>
      <c r="B257" s="214">
        <v>242.57</v>
      </c>
      <c r="C257" s="216">
        <v>13919</v>
      </c>
    </row>
    <row r="258" spans="1:3" ht="15" x14ac:dyDescent="0.2">
      <c r="A258" s="218">
        <v>44818</v>
      </c>
      <c r="B258" s="214">
        <v>224.43</v>
      </c>
      <c r="C258" s="216">
        <v>11780</v>
      </c>
    </row>
    <row r="259" spans="1:3" ht="15" x14ac:dyDescent="0.2">
      <c r="A259" s="218">
        <v>44819</v>
      </c>
      <c r="B259" s="214">
        <v>242.51</v>
      </c>
      <c r="C259" s="216">
        <v>13648</v>
      </c>
    </row>
    <row r="260" spans="1:3" ht="15" x14ac:dyDescent="0.2">
      <c r="A260" s="218">
        <v>44820</v>
      </c>
      <c r="B260" s="214">
        <v>262</v>
      </c>
      <c r="C260" s="216">
        <v>24808</v>
      </c>
    </row>
    <row r="261" spans="1:3" ht="15" x14ac:dyDescent="0.2">
      <c r="A261" s="218">
        <v>44821</v>
      </c>
      <c r="B261" s="214">
        <v>276.58999999999997</v>
      </c>
      <c r="C261" s="216">
        <v>31272</v>
      </c>
    </row>
    <row r="262" spans="1:3" ht="15" x14ac:dyDescent="0.2">
      <c r="A262" s="218">
        <v>44822</v>
      </c>
      <c r="B262" s="214">
        <v>293.64999999999998</v>
      </c>
      <c r="C262" s="216">
        <v>31256</v>
      </c>
    </row>
    <row r="263" spans="1:3" ht="15" x14ac:dyDescent="0.2">
      <c r="A263" s="218">
        <v>44823</v>
      </c>
      <c r="B263" s="214">
        <v>316.02</v>
      </c>
      <c r="C263" s="216">
        <v>21552</v>
      </c>
    </row>
    <row r="264" spans="1:3" ht="15" x14ac:dyDescent="0.2">
      <c r="A264" s="218">
        <v>44824</v>
      </c>
      <c r="B264" s="214">
        <v>316.97000000000003</v>
      </c>
      <c r="C264" s="216">
        <v>23669</v>
      </c>
    </row>
    <row r="265" spans="1:3" ht="15" x14ac:dyDescent="0.2">
      <c r="A265" s="218">
        <v>44825</v>
      </c>
      <c r="B265" s="214">
        <v>346.04</v>
      </c>
      <c r="C265" s="216">
        <v>23128</v>
      </c>
    </row>
    <row r="266" spans="1:3" ht="15" x14ac:dyDescent="0.2">
      <c r="A266" s="218">
        <v>44826</v>
      </c>
      <c r="B266" s="214">
        <v>278.83</v>
      </c>
      <c r="C266" s="216">
        <v>12727</v>
      </c>
    </row>
    <row r="267" spans="1:3" ht="15" x14ac:dyDescent="0.2">
      <c r="A267" s="218">
        <v>44827</v>
      </c>
      <c r="B267" s="214">
        <v>209.01</v>
      </c>
      <c r="C267" s="216">
        <v>8192</v>
      </c>
    </row>
    <row r="268" spans="1:3" ht="15" x14ac:dyDescent="0.2">
      <c r="A268" s="218">
        <v>44828</v>
      </c>
      <c r="B268" s="214">
        <v>208.77</v>
      </c>
      <c r="C268" s="216">
        <v>7378</v>
      </c>
    </row>
    <row r="269" spans="1:3" ht="15" x14ac:dyDescent="0.2">
      <c r="A269" s="218">
        <v>44829</v>
      </c>
      <c r="B269" s="214">
        <v>228.14</v>
      </c>
      <c r="C269" s="216">
        <v>9378</v>
      </c>
    </row>
    <row r="270" spans="1:3" ht="15" x14ac:dyDescent="0.2">
      <c r="A270" s="218">
        <v>44830</v>
      </c>
      <c r="B270" s="214">
        <v>332.97</v>
      </c>
      <c r="C270" s="216">
        <v>10872</v>
      </c>
    </row>
    <row r="271" spans="1:3" ht="15" x14ac:dyDescent="0.2">
      <c r="A271" s="218">
        <v>44831</v>
      </c>
      <c r="B271" s="214">
        <v>271.23</v>
      </c>
      <c r="C271" s="216">
        <v>11297</v>
      </c>
    </row>
    <row r="272" spans="1:3" ht="15" x14ac:dyDescent="0.2">
      <c r="A272" s="218">
        <v>44832</v>
      </c>
      <c r="B272" s="214">
        <v>473.8</v>
      </c>
      <c r="C272" s="216">
        <v>32859</v>
      </c>
    </row>
    <row r="273" spans="1:3" ht="15" x14ac:dyDescent="0.2">
      <c r="A273" s="218">
        <v>44833</v>
      </c>
      <c r="B273" s="214">
        <v>640.62</v>
      </c>
      <c r="C273" s="216">
        <v>60863</v>
      </c>
    </row>
    <row r="274" spans="1:3" ht="15" x14ac:dyDescent="0.2">
      <c r="A274" s="218">
        <v>44834</v>
      </c>
      <c r="B274" s="214">
        <v>738.25</v>
      </c>
      <c r="C274" s="216">
        <v>70495</v>
      </c>
    </row>
    <row r="275" spans="1:3" ht="15" x14ac:dyDescent="0.2">
      <c r="A275" s="218">
        <v>44835</v>
      </c>
      <c r="B275" s="214">
        <v>299.42</v>
      </c>
      <c r="C275" s="216">
        <v>23152</v>
      </c>
    </row>
    <row r="276" spans="1:3" ht="15" x14ac:dyDescent="0.2">
      <c r="A276" s="218">
        <v>44836</v>
      </c>
      <c r="B276" s="214">
        <v>253.65</v>
      </c>
      <c r="C276" s="216">
        <v>26447</v>
      </c>
    </row>
    <row r="277" spans="1:3" ht="15" x14ac:dyDescent="0.2">
      <c r="A277" s="218">
        <v>44837</v>
      </c>
      <c r="B277" s="214">
        <v>218.19</v>
      </c>
      <c r="C277" s="216">
        <v>9802</v>
      </c>
    </row>
    <row r="278" spans="1:3" ht="15" x14ac:dyDescent="0.2">
      <c r="A278" s="218">
        <v>44838</v>
      </c>
      <c r="B278" s="214">
        <v>219.47</v>
      </c>
      <c r="C278" s="216">
        <v>7834</v>
      </c>
    </row>
    <row r="279" spans="1:3" ht="15" x14ac:dyDescent="0.2">
      <c r="A279" s="218">
        <v>44839</v>
      </c>
      <c r="B279" s="214">
        <v>283.8</v>
      </c>
      <c r="C279" s="216">
        <v>16010</v>
      </c>
    </row>
    <row r="280" spans="1:3" ht="15" x14ac:dyDescent="0.2">
      <c r="A280" s="218">
        <v>44840</v>
      </c>
      <c r="B280" s="214">
        <v>329.13</v>
      </c>
      <c r="C280" s="216">
        <v>18588</v>
      </c>
    </row>
    <row r="281" spans="1:3" ht="15" x14ac:dyDescent="0.2">
      <c r="A281" s="218">
        <v>44841</v>
      </c>
      <c r="B281" s="214">
        <v>330.01</v>
      </c>
      <c r="C281" s="216">
        <v>10692</v>
      </c>
    </row>
    <row r="282" spans="1:3" ht="15" x14ac:dyDescent="0.2">
      <c r="A282" s="218">
        <v>44842</v>
      </c>
      <c r="B282" s="214">
        <v>326.76</v>
      </c>
      <c r="C282" s="216">
        <v>14172</v>
      </c>
    </row>
    <row r="283" spans="1:3" ht="15" x14ac:dyDescent="0.2">
      <c r="A283" s="218">
        <v>44843</v>
      </c>
      <c r="B283" s="214">
        <v>370.39</v>
      </c>
      <c r="C283" s="216">
        <v>17312</v>
      </c>
    </row>
    <row r="284" spans="1:3" ht="15" x14ac:dyDescent="0.2">
      <c r="A284" s="218">
        <v>44844</v>
      </c>
      <c r="B284" s="214">
        <v>350.45</v>
      </c>
      <c r="C284" s="216">
        <v>12657</v>
      </c>
    </row>
    <row r="285" spans="1:3" ht="15" x14ac:dyDescent="0.2">
      <c r="A285" s="218">
        <v>44845</v>
      </c>
      <c r="B285" s="214">
        <v>271.02</v>
      </c>
      <c r="C285" s="216">
        <v>9704</v>
      </c>
    </row>
    <row r="286" spans="1:3" ht="15" x14ac:dyDescent="0.2">
      <c r="A286" s="218">
        <v>44846</v>
      </c>
      <c r="B286" s="214">
        <v>266.32</v>
      </c>
      <c r="C286" s="216">
        <v>13720</v>
      </c>
    </row>
    <row r="287" spans="1:3" ht="15" x14ac:dyDescent="0.2">
      <c r="A287" s="218">
        <v>44847</v>
      </c>
      <c r="B287" s="214">
        <v>273.95999999999998</v>
      </c>
      <c r="C287" s="216">
        <v>11184</v>
      </c>
    </row>
    <row r="288" spans="1:3" ht="15" x14ac:dyDescent="0.2">
      <c r="A288" s="218">
        <v>44848</v>
      </c>
      <c r="B288" s="214">
        <v>326.56</v>
      </c>
      <c r="C288" s="216">
        <v>23352</v>
      </c>
    </row>
    <row r="289" spans="1:3" ht="15" x14ac:dyDescent="0.2">
      <c r="A289" s="218">
        <v>44849</v>
      </c>
      <c r="B289" s="214">
        <v>403.17</v>
      </c>
      <c r="C289" s="216">
        <v>50384</v>
      </c>
    </row>
    <row r="290" spans="1:3" ht="15" x14ac:dyDescent="0.2">
      <c r="A290" s="218">
        <v>44850</v>
      </c>
      <c r="B290" s="214">
        <v>452.86</v>
      </c>
      <c r="C290" s="216">
        <v>55600</v>
      </c>
    </row>
    <row r="291" spans="1:3" ht="15" x14ac:dyDescent="0.2">
      <c r="A291" s="218">
        <v>44851</v>
      </c>
      <c r="B291" s="214">
        <v>451.51</v>
      </c>
      <c r="C291" s="216">
        <v>38880</v>
      </c>
    </row>
    <row r="292" spans="1:3" ht="15" x14ac:dyDescent="0.2">
      <c r="A292" s="218">
        <v>44852</v>
      </c>
      <c r="B292" s="214">
        <v>418.6</v>
      </c>
      <c r="C292" s="216">
        <v>19194</v>
      </c>
    </row>
    <row r="293" spans="1:3" ht="15" x14ac:dyDescent="0.2">
      <c r="A293" s="218">
        <v>44853</v>
      </c>
      <c r="B293" s="214">
        <v>429.5</v>
      </c>
      <c r="C293" s="216">
        <v>17833</v>
      </c>
    </row>
    <row r="294" spans="1:3" ht="15" x14ac:dyDescent="0.2">
      <c r="A294" s="218">
        <v>44854</v>
      </c>
      <c r="B294" s="214">
        <v>407.83</v>
      </c>
      <c r="C294" s="216">
        <v>20009</v>
      </c>
    </row>
    <row r="295" spans="1:3" ht="15" x14ac:dyDescent="0.2">
      <c r="A295" s="218">
        <v>44855</v>
      </c>
      <c r="B295" s="214">
        <v>359.57</v>
      </c>
      <c r="C295" s="216">
        <v>17420</v>
      </c>
    </row>
    <row r="296" spans="1:3" ht="15" x14ac:dyDescent="0.2">
      <c r="A296" s="218">
        <v>44856</v>
      </c>
      <c r="B296" s="214">
        <v>386.51</v>
      </c>
      <c r="C296" s="216">
        <v>23231</v>
      </c>
    </row>
    <row r="297" spans="1:3" ht="15" x14ac:dyDescent="0.2">
      <c r="A297" s="218">
        <v>44857</v>
      </c>
      <c r="B297" s="214">
        <v>336.37</v>
      </c>
      <c r="C297" s="216">
        <v>24616</v>
      </c>
    </row>
    <row r="298" spans="1:3" ht="15" x14ac:dyDescent="0.2">
      <c r="A298" s="218">
        <v>44858</v>
      </c>
      <c r="B298" s="214">
        <v>241.49</v>
      </c>
      <c r="C298" s="216">
        <v>11032</v>
      </c>
    </row>
    <row r="299" spans="1:3" ht="15" x14ac:dyDescent="0.2">
      <c r="A299" s="218">
        <v>44859</v>
      </c>
      <c r="B299" s="214">
        <v>240.03</v>
      </c>
      <c r="C299" s="216">
        <v>10832</v>
      </c>
    </row>
    <row r="300" spans="1:3" ht="15" x14ac:dyDescent="0.2">
      <c r="A300" s="218">
        <v>44860</v>
      </c>
      <c r="B300" s="214">
        <v>242.58</v>
      </c>
      <c r="C300" s="216">
        <v>10576</v>
      </c>
    </row>
    <row r="301" spans="1:3" ht="15" x14ac:dyDescent="0.2">
      <c r="A301" s="218">
        <v>44861</v>
      </c>
      <c r="B301" s="214">
        <v>243.61</v>
      </c>
      <c r="C301" s="216">
        <v>10736</v>
      </c>
    </row>
    <row r="302" spans="1:3" ht="15" x14ac:dyDescent="0.2">
      <c r="A302" s="218">
        <v>44862</v>
      </c>
      <c r="B302" s="214">
        <v>327.42</v>
      </c>
      <c r="C302" s="216">
        <v>25456</v>
      </c>
    </row>
    <row r="303" spans="1:3" ht="15" x14ac:dyDescent="0.2">
      <c r="A303" s="218">
        <v>44863</v>
      </c>
      <c r="B303" s="214">
        <v>398.77</v>
      </c>
      <c r="C303" s="216">
        <v>43609</v>
      </c>
    </row>
    <row r="304" spans="1:3" ht="15" x14ac:dyDescent="0.2">
      <c r="A304" s="218">
        <v>44864</v>
      </c>
      <c r="B304" s="214">
        <v>444.51</v>
      </c>
      <c r="C304" s="216">
        <v>63281</v>
      </c>
    </row>
    <row r="305" spans="1:3" ht="15" x14ac:dyDescent="0.2">
      <c r="A305" s="218">
        <v>44865</v>
      </c>
      <c r="B305" s="214">
        <v>356.85</v>
      </c>
      <c r="C305" s="216">
        <v>37704</v>
      </c>
    </row>
    <row r="306" spans="1:3" ht="15" x14ac:dyDescent="0.2">
      <c r="A306" s="218">
        <v>44866</v>
      </c>
      <c r="B306" s="214">
        <v>380.52</v>
      </c>
      <c r="C306" s="216">
        <v>40969</v>
      </c>
    </row>
    <row r="307" spans="1:3" ht="15" x14ac:dyDescent="0.2">
      <c r="A307" s="218">
        <v>44867</v>
      </c>
      <c r="B307" s="214">
        <v>418.28</v>
      </c>
      <c r="C307" s="216">
        <v>53473</v>
      </c>
    </row>
    <row r="308" spans="1:3" ht="15" x14ac:dyDescent="0.2">
      <c r="A308" s="218">
        <v>44868</v>
      </c>
      <c r="B308" s="214">
        <v>311.74</v>
      </c>
      <c r="C308" s="216">
        <v>50193</v>
      </c>
    </row>
    <row r="309" spans="1:3" ht="15" x14ac:dyDescent="0.2">
      <c r="A309" s="218">
        <v>44869</v>
      </c>
      <c r="B309" s="214">
        <v>331.8</v>
      </c>
      <c r="C309" s="216">
        <v>59904</v>
      </c>
    </row>
    <row r="310" spans="1:3" ht="15" x14ac:dyDescent="0.2">
      <c r="A310" s="218">
        <v>44870</v>
      </c>
      <c r="B310" s="214">
        <v>327.25</v>
      </c>
      <c r="C310" s="216">
        <v>54897</v>
      </c>
    </row>
    <row r="311" spans="1:3" ht="15" x14ac:dyDescent="0.2">
      <c r="A311" s="218">
        <v>44871</v>
      </c>
      <c r="B311" s="214">
        <v>317.57</v>
      </c>
      <c r="C311" s="216">
        <v>25592</v>
      </c>
    </row>
    <row r="312" spans="1:3" ht="15" x14ac:dyDescent="0.2">
      <c r="A312" s="218">
        <v>44872</v>
      </c>
      <c r="B312" s="214">
        <v>323.11</v>
      </c>
      <c r="C312" s="216">
        <v>13392</v>
      </c>
    </row>
    <row r="313" spans="1:3" ht="15" x14ac:dyDescent="0.2">
      <c r="A313" s="218">
        <v>44873</v>
      </c>
      <c r="B313" s="214">
        <v>329.47</v>
      </c>
      <c r="C313" s="216">
        <v>25991</v>
      </c>
    </row>
    <row r="314" spans="1:3" ht="15" x14ac:dyDescent="0.2">
      <c r="A314" s="218">
        <v>44874</v>
      </c>
      <c r="B314" s="214">
        <v>379.26</v>
      </c>
      <c r="C314" s="216">
        <v>32103</v>
      </c>
    </row>
    <row r="315" spans="1:3" ht="15" x14ac:dyDescent="0.2">
      <c r="A315" s="218">
        <v>44875</v>
      </c>
      <c r="B315" s="214">
        <v>361.06</v>
      </c>
      <c r="C315" s="216">
        <v>28097</v>
      </c>
    </row>
    <row r="316" spans="1:3" ht="15" x14ac:dyDescent="0.2">
      <c r="A316" s="218">
        <v>44876</v>
      </c>
      <c r="B316" s="214">
        <v>360.45</v>
      </c>
      <c r="C316" s="216">
        <v>28448</v>
      </c>
    </row>
    <row r="317" spans="1:3" ht="15" x14ac:dyDescent="0.2">
      <c r="A317" s="218">
        <v>44877</v>
      </c>
      <c r="B317" s="214">
        <v>369.87</v>
      </c>
      <c r="C317" s="216">
        <v>38104</v>
      </c>
    </row>
    <row r="318" spans="1:3" ht="15" x14ac:dyDescent="0.2">
      <c r="A318" s="218">
        <v>44878</v>
      </c>
      <c r="B318" s="214">
        <v>361.69</v>
      </c>
      <c r="C318" s="216">
        <v>22514</v>
      </c>
    </row>
    <row r="319" spans="1:3" ht="15" x14ac:dyDescent="0.2">
      <c r="A319" s="218">
        <v>44879</v>
      </c>
      <c r="B319" s="214">
        <v>339.51</v>
      </c>
      <c r="C319" s="216">
        <v>16255</v>
      </c>
    </row>
    <row r="320" spans="1:3" ht="15" x14ac:dyDescent="0.2">
      <c r="A320" s="218">
        <v>44880</v>
      </c>
      <c r="B320" s="214">
        <v>294.60000000000002</v>
      </c>
      <c r="C320" s="216">
        <v>17104</v>
      </c>
    </row>
    <row r="321" spans="1:3" ht="15" x14ac:dyDescent="0.2">
      <c r="A321" s="218">
        <v>44881</v>
      </c>
      <c r="B321" s="214">
        <v>193.28</v>
      </c>
      <c r="C321" s="216">
        <v>7237</v>
      </c>
    </row>
    <row r="322" spans="1:3" ht="15" x14ac:dyDescent="0.2">
      <c r="A322" s="218">
        <v>44882</v>
      </c>
      <c r="B322" s="214">
        <v>209.84</v>
      </c>
      <c r="C322" s="216">
        <v>19445</v>
      </c>
    </row>
    <row r="323" spans="1:3" ht="15" x14ac:dyDescent="0.2">
      <c r="A323" s="218">
        <v>44883</v>
      </c>
      <c r="B323" s="214">
        <v>320.29000000000002</v>
      </c>
      <c r="C323" s="216">
        <v>65201</v>
      </c>
    </row>
    <row r="324" spans="1:3" ht="15" x14ac:dyDescent="0.2">
      <c r="A324" s="218">
        <v>44884</v>
      </c>
      <c r="B324" s="214">
        <v>432.67</v>
      </c>
      <c r="C324" s="216">
        <v>109121</v>
      </c>
    </row>
    <row r="325" spans="1:3" ht="15" x14ac:dyDescent="0.2">
      <c r="A325" s="218">
        <v>44885</v>
      </c>
      <c r="B325" s="214">
        <v>446.49</v>
      </c>
      <c r="C325" s="216">
        <v>120192</v>
      </c>
    </row>
    <row r="326" spans="1:3" ht="15" x14ac:dyDescent="0.2">
      <c r="A326" s="218">
        <v>44886</v>
      </c>
      <c r="B326" s="214">
        <v>372.3</v>
      </c>
      <c r="C326" s="216">
        <v>23592</v>
      </c>
    </row>
    <row r="327" spans="1:3" ht="15" x14ac:dyDescent="0.2">
      <c r="A327" s="218">
        <v>44887</v>
      </c>
      <c r="B327" s="214">
        <v>395.14</v>
      </c>
      <c r="C327" s="216">
        <v>9572</v>
      </c>
    </row>
    <row r="328" spans="1:3" ht="15" x14ac:dyDescent="0.2">
      <c r="A328" s="218">
        <v>44888</v>
      </c>
      <c r="B328" s="214">
        <v>384.7</v>
      </c>
      <c r="C328" s="216">
        <v>10944</v>
      </c>
    </row>
    <row r="329" spans="1:3" ht="15" x14ac:dyDescent="0.2">
      <c r="A329" s="218">
        <v>44889</v>
      </c>
      <c r="B329" s="214">
        <v>382.23</v>
      </c>
      <c r="C329" s="216">
        <v>10531</v>
      </c>
    </row>
    <row r="330" spans="1:3" ht="15" x14ac:dyDescent="0.2">
      <c r="A330" s="218">
        <v>44890</v>
      </c>
      <c r="B330" s="214">
        <v>538.67999999999995</v>
      </c>
      <c r="C330" s="216">
        <v>9052</v>
      </c>
    </row>
    <row r="331" spans="1:3" ht="15" x14ac:dyDescent="0.2">
      <c r="A331" s="218">
        <v>44891</v>
      </c>
      <c r="B331" s="214">
        <v>623.27</v>
      </c>
      <c r="C331" s="216">
        <v>22356</v>
      </c>
    </row>
    <row r="332" spans="1:3" ht="15" x14ac:dyDescent="0.2">
      <c r="A332" s="218">
        <v>44892</v>
      </c>
      <c r="B332" s="214">
        <v>596.04999999999995</v>
      </c>
      <c r="C332" s="216">
        <v>24560</v>
      </c>
    </row>
    <row r="333" spans="1:3" ht="15" x14ac:dyDescent="0.2">
      <c r="A333" s="218">
        <v>44893</v>
      </c>
      <c r="B333" s="214">
        <v>363.59</v>
      </c>
      <c r="C333" s="216">
        <v>11809</v>
      </c>
    </row>
    <row r="334" spans="1:3" ht="15" x14ac:dyDescent="0.2">
      <c r="A334" s="218">
        <v>44894</v>
      </c>
      <c r="B334" s="214">
        <v>295.63</v>
      </c>
      <c r="C334" s="216">
        <v>10546</v>
      </c>
    </row>
    <row r="335" spans="1:3" ht="15" x14ac:dyDescent="0.2">
      <c r="A335" s="218">
        <v>44895</v>
      </c>
      <c r="B335" s="214">
        <v>193.4</v>
      </c>
      <c r="C335" s="216">
        <v>3498</v>
      </c>
    </row>
    <row r="336" spans="1:3" ht="15" x14ac:dyDescent="0.2">
      <c r="A336" s="218">
        <v>44896</v>
      </c>
      <c r="B336" s="214">
        <v>190.03</v>
      </c>
      <c r="C336" s="216">
        <v>4311</v>
      </c>
    </row>
    <row r="337" spans="1:3" ht="15" x14ac:dyDescent="0.2">
      <c r="A337" s="218">
        <v>44897</v>
      </c>
      <c r="B337" s="214">
        <v>199.15</v>
      </c>
      <c r="C337" s="216">
        <v>6340</v>
      </c>
    </row>
    <row r="338" spans="1:3" ht="15" x14ac:dyDescent="0.2">
      <c r="A338" s="218">
        <v>44898</v>
      </c>
      <c r="B338" s="214">
        <v>222.52</v>
      </c>
      <c r="C338" s="216">
        <v>9904</v>
      </c>
    </row>
    <row r="339" spans="1:3" ht="15" x14ac:dyDescent="0.2">
      <c r="A339" s="218">
        <v>44899</v>
      </c>
      <c r="B339" s="214">
        <v>236.52</v>
      </c>
      <c r="C339" s="216">
        <v>9542</v>
      </c>
    </row>
    <row r="340" spans="1:3" ht="15" x14ac:dyDescent="0.2">
      <c r="A340" s="218">
        <v>44900</v>
      </c>
      <c r="B340" s="214">
        <v>296.25</v>
      </c>
      <c r="C340" s="216">
        <v>8898</v>
      </c>
    </row>
    <row r="341" spans="1:3" ht="15" x14ac:dyDescent="0.2">
      <c r="A341" s="218">
        <v>44901</v>
      </c>
      <c r="B341" s="214">
        <v>213.29</v>
      </c>
      <c r="C341" s="216">
        <v>4168</v>
      </c>
    </row>
    <row r="342" spans="1:3" ht="15" x14ac:dyDescent="0.2">
      <c r="A342" s="218">
        <v>44902</v>
      </c>
      <c r="B342" s="214">
        <v>223.73</v>
      </c>
      <c r="C342" s="216">
        <v>4911</v>
      </c>
    </row>
    <row r="343" spans="1:3" ht="15" x14ac:dyDescent="0.2">
      <c r="A343" s="218">
        <v>44903</v>
      </c>
      <c r="B343" s="214">
        <v>247.79</v>
      </c>
      <c r="C343" s="216">
        <v>7133</v>
      </c>
    </row>
    <row r="344" spans="1:3" ht="15" x14ac:dyDescent="0.2">
      <c r="A344" s="218">
        <v>44904</v>
      </c>
      <c r="B344" s="214">
        <v>263.82</v>
      </c>
      <c r="C344" s="216">
        <v>12384</v>
      </c>
    </row>
    <row r="345" spans="1:3" ht="15" x14ac:dyDescent="0.2">
      <c r="A345" s="218">
        <v>44905</v>
      </c>
      <c r="B345" s="214">
        <v>293.51</v>
      </c>
      <c r="C345" s="216">
        <v>17256</v>
      </c>
    </row>
    <row r="346" spans="1:3" ht="15" x14ac:dyDescent="0.2">
      <c r="A346" s="218">
        <v>44906</v>
      </c>
      <c r="B346" s="214">
        <v>320.2</v>
      </c>
      <c r="C346" s="216">
        <v>15876</v>
      </c>
    </row>
    <row r="347" spans="1:3" ht="15" x14ac:dyDescent="0.2">
      <c r="A347" s="218">
        <v>44907</v>
      </c>
      <c r="B347" s="214">
        <v>310.33999999999997</v>
      </c>
      <c r="C347" s="216">
        <v>9822</v>
      </c>
    </row>
    <row r="348" spans="1:3" ht="15" x14ac:dyDescent="0.2">
      <c r="A348" s="218">
        <v>44908</v>
      </c>
      <c r="B348" s="214">
        <v>299.72000000000003</v>
      </c>
      <c r="C348" s="216">
        <v>17720</v>
      </c>
    </row>
    <row r="349" spans="1:3" ht="15" x14ac:dyDescent="0.2">
      <c r="A349" s="218">
        <v>44909</v>
      </c>
      <c r="B349" s="214">
        <v>350.28</v>
      </c>
      <c r="C349" s="216">
        <v>34012</v>
      </c>
    </row>
    <row r="350" spans="1:3" ht="15" x14ac:dyDescent="0.2">
      <c r="A350" s="218">
        <v>44910</v>
      </c>
      <c r="B350" s="214">
        <v>400.58</v>
      </c>
      <c r="C350" s="216">
        <v>39471</v>
      </c>
    </row>
    <row r="351" spans="1:3" ht="15" x14ac:dyDescent="0.2">
      <c r="A351" s="218">
        <v>44911</v>
      </c>
      <c r="B351" s="214">
        <v>436.76</v>
      </c>
      <c r="C351" s="216">
        <v>32592</v>
      </c>
    </row>
    <row r="352" spans="1:3" ht="15" x14ac:dyDescent="0.2">
      <c r="A352" s="218">
        <v>44912</v>
      </c>
      <c r="B352" s="214">
        <v>473.73</v>
      </c>
      <c r="C352" s="216">
        <v>41304</v>
      </c>
    </row>
    <row r="353" spans="1:3" ht="15" x14ac:dyDescent="0.2">
      <c r="A353" s="218">
        <v>44913</v>
      </c>
      <c r="B353" s="214">
        <v>516.66</v>
      </c>
      <c r="C353" s="216">
        <v>43952</v>
      </c>
    </row>
    <row r="354" spans="1:3" ht="15" x14ac:dyDescent="0.2">
      <c r="A354" s="218">
        <v>44914</v>
      </c>
      <c r="B354" s="214">
        <v>565.73</v>
      </c>
      <c r="C354" s="216">
        <v>43265</v>
      </c>
    </row>
    <row r="355" spans="1:3" ht="15" x14ac:dyDescent="0.2">
      <c r="A355" s="218">
        <v>44915</v>
      </c>
      <c r="B355" s="214">
        <v>552.70000000000005</v>
      </c>
      <c r="C355" s="216">
        <v>51104</v>
      </c>
    </row>
    <row r="356" spans="1:3" ht="15" x14ac:dyDescent="0.2">
      <c r="A356" s="218">
        <v>44916</v>
      </c>
      <c r="B356" s="214">
        <v>558.57000000000005</v>
      </c>
      <c r="C356" s="216">
        <v>62560</v>
      </c>
    </row>
    <row r="357" spans="1:3" ht="15" x14ac:dyDescent="0.2">
      <c r="A357" s="218">
        <v>44917</v>
      </c>
      <c r="B357" s="214">
        <v>878.07</v>
      </c>
      <c r="C357" s="216">
        <v>79024</v>
      </c>
    </row>
    <row r="358" spans="1:3" ht="15" x14ac:dyDescent="0.2">
      <c r="A358" s="218">
        <v>44918</v>
      </c>
      <c r="B358" s="214">
        <v>897.19</v>
      </c>
      <c r="C358" s="216">
        <v>76400</v>
      </c>
    </row>
    <row r="359" spans="1:3" ht="15" x14ac:dyDescent="0.2">
      <c r="A359" s="218">
        <v>44919</v>
      </c>
      <c r="B359" s="214">
        <v>647.97</v>
      </c>
      <c r="C359" s="216">
        <v>55024</v>
      </c>
    </row>
    <row r="360" spans="1:3" ht="15" x14ac:dyDescent="0.2">
      <c r="A360" s="218">
        <v>44920</v>
      </c>
      <c r="B360" s="214">
        <v>345.18</v>
      </c>
      <c r="C360" s="216">
        <v>29376</v>
      </c>
    </row>
    <row r="361" spans="1:3" ht="15" x14ac:dyDescent="0.2">
      <c r="A361" s="218">
        <v>44921</v>
      </c>
      <c r="B361" s="214">
        <v>285.95</v>
      </c>
      <c r="C361" s="216">
        <v>20476</v>
      </c>
    </row>
    <row r="362" spans="1:3" ht="15" x14ac:dyDescent="0.2">
      <c r="A362" s="218">
        <v>44922</v>
      </c>
      <c r="B362" s="214">
        <v>240.4</v>
      </c>
      <c r="C362" s="216">
        <v>16928</v>
      </c>
    </row>
    <row r="363" spans="1:3" ht="15" x14ac:dyDescent="0.2">
      <c r="A363" s="218">
        <v>44923</v>
      </c>
      <c r="B363" s="214">
        <v>214.74</v>
      </c>
      <c r="C363" s="216">
        <v>18860</v>
      </c>
    </row>
    <row r="364" spans="1:3" ht="15" x14ac:dyDescent="0.2">
      <c r="A364" s="218">
        <v>44924</v>
      </c>
      <c r="B364" s="214">
        <v>181.59</v>
      </c>
      <c r="C364" s="216">
        <v>18688</v>
      </c>
    </row>
    <row r="365" spans="1:3" ht="15" x14ac:dyDescent="0.2">
      <c r="A365" s="218">
        <v>44925</v>
      </c>
      <c r="B365" s="214">
        <v>158.79</v>
      </c>
      <c r="C365" s="216">
        <v>16604</v>
      </c>
    </row>
    <row r="366" spans="1:3" ht="15" x14ac:dyDescent="0.2">
      <c r="A366" s="218">
        <v>44926</v>
      </c>
      <c r="B366" s="214">
        <v>125.06</v>
      </c>
      <c r="C366" s="216">
        <v>12988</v>
      </c>
    </row>
    <row r="367" spans="1:3" ht="15" x14ac:dyDescent="0.2">
      <c r="A367" s="218">
        <v>44927</v>
      </c>
      <c r="B367" s="214">
        <v>90.98</v>
      </c>
      <c r="C367" s="216">
        <v>7772</v>
      </c>
    </row>
    <row r="368" spans="1:3" ht="15" x14ac:dyDescent="0.2">
      <c r="A368" s="218">
        <v>44928</v>
      </c>
      <c r="B368" s="214">
        <v>134.76</v>
      </c>
      <c r="C368" s="216">
        <v>7426</v>
      </c>
    </row>
    <row r="369" spans="1:3" ht="15" x14ac:dyDescent="0.2">
      <c r="A369" s="218">
        <v>44929</v>
      </c>
      <c r="B369" s="214">
        <v>156.46</v>
      </c>
      <c r="C369" s="216">
        <v>23000</v>
      </c>
    </row>
    <row r="370" spans="1:3" ht="15" x14ac:dyDescent="0.2">
      <c r="A370" s="218">
        <v>44930</v>
      </c>
      <c r="B370" s="214">
        <v>183.83</v>
      </c>
      <c r="C370" s="216">
        <v>35000</v>
      </c>
    </row>
    <row r="371" spans="1:3" ht="15" x14ac:dyDescent="0.2">
      <c r="A371" s="218">
        <v>44931</v>
      </c>
      <c r="B371" s="214">
        <v>190.8</v>
      </c>
      <c r="C371" s="216">
        <v>32641</v>
      </c>
    </row>
    <row r="372" spans="1:3" ht="15" x14ac:dyDescent="0.2">
      <c r="A372" s="218">
        <v>44932</v>
      </c>
      <c r="B372" s="214">
        <v>354.45</v>
      </c>
      <c r="C372" s="216">
        <v>130082</v>
      </c>
    </row>
    <row r="373" spans="1:3" ht="15" x14ac:dyDescent="0.2">
      <c r="A373" s="218">
        <v>44933</v>
      </c>
      <c r="B373" s="214">
        <v>191.94</v>
      </c>
      <c r="C373" s="216">
        <v>27840</v>
      </c>
    </row>
    <row r="374" spans="1:3" ht="15" x14ac:dyDescent="0.2">
      <c r="A374" s="218">
        <v>44934</v>
      </c>
      <c r="B374" s="214">
        <v>193.78</v>
      </c>
      <c r="C374" s="216">
        <v>20720</v>
      </c>
    </row>
    <row r="375" spans="1:3" ht="15" x14ac:dyDescent="0.2">
      <c r="A375" s="218">
        <v>44935</v>
      </c>
      <c r="B375" s="214">
        <v>280.05</v>
      </c>
      <c r="C375" s="216">
        <v>26280</v>
      </c>
    </row>
    <row r="376" spans="1:3" ht="15" x14ac:dyDescent="0.2">
      <c r="A376" s="218">
        <v>44936</v>
      </c>
      <c r="B376" s="214">
        <v>179.64</v>
      </c>
      <c r="C376" s="216">
        <v>14661</v>
      </c>
    </row>
    <row r="377" spans="1:3" ht="15" x14ac:dyDescent="0.2">
      <c r="A377" s="218">
        <v>44937</v>
      </c>
      <c r="B377" s="214">
        <v>161</v>
      </c>
      <c r="C377" s="216">
        <v>14204</v>
      </c>
    </row>
    <row r="378" spans="1:3" ht="15" x14ac:dyDescent="0.2">
      <c r="A378" s="218">
        <v>44938</v>
      </c>
      <c r="B378" s="214">
        <v>195</v>
      </c>
      <c r="C378" s="216">
        <v>23048</v>
      </c>
    </row>
    <row r="379" spans="1:3" ht="15" x14ac:dyDescent="0.2">
      <c r="A379" s="218">
        <v>44939</v>
      </c>
      <c r="B379" s="214">
        <v>198.73</v>
      </c>
      <c r="C379" s="216">
        <v>21260</v>
      </c>
    </row>
    <row r="380" spans="1:3" ht="15" x14ac:dyDescent="0.2">
      <c r="A380" s="218">
        <v>44940</v>
      </c>
      <c r="B380" s="214">
        <v>210.06</v>
      </c>
      <c r="C380" s="216">
        <v>26408</v>
      </c>
    </row>
    <row r="381" spans="1:3" ht="15" x14ac:dyDescent="0.2">
      <c r="A381" s="218">
        <v>44941</v>
      </c>
      <c r="B381" s="214">
        <v>224.39</v>
      </c>
      <c r="C381" s="216">
        <v>29088</v>
      </c>
    </row>
    <row r="382" spans="1:3" ht="15" x14ac:dyDescent="0.2">
      <c r="A382" s="218">
        <v>44942</v>
      </c>
      <c r="B382" s="214">
        <v>318.97000000000003</v>
      </c>
      <c r="C382" s="216">
        <v>34800</v>
      </c>
    </row>
    <row r="383" spans="1:3" ht="15" x14ac:dyDescent="0.2">
      <c r="A383" s="218">
        <v>44943</v>
      </c>
      <c r="B383" s="214">
        <v>356.66</v>
      </c>
      <c r="C383" s="216">
        <v>35872</v>
      </c>
    </row>
    <row r="384" spans="1:3" ht="15" x14ac:dyDescent="0.2">
      <c r="A384" s="218">
        <v>44944</v>
      </c>
      <c r="B384" s="214">
        <v>347.18</v>
      </c>
      <c r="C384" s="216">
        <v>32823</v>
      </c>
    </row>
    <row r="385" spans="1:3" ht="15" x14ac:dyDescent="0.2">
      <c r="A385" s="218">
        <v>44945</v>
      </c>
      <c r="B385" s="214">
        <v>346.07</v>
      </c>
      <c r="C385" s="216">
        <v>27480</v>
      </c>
    </row>
    <row r="386" spans="1:3" ht="15" x14ac:dyDescent="0.2">
      <c r="A386" s="218">
        <v>44946</v>
      </c>
      <c r="B386" s="214">
        <v>367.83</v>
      </c>
      <c r="C386" s="216">
        <v>29048</v>
      </c>
    </row>
    <row r="387" spans="1:3" ht="15" x14ac:dyDescent="0.2">
      <c r="A387" s="218">
        <v>44947</v>
      </c>
      <c r="B387" s="214">
        <v>457.32</v>
      </c>
      <c r="C387" s="216">
        <v>42072</v>
      </c>
    </row>
    <row r="388" spans="1:3" ht="15" x14ac:dyDescent="0.2">
      <c r="A388" s="218">
        <v>44948</v>
      </c>
      <c r="B388" s="214">
        <v>414.59</v>
      </c>
      <c r="C388" s="216">
        <v>42945</v>
      </c>
    </row>
    <row r="389" spans="1:3" ht="15" x14ac:dyDescent="0.2">
      <c r="A389" s="218">
        <v>44949</v>
      </c>
      <c r="B389" s="214">
        <v>240.19</v>
      </c>
      <c r="C389" s="216">
        <v>24280</v>
      </c>
    </row>
    <row r="390" spans="1:3" ht="15" x14ac:dyDescent="0.2">
      <c r="A390" s="218">
        <v>44950</v>
      </c>
      <c r="B390" s="214">
        <v>222.9</v>
      </c>
      <c r="C390" s="216">
        <v>15612</v>
      </c>
    </row>
    <row r="391" spans="1:3" ht="15" x14ac:dyDescent="0.2">
      <c r="A391" s="218">
        <v>44951</v>
      </c>
      <c r="B391" s="214">
        <v>207.91</v>
      </c>
      <c r="C391" s="216">
        <v>15028</v>
      </c>
    </row>
    <row r="392" spans="1:3" ht="15" x14ac:dyDescent="0.2">
      <c r="A392" s="218">
        <v>44952</v>
      </c>
      <c r="B392" s="214">
        <v>408.94</v>
      </c>
      <c r="C392" s="216">
        <v>47824</v>
      </c>
    </row>
    <row r="393" spans="1:3" ht="15" x14ac:dyDescent="0.2">
      <c r="A393" s="218">
        <v>44953</v>
      </c>
      <c r="B393" s="214">
        <v>494.25</v>
      </c>
      <c r="C393" s="216">
        <v>64592</v>
      </c>
    </row>
    <row r="394" spans="1:3" ht="15" x14ac:dyDescent="0.2">
      <c r="A394" s="218">
        <v>44954</v>
      </c>
      <c r="B394" s="214">
        <v>551.12</v>
      </c>
      <c r="C394" s="216">
        <v>79424</v>
      </c>
    </row>
    <row r="395" spans="1:3" ht="15" x14ac:dyDescent="0.2">
      <c r="A395" s="218">
        <v>44955</v>
      </c>
      <c r="B395" s="214">
        <v>475.76</v>
      </c>
      <c r="C395" s="216">
        <v>78912</v>
      </c>
    </row>
    <row r="396" spans="1:3" ht="15" x14ac:dyDescent="0.2">
      <c r="A396" s="218">
        <v>44956</v>
      </c>
      <c r="B396" s="214">
        <v>271.94</v>
      </c>
      <c r="C396" s="216">
        <v>57552</v>
      </c>
    </row>
    <row r="397" spans="1:3" ht="15" x14ac:dyDescent="0.2">
      <c r="A397" s="218">
        <v>44957</v>
      </c>
      <c r="B397" s="214">
        <v>260.10000000000002</v>
      </c>
      <c r="C397" s="216">
        <v>39521</v>
      </c>
    </row>
    <row r="398" spans="1:3" ht="15" x14ac:dyDescent="0.2">
      <c r="A398" s="218">
        <v>44958</v>
      </c>
      <c r="B398" s="214">
        <v>243.16</v>
      </c>
      <c r="C398" s="216">
        <v>41288</v>
      </c>
    </row>
    <row r="399" spans="1:3" ht="15" x14ac:dyDescent="0.2">
      <c r="A399" s="218">
        <v>44959</v>
      </c>
      <c r="B399" s="214">
        <v>279.02999999999997</v>
      </c>
      <c r="C399" s="216">
        <v>42520</v>
      </c>
    </row>
    <row r="400" spans="1:3" ht="15" x14ac:dyDescent="0.2">
      <c r="A400" s="218">
        <v>44960</v>
      </c>
      <c r="B400" s="214">
        <v>303.92</v>
      </c>
      <c r="C400" s="216">
        <v>39848</v>
      </c>
    </row>
    <row r="401" spans="1:3" ht="15" x14ac:dyDescent="0.2">
      <c r="A401" s="218">
        <v>44961</v>
      </c>
      <c r="B401" s="214">
        <v>307.47000000000003</v>
      </c>
      <c r="C401" s="216">
        <v>33570</v>
      </c>
    </row>
    <row r="402" spans="1:3" ht="15" x14ac:dyDescent="0.2">
      <c r="A402" s="218">
        <v>44962</v>
      </c>
      <c r="B402" s="214">
        <v>293.26</v>
      </c>
      <c r="C402" s="216">
        <v>14259</v>
      </c>
    </row>
    <row r="403" spans="1:3" ht="15" x14ac:dyDescent="0.2">
      <c r="A403" s="218">
        <v>44963</v>
      </c>
      <c r="B403" s="214">
        <v>224.96</v>
      </c>
      <c r="C403" s="216">
        <v>5348</v>
      </c>
    </row>
    <row r="404" spans="1:3" ht="15" x14ac:dyDescent="0.2">
      <c r="A404" s="218">
        <v>44964</v>
      </c>
      <c r="B404" s="214">
        <v>308.14999999999998</v>
      </c>
      <c r="C404" s="216">
        <v>7274</v>
      </c>
    </row>
    <row r="405" spans="1:3" ht="15" x14ac:dyDescent="0.2">
      <c r="A405" s="218">
        <v>44965</v>
      </c>
      <c r="B405" s="214">
        <v>335.9</v>
      </c>
      <c r="C405" s="216">
        <v>10957</v>
      </c>
    </row>
    <row r="406" spans="1:3" ht="15" x14ac:dyDescent="0.2">
      <c r="A406" s="218">
        <v>44966</v>
      </c>
      <c r="B406" s="214">
        <v>342.9</v>
      </c>
      <c r="C406" s="216">
        <v>11422</v>
      </c>
    </row>
    <row r="407" spans="1:3" ht="15" x14ac:dyDescent="0.2">
      <c r="A407" s="218">
        <v>44967</v>
      </c>
      <c r="B407" s="214">
        <v>397.39</v>
      </c>
      <c r="C407" s="216">
        <v>68375</v>
      </c>
    </row>
    <row r="408" spans="1:3" ht="15" x14ac:dyDescent="0.2">
      <c r="A408" s="218">
        <v>44968</v>
      </c>
      <c r="B408" s="214">
        <v>294.83999999999997</v>
      </c>
      <c r="C408" s="216">
        <v>39976</v>
      </c>
    </row>
    <row r="409" spans="1:3" ht="15" x14ac:dyDescent="0.2">
      <c r="A409" s="218">
        <v>44969</v>
      </c>
      <c r="B409" s="214">
        <v>305.61</v>
      </c>
      <c r="C409" s="216">
        <v>25824</v>
      </c>
    </row>
    <row r="410" spans="1:3" ht="15" x14ac:dyDescent="0.2">
      <c r="A410" s="218">
        <v>44970</v>
      </c>
      <c r="B410" s="214">
        <v>341.15</v>
      </c>
      <c r="C410" s="216">
        <v>18212</v>
      </c>
    </row>
    <row r="411" spans="1:3" ht="15" x14ac:dyDescent="0.2">
      <c r="A411" s="218">
        <v>44971</v>
      </c>
      <c r="B411" s="214">
        <v>321.45</v>
      </c>
      <c r="C411" s="216">
        <v>9666</v>
      </c>
    </row>
    <row r="412" spans="1:3" ht="15" x14ac:dyDescent="0.2">
      <c r="A412" s="218">
        <v>44972</v>
      </c>
      <c r="B412" s="214">
        <v>320.11</v>
      </c>
      <c r="C412" s="216">
        <v>13756</v>
      </c>
    </row>
    <row r="413" spans="1:3" ht="15" x14ac:dyDescent="0.2">
      <c r="A413" s="218">
        <v>44973</v>
      </c>
      <c r="B413" s="214">
        <v>434.2</v>
      </c>
      <c r="C413" s="216">
        <v>30024</v>
      </c>
    </row>
    <row r="414" spans="1:3" ht="15" x14ac:dyDescent="0.2">
      <c r="A414" s="218">
        <v>44974</v>
      </c>
      <c r="B414" s="214">
        <v>479.04</v>
      </c>
      <c r="C414" s="216">
        <v>33976</v>
      </c>
    </row>
    <row r="415" spans="1:3" ht="15" x14ac:dyDescent="0.2">
      <c r="A415" s="218">
        <v>44975</v>
      </c>
      <c r="B415" s="214">
        <v>399.96</v>
      </c>
      <c r="C415" s="216">
        <v>31176</v>
      </c>
    </row>
    <row r="416" spans="1:3" ht="15" x14ac:dyDescent="0.2">
      <c r="A416" s="218">
        <v>44976</v>
      </c>
      <c r="B416" s="214">
        <v>317.41000000000003</v>
      </c>
      <c r="C416" s="216">
        <v>19980</v>
      </c>
    </row>
    <row r="417" spans="1:3" ht="15" x14ac:dyDescent="0.2">
      <c r="A417" s="218">
        <v>44977</v>
      </c>
      <c r="B417" s="214">
        <v>328.4</v>
      </c>
      <c r="C417" s="216">
        <v>20088</v>
      </c>
    </row>
    <row r="418" spans="1:3" ht="15" x14ac:dyDescent="0.2">
      <c r="A418" s="218">
        <v>44978</v>
      </c>
      <c r="B418" s="214">
        <v>370.48</v>
      </c>
      <c r="C418" s="216">
        <v>27440</v>
      </c>
    </row>
    <row r="419" spans="1:3" ht="15" x14ac:dyDescent="0.2">
      <c r="A419" s="218">
        <v>44979</v>
      </c>
      <c r="B419" s="214">
        <v>391.88</v>
      </c>
      <c r="C419" s="216">
        <v>22760</v>
      </c>
    </row>
    <row r="420" spans="1:3" ht="15" x14ac:dyDescent="0.2">
      <c r="A420" s="218">
        <v>44980</v>
      </c>
      <c r="B420" s="214">
        <v>397.99</v>
      </c>
      <c r="C420" s="216">
        <v>19252</v>
      </c>
    </row>
    <row r="421" spans="1:3" ht="15" x14ac:dyDescent="0.2">
      <c r="A421" s="218">
        <v>44981</v>
      </c>
      <c r="B421" s="214">
        <v>302.81</v>
      </c>
      <c r="C421" s="216">
        <v>10188</v>
      </c>
    </row>
    <row r="422" spans="1:3" ht="15" x14ac:dyDescent="0.2">
      <c r="A422" s="218">
        <v>44982</v>
      </c>
      <c r="B422" s="214">
        <v>308.73</v>
      </c>
      <c r="C422" s="216">
        <v>14640</v>
      </c>
    </row>
    <row r="423" spans="1:3" ht="15" x14ac:dyDescent="0.2">
      <c r="A423" s="218">
        <v>44983</v>
      </c>
      <c r="B423" s="214">
        <v>320.92</v>
      </c>
      <c r="C423" s="216">
        <v>16828</v>
      </c>
    </row>
    <row r="424" spans="1:3" ht="15" x14ac:dyDescent="0.2">
      <c r="A424" s="218">
        <v>44984</v>
      </c>
      <c r="B424" s="214">
        <v>320.97000000000003</v>
      </c>
      <c r="C424" s="216">
        <v>8238</v>
      </c>
    </row>
    <row r="425" spans="1:3" ht="15" x14ac:dyDescent="0.2">
      <c r="A425" s="218">
        <v>44985</v>
      </c>
      <c r="B425" s="214">
        <v>384.39</v>
      </c>
      <c r="C425" s="216">
        <v>14688</v>
      </c>
    </row>
    <row r="426" spans="1:3" ht="15" x14ac:dyDescent="0.2">
      <c r="A426" s="218">
        <v>44986</v>
      </c>
      <c r="B426" s="214">
        <v>469.94</v>
      </c>
      <c r="C426" s="216">
        <v>39068</v>
      </c>
    </row>
    <row r="427" spans="1:3" ht="15" x14ac:dyDescent="0.2">
      <c r="A427" s="218">
        <v>44987</v>
      </c>
      <c r="B427" s="214">
        <v>497.15</v>
      </c>
      <c r="C427" s="216">
        <v>41624</v>
      </c>
    </row>
    <row r="428" spans="1:3" ht="15" x14ac:dyDescent="0.2">
      <c r="A428" s="218">
        <v>44988</v>
      </c>
      <c r="B428" s="214">
        <v>528.59</v>
      </c>
      <c r="C428" s="216">
        <v>65440</v>
      </c>
    </row>
    <row r="429" spans="1:3" ht="15" x14ac:dyDescent="0.2">
      <c r="A429" s="218">
        <v>44989</v>
      </c>
      <c r="B429" s="214">
        <v>489.92</v>
      </c>
      <c r="C429" s="216">
        <v>77264</v>
      </c>
    </row>
    <row r="430" spans="1:3" ht="15" x14ac:dyDescent="0.2">
      <c r="A430" s="218">
        <v>44990</v>
      </c>
      <c r="B430" s="214">
        <v>421.82</v>
      </c>
      <c r="C430" s="216">
        <v>42880</v>
      </c>
    </row>
    <row r="431" spans="1:3" ht="15" x14ac:dyDescent="0.2">
      <c r="A431" s="218">
        <v>44991</v>
      </c>
      <c r="B431" s="214">
        <v>504.13</v>
      </c>
      <c r="C431" s="216">
        <v>34216</v>
      </c>
    </row>
    <row r="432" spans="1:3" ht="15" x14ac:dyDescent="0.2">
      <c r="A432" s="218">
        <v>44992</v>
      </c>
      <c r="B432" s="214">
        <v>712.03</v>
      </c>
      <c r="C432" s="216">
        <v>50673</v>
      </c>
    </row>
    <row r="433" spans="1:3" ht="15" x14ac:dyDescent="0.2">
      <c r="A433" s="218">
        <v>44993</v>
      </c>
      <c r="B433" s="214">
        <v>736.22</v>
      </c>
      <c r="C433" s="216">
        <v>59329</v>
      </c>
    </row>
    <row r="434" spans="1:3" ht="15" x14ac:dyDescent="0.2">
      <c r="A434" s="218">
        <v>44994</v>
      </c>
      <c r="B434" s="214">
        <v>335.75</v>
      </c>
      <c r="C434" s="216">
        <v>52161</v>
      </c>
    </row>
    <row r="435" spans="1:3" ht="15" x14ac:dyDescent="0.2">
      <c r="A435" s="218">
        <v>44995</v>
      </c>
      <c r="B435" s="214">
        <v>364.34</v>
      </c>
      <c r="C435" s="216">
        <v>74448</v>
      </c>
    </row>
    <row r="436" spans="1:3" ht="15" x14ac:dyDescent="0.2">
      <c r="A436" s="218">
        <v>44996</v>
      </c>
      <c r="B436" s="214">
        <v>418.66</v>
      </c>
      <c r="C436" s="216">
        <v>72944</v>
      </c>
    </row>
    <row r="437" spans="1:3" ht="15" x14ac:dyDescent="0.2">
      <c r="A437" s="218">
        <v>44997</v>
      </c>
      <c r="B437" s="214">
        <v>379.36</v>
      </c>
      <c r="C437" s="216">
        <v>41728</v>
      </c>
    </row>
    <row r="438" spans="1:3" ht="15" x14ac:dyDescent="0.2">
      <c r="A438" s="218">
        <v>44998</v>
      </c>
      <c r="B438" s="214">
        <v>435.14</v>
      </c>
      <c r="C438" s="216">
        <v>20272</v>
      </c>
    </row>
    <row r="439" spans="1:3" ht="15" x14ac:dyDescent="0.2">
      <c r="A439" s="218">
        <v>44999</v>
      </c>
      <c r="B439" s="214">
        <v>579.91</v>
      </c>
      <c r="C439" s="216">
        <v>31424</v>
      </c>
    </row>
    <row r="440" spans="1:3" ht="15" x14ac:dyDescent="0.2">
      <c r="A440" s="218">
        <v>45000</v>
      </c>
      <c r="B440" s="214">
        <v>739.43</v>
      </c>
      <c r="C440" s="216">
        <v>45738</v>
      </c>
    </row>
    <row r="441" spans="1:3" ht="15" x14ac:dyDescent="0.2">
      <c r="A441" s="218">
        <v>45001</v>
      </c>
      <c r="B441" s="214">
        <v>680.28</v>
      </c>
      <c r="C441" s="216">
        <v>79840</v>
      </c>
    </row>
    <row r="442" spans="1:3" ht="15" x14ac:dyDescent="0.2">
      <c r="A442" s="218">
        <v>45002</v>
      </c>
      <c r="B442" s="214">
        <v>325.11</v>
      </c>
      <c r="C442" s="216">
        <v>47192</v>
      </c>
    </row>
    <row r="443" spans="1:3" ht="15" x14ac:dyDescent="0.2">
      <c r="A443" s="218">
        <v>45003</v>
      </c>
      <c r="B443" s="214">
        <v>304.56</v>
      </c>
      <c r="C443" s="216">
        <v>28496</v>
      </c>
    </row>
    <row r="444" spans="1:3" ht="15" x14ac:dyDescent="0.2">
      <c r="A444" s="218">
        <v>45004</v>
      </c>
      <c r="B444" s="214">
        <v>314.01</v>
      </c>
      <c r="C444" s="216">
        <v>20012</v>
      </c>
    </row>
    <row r="445" spans="1:3" ht="15" x14ac:dyDescent="0.2">
      <c r="A445" s="218">
        <v>45005</v>
      </c>
      <c r="B445" s="214">
        <v>363.33</v>
      </c>
      <c r="C445" s="216">
        <v>40937</v>
      </c>
    </row>
    <row r="446" spans="1:3" ht="15" x14ac:dyDescent="0.2">
      <c r="A446" s="218">
        <v>45006</v>
      </c>
      <c r="B446" s="214">
        <v>423.1</v>
      </c>
      <c r="C446" s="216">
        <v>59936</v>
      </c>
    </row>
    <row r="447" spans="1:3" ht="15" x14ac:dyDescent="0.2">
      <c r="A447" s="218">
        <v>45007</v>
      </c>
      <c r="B447" s="214">
        <v>356.38</v>
      </c>
      <c r="C447" s="216">
        <v>49924</v>
      </c>
    </row>
    <row r="448" spans="1:3" ht="15" x14ac:dyDescent="0.2">
      <c r="A448" s="218">
        <v>45008</v>
      </c>
      <c r="B448" s="214">
        <v>378.43</v>
      </c>
      <c r="C448" s="216">
        <v>63586</v>
      </c>
    </row>
    <row r="449" spans="1:3" ht="15" x14ac:dyDescent="0.2">
      <c r="A449" s="218">
        <v>45009</v>
      </c>
      <c r="B449" s="214">
        <v>378.13</v>
      </c>
      <c r="C449" s="216">
        <v>69360</v>
      </c>
    </row>
    <row r="450" spans="1:3" ht="15" x14ac:dyDescent="0.2">
      <c r="A450" s="218">
        <v>45010</v>
      </c>
      <c r="B450" s="214">
        <v>318.22000000000003</v>
      </c>
      <c r="C450" s="216">
        <v>50065</v>
      </c>
    </row>
    <row r="451" spans="1:3" ht="15" x14ac:dyDescent="0.2">
      <c r="A451" s="218">
        <v>45011</v>
      </c>
      <c r="B451" s="214">
        <v>275.27</v>
      </c>
      <c r="C451" s="216">
        <v>38272</v>
      </c>
    </row>
    <row r="452" spans="1:3" ht="15" x14ac:dyDescent="0.2">
      <c r="A452" s="218">
        <v>45012</v>
      </c>
      <c r="B452" s="214">
        <v>304.22000000000003</v>
      </c>
      <c r="C452" s="216">
        <v>28848</v>
      </c>
    </row>
    <row r="453" spans="1:3" ht="15" x14ac:dyDescent="0.2">
      <c r="A453" s="218">
        <v>45013</v>
      </c>
      <c r="B453" s="214">
        <v>286.68</v>
      </c>
      <c r="C453" s="216">
        <v>25816</v>
      </c>
    </row>
    <row r="454" spans="1:3" ht="15" x14ac:dyDescent="0.2">
      <c r="A454" s="218">
        <v>45014</v>
      </c>
      <c r="B454" s="214">
        <v>359.73</v>
      </c>
      <c r="C454" s="216">
        <v>25640</v>
      </c>
    </row>
    <row r="455" spans="1:3" ht="15" x14ac:dyDescent="0.2">
      <c r="A455" s="218">
        <v>45015</v>
      </c>
      <c r="B455" s="214">
        <v>254.35</v>
      </c>
      <c r="C455" s="216">
        <v>23464</v>
      </c>
    </row>
    <row r="456" spans="1:3" ht="15" x14ac:dyDescent="0.2">
      <c r="A456" s="218">
        <v>45016</v>
      </c>
      <c r="B456" s="214">
        <v>146.74</v>
      </c>
      <c r="C456" s="216">
        <v>13908</v>
      </c>
    </row>
    <row r="457" spans="1:3" ht="15" x14ac:dyDescent="0.2">
      <c r="A457" s="218">
        <v>45017</v>
      </c>
      <c r="B457" s="214">
        <v>125.37</v>
      </c>
      <c r="C457" s="216">
        <v>14988</v>
      </c>
    </row>
    <row r="458" spans="1:3" ht="15" x14ac:dyDescent="0.2">
      <c r="A458" s="218">
        <v>45018</v>
      </c>
      <c r="B458" s="214">
        <v>115.35</v>
      </c>
      <c r="C458" s="216">
        <v>13992</v>
      </c>
    </row>
    <row r="459" spans="1:3" ht="15" x14ac:dyDescent="0.2">
      <c r="A459" s="218">
        <v>45019</v>
      </c>
      <c r="B459" s="214">
        <v>146.88999999999999</v>
      </c>
      <c r="C459" s="216">
        <v>5438</v>
      </c>
    </row>
    <row r="460" spans="1:3" ht="15" x14ac:dyDescent="0.2">
      <c r="A460" s="218">
        <v>45020</v>
      </c>
      <c r="B460" s="214">
        <v>185.43</v>
      </c>
      <c r="C460" s="216">
        <v>49025</v>
      </c>
    </row>
    <row r="461" spans="1:3" ht="15" x14ac:dyDescent="0.2">
      <c r="A461" s="218">
        <v>45021</v>
      </c>
      <c r="B461" s="214">
        <v>285.60000000000002</v>
      </c>
      <c r="C461" s="216">
        <v>32488</v>
      </c>
    </row>
    <row r="462" spans="1:3" ht="15" x14ac:dyDescent="0.2">
      <c r="A462" s="218">
        <v>45022</v>
      </c>
      <c r="B462" s="214">
        <v>366.71</v>
      </c>
      <c r="C462" s="216">
        <v>31592</v>
      </c>
    </row>
    <row r="463" spans="1:3" ht="15" x14ac:dyDescent="0.2">
      <c r="A463" s="218">
        <v>45023</v>
      </c>
      <c r="B463" s="214">
        <v>235.38</v>
      </c>
      <c r="C463" s="216">
        <v>23944</v>
      </c>
    </row>
    <row r="464" spans="1:3" ht="15" x14ac:dyDescent="0.2">
      <c r="A464" s="218">
        <v>45024</v>
      </c>
      <c r="B464" s="214">
        <v>226.17</v>
      </c>
      <c r="C464" s="216">
        <v>25792</v>
      </c>
    </row>
    <row r="465" spans="1:3" ht="15" x14ac:dyDescent="0.2">
      <c r="A465" s="218">
        <v>45025</v>
      </c>
      <c r="B465" s="214">
        <v>177.73</v>
      </c>
      <c r="C465" s="216">
        <v>22196</v>
      </c>
    </row>
    <row r="466" spans="1:3" ht="15" x14ac:dyDescent="0.2">
      <c r="A466" s="218">
        <v>45026</v>
      </c>
      <c r="B466" s="214">
        <v>141.54</v>
      </c>
      <c r="C466" s="216">
        <v>9024</v>
      </c>
    </row>
    <row r="467" spans="1:3" ht="15" x14ac:dyDescent="0.2">
      <c r="A467" s="218">
        <v>45027</v>
      </c>
      <c r="B467" s="214">
        <v>150.93</v>
      </c>
      <c r="C467" s="216">
        <v>8918</v>
      </c>
    </row>
    <row r="468" spans="1:3" ht="15" x14ac:dyDescent="0.2">
      <c r="A468" s="218">
        <v>45028</v>
      </c>
      <c r="B468" s="214">
        <v>188</v>
      </c>
      <c r="C468" s="216">
        <v>11862</v>
      </c>
    </row>
    <row r="469" spans="1:3" ht="15" x14ac:dyDescent="0.2">
      <c r="A469" s="218">
        <v>45029</v>
      </c>
      <c r="B469" s="214">
        <v>311.8</v>
      </c>
      <c r="C469" s="216">
        <v>22180</v>
      </c>
    </row>
    <row r="470" spans="1:3" ht="15" x14ac:dyDescent="0.2">
      <c r="A470" s="218">
        <v>45030</v>
      </c>
      <c r="B470" s="214">
        <v>339.77</v>
      </c>
      <c r="C470" s="216">
        <v>20016</v>
      </c>
    </row>
    <row r="471" spans="1:3" ht="15" x14ac:dyDescent="0.2">
      <c r="A471" s="218">
        <v>45031</v>
      </c>
      <c r="B471" s="214">
        <v>412.78</v>
      </c>
      <c r="C471" s="216">
        <v>24865</v>
      </c>
    </row>
    <row r="472" spans="1:3" ht="15" x14ac:dyDescent="0.2">
      <c r="A472" s="218">
        <v>45032</v>
      </c>
      <c r="B472" s="214">
        <v>433.15</v>
      </c>
      <c r="C472" s="216">
        <v>27960</v>
      </c>
    </row>
    <row r="473" spans="1:3" ht="15" x14ac:dyDescent="0.2">
      <c r="A473" s="218">
        <v>45033</v>
      </c>
      <c r="B473" s="214">
        <v>390.84</v>
      </c>
      <c r="C473" s="216">
        <v>42456</v>
      </c>
    </row>
    <row r="474" spans="1:3" ht="15" x14ac:dyDescent="0.2">
      <c r="A474" s="218">
        <v>45034</v>
      </c>
      <c r="B474" s="214">
        <v>588.30999999999995</v>
      </c>
      <c r="C474" s="216">
        <v>57440</v>
      </c>
    </row>
    <row r="475" spans="1:3" ht="15" x14ac:dyDescent="0.2">
      <c r="A475" s="218">
        <v>45035</v>
      </c>
      <c r="B475" s="214">
        <v>610.66</v>
      </c>
      <c r="C475" s="216">
        <v>56941</v>
      </c>
    </row>
    <row r="476" spans="1:3" ht="15" x14ac:dyDescent="0.2">
      <c r="A476" s="218">
        <v>45036</v>
      </c>
      <c r="B476" s="214">
        <v>522.82000000000005</v>
      </c>
      <c r="C476" s="216">
        <v>51968</v>
      </c>
    </row>
    <row r="477" spans="1:3" ht="15" x14ac:dyDescent="0.2">
      <c r="A477" s="218">
        <v>45037</v>
      </c>
      <c r="B477" s="214">
        <v>327.8</v>
      </c>
      <c r="C477" s="216">
        <v>46103</v>
      </c>
    </row>
    <row r="478" spans="1:3" ht="15" x14ac:dyDescent="0.2">
      <c r="A478" s="218">
        <v>45038</v>
      </c>
      <c r="B478" s="214">
        <v>269.92</v>
      </c>
      <c r="C478" s="216">
        <v>96752</v>
      </c>
    </row>
    <row r="479" spans="1:3" ht="15" x14ac:dyDescent="0.2">
      <c r="A479" s="218">
        <v>45039</v>
      </c>
      <c r="B479" s="214">
        <v>190.55</v>
      </c>
      <c r="C479" s="216">
        <v>90464</v>
      </c>
    </row>
    <row r="480" spans="1:3" ht="15" x14ac:dyDescent="0.2">
      <c r="A480" s="218">
        <v>45040</v>
      </c>
      <c r="B480" s="214">
        <v>135.77000000000001</v>
      </c>
      <c r="C480" s="216">
        <v>35745</v>
      </c>
    </row>
    <row r="481" spans="1:3" ht="15" x14ac:dyDescent="0.2">
      <c r="A481" s="218">
        <v>45041</v>
      </c>
      <c r="B481" s="214">
        <v>164.15</v>
      </c>
      <c r="C481" s="216">
        <v>45624</v>
      </c>
    </row>
    <row r="482" spans="1:3" ht="15" x14ac:dyDescent="0.2">
      <c r="A482" s="218">
        <v>45042</v>
      </c>
      <c r="B482" s="214">
        <v>202.05</v>
      </c>
      <c r="C482" s="216">
        <v>37552</v>
      </c>
    </row>
    <row r="483" spans="1:3" ht="15" x14ac:dyDescent="0.2">
      <c r="A483" s="218">
        <v>45043</v>
      </c>
      <c r="B483" s="214">
        <v>194.34</v>
      </c>
      <c r="C483" s="216">
        <v>10420</v>
      </c>
    </row>
    <row r="484" spans="1:3" ht="15" x14ac:dyDescent="0.2">
      <c r="A484" s="218">
        <v>45044</v>
      </c>
      <c r="B484" s="214">
        <v>179.35</v>
      </c>
      <c r="C484" s="216">
        <v>9056</v>
      </c>
    </row>
    <row r="485" spans="1:3" ht="15" x14ac:dyDescent="0.2">
      <c r="A485" s="218">
        <v>45045</v>
      </c>
      <c r="B485" s="214">
        <v>222.33</v>
      </c>
      <c r="C485" s="216">
        <v>9778</v>
      </c>
    </row>
    <row r="486" spans="1:3" ht="15" x14ac:dyDescent="0.2">
      <c r="A486" s="218">
        <v>45046</v>
      </c>
      <c r="B486" s="214">
        <v>238.97</v>
      </c>
      <c r="C486" s="216">
        <v>10640</v>
      </c>
    </row>
    <row r="487" spans="1:3" ht="15" x14ac:dyDescent="0.2">
      <c r="A487" s="218">
        <v>45047</v>
      </c>
      <c r="B487" s="214">
        <v>233.27</v>
      </c>
      <c r="C487" s="216">
        <v>12632</v>
      </c>
    </row>
    <row r="488" spans="1:3" ht="15" x14ac:dyDescent="0.2">
      <c r="A488" s="218">
        <v>45048</v>
      </c>
      <c r="B488" s="214">
        <v>239.97</v>
      </c>
      <c r="C488" s="216">
        <v>13015</v>
      </c>
    </row>
    <row r="489" spans="1:3" ht="15" x14ac:dyDescent="0.2">
      <c r="A489" s="218">
        <v>45049</v>
      </c>
      <c r="B489" s="214">
        <v>239.81</v>
      </c>
      <c r="C489" s="216">
        <v>12156</v>
      </c>
    </row>
    <row r="490" spans="1:3" ht="15" x14ac:dyDescent="0.2">
      <c r="A490" s="218">
        <v>45050</v>
      </c>
      <c r="B490" s="214">
        <v>247.47</v>
      </c>
      <c r="C490" s="216">
        <v>11357</v>
      </c>
    </row>
    <row r="491" spans="1:3" ht="15" x14ac:dyDescent="0.2">
      <c r="A491" s="218">
        <v>45051</v>
      </c>
      <c r="B491" s="214">
        <v>294.55</v>
      </c>
      <c r="C491" s="216">
        <v>13169</v>
      </c>
    </row>
    <row r="492" spans="1:3" ht="15" x14ac:dyDescent="0.2">
      <c r="A492" s="218">
        <v>45052</v>
      </c>
      <c r="B492" s="214">
        <v>285.54000000000002</v>
      </c>
      <c r="C492" s="216">
        <v>13848</v>
      </c>
    </row>
    <row r="493" spans="1:3" ht="15" x14ac:dyDescent="0.2">
      <c r="A493" s="218">
        <v>45053</v>
      </c>
      <c r="B493" s="214">
        <v>238.1</v>
      </c>
      <c r="C493" s="216">
        <v>10612</v>
      </c>
    </row>
    <row r="494" spans="1:3" ht="15" x14ac:dyDescent="0.2">
      <c r="A494" s="218">
        <v>45054</v>
      </c>
      <c r="B494" s="214">
        <v>322.42</v>
      </c>
      <c r="C494" s="216">
        <v>13140</v>
      </c>
    </row>
    <row r="495" spans="1:3" ht="15" x14ac:dyDescent="0.2">
      <c r="A495" s="218">
        <v>45055</v>
      </c>
      <c r="B495" s="214">
        <v>365.06</v>
      </c>
      <c r="C495" s="216">
        <v>14400</v>
      </c>
    </row>
    <row r="496" spans="1:3" ht="15" x14ac:dyDescent="0.2">
      <c r="A496" s="218">
        <v>45056</v>
      </c>
      <c r="B496" s="214">
        <v>429.85</v>
      </c>
      <c r="C496" s="216">
        <v>17888</v>
      </c>
    </row>
    <row r="497" spans="1:3" ht="15" x14ac:dyDescent="0.2">
      <c r="A497" s="218">
        <v>45057</v>
      </c>
      <c r="B497" s="214">
        <v>483.97</v>
      </c>
      <c r="C497" s="216">
        <v>21500</v>
      </c>
    </row>
    <row r="498" spans="1:3" ht="15" x14ac:dyDescent="0.2">
      <c r="A498" s="218">
        <v>45058</v>
      </c>
      <c r="B498" s="214">
        <v>489.52</v>
      </c>
      <c r="C498" s="216">
        <v>20000</v>
      </c>
    </row>
    <row r="499" spans="1:3" ht="15" x14ac:dyDescent="0.2">
      <c r="A499" s="218">
        <v>45059</v>
      </c>
      <c r="B499" s="214">
        <v>491.74</v>
      </c>
      <c r="C499" s="216">
        <v>20200</v>
      </c>
    </row>
    <row r="500" spans="1:3" ht="15" x14ac:dyDescent="0.2">
      <c r="A500" s="218">
        <v>45060</v>
      </c>
      <c r="B500" s="214">
        <v>170.17</v>
      </c>
      <c r="C500" s="216">
        <v>6986</v>
      </c>
    </row>
    <row r="501" spans="1:3" ht="15" x14ac:dyDescent="0.2">
      <c r="A501" s="218">
        <v>45061</v>
      </c>
      <c r="B501" s="214">
        <v>197.7</v>
      </c>
      <c r="C501" s="216">
        <v>16660</v>
      </c>
    </row>
    <row r="502" spans="1:3" ht="15" x14ac:dyDescent="0.2">
      <c r="A502" s="218">
        <v>45062</v>
      </c>
      <c r="B502" s="214">
        <v>287.60000000000002</v>
      </c>
      <c r="C502" s="216">
        <v>25178</v>
      </c>
    </row>
    <row r="503" spans="1:3" ht="15" x14ac:dyDescent="0.2">
      <c r="A503" s="218">
        <v>45063</v>
      </c>
      <c r="B503" s="214">
        <v>168.73</v>
      </c>
      <c r="C503" s="216">
        <v>12511</v>
      </c>
    </row>
    <row r="504" spans="1:3" ht="15" x14ac:dyDescent="0.2">
      <c r="A504" s="218">
        <v>45064</v>
      </c>
      <c r="B504" s="214">
        <v>194.51</v>
      </c>
      <c r="C504" s="216">
        <v>31504</v>
      </c>
    </row>
    <row r="505" spans="1:3" ht="15" x14ac:dyDescent="0.2">
      <c r="A505" s="218">
        <v>45065</v>
      </c>
      <c r="B505" s="214">
        <v>96.03</v>
      </c>
      <c r="C505" s="216">
        <v>4711</v>
      </c>
    </row>
    <row r="506" spans="1:3" ht="15" x14ac:dyDescent="0.2">
      <c r="A506" s="218">
        <v>45066</v>
      </c>
      <c r="B506" s="214">
        <v>104.64</v>
      </c>
      <c r="C506" s="216">
        <v>5618</v>
      </c>
    </row>
    <row r="507" spans="1:3" ht="15" x14ac:dyDescent="0.2">
      <c r="A507" s="218">
        <v>45067</v>
      </c>
      <c r="B507" s="214">
        <v>101.63</v>
      </c>
      <c r="C507" s="216">
        <v>6666</v>
      </c>
    </row>
    <row r="508" spans="1:3" ht="15" x14ac:dyDescent="0.2">
      <c r="A508" s="218">
        <v>45068</v>
      </c>
      <c r="B508" s="214">
        <v>119.32</v>
      </c>
      <c r="C508" s="216">
        <v>16864</v>
      </c>
    </row>
    <row r="509" spans="1:3" ht="15" x14ac:dyDescent="0.2">
      <c r="A509" s="218">
        <v>45069</v>
      </c>
      <c r="B509" s="214">
        <v>137.79</v>
      </c>
      <c r="C509" s="216">
        <v>20220</v>
      </c>
    </row>
    <row r="510" spans="1:3" ht="15" x14ac:dyDescent="0.2">
      <c r="A510" s="218">
        <v>45070</v>
      </c>
      <c r="B510" s="214">
        <v>190.57</v>
      </c>
      <c r="C510" s="216">
        <v>27248</v>
      </c>
    </row>
    <row r="511" spans="1:3" ht="15" x14ac:dyDescent="0.2">
      <c r="A511" s="218">
        <v>45071</v>
      </c>
      <c r="B511" s="214">
        <v>234.83</v>
      </c>
      <c r="C511" s="216">
        <v>28534</v>
      </c>
    </row>
    <row r="512" spans="1:3" ht="15" x14ac:dyDescent="0.2">
      <c r="A512" s="218">
        <v>45072</v>
      </c>
      <c r="B512" s="214">
        <v>230.14</v>
      </c>
      <c r="C512" s="216">
        <v>29585</v>
      </c>
    </row>
    <row r="513" spans="1:3" ht="15" x14ac:dyDescent="0.2">
      <c r="A513" s="218">
        <v>45073</v>
      </c>
      <c r="B513" s="214">
        <v>229.64</v>
      </c>
      <c r="C513" s="216">
        <v>26864</v>
      </c>
    </row>
    <row r="514" spans="1:3" ht="15" x14ac:dyDescent="0.2">
      <c r="A514" s="218">
        <v>45074</v>
      </c>
      <c r="B514" s="214">
        <v>218.2</v>
      </c>
      <c r="C514" s="216">
        <v>17848</v>
      </c>
    </row>
    <row r="515" spans="1:3" ht="15" x14ac:dyDescent="0.2">
      <c r="A515" s="218">
        <v>45075</v>
      </c>
      <c r="B515" s="214">
        <v>203.37</v>
      </c>
      <c r="C515" s="216">
        <v>15900</v>
      </c>
    </row>
    <row r="516" spans="1:3" ht="15" x14ac:dyDescent="0.2">
      <c r="A516" s="218">
        <v>45076</v>
      </c>
      <c r="B516" s="214">
        <v>125.06</v>
      </c>
      <c r="C516" s="216">
        <v>15132</v>
      </c>
    </row>
    <row r="517" spans="1:3" ht="15" x14ac:dyDescent="0.2">
      <c r="A517" s="218">
        <v>45077</v>
      </c>
      <c r="B517" s="214">
        <v>131.03</v>
      </c>
      <c r="C517" s="216">
        <v>38627</v>
      </c>
    </row>
    <row r="518" spans="1:3" ht="15" x14ac:dyDescent="0.2">
      <c r="A518" s="218">
        <v>45078</v>
      </c>
      <c r="B518" s="214">
        <v>133.30000000000001</v>
      </c>
      <c r="C518" s="216">
        <v>45361</v>
      </c>
    </row>
    <row r="519" spans="1:3" ht="15" x14ac:dyDescent="0.2">
      <c r="A519" s="218">
        <v>45079</v>
      </c>
      <c r="B519" s="214">
        <v>193.38</v>
      </c>
      <c r="C519" s="216">
        <v>44872</v>
      </c>
    </row>
    <row r="520" spans="1:3" ht="15" x14ac:dyDescent="0.2">
      <c r="A520" s="218">
        <v>45080</v>
      </c>
      <c r="B520" s="214">
        <v>226.99</v>
      </c>
      <c r="C520" s="216">
        <v>58176</v>
      </c>
    </row>
    <row r="521" spans="1:3" ht="15" x14ac:dyDescent="0.2">
      <c r="A521" s="218">
        <v>45081</v>
      </c>
      <c r="B521" s="214">
        <v>213.08</v>
      </c>
      <c r="C521" s="216">
        <v>54080</v>
      </c>
    </row>
    <row r="522" spans="1:3" ht="15" x14ac:dyDescent="0.2">
      <c r="A522" s="218">
        <v>45082</v>
      </c>
      <c r="B522" s="214">
        <v>186.79</v>
      </c>
      <c r="C522" s="216">
        <v>12924</v>
      </c>
    </row>
    <row r="523" spans="1:3" ht="15" x14ac:dyDescent="0.2">
      <c r="A523" s="218">
        <v>45083</v>
      </c>
      <c r="B523" s="214">
        <v>212.64</v>
      </c>
      <c r="C523" s="216">
        <v>14456</v>
      </c>
    </row>
    <row r="524" spans="1:3" ht="15" x14ac:dyDescent="0.2">
      <c r="A524" s="218">
        <v>45084</v>
      </c>
      <c r="B524" s="214">
        <v>221.71</v>
      </c>
      <c r="C524" s="216">
        <v>19520</v>
      </c>
    </row>
    <row r="525" spans="1:3" ht="15" x14ac:dyDescent="0.2">
      <c r="A525" s="218">
        <v>45085</v>
      </c>
      <c r="B525" s="214">
        <v>242.75</v>
      </c>
      <c r="C525" s="216">
        <v>20332</v>
      </c>
    </row>
    <row r="526" spans="1:3" ht="15" x14ac:dyDescent="0.2">
      <c r="A526" s="218">
        <v>45086</v>
      </c>
      <c r="B526" s="214">
        <v>270.39</v>
      </c>
      <c r="C526" s="216">
        <v>24207</v>
      </c>
    </row>
    <row r="527" spans="1:3" ht="15" x14ac:dyDescent="0.2">
      <c r="A527" s="218">
        <v>45087</v>
      </c>
      <c r="B527" s="214">
        <v>397.99</v>
      </c>
      <c r="C527" s="216">
        <v>106048</v>
      </c>
    </row>
    <row r="528" spans="1:3" ht="15" x14ac:dyDescent="0.2">
      <c r="A528" s="218">
        <v>45088</v>
      </c>
      <c r="B528" s="214">
        <v>446.79</v>
      </c>
      <c r="C528" s="216">
        <v>133057</v>
      </c>
    </row>
    <row r="529" spans="1:3" ht="15" x14ac:dyDescent="0.2">
      <c r="A529" s="218">
        <v>45089</v>
      </c>
      <c r="B529" s="214">
        <v>573.47</v>
      </c>
      <c r="C529" s="216">
        <v>87953</v>
      </c>
    </row>
    <row r="530" spans="1:3" ht="15" x14ac:dyDescent="0.2">
      <c r="A530" s="218">
        <v>45090</v>
      </c>
      <c r="B530" s="214">
        <v>313.11</v>
      </c>
      <c r="C530" s="216">
        <v>48145</v>
      </c>
    </row>
    <row r="531" spans="1:3" ht="15" x14ac:dyDescent="0.2">
      <c r="A531" s="218">
        <v>45091</v>
      </c>
      <c r="B531" s="214">
        <v>201.79</v>
      </c>
      <c r="C531" s="216">
        <v>15796</v>
      </c>
    </row>
    <row r="532" spans="1:3" ht="15" x14ac:dyDescent="0.2">
      <c r="A532" s="218">
        <v>45092</v>
      </c>
      <c r="B532" s="214">
        <v>233.3</v>
      </c>
      <c r="C532" s="216">
        <v>17868</v>
      </c>
    </row>
    <row r="533" spans="1:3" ht="15" x14ac:dyDescent="0.2">
      <c r="A533" s="218">
        <v>45093</v>
      </c>
      <c r="B533" s="214">
        <v>316.07</v>
      </c>
      <c r="C533" s="216">
        <v>23553</v>
      </c>
    </row>
    <row r="534" spans="1:3" ht="15" x14ac:dyDescent="0.2">
      <c r="A534" s="218">
        <v>45094</v>
      </c>
      <c r="B534" s="214">
        <v>170.52</v>
      </c>
      <c r="C534" s="216">
        <v>13324</v>
      </c>
    </row>
    <row r="535" spans="1:3" ht="15" x14ac:dyDescent="0.2">
      <c r="A535" s="218">
        <v>45095</v>
      </c>
      <c r="B535" s="214">
        <v>173.34</v>
      </c>
      <c r="C535" s="216">
        <v>15704</v>
      </c>
    </row>
    <row r="536" spans="1:3" ht="15" x14ac:dyDescent="0.2">
      <c r="A536" s="218">
        <v>45096</v>
      </c>
      <c r="B536" s="214">
        <v>139.24</v>
      </c>
      <c r="C536" s="216">
        <v>10584</v>
      </c>
    </row>
    <row r="537" spans="1:3" ht="15" x14ac:dyDescent="0.2">
      <c r="A537" s="218">
        <v>45097</v>
      </c>
      <c r="B537" s="214">
        <v>95.42</v>
      </c>
      <c r="C537" s="216">
        <v>4315</v>
      </c>
    </row>
    <row r="538" spans="1:3" ht="15" x14ac:dyDescent="0.2">
      <c r="A538" s="218">
        <v>45098</v>
      </c>
      <c r="B538" s="214">
        <v>78.47</v>
      </c>
      <c r="C538" s="216">
        <v>2578</v>
      </c>
    </row>
    <row r="539" spans="1:3" ht="15" x14ac:dyDescent="0.2">
      <c r="A539" s="218">
        <v>45099</v>
      </c>
      <c r="B539" s="214">
        <v>77.62</v>
      </c>
      <c r="C539" s="216">
        <v>2710</v>
      </c>
    </row>
    <row r="540" spans="1:3" ht="15" x14ac:dyDescent="0.2">
      <c r="A540" s="218">
        <v>45100</v>
      </c>
      <c r="B540" s="214">
        <v>86.13</v>
      </c>
      <c r="C540" s="216">
        <v>4006</v>
      </c>
    </row>
    <row r="541" spans="1:3" ht="15" x14ac:dyDescent="0.2">
      <c r="A541" s="218">
        <v>45101</v>
      </c>
      <c r="B541" s="214">
        <v>110.59</v>
      </c>
      <c r="C541" s="216">
        <v>5296</v>
      </c>
    </row>
    <row r="542" spans="1:3" ht="15" x14ac:dyDescent="0.2">
      <c r="A542" s="218">
        <v>45102</v>
      </c>
      <c r="B542" s="214">
        <v>112.36</v>
      </c>
      <c r="C542" s="216">
        <v>6480</v>
      </c>
    </row>
    <row r="543" spans="1:3" ht="15" x14ac:dyDescent="0.2">
      <c r="A543" s="218">
        <v>45103</v>
      </c>
      <c r="B543" s="214">
        <v>254.73</v>
      </c>
      <c r="C543" s="216">
        <v>16452</v>
      </c>
    </row>
    <row r="544" spans="1:3" ht="15" x14ac:dyDescent="0.2">
      <c r="A544" s="218">
        <v>45104</v>
      </c>
      <c r="B544" s="214">
        <v>234.69</v>
      </c>
      <c r="C544" s="216">
        <v>14208</v>
      </c>
    </row>
    <row r="545" spans="1:3" ht="15" x14ac:dyDescent="0.2">
      <c r="A545" s="218">
        <v>45105</v>
      </c>
      <c r="B545" s="214">
        <v>227.28</v>
      </c>
      <c r="C545" s="216">
        <v>14208</v>
      </c>
    </row>
    <row r="546" spans="1:3" ht="15" x14ac:dyDescent="0.2">
      <c r="A546" s="218">
        <v>45106</v>
      </c>
      <c r="B546" s="214">
        <v>472.36</v>
      </c>
      <c r="C546" s="216">
        <v>27280</v>
      </c>
    </row>
    <row r="547" spans="1:3" ht="15" x14ac:dyDescent="0.2">
      <c r="A547" s="218">
        <v>45107</v>
      </c>
      <c r="B547" s="214">
        <v>506</v>
      </c>
      <c r="C547" s="216">
        <v>32240</v>
      </c>
    </row>
    <row r="548" spans="1:3" ht="15" x14ac:dyDescent="0.2">
      <c r="A548" s="218">
        <v>45108</v>
      </c>
      <c r="B548" s="214">
        <v>364.33</v>
      </c>
      <c r="C548" s="216">
        <v>23768</v>
      </c>
    </row>
    <row r="549" spans="1:3" ht="15" x14ac:dyDescent="0.2">
      <c r="A549" s="218">
        <v>45109</v>
      </c>
      <c r="B549" s="214">
        <v>250.25</v>
      </c>
      <c r="C549" s="216">
        <v>15840</v>
      </c>
    </row>
    <row r="550" spans="1:3" ht="15" x14ac:dyDescent="0.2">
      <c r="A550" s="218">
        <v>45110</v>
      </c>
      <c r="B550" s="214">
        <v>231.35</v>
      </c>
      <c r="C550" s="216">
        <v>14656</v>
      </c>
    </row>
    <row r="551" spans="1:3" ht="15" x14ac:dyDescent="0.2">
      <c r="A551" s="218">
        <v>45111</v>
      </c>
      <c r="B551" s="214">
        <v>232.43</v>
      </c>
      <c r="C551" s="216">
        <v>14504</v>
      </c>
    </row>
    <row r="552" spans="1:3" ht="15" x14ac:dyDescent="0.2">
      <c r="A552" s="218">
        <v>45112</v>
      </c>
      <c r="B552" s="214">
        <v>245.91</v>
      </c>
      <c r="C552" s="216">
        <v>30456</v>
      </c>
    </row>
    <row r="553" spans="1:3" ht="15" x14ac:dyDescent="0.2">
      <c r="A553" s="218">
        <v>45113</v>
      </c>
      <c r="B553" s="214">
        <v>346.48</v>
      </c>
      <c r="C553" s="216">
        <v>41881</v>
      </c>
    </row>
    <row r="554" spans="1:3" ht="15" x14ac:dyDescent="0.2">
      <c r="A554" s="218">
        <v>45114</v>
      </c>
      <c r="B554" s="214">
        <v>402.54</v>
      </c>
      <c r="C554" s="216">
        <v>43367</v>
      </c>
    </row>
    <row r="555" spans="1:3" ht="15" x14ac:dyDescent="0.2">
      <c r="A555" s="218">
        <v>45115</v>
      </c>
      <c r="B555" s="214">
        <v>485.3</v>
      </c>
      <c r="C555" s="216">
        <v>46736</v>
      </c>
    </row>
    <row r="556" spans="1:3" ht="15" x14ac:dyDescent="0.2">
      <c r="A556" s="218">
        <v>45116</v>
      </c>
      <c r="B556" s="214">
        <v>456.99</v>
      </c>
      <c r="C556" s="216">
        <v>29936</v>
      </c>
    </row>
    <row r="557" spans="1:3" ht="15" x14ac:dyDescent="0.2">
      <c r="A557" s="218">
        <v>45117</v>
      </c>
      <c r="B557" s="214">
        <v>529.69000000000005</v>
      </c>
      <c r="C557" s="216">
        <v>30312</v>
      </c>
    </row>
    <row r="558" spans="1:3" ht="15" x14ac:dyDescent="0.2">
      <c r="A558" s="218">
        <v>45118</v>
      </c>
      <c r="B558" s="214">
        <v>396.19</v>
      </c>
      <c r="C558" s="216">
        <v>21380</v>
      </c>
    </row>
    <row r="559" spans="1:3" ht="15" x14ac:dyDescent="0.2">
      <c r="A559" s="218">
        <v>45119</v>
      </c>
      <c r="B559" s="214">
        <v>360.56</v>
      </c>
      <c r="C559" s="216">
        <v>16436</v>
      </c>
    </row>
    <row r="560" spans="1:3" ht="15" x14ac:dyDescent="0.2">
      <c r="A560" s="218">
        <v>45120</v>
      </c>
      <c r="B560" s="214">
        <v>204.85</v>
      </c>
      <c r="C560" s="216">
        <v>7830</v>
      </c>
    </row>
    <row r="561" spans="1:3" ht="15" x14ac:dyDescent="0.2">
      <c r="A561" s="218">
        <v>45121</v>
      </c>
      <c r="B561" s="214">
        <v>203.34</v>
      </c>
      <c r="C561" s="216">
        <v>7236</v>
      </c>
    </row>
    <row r="562" spans="1:3" ht="15" x14ac:dyDescent="0.2">
      <c r="A562" s="218">
        <v>45122</v>
      </c>
      <c r="B562" s="214">
        <v>212.55</v>
      </c>
      <c r="C562" s="216">
        <v>8355</v>
      </c>
    </row>
    <row r="563" spans="1:3" ht="15" x14ac:dyDescent="0.2">
      <c r="A563" s="218">
        <v>45123</v>
      </c>
      <c r="B563" s="214">
        <v>220.22</v>
      </c>
      <c r="C563" s="216">
        <v>8262</v>
      </c>
    </row>
    <row r="564" spans="1:3" ht="15" x14ac:dyDescent="0.2">
      <c r="A564" s="218">
        <v>45124</v>
      </c>
      <c r="B564" s="214">
        <v>184.37</v>
      </c>
      <c r="C564" s="216">
        <v>5490</v>
      </c>
    </row>
    <row r="565" spans="1:3" ht="15" x14ac:dyDescent="0.2">
      <c r="A565" s="218">
        <v>45125</v>
      </c>
      <c r="B565" s="214">
        <v>182.08</v>
      </c>
      <c r="C565" s="216">
        <v>5605</v>
      </c>
    </row>
    <row r="566" spans="1:3" ht="15" x14ac:dyDescent="0.2">
      <c r="A566" s="218">
        <v>45126</v>
      </c>
      <c r="B566" s="214">
        <v>206.11</v>
      </c>
      <c r="C566" s="216">
        <v>18914</v>
      </c>
    </row>
    <row r="567" spans="1:3" ht="15" x14ac:dyDescent="0.2">
      <c r="A567" s="218">
        <v>45127</v>
      </c>
      <c r="B567" s="214">
        <v>234.62</v>
      </c>
      <c r="C567" s="216">
        <v>23824</v>
      </c>
    </row>
    <row r="568" spans="1:3" ht="15" x14ac:dyDescent="0.2">
      <c r="A568" s="218">
        <v>45128</v>
      </c>
      <c r="B568" s="214">
        <v>247.42</v>
      </c>
      <c r="C568" s="216">
        <v>23224</v>
      </c>
    </row>
    <row r="569" spans="1:3" ht="15" x14ac:dyDescent="0.2">
      <c r="A569" s="218">
        <v>45129</v>
      </c>
      <c r="B569" s="214">
        <v>260.13</v>
      </c>
      <c r="C569" s="216">
        <v>26424</v>
      </c>
    </row>
    <row r="570" spans="1:3" ht="15" x14ac:dyDescent="0.2">
      <c r="A570" s="218">
        <v>45130</v>
      </c>
      <c r="B570" s="214">
        <v>274.10000000000002</v>
      </c>
      <c r="C570" s="216">
        <v>30032</v>
      </c>
    </row>
    <row r="571" spans="1:3" ht="15" x14ac:dyDescent="0.2">
      <c r="A571" s="218">
        <v>45131</v>
      </c>
      <c r="B571" s="214">
        <v>406.98</v>
      </c>
      <c r="C571" s="216">
        <v>43081</v>
      </c>
    </row>
    <row r="572" spans="1:3" ht="15" x14ac:dyDescent="0.2">
      <c r="A572" s="218">
        <v>45132</v>
      </c>
      <c r="B572" s="214">
        <v>485.58</v>
      </c>
      <c r="C572" s="216">
        <v>45248</v>
      </c>
    </row>
    <row r="573" spans="1:3" ht="15" x14ac:dyDescent="0.2">
      <c r="A573" s="218">
        <v>45133</v>
      </c>
      <c r="B573" s="214">
        <v>534.07000000000005</v>
      </c>
      <c r="C573" s="216">
        <v>40016</v>
      </c>
    </row>
    <row r="574" spans="1:3" ht="15" x14ac:dyDescent="0.2">
      <c r="A574" s="218">
        <v>45134</v>
      </c>
      <c r="B574" s="214">
        <v>366.41</v>
      </c>
      <c r="C574" s="216">
        <v>16328</v>
      </c>
    </row>
    <row r="575" spans="1:3" ht="15" x14ac:dyDescent="0.2">
      <c r="A575" s="218">
        <v>45135</v>
      </c>
      <c r="B575" s="214">
        <v>335.52</v>
      </c>
      <c r="C575" s="216">
        <v>15788</v>
      </c>
    </row>
    <row r="576" spans="1:3" ht="15" x14ac:dyDescent="0.2">
      <c r="A576" s="218">
        <v>45136</v>
      </c>
      <c r="B576" s="214">
        <v>330.82</v>
      </c>
      <c r="C576" s="216">
        <v>15288</v>
      </c>
    </row>
    <row r="577" spans="1:3" ht="15" x14ac:dyDescent="0.2">
      <c r="A577" s="218">
        <v>45137</v>
      </c>
      <c r="B577" s="214">
        <v>352.29</v>
      </c>
      <c r="C577" s="216">
        <v>17200</v>
      </c>
    </row>
    <row r="578" spans="1:3" ht="15" x14ac:dyDescent="0.2">
      <c r="A578" s="218">
        <v>45138</v>
      </c>
      <c r="B578" s="214">
        <v>207.22</v>
      </c>
      <c r="C578" s="216">
        <v>8442</v>
      </c>
    </row>
    <row r="579" spans="1:3" ht="15" x14ac:dyDescent="0.2">
      <c r="A579" s="218">
        <v>45139</v>
      </c>
      <c r="B579" s="214">
        <v>209.52</v>
      </c>
      <c r="C579" s="216">
        <v>7745</v>
      </c>
    </row>
    <row r="580" spans="1:3" ht="15" x14ac:dyDescent="0.2">
      <c r="A580" s="218">
        <v>45140</v>
      </c>
      <c r="B580" s="214">
        <v>206.07</v>
      </c>
      <c r="C580" s="216">
        <v>5646</v>
      </c>
    </row>
    <row r="581" spans="1:3" ht="15" x14ac:dyDescent="0.2">
      <c r="A581" s="218">
        <v>45141</v>
      </c>
      <c r="B581" s="214">
        <v>211.03</v>
      </c>
      <c r="C581" s="216">
        <v>6158</v>
      </c>
    </row>
    <row r="582" spans="1:3" ht="15" x14ac:dyDescent="0.2">
      <c r="A582" s="218">
        <v>45142</v>
      </c>
      <c r="B582" s="214">
        <v>204.09</v>
      </c>
      <c r="C582" s="216">
        <v>6168</v>
      </c>
    </row>
    <row r="583" spans="1:3" ht="15" x14ac:dyDescent="0.2">
      <c r="A583" s="218">
        <v>45143</v>
      </c>
      <c r="B583" s="214">
        <v>212.5</v>
      </c>
      <c r="C583" s="216">
        <v>6147</v>
      </c>
    </row>
    <row r="584" spans="1:3" ht="15" x14ac:dyDescent="0.2">
      <c r="A584" s="218">
        <v>45144</v>
      </c>
      <c r="B584" s="214">
        <v>228.73</v>
      </c>
      <c r="C584" s="216">
        <v>6948</v>
      </c>
    </row>
    <row r="585" spans="1:3" ht="15" x14ac:dyDescent="0.2">
      <c r="A585" s="218">
        <v>45145</v>
      </c>
      <c r="B585" s="214">
        <v>399.19</v>
      </c>
      <c r="C585" s="216">
        <v>27880</v>
      </c>
    </row>
    <row r="586" spans="1:3" ht="15" x14ac:dyDescent="0.2">
      <c r="A586" s="218">
        <v>45146</v>
      </c>
      <c r="B586" s="214">
        <v>275.42</v>
      </c>
      <c r="C586" s="216">
        <v>9894</v>
      </c>
    </row>
    <row r="587" spans="1:3" ht="15" x14ac:dyDescent="0.2">
      <c r="A587" s="218">
        <v>45147</v>
      </c>
      <c r="B587" s="214">
        <v>273.81</v>
      </c>
      <c r="C587" s="216">
        <v>9638</v>
      </c>
    </row>
    <row r="588" spans="1:3" ht="15" x14ac:dyDescent="0.2">
      <c r="A588" s="218">
        <v>45148</v>
      </c>
      <c r="B588" s="214">
        <v>311.58999999999997</v>
      </c>
      <c r="C588" s="216">
        <v>8943</v>
      </c>
    </row>
    <row r="589" spans="1:3" ht="15" x14ac:dyDescent="0.2">
      <c r="A589" s="219">
        <v>45149</v>
      </c>
      <c r="B589" s="215">
        <v>37.94</v>
      </c>
      <c r="C589" s="217">
        <v>1893</v>
      </c>
    </row>
    <row r="590" spans="1:3" x14ac:dyDescent="0.2">
      <c r="A590"/>
      <c r="B590"/>
      <c r="C590"/>
    </row>
    <row r="591" spans="1:3" x14ac:dyDescent="0.2">
      <c r="A591"/>
      <c r="B591"/>
      <c r="C591"/>
    </row>
    <row r="592" spans="1:3" x14ac:dyDescent="0.2">
      <c r="A592"/>
      <c r="B592"/>
      <c r="C592"/>
    </row>
    <row r="593" customFormat="1" x14ac:dyDescent="0.2"/>
    <row r="594" customFormat="1" x14ac:dyDescent="0.2"/>
    <row r="595" customFormat="1" x14ac:dyDescent="0.2"/>
    <row r="596" customFormat="1" x14ac:dyDescent="0.2"/>
    <row r="597" customFormat="1" x14ac:dyDescent="0.2"/>
    <row r="598" customFormat="1" x14ac:dyDescent="0.2"/>
    <row r="599" customFormat="1" x14ac:dyDescent="0.2"/>
    <row r="600" customFormat="1" x14ac:dyDescent="0.2"/>
    <row r="601" customFormat="1" x14ac:dyDescent="0.2"/>
    <row r="602" customFormat="1" x14ac:dyDescent="0.2"/>
    <row r="603" customFormat="1" x14ac:dyDescent="0.2"/>
    <row r="604" customFormat="1" x14ac:dyDescent="0.2"/>
    <row r="605" customFormat="1" x14ac:dyDescent="0.2"/>
    <row r="606" customFormat="1" x14ac:dyDescent="0.2"/>
    <row r="607" customFormat="1" x14ac:dyDescent="0.2"/>
    <row r="608" customFormat="1" x14ac:dyDescent="0.2"/>
    <row r="609" customFormat="1" x14ac:dyDescent="0.2"/>
    <row r="610" customFormat="1" x14ac:dyDescent="0.2"/>
    <row r="611" customFormat="1" x14ac:dyDescent="0.2"/>
    <row r="612" customFormat="1" x14ac:dyDescent="0.2"/>
    <row r="613" customFormat="1" x14ac:dyDescent="0.2"/>
    <row r="614" customFormat="1" x14ac:dyDescent="0.2"/>
    <row r="615" customFormat="1" x14ac:dyDescent="0.2"/>
    <row r="616" customFormat="1" x14ac:dyDescent="0.2"/>
    <row r="617" customFormat="1" x14ac:dyDescent="0.2"/>
    <row r="618" customFormat="1" x14ac:dyDescent="0.2"/>
    <row r="619" customFormat="1" x14ac:dyDescent="0.2"/>
    <row r="620" customFormat="1" x14ac:dyDescent="0.2"/>
    <row r="621" customFormat="1" x14ac:dyDescent="0.2"/>
    <row r="622" customFormat="1" x14ac:dyDescent="0.2"/>
    <row r="623" customFormat="1" x14ac:dyDescent="0.2"/>
    <row r="624" customFormat="1" x14ac:dyDescent="0.2"/>
    <row r="625" customFormat="1" x14ac:dyDescent="0.2"/>
    <row r="626" customFormat="1" x14ac:dyDescent="0.2"/>
    <row r="627" customFormat="1" x14ac:dyDescent="0.2"/>
    <row r="628" customFormat="1" x14ac:dyDescent="0.2"/>
    <row r="629" customFormat="1" x14ac:dyDescent="0.2"/>
    <row r="630" customFormat="1" x14ac:dyDescent="0.2"/>
    <row r="631" customFormat="1" x14ac:dyDescent="0.2"/>
    <row r="632" customFormat="1" x14ac:dyDescent="0.2"/>
    <row r="633" customFormat="1" x14ac:dyDescent="0.2"/>
    <row r="634" customFormat="1" x14ac:dyDescent="0.2"/>
    <row r="635" customFormat="1" x14ac:dyDescent="0.2"/>
    <row r="636" customFormat="1" x14ac:dyDescent="0.2"/>
    <row r="637" customFormat="1" x14ac:dyDescent="0.2"/>
    <row r="638" customFormat="1" x14ac:dyDescent="0.2"/>
    <row r="639" customFormat="1" x14ac:dyDescent="0.2"/>
    <row r="640" customFormat="1" x14ac:dyDescent="0.2"/>
    <row r="641" customFormat="1" x14ac:dyDescent="0.2"/>
    <row r="642" customFormat="1" x14ac:dyDescent="0.2"/>
    <row r="643" customFormat="1" x14ac:dyDescent="0.2"/>
    <row r="644" customFormat="1" x14ac:dyDescent="0.2"/>
    <row r="645" customFormat="1" x14ac:dyDescent="0.2"/>
    <row r="646" customFormat="1" x14ac:dyDescent="0.2"/>
    <row r="647" customFormat="1" x14ac:dyDescent="0.2"/>
    <row r="648" customFormat="1" x14ac:dyDescent="0.2"/>
    <row r="649" customFormat="1" x14ac:dyDescent="0.2"/>
    <row r="650" customFormat="1" x14ac:dyDescent="0.2"/>
    <row r="651" customFormat="1" x14ac:dyDescent="0.2"/>
    <row r="652" customFormat="1" x14ac:dyDescent="0.2"/>
    <row r="653" customFormat="1" x14ac:dyDescent="0.2"/>
    <row r="654" customFormat="1" x14ac:dyDescent="0.2"/>
    <row r="655" customFormat="1" x14ac:dyDescent="0.2"/>
    <row r="656" customFormat="1" x14ac:dyDescent="0.2"/>
    <row r="657" customFormat="1" x14ac:dyDescent="0.2"/>
    <row r="658" customFormat="1" x14ac:dyDescent="0.2"/>
    <row r="659" customFormat="1" x14ac:dyDescent="0.2"/>
    <row r="660" customFormat="1" x14ac:dyDescent="0.2"/>
    <row r="661" customFormat="1" x14ac:dyDescent="0.2"/>
    <row r="662" customFormat="1" x14ac:dyDescent="0.2"/>
    <row r="663" customFormat="1" x14ac:dyDescent="0.2"/>
    <row r="664" customFormat="1" x14ac:dyDescent="0.2"/>
    <row r="665" customFormat="1" x14ac:dyDescent="0.2"/>
    <row r="666" customFormat="1" x14ac:dyDescent="0.2"/>
    <row r="667" customFormat="1" x14ac:dyDescent="0.2"/>
    <row r="668" customFormat="1" x14ac:dyDescent="0.2"/>
    <row r="669" customFormat="1" x14ac:dyDescent="0.2"/>
    <row r="670" customFormat="1" x14ac:dyDescent="0.2"/>
    <row r="671" customFormat="1" x14ac:dyDescent="0.2"/>
    <row r="672" customFormat="1" x14ac:dyDescent="0.2"/>
    <row r="673" customFormat="1" x14ac:dyDescent="0.2"/>
    <row r="674" customFormat="1" x14ac:dyDescent="0.2"/>
    <row r="675" customFormat="1" x14ac:dyDescent="0.2"/>
    <row r="676" customFormat="1" x14ac:dyDescent="0.2"/>
    <row r="677" customFormat="1" x14ac:dyDescent="0.2"/>
    <row r="678" customFormat="1" x14ac:dyDescent="0.2"/>
    <row r="679" customFormat="1" x14ac:dyDescent="0.2"/>
    <row r="680" customFormat="1" x14ac:dyDescent="0.2"/>
    <row r="681" customFormat="1" x14ac:dyDescent="0.2"/>
    <row r="682" customFormat="1" x14ac:dyDescent="0.2"/>
    <row r="683" customFormat="1" x14ac:dyDescent="0.2"/>
    <row r="684" customFormat="1" x14ac:dyDescent="0.2"/>
    <row r="685" customFormat="1" x14ac:dyDescent="0.2"/>
    <row r="686" customFormat="1" x14ac:dyDescent="0.2"/>
    <row r="687" customFormat="1" x14ac:dyDescent="0.2"/>
    <row r="688" customFormat="1" x14ac:dyDescent="0.2"/>
    <row r="689" customFormat="1" x14ac:dyDescent="0.2"/>
    <row r="690" customFormat="1" x14ac:dyDescent="0.2"/>
    <row r="691" customFormat="1" x14ac:dyDescent="0.2"/>
    <row r="692" customFormat="1" x14ac:dyDescent="0.2"/>
    <row r="693" customFormat="1" x14ac:dyDescent="0.2"/>
    <row r="694" customFormat="1" x14ac:dyDescent="0.2"/>
    <row r="695" customFormat="1" x14ac:dyDescent="0.2"/>
    <row r="696" customFormat="1" x14ac:dyDescent="0.2"/>
    <row r="697" customFormat="1" x14ac:dyDescent="0.2"/>
    <row r="698" customFormat="1" x14ac:dyDescent="0.2"/>
    <row r="699" customFormat="1" x14ac:dyDescent="0.2"/>
    <row r="700" customFormat="1" x14ac:dyDescent="0.2"/>
    <row r="701" customFormat="1" x14ac:dyDescent="0.2"/>
    <row r="702" customFormat="1" x14ac:dyDescent="0.2"/>
    <row r="703" customFormat="1" x14ac:dyDescent="0.2"/>
    <row r="704" customFormat="1" x14ac:dyDescent="0.2"/>
    <row r="705" customFormat="1" x14ac:dyDescent="0.2"/>
    <row r="706" customFormat="1" x14ac:dyDescent="0.2"/>
    <row r="707" customFormat="1" x14ac:dyDescent="0.2"/>
    <row r="708" customFormat="1" x14ac:dyDescent="0.2"/>
    <row r="709" customFormat="1" x14ac:dyDescent="0.2"/>
    <row r="710" customFormat="1" x14ac:dyDescent="0.2"/>
    <row r="711" customFormat="1" x14ac:dyDescent="0.2"/>
    <row r="712" customFormat="1" x14ac:dyDescent="0.2"/>
    <row r="713" customFormat="1" x14ac:dyDescent="0.2"/>
    <row r="714" customFormat="1" x14ac:dyDescent="0.2"/>
    <row r="715" customFormat="1" x14ac:dyDescent="0.2"/>
    <row r="716" customFormat="1" x14ac:dyDescent="0.2"/>
    <row r="717" customFormat="1" x14ac:dyDescent="0.2"/>
    <row r="718" customFormat="1" x14ac:dyDescent="0.2"/>
    <row r="719" customFormat="1" x14ac:dyDescent="0.2"/>
    <row r="720" customFormat="1" x14ac:dyDescent="0.2"/>
    <row r="721" customFormat="1" x14ac:dyDescent="0.2"/>
    <row r="722" customFormat="1" x14ac:dyDescent="0.2"/>
    <row r="723" customFormat="1" x14ac:dyDescent="0.2"/>
    <row r="724" customFormat="1" x14ac:dyDescent="0.2"/>
    <row r="725" customFormat="1" x14ac:dyDescent="0.2"/>
    <row r="726" customFormat="1" x14ac:dyDescent="0.2"/>
    <row r="727" customFormat="1" x14ac:dyDescent="0.2"/>
    <row r="728" customFormat="1" x14ac:dyDescent="0.2"/>
    <row r="729" customFormat="1" x14ac:dyDescent="0.2"/>
    <row r="730" customFormat="1" x14ac:dyDescent="0.2"/>
    <row r="731" customFormat="1" x14ac:dyDescent="0.2"/>
    <row r="732" customFormat="1" x14ac:dyDescent="0.2"/>
    <row r="733" customFormat="1" x14ac:dyDescent="0.2"/>
    <row r="734" customFormat="1" x14ac:dyDescent="0.2"/>
    <row r="735" customFormat="1" x14ac:dyDescent="0.2"/>
    <row r="736" customFormat="1" x14ac:dyDescent="0.2"/>
    <row r="737" customFormat="1" x14ac:dyDescent="0.2"/>
    <row r="738" customFormat="1" x14ac:dyDescent="0.2"/>
    <row r="739" customFormat="1" x14ac:dyDescent="0.2"/>
    <row r="740" customFormat="1" x14ac:dyDescent="0.2"/>
    <row r="741" customFormat="1" x14ac:dyDescent="0.2"/>
    <row r="742" customFormat="1" x14ac:dyDescent="0.2"/>
    <row r="743" customFormat="1" x14ac:dyDescent="0.2"/>
    <row r="744" customFormat="1" x14ac:dyDescent="0.2"/>
    <row r="745" customFormat="1" x14ac:dyDescent="0.2"/>
    <row r="746" customFormat="1" x14ac:dyDescent="0.2"/>
    <row r="747" customFormat="1" x14ac:dyDescent="0.2"/>
    <row r="748" customFormat="1" x14ac:dyDescent="0.2"/>
    <row r="749" customFormat="1" x14ac:dyDescent="0.2"/>
    <row r="750" customFormat="1" x14ac:dyDescent="0.2"/>
    <row r="751" customFormat="1" x14ac:dyDescent="0.2"/>
    <row r="752" customFormat="1" x14ac:dyDescent="0.2"/>
    <row r="753" customFormat="1" x14ac:dyDescent="0.2"/>
    <row r="754" customFormat="1" x14ac:dyDescent="0.2"/>
    <row r="755" customFormat="1" x14ac:dyDescent="0.2"/>
    <row r="756" customFormat="1" x14ac:dyDescent="0.2"/>
    <row r="757" customFormat="1" x14ac:dyDescent="0.2"/>
    <row r="758" customFormat="1" x14ac:dyDescent="0.2"/>
    <row r="759" customFormat="1" x14ac:dyDescent="0.2"/>
    <row r="760" customFormat="1" x14ac:dyDescent="0.2"/>
    <row r="761" customFormat="1" x14ac:dyDescent="0.2"/>
    <row r="762" customFormat="1" x14ac:dyDescent="0.2"/>
    <row r="763" customFormat="1" x14ac:dyDescent="0.2"/>
    <row r="764" customFormat="1" x14ac:dyDescent="0.2"/>
    <row r="765" customFormat="1" x14ac:dyDescent="0.2"/>
    <row r="766" customFormat="1" x14ac:dyDescent="0.2"/>
    <row r="767" customFormat="1" x14ac:dyDescent="0.2"/>
    <row r="768" customFormat="1" x14ac:dyDescent="0.2"/>
    <row r="769" customFormat="1" x14ac:dyDescent="0.2"/>
    <row r="770" customFormat="1" x14ac:dyDescent="0.2"/>
    <row r="771" customFormat="1" x14ac:dyDescent="0.2"/>
    <row r="772" customFormat="1" x14ac:dyDescent="0.2"/>
    <row r="773" customFormat="1" x14ac:dyDescent="0.2"/>
    <row r="774" customFormat="1" x14ac:dyDescent="0.2"/>
    <row r="775" customFormat="1" x14ac:dyDescent="0.2"/>
    <row r="776" customFormat="1" x14ac:dyDescent="0.2"/>
    <row r="777" customFormat="1" x14ac:dyDescent="0.2"/>
    <row r="778" customFormat="1" x14ac:dyDescent="0.2"/>
    <row r="779" customFormat="1" x14ac:dyDescent="0.2"/>
    <row r="780" customFormat="1" x14ac:dyDescent="0.2"/>
    <row r="781" customFormat="1" x14ac:dyDescent="0.2"/>
    <row r="782" customFormat="1" x14ac:dyDescent="0.2"/>
    <row r="783" customFormat="1" x14ac:dyDescent="0.2"/>
    <row r="784" customFormat="1" x14ac:dyDescent="0.2"/>
    <row r="785" customFormat="1" x14ac:dyDescent="0.2"/>
    <row r="786" customFormat="1" x14ac:dyDescent="0.2"/>
    <row r="787" customFormat="1" x14ac:dyDescent="0.2"/>
    <row r="788" customFormat="1" x14ac:dyDescent="0.2"/>
    <row r="789" customFormat="1" x14ac:dyDescent="0.2"/>
    <row r="790" customFormat="1" x14ac:dyDescent="0.2"/>
    <row r="791" customFormat="1" x14ac:dyDescent="0.2"/>
    <row r="792" customFormat="1" x14ac:dyDescent="0.2"/>
    <row r="793" customFormat="1" x14ac:dyDescent="0.2"/>
    <row r="794" customFormat="1" x14ac:dyDescent="0.2"/>
    <row r="795" customFormat="1" x14ac:dyDescent="0.2"/>
    <row r="796" customFormat="1" x14ac:dyDescent="0.2"/>
    <row r="797" customFormat="1" x14ac:dyDescent="0.2"/>
    <row r="798" customFormat="1" x14ac:dyDescent="0.2"/>
    <row r="799" customFormat="1" x14ac:dyDescent="0.2"/>
    <row r="800" customFormat="1" x14ac:dyDescent="0.2"/>
    <row r="801" customFormat="1" x14ac:dyDescent="0.2"/>
    <row r="802" customFormat="1" x14ac:dyDescent="0.2"/>
    <row r="803" customFormat="1" x14ac:dyDescent="0.2"/>
    <row r="804" customFormat="1" x14ac:dyDescent="0.2"/>
    <row r="805" customFormat="1" x14ac:dyDescent="0.2"/>
    <row r="806" customFormat="1" x14ac:dyDescent="0.2"/>
    <row r="807" customFormat="1" x14ac:dyDescent="0.2"/>
    <row r="808" customFormat="1" x14ac:dyDescent="0.2"/>
    <row r="809" customFormat="1" x14ac:dyDescent="0.2"/>
    <row r="810" customFormat="1" x14ac:dyDescent="0.2"/>
    <row r="811" customFormat="1" x14ac:dyDescent="0.2"/>
    <row r="812" customFormat="1" x14ac:dyDescent="0.2"/>
    <row r="813" customFormat="1" x14ac:dyDescent="0.2"/>
    <row r="814" customFormat="1" x14ac:dyDescent="0.2"/>
    <row r="815" customFormat="1" x14ac:dyDescent="0.2"/>
    <row r="816" customFormat="1" x14ac:dyDescent="0.2"/>
    <row r="817" customFormat="1" x14ac:dyDescent="0.2"/>
    <row r="818" customFormat="1" x14ac:dyDescent="0.2"/>
    <row r="819" customFormat="1" x14ac:dyDescent="0.2"/>
    <row r="820" customFormat="1" x14ac:dyDescent="0.2"/>
    <row r="821" customFormat="1" x14ac:dyDescent="0.2"/>
    <row r="822" customFormat="1" x14ac:dyDescent="0.2"/>
    <row r="823" customFormat="1" x14ac:dyDescent="0.2"/>
    <row r="824" customFormat="1" x14ac:dyDescent="0.2"/>
    <row r="825" customFormat="1" x14ac:dyDescent="0.2"/>
    <row r="826" customFormat="1" x14ac:dyDescent="0.2"/>
    <row r="827" customFormat="1" x14ac:dyDescent="0.2"/>
    <row r="828" customFormat="1" x14ac:dyDescent="0.2"/>
    <row r="829" customFormat="1" x14ac:dyDescent="0.2"/>
    <row r="830" customFormat="1" x14ac:dyDescent="0.2"/>
    <row r="831" customFormat="1" x14ac:dyDescent="0.2"/>
    <row r="832" customFormat="1" x14ac:dyDescent="0.2"/>
    <row r="833" customFormat="1" x14ac:dyDescent="0.2"/>
    <row r="834" customFormat="1" x14ac:dyDescent="0.2"/>
    <row r="835" customFormat="1" x14ac:dyDescent="0.2"/>
    <row r="836" customFormat="1" x14ac:dyDescent="0.2"/>
    <row r="837" customFormat="1" x14ac:dyDescent="0.2"/>
    <row r="838" customFormat="1" x14ac:dyDescent="0.2"/>
    <row r="839" customFormat="1" x14ac:dyDescent="0.2"/>
    <row r="840" customFormat="1" x14ac:dyDescent="0.2"/>
    <row r="841" customFormat="1" x14ac:dyDescent="0.2"/>
    <row r="842" customFormat="1" x14ac:dyDescent="0.2"/>
    <row r="843" customFormat="1" x14ac:dyDescent="0.2"/>
    <row r="844" customFormat="1" x14ac:dyDescent="0.2"/>
    <row r="845" customFormat="1" x14ac:dyDescent="0.2"/>
    <row r="846" customFormat="1" x14ac:dyDescent="0.2"/>
    <row r="847" customFormat="1" x14ac:dyDescent="0.2"/>
    <row r="848" customFormat="1" x14ac:dyDescent="0.2"/>
    <row r="849" customFormat="1" x14ac:dyDescent="0.2"/>
    <row r="850" customFormat="1" x14ac:dyDescent="0.2"/>
    <row r="851" customFormat="1" x14ac:dyDescent="0.2"/>
    <row r="852" customFormat="1" x14ac:dyDescent="0.2"/>
    <row r="853" customFormat="1" x14ac:dyDescent="0.2"/>
    <row r="854" customFormat="1" x14ac:dyDescent="0.2"/>
    <row r="855" customFormat="1" x14ac:dyDescent="0.2"/>
    <row r="856" customFormat="1" x14ac:dyDescent="0.2"/>
    <row r="857" customFormat="1" x14ac:dyDescent="0.2"/>
    <row r="858" customFormat="1" x14ac:dyDescent="0.2"/>
    <row r="859" customFormat="1" x14ac:dyDescent="0.2"/>
    <row r="860" customFormat="1" x14ac:dyDescent="0.2"/>
    <row r="861" customFormat="1" x14ac:dyDescent="0.2"/>
    <row r="862" customFormat="1" x14ac:dyDescent="0.2"/>
    <row r="863" customFormat="1" x14ac:dyDescent="0.2"/>
    <row r="864" customFormat="1" x14ac:dyDescent="0.2"/>
    <row r="865" customFormat="1" x14ac:dyDescent="0.2"/>
    <row r="866" customFormat="1" x14ac:dyDescent="0.2"/>
    <row r="867" customFormat="1" x14ac:dyDescent="0.2"/>
    <row r="868" customFormat="1" x14ac:dyDescent="0.2"/>
    <row r="869" customFormat="1" x14ac:dyDescent="0.2"/>
    <row r="870" customFormat="1" x14ac:dyDescent="0.2"/>
    <row r="871" customFormat="1" x14ac:dyDescent="0.2"/>
    <row r="872" customFormat="1" x14ac:dyDescent="0.2"/>
    <row r="873" customFormat="1" x14ac:dyDescent="0.2"/>
    <row r="874" customFormat="1" x14ac:dyDescent="0.2"/>
    <row r="875" customFormat="1" x14ac:dyDescent="0.2"/>
    <row r="876" customFormat="1" x14ac:dyDescent="0.2"/>
    <row r="877" customFormat="1" x14ac:dyDescent="0.2"/>
    <row r="878" customFormat="1" x14ac:dyDescent="0.2"/>
    <row r="879" customFormat="1" x14ac:dyDescent="0.2"/>
    <row r="880" customFormat="1" x14ac:dyDescent="0.2"/>
    <row r="881" customFormat="1" x14ac:dyDescent="0.2"/>
    <row r="882" customFormat="1" x14ac:dyDescent="0.2"/>
    <row r="883" customFormat="1" x14ac:dyDescent="0.2"/>
    <row r="884" customFormat="1" x14ac:dyDescent="0.2"/>
    <row r="885" customFormat="1" x14ac:dyDescent="0.2"/>
    <row r="886" customFormat="1" x14ac:dyDescent="0.2"/>
    <row r="887" customFormat="1" x14ac:dyDescent="0.2"/>
    <row r="888" customFormat="1" x14ac:dyDescent="0.2"/>
    <row r="889" customFormat="1" x14ac:dyDescent="0.2"/>
    <row r="890" customFormat="1" x14ac:dyDescent="0.2"/>
    <row r="891" customFormat="1" x14ac:dyDescent="0.2"/>
    <row r="892" customFormat="1" x14ac:dyDescent="0.2"/>
    <row r="893" customFormat="1" x14ac:dyDescent="0.2"/>
    <row r="894" customFormat="1" x14ac:dyDescent="0.2"/>
    <row r="895" customFormat="1" x14ac:dyDescent="0.2"/>
    <row r="896" customFormat="1" x14ac:dyDescent="0.2"/>
    <row r="897" customFormat="1" x14ac:dyDescent="0.2"/>
    <row r="898" customFormat="1" x14ac:dyDescent="0.2"/>
    <row r="899" customFormat="1" x14ac:dyDescent="0.2"/>
    <row r="900" customFormat="1" x14ac:dyDescent="0.2"/>
    <row r="901" customFormat="1" x14ac:dyDescent="0.2"/>
    <row r="902" customFormat="1" x14ac:dyDescent="0.2"/>
    <row r="903" customFormat="1" x14ac:dyDescent="0.2"/>
    <row r="904" customFormat="1" x14ac:dyDescent="0.2"/>
    <row r="905" customFormat="1" x14ac:dyDescent="0.2"/>
    <row r="906" customFormat="1" x14ac:dyDescent="0.2"/>
    <row r="907" customFormat="1" x14ac:dyDescent="0.2"/>
    <row r="908" customFormat="1" x14ac:dyDescent="0.2"/>
    <row r="909" customFormat="1" x14ac:dyDescent="0.2"/>
    <row r="910" customFormat="1" x14ac:dyDescent="0.2"/>
    <row r="911" customFormat="1" x14ac:dyDescent="0.2"/>
    <row r="912" customFormat="1" x14ac:dyDescent="0.2"/>
    <row r="913" customFormat="1" x14ac:dyDescent="0.2"/>
    <row r="914" customFormat="1" x14ac:dyDescent="0.2"/>
    <row r="915" customFormat="1" x14ac:dyDescent="0.2"/>
    <row r="916" customFormat="1" x14ac:dyDescent="0.2"/>
    <row r="917" customFormat="1" x14ac:dyDescent="0.2"/>
    <row r="918" customFormat="1" x14ac:dyDescent="0.2"/>
    <row r="919" customFormat="1" x14ac:dyDescent="0.2"/>
    <row r="920" customFormat="1" x14ac:dyDescent="0.2"/>
    <row r="921" customFormat="1" x14ac:dyDescent="0.2"/>
    <row r="922" customFormat="1" x14ac:dyDescent="0.2"/>
    <row r="923" customFormat="1" x14ac:dyDescent="0.2"/>
    <row r="924" customFormat="1" x14ac:dyDescent="0.2"/>
    <row r="925" customFormat="1" x14ac:dyDescent="0.2"/>
    <row r="926" customFormat="1" x14ac:dyDescent="0.2"/>
    <row r="927" customFormat="1" x14ac:dyDescent="0.2"/>
    <row r="928" customFormat="1" x14ac:dyDescent="0.2"/>
    <row r="929" customFormat="1" x14ac:dyDescent="0.2"/>
    <row r="930" customFormat="1" x14ac:dyDescent="0.2"/>
    <row r="931" customFormat="1" x14ac:dyDescent="0.2"/>
    <row r="932" customFormat="1" x14ac:dyDescent="0.2"/>
    <row r="933" customFormat="1" x14ac:dyDescent="0.2"/>
    <row r="934" customFormat="1" x14ac:dyDescent="0.2"/>
    <row r="935" customFormat="1" x14ac:dyDescent="0.2"/>
    <row r="936" customFormat="1" x14ac:dyDescent="0.2"/>
    <row r="937" customFormat="1" x14ac:dyDescent="0.2"/>
    <row r="938" customFormat="1" x14ac:dyDescent="0.2"/>
    <row r="939" customFormat="1" x14ac:dyDescent="0.2"/>
    <row r="940" customFormat="1" x14ac:dyDescent="0.2"/>
    <row r="941" customFormat="1" x14ac:dyDescent="0.2"/>
    <row r="942" customFormat="1" x14ac:dyDescent="0.2"/>
    <row r="943" customFormat="1" x14ac:dyDescent="0.2"/>
    <row r="944" customFormat="1" x14ac:dyDescent="0.2"/>
    <row r="945" customFormat="1" x14ac:dyDescent="0.2"/>
    <row r="946" customFormat="1" x14ac:dyDescent="0.2"/>
    <row r="947" customFormat="1" x14ac:dyDescent="0.2"/>
    <row r="948" customFormat="1" x14ac:dyDescent="0.2"/>
    <row r="949" customFormat="1" x14ac:dyDescent="0.2"/>
    <row r="950" customFormat="1" x14ac:dyDescent="0.2"/>
    <row r="951" customFormat="1" x14ac:dyDescent="0.2"/>
    <row r="952" customFormat="1" x14ac:dyDescent="0.2"/>
    <row r="953" customFormat="1" x14ac:dyDescent="0.2"/>
    <row r="954" customFormat="1" x14ac:dyDescent="0.2"/>
    <row r="955" customFormat="1" x14ac:dyDescent="0.2"/>
    <row r="956" customFormat="1" x14ac:dyDescent="0.2"/>
    <row r="957" customFormat="1" x14ac:dyDescent="0.2"/>
    <row r="958" customFormat="1" x14ac:dyDescent="0.2"/>
    <row r="959" customFormat="1" x14ac:dyDescent="0.2"/>
    <row r="960" customFormat="1" x14ac:dyDescent="0.2"/>
    <row r="961" customFormat="1" x14ac:dyDescent="0.2"/>
    <row r="962" customFormat="1" x14ac:dyDescent="0.2"/>
    <row r="963" customFormat="1" x14ac:dyDescent="0.2"/>
    <row r="964" customFormat="1" x14ac:dyDescent="0.2"/>
    <row r="965" customFormat="1" x14ac:dyDescent="0.2"/>
    <row r="966" customFormat="1" x14ac:dyDescent="0.2"/>
    <row r="967" customFormat="1" x14ac:dyDescent="0.2"/>
    <row r="968" customFormat="1" x14ac:dyDescent="0.2"/>
    <row r="969" customFormat="1" x14ac:dyDescent="0.2"/>
    <row r="970" customFormat="1" x14ac:dyDescent="0.2"/>
    <row r="971" customFormat="1" x14ac:dyDescent="0.2"/>
    <row r="972" customFormat="1" x14ac:dyDescent="0.2"/>
    <row r="973" customFormat="1" x14ac:dyDescent="0.2"/>
    <row r="974" customFormat="1" x14ac:dyDescent="0.2"/>
    <row r="975" customFormat="1" x14ac:dyDescent="0.2"/>
    <row r="976" customFormat="1" x14ac:dyDescent="0.2"/>
    <row r="977" customFormat="1" x14ac:dyDescent="0.2"/>
    <row r="978" customFormat="1" x14ac:dyDescent="0.2"/>
    <row r="979" customFormat="1" x14ac:dyDescent="0.2"/>
    <row r="980" customFormat="1" x14ac:dyDescent="0.2"/>
    <row r="981" customFormat="1" x14ac:dyDescent="0.2"/>
    <row r="982" customFormat="1" x14ac:dyDescent="0.2"/>
    <row r="983" customFormat="1" x14ac:dyDescent="0.2"/>
    <row r="984" customFormat="1" x14ac:dyDescent="0.2"/>
    <row r="985" customFormat="1" x14ac:dyDescent="0.2"/>
    <row r="986" customFormat="1" x14ac:dyDescent="0.2"/>
    <row r="987" customFormat="1" x14ac:dyDescent="0.2"/>
    <row r="988" customFormat="1" x14ac:dyDescent="0.2"/>
    <row r="989" customFormat="1" x14ac:dyDescent="0.2"/>
    <row r="990" customFormat="1" x14ac:dyDescent="0.2"/>
    <row r="991" customFormat="1" x14ac:dyDescent="0.2"/>
    <row r="992" customFormat="1" x14ac:dyDescent="0.2"/>
    <row r="993" customFormat="1" x14ac:dyDescent="0.2"/>
    <row r="994" customFormat="1" x14ac:dyDescent="0.2"/>
    <row r="995" customFormat="1" x14ac:dyDescent="0.2"/>
    <row r="996" customFormat="1" x14ac:dyDescent="0.2"/>
    <row r="997" customFormat="1" x14ac:dyDescent="0.2"/>
    <row r="998" customFormat="1" x14ac:dyDescent="0.2"/>
    <row r="999" customFormat="1" x14ac:dyDescent="0.2"/>
    <row r="1000" customFormat="1" x14ac:dyDescent="0.2"/>
    <row r="1001" customFormat="1" x14ac:dyDescent="0.2"/>
    <row r="1002" customFormat="1" x14ac:dyDescent="0.2"/>
    <row r="1003" customFormat="1" x14ac:dyDescent="0.2"/>
    <row r="1004" customFormat="1" x14ac:dyDescent="0.2"/>
    <row r="1005" customFormat="1" x14ac:dyDescent="0.2"/>
    <row r="1006" customFormat="1" x14ac:dyDescent="0.2"/>
    <row r="1007" customFormat="1" x14ac:dyDescent="0.2"/>
    <row r="1008" customFormat="1" x14ac:dyDescent="0.2"/>
    <row r="1009" customFormat="1" x14ac:dyDescent="0.2"/>
    <row r="1010" customFormat="1" x14ac:dyDescent="0.2"/>
    <row r="1011" customFormat="1" x14ac:dyDescent="0.2"/>
    <row r="1012" customFormat="1" x14ac:dyDescent="0.2"/>
    <row r="1013" customFormat="1" x14ac:dyDescent="0.2"/>
    <row r="1014" customFormat="1" x14ac:dyDescent="0.2"/>
    <row r="1015" customFormat="1" x14ac:dyDescent="0.2"/>
    <row r="1016" customFormat="1" x14ac:dyDescent="0.2"/>
    <row r="1017" customFormat="1" x14ac:dyDescent="0.2"/>
    <row r="1018" customFormat="1" x14ac:dyDescent="0.2"/>
    <row r="1019" customFormat="1" x14ac:dyDescent="0.2"/>
    <row r="1020" customFormat="1" x14ac:dyDescent="0.2"/>
    <row r="1021" customFormat="1" x14ac:dyDescent="0.2"/>
    <row r="1022" customFormat="1" x14ac:dyDescent="0.2"/>
    <row r="1023" customFormat="1" x14ac:dyDescent="0.2"/>
    <row r="1024" customFormat="1" x14ac:dyDescent="0.2"/>
    <row r="1025" customFormat="1" x14ac:dyDescent="0.2"/>
    <row r="1026" customFormat="1" x14ac:dyDescent="0.2"/>
    <row r="1027" customFormat="1" x14ac:dyDescent="0.2"/>
    <row r="1028" customFormat="1" x14ac:dyDescent="0.2"/>
    <row r="1029" customFormat="1" x14ac:dyDescent="0.2"/>
    <row r="1030" customFormat="1" x14ac:dyDescent="0.2"/>
    <row r="1031" customFormat="1" x14ac:dyDescent="0.2"/>
    <row r="1032" customFormat="1" x14ac:dyDescent="0.2"/>
    <row r="1033" customFormat="1" x14ac:dyDescent="0.2"/>
    <row r="1034" customFormat="1" x14ac:dyDescent="0.2"/>
    <row r="1035" customFormat="1" x14ac:dyDescent="0.2"/>
    <row r="1036" customFormat="1" x14ac:dyDescent="0.2"/>
    <row r="1037" customFormat="1" x14ac:dyDescent="0.2"/>
    <row r="1038" customFormat="1" x14ac:dyDescent="0.2"/>
    <row r="1039" customFormat="1" x14ac:dyDescent="0.2"/>
    <row r="1040" customFormat="1" x14ac:dyDescent="0.2"/>
    <row r="1041" customFormat="1" x14ac:dyDescent="0.2"/>
    <row r="1042" customFormat="1" x14ac:dyDescent="0.2"/>
    <row r="1043" customFormat="1" x14ac:dyDescent="0.2"/>
    <row r="1044" customFormat="1" x14ac:dyDescent="0.2"/>
    <row r="1045" customFormat="1" x14ac:dyDescent="0.2"/>
    <row r="1046" customFormat="1" x14ac:dyDescent="0.2"/>
    <row r="1047" customFormat="1" x14ac:dyDescent="0.2"/>
    <row r="1048" customFormat="1" x14ac:dyDescent="0.2"/>
    <row r="1049" customFormat="1" x14ac:dyDescent="0.2"/>
    <row r="1050" customFormat="1" x14ac:dyDescent="0.2"/>
    <row r="1051" customFormat="1" x14ac:dyDescent="0.2"/>
    <row r="1052" customFormat="1" x14ac:dyDescent="0.2"/>
    <row r="1053" customFormat="1" x14ac:dyDescent="0.2"/>
    <row r="1054" customFormat="1" x14ac:dyDescent="0.2"/>
    <row r="1055" customFormat="1" x14ac:dyDescent="0.2"/>
    <row r="1056" customFormat="1" x14ac:dyDescent="0.2"/>
    <row r="1057" customFormat="1" x14ac:dyDescent="0.2"/>
    <row r="1058" customFormat="1" x14ac:dyDescent="0.2"/>
    <row r="1059" customFormat="1" x14ac:dyDescent="0.2"/>
    <row r="1060" customFormat="1" x14ac:dyDescent="0.2"/>
    <row r="1061" customFormat="1" x14ac:dyDescent="0.2"/>
    <row r="1062" customFormat="1" x14ac:dyDescent="0.2"/>
    <row r="1063" customFormat="1" x14ac:dyDescent="0.2"/>
    <row r="1064" customFormat="1" x14ac:dyDescent="0.2"/>
    <row r="1065" customFormat="1" x14ac:dyDescent="0.2"/>
    <row r="1066" customFormat="1" x14ac:dyDescent="0.2"/>
    <row r="1067" customFormat="1" x14ac:dyDescent="0.2"/>
    <row r="1068" customFormat="1" x14ac:dyDescent="0.2"/>
    <row r="1069" customFormat="1" x14ac:dyDescent="0.2"/>
    <row r="1070" customFormat="1" x14ac:dyDescent="0.2"/>
    <row r="1071" customFormat="1" x14ac:dyDescent="0.2"/>
    <row r="1072" customFormat="1" x14ac:dyDescent="0.2"/>
    <row r="1073" customFormat="1" x14ac:dyDescent="0.2"/>
    <row r="1074" customFormat="1" x14ac:dyDescent="0.2"/>
    <row r="1075" customFormat="1" x14ac:dyDescent="0.2"/>
    <row r="1076" customFormat="1" x14ac:dyDescent="0.2"/>
    <row r="1077" customFormat="1" x14ac:dyDescent="0.2"/>
    <row r="1078" customFormat="1" x14ac:dyDescent="0.2"/>
    <row r="1079" customFormat="1" x14ac:dyDescent="0.2"/>
    <row r="1080" customFormat="1" x14ac:dyDescent="0.2"/>
    <row r="1081" customFormat="1" x14ac:dyDescent="0.2"/>
    <row r="1082" customFormat="1" x14ac:dyDescent="0.2"/>
    <row r="1083" customFormat="1" x14ac:dyDescent="0.2"/>
    <row r="1084" customFormat="1" x14ac:dyDescent="0.2"/>
    <row r="1085" customFormat="1" x14ac:dyDescent="0.2"/>
    <row r="1086" customFormat="1" x14ac:dyDescent="0.2"/>
    <row r="1087" customFormat="1" x14ac:dyDescent="0.2"/>
    <row r="1088" customFormat="1" x14ac:dyDescent="0.2"/>
    <row r="1089" customFormat="1" x14ac:dyDescent="0.2"/>
    <row r="1090" customFormat="1" x14ac:dyDescent="0.2"/>
    <row r="1091" customFormat="1" x14ac:dyDescent="0.2"/>
    <row r="1092" customFormat="1" x14ac:dyDescent="0.2"/>
    <row r="1093" customFormat="1" x14ac:dyDescent="0.2"/>
    <row r="1094" customFormat="1" x14ac:dyDescent="0.2"/>
    <row r="1095" customFormat="1" x14ac:dyDescent="0.2"/>
    <row r="1096" customFormat="1" x14ac:dyDescent="0.2"/>
    <row r="1097" customFormat="1" x14ac:dyDescent="0.2"/>
    <row r="1098" customFormat="1" x14ac:dyDescent="0.2"/>
    <row r="1099" customFormat="1" x14ac:dyDescent="0.2"/>
    <row r="1100" customFormat="1" x14ac:dyDescent="0.2"/>
    <row r="1101" customFormat="1" x14ac:dyDescent="0.2"/>
    <row r="1102" customFormat="1" x14ac:dyDescent="0.2"/>
    <row r="1103" customFormat="1" x14ac:dyDescent="0.2"/>
    <row r="1104" customFormat="1" x14ac:dyDescent="0.2"/>
    <row r="1105" customFormat="1" x14ac:dyDescent="0.2"/>
    <row r="1106" customFormat="1" x14ac:dyDescent="0.2"/>
    <row r="1107" customFormat="1" x14ac:dyDescent="0.2"/>
    <row r="1108" customFormat="1" x14ac:dyDescent="0.2"/>
    <row r="1109" customFormat="1" x14ac:dyDescent="0.2"/>
    <row r="1110" customFormat="1" x14ac:dyDescent="0.2"/>
    <row r="1111" customFormat="1" x14ac:dyDescent="0.2"/>
    <row r="1112" customFormat="1" x14ac:dyDescent="0.2"/>
    <row r="1113" customFormat="1" x14ac:dyDescent="0.2"/>
    <row r="1114" customFormat="1" x14ac:dyDescent="0.2"/>
    <row r="1115" customFormat="1" x14ac:dyDescent="0.2"/>
    <row r="1116" customFormat="1" x14ac:dyDescent="0.2"/>
    <row r="1117" customFormat="1" x14ac:dyDescent="0.2"/>
    <row r="1118" customFormat="1" x14ac:dyDescent="0.2"/>
    <row r="1119" customFormat="1" x14ac:dyDescent="0.2"/>
    <row r="1120" customFormat="1" x14ac:dyDescent="0.2"/>
    <row r="1121" customFormat="1" x14ac:dyDescent="0.2"/>
    <row r="1122" customFormat="1" x14ac:dyDescent="0.2"/>
    <row r="1123" customFormat="1" x14ac:dyDescent="0.2"/>
    <row r="1124" customFormat="1" x14ac:dyDescent="0.2"/>
    <row r="1125" customFormat="1" x14ac:dyDescent="0.2"/>
    <row r="1126" customFormat="1" x14ac:dyDescent="0.2"/>
    <row r="1127" customFormat="1" x14ac:dyDescent="0.2"/>
    <row r="1128" customFormat="1" x14ac:dyDescent="0.2"/>
    <row r="1129" customFormat="1" x14ac:dyDescent="0.2"/>
    <row r="1130" customFormat="1" x14ac:dyDescent="0.2"/>
    <row r="1131" customFormat="1" x14ac:dyDescent="0.2"/>
    <row r="1132" customFormat="1" x14ac:dyDescent="0.2"/>
    <row r="1133" customFormat="1" x14ac:dyDescent="0.2"/>
    <row r="1134" customFormat="1" x14ac:dyDescent="0.2"/>
    <row r="1135" customFormat="1" x14ac:dyDescent="0.2"/>
    <row r="1136" customFormat="1" x14ac:dyDescent="0.2"/>
    <row r="1137" customFormat="1" x14ac:dyDescent="0.2"/>
    <row r="1138" customFormat="1" x14ac:dyDescent="0.2"/>
    <row r="1139" customFormat="1" x14ac:dyDescent="0.2"/>
    <row r="1140" customFormat="1" x14ac:dyDescent="0.2"/>
    <row r="1141" customFormat="1" x14ac:dyDescent="0.2"/>
    <row r="1142" customFormat="1" x14ac:dyDescent="0.2"/>
    <row r="1143" customFormat="1" x14ac:dyDescent="0.2"/>
    <row r="1144" customFormat="1" x14ac:dyDescent="0.2"/>
    <row r="1145" customFormat="1" x14ac:dyDescent="0.2"/>
    <row r="1146" customFormat="1" x14ac:dyDescent="0.2"/>
    <row r="1147" customFormat="1" x14ac:dyDescent="0.2"/>
    <row r="1148" customFormat="1" x14ac:dyDescent="0.2"/>
    <row r="1149" customFormat="1" x14ac:dyDescent="0.2"/>
    <row r="1150" customFormat="1" x14ac:dyDescent="0.2"/>
    <row r="1151" customFormat="1" x14ac:dyDescent="0.2"/>
    <row r="1152" customFormat="1" x14ac:dyDescent="0.2"/>
    <row r="1153" customFormat="1" x14ac:dyDescent="0.2"/>
    <row r="1154" customFormat="1" x14ac:dyDescent="0.2"/>
    <row r="1155" customFormat="1" x14ac:dyDescent="0.2"/>
    <row r="1156" customFormat="1" x14ac:dyDescent="0.2"/>
    <row r="1157" customFormat="1" x14ac:dyDescent="0.2"/>
    <row r="1158" customFormat="1" x14ac:dyDescent="0.2"/>
    <row r="1159" customFormat="1" x14ac:dyDescent="0.2"/>
    <row r="1160" customFormat="1" x14ac:dyDescent="0.2"/>
    <row r="1161" customFormat="1" x14ac:dyDescent="0.2"/>
    <row r="1162" customFormat="1" x14ac:dyDescent="0.2"/>
    <row r="1163" customFormat="1" x14ac:dyDescent="0.2"/>
    <row r="1164" customFormat="1" x14ac:dyDescent="0.2"/>
    <row r="1165" customFormat="1" x14ac:dyDescent="0.2"/>
    <row r="1166" customFormat="1" x14ac:dyDescent="0.2"/>
    <row r="1167" customFormat="1" x14ac:dyDescent="0.2"/>
    <row r="1168" customFormat="1" x14ac:dyDescent="0.2"/>
    <row r="1169" customFormat="1" x14ac:dyDescent="0.2"/>
    <row r="1170" customFormat="1" x14ac:dyDescent="0.2"/>
    <row r="1171" customFormat="1" x14ac:dyDescent="0.2"/>
    <row r="1172" customFormat="1" x14ac:dyDescent="0.2"/>
    <row r="1173" customFormat="1" x14ac:dyDescent="0.2"/>
    <row r="1174" customFormat="1" x14ac:dyDescent="0.2"/>
    <row r="1175" customFormat="1" x14ac:dyDescent="0.2"/>
    <row r="1176" customFormat="1" x14ac:dyDescent="0.2"/>
    <row r="1177" customFormat="1" x14ac:dyDescent="0.2"/>
    <row r="1178" customFormat="1" x14ac:dyDescent="0.2"/>
    <row r="1179" customFormat="1" x14ac:dyDescent="0.2"/>
    <row r="1180" customFormat="1" x14ac:dyDescent="0.2"/>
    <row r="1181" customFormat="1" x14ac:dyDescent="0.2"/>
    <row r="1182" customFormat="1" x14ac:dyDescent="0.2"/>
    <row r="1183" customFormat="1" x14ac:dyDescent="0.2"/>
    <row r="1184" customFormat="1" x14ac:dyDescent="0.2"/>
    <row r="1185" customFormat="1" x14ac:dyDescent="0.2"/>
    <row r="1186" customFormat="1" x14ac:dyDescent="0.2"/>
    <row r="1187" customFormat="1" x14ac:dyDescent="0.2"/>
    <row r="1188" customFormat="1" x14ac:dyDescent="0.2"/>
    <row r="1189" customFormat="1" x14ac:dyDescent="0.2"/>
    <row r="1190" customFormat="1" x14ac:dyDescent="0.2"/>
    <row r="1191" customFormat="1" x14ac:dyDescent="0.2"/>
    <row r="1192" customFormat="1" x14ac:dyDescent="0.2"/>
    <row r="1193" customFormat="1" x14ac:dyDescent="0.2"/>
    <row r="1194" customFormat="1" x14ac:dyDescent="0.2"/>
    <row r="1195" customFormat="1" x14ac:dyDescent="0.2"/>
    <row r="1196" customFormat="1" x14ac:dyDescent="0.2"/>
    <row r="1197" customFormat="1" x14ac:dyDescent="0.2"/>
    <row r="1198" customFormat="1" x14ac:dyDescent="0.2"/>
    <row r="1199" customFormat="1" x14ac:dyDescent="0.2"/>
    <row r="1200" customFormat="1" x14ac:dyDescent="0.2"/>
    <row r="1201" customFormat="1" x14ac:dyDescent="0.2"/>
    <row r="1202" customFormat="1" x14ac:dyDescent="0.2"/>
    <row r="1203" customFormat="1" x14ac:dyDescent="0.2"/>
    <row r="1204" customFormat="1" x14ac:dyDescent="0.2"/>
    <row r="1205" customFormat="1" x14ac:dyDescent="0.2"/>
    <row r="1206" customFormat="1" x14ac:dyDescent="0.2"/>
    <row r="1207" customFormat="1" x14ac:dyDescent="0.2"/>
    <row r="1208" customFormat="1" x14ac:dyDescent="0.2"/>
    <row r="1209" customFormat="1" x14ac:dyDescent="0.2"/>
    <row r="1210" customFormat="1" x14ac:dyDescent="0.2"/>
    <row r="1211" customFormat="1" x14ac:dyDescent="0.2"/>
    <row r="1212" customFormat="1" x14ac:dyDescent="0.2"/>
    <row r="1213" customFormat="1" x14ac:dyDescent="0.2"/>
    <row r="1214" customFormat="1" x14ac:dyDescent="0.2"/>
    <row r="1215" customFormat="1" x14ac:dyDescent="0.2"/>
    <row r="1216" customFormat="1" x14ac:dyDescent="0.2"/>
    <row r="1217" customFormat="1" x14ac:dyDescent="0.2"/>
    <row r="1218" customFormat="1" x14ac:dyDescent="0.2"/>
    <row r="1219" customFormat="1" x14ac:dyDescent="0.2"/>
    <row r="1220" customFormat="1" x14ac:dyDescent="0.2"/>
    <row r="1221" customFormat="1" x14ac:dyDescent="0.2"/>
    <row r="1222" customFormat="1" x14ac:dyDescent="0.2"/>
    <row r="1223" customFormat="1" x14ac:dyDescent="0.2"/>
    <row r="1224" customFormat="1" x14ac:dyDescent="0.2"/>
    <row r="1225" customFormat="1" x14ac:dyDescent="0.2"/>
    <row r="1226" customFormat="1" x14ac:dyDescent="0.2"/>
    <row r="1227" customFormat="1" x14ac:dyDescent="0.2"/>
    <row r="1228" customFormat="1" x14ac:dyDescent="0.2"/>
    <row r="1229" customFormat="1" x14ac:dyDescent="0.2"/>
    <row r="1230" customFormat="1" x14ac:dyDescent="0.2"/>
    <row r="1231" customFormat="1" x14ac:dyDescent="0.2"/>
    <row r="1232" customFormat="1" x14ac:dyDescent="0.2"/>
    <row r="1233" customFormat="1" x14ac:dyDescent="0.2"/>
    <row r="1234" customFormat="1" x14ac:dyDescent="0.2"/>
    <row r="1235" customFormat="1" x14ac:dyDescent="0.2"/>
    <row r="1236" customFormat="1" x14ac:dyDescent="0.2"/>
    <row r="1237" customFormat="1" x14ac:dyDescent="0.2"/>
    <row r="1238" customFormat="1" x14ac:dyDescent="0.2"/>
    <row r="1239" customFormat="1" x14ac:dyDescent="0.2"/>
    <row r="1240" customFormat="1" x14ac:dyDescent="0.2"/>
    <row r="1241" customFormat="1" x14ac:dyDescent="0.2"/>
    <row r="1242" customFormat="1" x14ac:dyDescent="0.2"/>
    <row r="1243" customFormat="1" x14ac:dyDescent="0.2"/>
    <row r="1244" customFormat="1" x14ac:dyDescent="0.2"/>
    <row r="1245" customFormat="1" x14ac:dyDescent="0.2"/>
    <row r="1246" customFormat="1" x14ac:dyDescent="0.2"/>
    <row r="1247" customFormat="1" x14ac:dyDescent="0.2"/>
    <row r="1248" customFormat="1" x14ac:dyDescent="0.2"/>
    <row r="1249" customFormat="1" x14ac:dyDescent="0.2"/>
    <row r="1250" customFormat="1" x14ac:dyDescent="0.2"/>
    <row r="1251" customFormat="1" x14ac:dyDescent="0.2"/>
    <row r="1252" customFormat="1" x14ac:dyDescent="0.2"/>
    <row r="1253" customFormat="1" x14ac:dyDescent="0.2"/>
    <row r="1254" customFormat="1" x14ac:dyDescent="0.2"/>
    <row r="1255" customFormat="1" x14ac:dyDescent="0.2"/>
    <row r="1256" customFormat="1" x14ac:dyDescent="0.2"/>
    <row r="1257" customFormat="1" x14ac:dyDescent="0.2"/>
    <row r="1258" customFormat="1" x14ac:dyDescent="0.2"/>
    <row r="1259" customFormat="1" x14ac:dyDescent="0.2"/>
    <row r="1260" customFormat="1" x14ac:dyDescent="0.2"/>
    <row r="1261" customFormat="1" x14ac:dyDescent="0.2"/>
    <row r="1262" customFormat="1" x14ac:dyDescent="0.2"/>
    <row r="1263" customFormat="1" x14ac:dyDescent="0.2"/>
    <row r="1264" customFormat="1" x14ac:dyDescent="0.2"/>
    <row r="1265" customFormat="1" x14ac:dyDescent="0.2"/>
    <row r="1266" customFormat="1" x14ac:dyDescent="0.2"/>
    <row r="1267" customFormat="1" x14ac:dyDescent="0.2"/>
    <row r="1268" customFormat="1" x14ac:dyDescent="0.2"/>
    <row r="1269" customFormat="1" x14ac:dyDescent="0.2"/>
    <row r="1270" customFormat="1" x14ac:dyDescent="0.2"/>
    <row r="1271" customFormat="1" x14ac:dyDescent="0.2"/>
    <row r="1272" customFormat="1" x14ac:dyDescent="0.2"/>
    <row r="1273" customFormat="1" x14ac:dyDescent="0.2"/>
    <row r="1274" customFormat="1" x14ac:dyDescent="0.2"/>
    <row r="1275" customFormat="1" x14ac:dyDescent="0.2"/>
    <row r="1276" customFormat="1" x14ac:dyDescent="0.2"/>
    <row r="1277" customFormat="1" x14ac:dyDescent="0.2"/>
    <row r="1278" customFormat="1" x14ac:dyDescent="0.2"/>
    <row r="1279" customFormat="1" x14ac:dyDescent="0.2"/>
    <row r="1280" customFormat="1" x14ac:dyDescent="0.2"/>
    <row r="1281" customFormat="1" x14ac:dyDescent="0.2"/>
    <row r="1282" customFormat="1" x14ac:dyDescent="0.2"/>
    <row r="1283" customFormat="1" x14ac:dyDescent="0.2"/>
    <row r="1284" customFormat="1" x14ac:dyDescent="0.2"/>
    <row r="1285" customFormat="1" x14ac:dyDescent="0.2"/>
    <row r="1286" customFormat="1" x14ac:dyDescent="0.2"/>
    <row r="1287" customFormat="1" x14ac:dyDescent="0.2"/>
    <row r="1288" customFormat="1" x14ac:dyDescent="0.2"/>
    <row r="1289" customFormat="1" x14ac:dyDescent="0.2"/>
    <row r="1290" customFormat="1" x14ac:dyDescent="0.2"/>
    <row r="1291" customFormat="1" x14ac:dyDescent="0.2"/>
    <row r="1292" customFormat="1" x14ac:dyDescent="0.2"/>
    <row r="1293" customFormat="1" x14ac:dyDescent="0.2"/>
    <row r="1294" customFormat="1" x14ac:dyDescent="0.2"/>
    <row r="1295" customFormat="1" x14ac:dyDescent="0.2"/>
    <row r="1296" customFormat="1" x14ac:dyDescent="0.2"/>
    <row r="1297" customFormat="1" x14ac:dyDescent="0.2"/>
    <row r="1298" customFormat="1" x14ac:dyDescent="0.2"/>
    <row r="1299" customFormat="1" x14ac:dyDescent="0.2"/>
    <row r="1300" customFormat="1" x14ac:dyDescent="0.2"/>
    <row r="1301" customFormat="1" x14ac:dyDescent="0.2"/>
    <row r="1302" customFormat="1" x14ac:dyDescent="0.2"/>
    <row r="1303" customFormat="1" x14ac:dyDescent="0.2"/>
    <row r="1304" customFormat="1" x14ac:dyDescent="0.2"/>
    <row r="1305" customFormat="1" x14ac:dyDescent="0.2"/>
    <row r="1306" customFormat="1" x14ac:dyDescent="0.2"/>
    <row r="1307" customFormat="1" x14ac:dyDescent="0.2"/>
    <row r="1308" customFormat="1" x14ac:dyDescent="0.2"/>
    <row r="1309" customFormat="1" x14ac:dyDescent="0.2"/>
    <row r="1310" customFormat="1" x14ac:dyDescent="0.2"/>
    <row r="1311" customFormat="1" x14ac:dyDescent="0.2"/>
    <row r="1312" customFormat="1" x14ac:dyDescent="0.2"/>
    <row r="1313" customFormat="1" x14ac:dyDescent="0.2"/>
    <row r="1314" customFormat="1" x14ac:dyDescent="0.2"/>
    <row r="1315" customFormat="1" x14ac:dyDescent="0.2"/>
    <row r="1316" customFormat="1" x14ac:dyDescent="0.2"/>
    <row r="1317" customFormat="1" x14ac:dyDescent="0.2"/>
    <row r="1318" customFormat="1" x14ac:dyDescent="0.2"/>
    <row r="1319" customFormat="1" x14ac:dyDescent="0.2"/>
    <row r="1320" customFormat="1" x14ac:dyDescent="0.2"/>
    <row r="1321" customFormat="1" x14ac:dyDescent="0.2"/>
    <row r="1322" customFormat="1" x14ac:dyDescent="0.2"/>
    <row r="1323" customFormat="1" x14ac:dyDescent="0.2"/>
    <row r="1324" customFormat="1" x14ac:dyDescent="0.2"/>
    <row r="1325" customFormat="1" x14ac:dyDescent="0.2"/>
    <row r="1326" customFormat="1" x14ac:dyDescent="0.2"/>
    <row r="1327" customFormat="1" x14ac:dyDescent="0.2"/>
    <row r="1328" customFormat="1" x14ac:dyDescent="0.2"/>
    <row r="1329" customFormat="1" x14ac:dyDescent="0.2"/>
    <row r="1330" customFormat="1" x14ac:dyDescent="0.2"/>
    <row r="1331" customFormat="1" x14ac:dyDescent="0.2"/>
    <row r="1332" customFormat="1" x14ac:dyDescent="0.2"/>
    <row r="1333" customFormat="1" x14ac:dyDescent="0.2"/>
    <row r="1334" customFormat="1" x14ac:dyDescent="0.2"/>
    <row r="1335" customFormat="1" x14ac:dyDescent="0.2"/>
    <row r="1336" customFormat="1" x14ac:dyDescent="0.2"/>
    <row r="1337" customFormat="1" x14ac:dyDescent="0.2"/>
    <row r="1338" customFormat="1" x14ac:dyDescent="0.2"/>
    <row r="1339" customFormat="1" x14ac:dyDescent="0.2"/>
    <row r="1340" customFormat="1" x14ac:dyDescent="0.2"/>
    <row r="1341" customFormat="1" x14ac:dyDescent="0.2"/>
    <row r="1342" customFormat="1" x14ac:dyDescent="0.2"/>
    <row r="1343" customFormat="1" x14ac:dyDescent="0.2"/>
    <row r="1344" customFormat="1" x14ac:dyDescent="0.2"/>
    <row r="1345" customFormat="1" x14ac:dyDescent="0.2"/>
    <row r="1346" customFormat="1" x14ac:dyDescent="0.2"/>
    <row r="1347" customFormat="1" x14ac:dyDescent="0.2"/>
    <row r="1348" customFormat="1" x14ac:dyDescent="0.2"/>
    <row r="1349" customFormat="1" x14ac:dyDescent="0.2"/>
    <row r="1350" customFormat="1" x14ac:dyDescent="0.2"/>
    <row r="1351" customFormat="1" x14ac:dyDescent="0.2"/>
    <row r="1352" customFormat="1" x14ac:dyDescent="0.2"/>
    <row r="1353" customFormat="1" x14ac:dyDescent="0.2"/>
    <row r="1354" customFormat="1" x14ac:dyDescent="0.2"/>
    <row r="1355" customFormat="1" x14ac:dyDescent="0.2"/>
    <row r="1356" customFormat="1" x14ac:dyDescent="0.2"/>
    <row r="1357" customFormat="1" x14ac:dyDescent="0.2"/>
    <row r="1358" customFormat="1" x14ac:dyDescent="0.2"/>
    <row r="1359" customFormat="1" x14ac:dyDescent="0.2"/>
    <row r="1360" customFormat="1" x14ac:dyDescent="0.2"/>
    <row r="1361" customFormat="1" x14ac:dyDescent="0.2"/>
    <row r="1362" customFormat="1" x14ac:dyDescent="0.2"/>
    <row r="1363" customFormat="1" x14ac:dyDescent="0.2"/>
    <row r="1364" customFormat="1" x14ac:dyDescent="0.2"/>
    <row r="1365" customFormat="1" x14ac:dyDescent="0.2"/>
    <row r="1366" customFormat="1" x14ac:dyDescent="0.2"/>
    <row r="1367" customFormat="1" x14ac:dyDescent="0.2"/>
    <row r="1368" customFormat="1" x14ac:dyDescent="0.2"/>
    <row r="1369" customFormat="1" x14ac:dyDescent="0.2"/>
    <row r="1370" customFormat="1" x14ac:dyDescent="0.2"/>
    <row r="1371" customFormat="1" x14ac:dyDescent="0.2"/>
    <row r="1372" customFormat="1" x14ac:dyDescent="0.2"/>
    <row r="1373" customFormat="1" x14ac:dyDescent="0.2"/>
    <row r="1374" customFormat="1" x14ac:dyDescent="0.2"/>
    <row r="1375" customFormat="1" x14ac:dyDescent="0.2"/>
    <row r="1376" customFormat="1" x14ac:dyDescent="0.2"/>
    <row r="1377" customFormat="1" x14ac:dyDescent="0.2"/>
    <row r="1378" customFormat="1" x14ac:dyDescent="0.2"/>
    <row r="1379" customFormat="1" x14ac:dyDescent="0.2"/>
    <row r="1380" customFormat="1" x14ac:dyDescent="0.2"/>
    <row r="1381" customFormat="1" x14ac:dyDescent="0.2"/>
    <row r="1382" customFormat="1" x14ac:dyDescent="0.2"/>
    <row r="1383" customFormat="1" x14ac:dyDescent="0.2"/>
    <row r="1384" customFormat="1" x14ac:dyDescent="0.2"/>
    <row r="1385" customFormat="1" x14ac:dyDescent="0.2"/>
    <row r="1386" customFormat="1" x14ac:dyDescent="0.2"/>
    <row r="1387" customFormat="1" x14ac:dyDescent="0.2"/>
    <row r="1388" customFormat="1" x14ac:dyDescent="0.2"/>
    <row r="1389" customFormat="1" x14ac:dyDescent="0.2"/>
    <row r="1390" customFormat="1" x14ac:dyDescent="0.2"/>
    <row r="1391" customFormat="1" x14ac:dyDescent="0.2"/>
    <row r="1392" customFormat="1" x14ac:dyDescent="0.2"/>
    <row r="1393" customFormat="1" x14ac:dyDescent="0.2"/>
    <row r="1394" customFormat="1" x14ac:dyDescent="0.2"/>
    <row r="1395" customFormat="1" x14ac:dyDescent="0.2"/>
    <row r="1396" customFormat="1" x14ac:dyDescent="0.2"/>
    <row r="1397" customFormat="1" x14ac:dyDescent="0.2"/>
    <row r="1398" customFormat="1" x14ac:dyDescent="0.2"/>
    <row r="1399" customFormat="1" x14ac:dyDescent="0.2"/>
    <row r="1400" customFormat="1" x14ac:dyDescent="0.2"/>
    <row r="1401" customFormat="1" x14ac:dyDescent="0.2"/>
    <row r="1402" customFormat="1" x14ac:dyDescent="0.2"/>
    <row r="1403" customFormat="1" x14ac:dyDescent="0.2"/>
    <row r="1404" customFormat="1" x14ac:dyDescent="0.2"/>
    <row r="1405" customFormat="1" x14ac:dyDescent="0.2"/>
    <row r="1406" customFormat="1" x14ac:dyDescent="0.2"/>
    <row r="1407" customFormat="1" x14ac:dyDescent="0.2"/>
    <row r="1408" customFormat="1" x14ac:dyDescent="0.2"/>
    <row r="1409" customFormat="1" x14ac:dyDescent="0.2"/>
    <row r="1410" customFormat="1" x14ac:dyDescent="0.2"/>
    <row r="1411" customFormat="1" x14ac:dyDescent="0.2"/>
    <row r="1412" customFormat="1" x14ac:dyDescent="0.2"/>
    <row r="1413" customFormat="1" x14ac:dyDescent="0.2"/>
    <row r="1414" customFormat="1" x14ac:dyDescent="0.2"/>
    <row r="1415" customFormat="1" x14ac:dyDescent="0.2"/>
    <row r="1416" customFormat="1" x14ac:dyDescent="0.2"/>
    <row r="1417" customFormat="1" x14ac:dyDescent="0.2"/>
    <row r="1418" customFormat="1" x14ac:dyDescent="0.2"/>
    <row r="1419" customFormat="1" x14ac:dyDescent="0.2"/>
    <row r="1420" customFormat="1" x14ac:dyDescent="0.2"/>
    <row r="1421" customFormat="1" x14ac:dyDescent="0.2"/>
    <row r="1422" customFormat="1" x14ac:dyDescent="0.2"/>
    <row r="1423" customFormat="1" x14ac:dyDescent="0.2"/>
    <row r="1424" customFormat="1" x14ac:dyDescent="0.2"/>
    <row r="1425" customFormat="1" x14ac:dyDescent="0.2"/>
    <row r="1426" customFormat="1" x14ac:dyDescent="0.2"/>
    <row r="1427" customFormat="1" x14ac:dyDescent="0.2"/>
    <row r="1428" customFormat="1" x14ac:dyDescent="0.2"/>
    <row r="1429" customFormat="1" x14ac:dyDescent="0.2"/>
    <row r="1430" customFormat="1" x14ac:dyDescent="0.2"/>
    <row r="1431" customFormat="1" x14ac:dyDescent="0.2"/>
    <row r="1432" customFormat="1" x14ac:dyDescent="0.2"/>
    <row r="1433" customFormat="1" x14ac:dyDescent="0.2"/>
    <row r="1434" customFormat="1" x14ac:dyDescent="0.2"/>
    <row r="1435" customFormat="1" x14ac:dyDescent="0.2"/>
    <row r="1436" customFormat="1" x14ac:dyDescent="0.2"/>
    <row r="1437" customFormat="1" x14ac:dyDescent="0.2"/>
    <row r="1438" customFormat="1" x14ac:dyDescent="0.2"/>
    <row r="1439" customFormat="1" x14ac:dyDescent="0.2"/>
    <row r="1440" customFormat="1" x14ac:dyDescent="0.2"/>
    <row r="1441" customFormat="1" x14ac:dyDescent="0.2"/>
    <row r="1442" customFormat="1" x14ac:dyDescent="0.2"/>
    <row r="1443" customFormat="1" x14ac:dyDescent="0.2"/>
    <row r="1444" customFormat="1" x14ac:dyDescent="0.2"/>
    <row r="1445" customFormat="1" x14ac:dyDescent="0.2"/>
    <row r="1446" customFormat="1" x14ac:dyDescent="0.2"/>
    <row r="1447" customFormat="1" x14ac:dyDescent="0.2"/>
    <row r="1448" customFormat="1" x14ac:dyDescent="0.2"/>
    <row r="1449" customFormat="1" x14ac:dyDescent="0.2"/>
    <row r="1450" customFormat="1" x14ac:dyDescent="0.2"/>
    <row r="1451" customFormat="1" x14ac:dyDescent="0.2"/>
    <row r="1452" customFormat="1" x14ac:dyDescent="0.2"/>
    <row r="1453" customFormat="1" x14ac:dyDescent="0.2"/>
    <row r="1454" customFormat="1" x14ac:dyDescent="0.2"/>
    <row r="1455" customFormat="1" x14ac:dyDescent="0.2"/>
    <row r="1456" customFormat="1" x14ac:dyDescent="0.2"/>
    <row r="1457" customFormat="1" x14ac:dyDescent="0.2"/>
    <row r="1458" customFormat="1" x14ac:dyDescent="0.2"/>
    <row r="1459" customFormat="1" x14ac:dyDescent="0.2"/>
    <row r="1460" customFormat="1" x14ac:dyDescent="0.2"/>
    <row r="1461" customFormat="1" x14ac:dyDescent="0.2"/>
    <row r="1462" customFormat="1" x14ac:dyDescent="0.2"/>
    <row r="1463" customFormat="1" x14ac:dyDescent="0.2"/>
    <row r="1464" customFormat="1" x14ac:dyDescent="0.2"/>
    <row r="1465" customFormat="1" x14ac:dyDescent="0.2"/>
    <row r="1466" customFormat="1" x14ac:dyDescent="0.2"/>
    <row r="1467" customFormat="1" x14ac:dyDescent="0.2"/>
    <row r="1468" customFormat="1" x14ac:dyDescent="0.2"/>
    <row r="1469" customFormat="1" x14ac:dyDescent="0.2"/>
    <row r="1470" customFormat="1" x14ac:dyDescent="0.2"/>
    <row r="1471" customFormat="1" x14ac:dyDescent="0.2"/>
    <row r="1472" customFormat="1" x14ac:dyDescent="0.2"/>
    <row r="1473" customFormat="1" x14ac:dyDescent="0.2"/>
    <row r="1474" customFormat="1" x14ac:dyDescent="0.2"/>
    <row r="1475" customFormat="1" x14ac:dyDescent="0.2"/>
    <row r="1476" customFormat="1" x14ac:dyDescent="0.2"/>
    <row r="1477" customFormat="1" x14ac:dyDescent="0.2"/>
    <row r="1478" customFormat="1" x14ac:dyDescent="0.2"/>
    <row r="1479" customFormat="1" x14ac:dyDescent="0.2"/>
    <row r="1480" customFormat="1" x14ac:dyDescent="0.2"/>
    <row r="1481" customFormat="1" x14ac:dyDescent="0.2"/>
    <row r="1482" customFormat="1" x14ac:dyDescent="0.2"/>
    <row r="1483" customFormat="1" x14ac:dyDescent="0.2"/>
    <row r="1484" customFormat="1" x14ac:dyDescent="0.2"/>
    <row r="1485" customFormat="1" x14ac:dyDescent="0.2"/>
    <row r="1486" customFormat="1" x14ac:dyDescent="0.2"/>
    <row r="1487" customFormat="1" x14ac:dyDescent="0.2"/>
    <row r="1488" customFormat="1" x14ac:dyDescent="0.2"/>
    <row r="1489" customFormat="1" x14ac:dyDescent="0.2"/>
    <row r="1490" customFormat="1" x14ac:dyDescent="0.2"/>
    <row r="1491" customFormat="1" x14ac:dyDescent="0.2"/>
    <row r="1492" customFormat="1" x14ac:dyDescent="0.2"/>
    <row r="1493" customFormat="1" x14ac:dyDescent="0.2"/>
    <row r="1494" customFormat="1" x14ac:dyDescent="0.2"/>
    <row r="1495" customFormat="1" x14ac:dyDescent="0.2"/>
    <row r="1496" customFormat="1" x14ac:dyDescent="0.2"/>
    <row r="1497" customFormat="1" x14ac:dyDescent="0.2"/>
    <row r="1498" customFormat="1" x14ac:dyDescent="0.2"/>
    <row r="1499" customFormat="1" x14ac:dyDescent="0.2"/>
    <row r="1500" customFormat="1" x14ac:dyDescent="0.2"/>
    <row r="1501" customFormat="1" x14ac:dyDescent="0.2"/>
    <row r="1502" customFormat="1" x14ac:dyDescent="0.2"/>
    <row r="1503" customFormat="1" x14ac:dyDescent="0.2"/>
    <row r="1504" customFormat="1" x14ac:dyDescent="0.2"/>
    <row r="1505" customFormat="1" x14ac:dyDescent="0.2"/>
    <row r="1506" customFormat="1" x14ac:dyDescent="0.2"/>
    <row r="1507" customFormat="1" x14ac:dyDescent="0.2"/>
    <row r="1508" customFormat="1" x14ac:dyDescent="0.2"/>
    <row r="1509" customFormat="1" x14ac:dyDescent="0.2"/>
    <row r="1510" customFormat="1" x14ac:dyDescent="0.2"/>
    <row r="1511" customFormat="1" x14ac:dyDescent="0.2"/>
    <row r="1512" customFormat="1" x14ac:dyDescent="0.2"/>
    <row r="1513" customFormat="1" x14ac:dyDescent="0.2"/>
    <row r="1514" customFormat="1" x14ac:dyDescent="0.2"/>
    <row r="1515" customFormat="1" x14ac:dyDescent="0.2"/>
    <row r="1516" customFormat="1" x14ac:dyDescent="0.2"/>
    <row r="1517" customFormat="1" x14ac:dyDescent="0.2"/>
    <row r="1518" customFormat="1" x14ac:dyDescent="0.2"/>
    <row r="1519" customFormat="1" x14ac:dyDescent="0.2"/>
    <row r="1520" customFormat="1" x14ac:dyDescent="0.2"/>
    <row r="1521" customFormat="1" x14ac:dyDescent="0.2"/>
    <row r="1522" customFormat="1" x14ac:dyDescent="0.2"/>
    <row r="1523" customFormat="1" x14ac:dyDescent="0.2"/>
    <row r="1524" customFormat="1" x14ac:dyDescent="0.2"/>
    <row r="1525" customFormat="1" x14ac:dyDescent="0.2"/>
    <row r="1526" customFormat="1" x14ac:dyDescent="0.2"/>
    <row r="1527" customFormat="1" x14ac:dyDescent="0.2"/>
    <row r="1528" customFormat="1" x14ac:dyDescent="0.2"/>
    <row r="1529" customFormat="1" x14ac:dyDescent="0.2"/>
    <row r="1530" customFormat="1" x14ac:dyDescent="0.2"/>
    <row r="1531" customFormat="1" x14ac:dyDescent="0.2"/>
    <row r="1532" customFormat="1" x14ac:dyDescent="0.2"/>
    <row r="1533" customFormat="1" x14ac:dyDescent="0.2"/>
    <row r="1534" customFormat="1" x14ac:dyDescent="0.2"/>
    <row r="1535" customFormat="1" x14ac:dyDescent="0.2"/>
    <row r="1536" customFormat="1" x14ac:dyDescent="0.2"/>
    <row r="1537" customFormat="1" x14ac:dyDescent="0.2"/>
    <row r="1538" customFormat="1" x14ac:dyDescent="0.2"/>
    <row r="1539" customFormat="1" x14ac:dyDescent="0.2"/>
    <row r="1540" customFormat="1" x14ac:dyDescent="0.2"/>
    <row r="1541" customFormat="1" x14ac:dyDescent="0.2"/>
    <row r="1542" customFormat="1" x14ac:dyDescent="0.2"/>
    <row r="1543" customFormat="1" x14ac:dyDescent="0.2"/>
    <row r="1544" customFormat="1" x14ac:dyDescent="0.2"/>
    <row r="1545" customFormat="1" x14ac:dyDescent="0.2"/>
    <row r="1546" customFormat="1" x14ac:dyDescent="0.2"/>
    <row r="1547" customFormat="1" x14ac:dyDescent="0.2"/>
    <row r="1548" customFormat="1" x14ac:dyDescent="0.2"/>
    <row r="1549" customFormat="1" x14ac:dyDescent="0.2"/>
    <row r="1550" customFormat="1" x14ac:dyDescent="0.2"/>
    <row r="1551" customFormat="1" x14ac:dyDescent="0.2"/>
    <row r="1552" customFormat="1" x14ac:dyDescent="0.2"/>
    <row r="1553" customFormat="1" x14ac:dyDescent="0.2"/>
    <row r="1554" customFormat="1" x14ac:dyDescent="0.2"/>
    <row r="1555" customFormat="1" x14ac:dyDescent="0.2"/>
    <row r="1556" customFormat="1" x14ac:dyDescent="0.2"/>
    <row r="1557" customFormat="1" x14ac:dyDescent="0.2"/>
    <row r="1558" customFormat="1" x14ac:dyDescent="0.2"/>
    <row r="1559" customFormat="1" x14ac:dyDescent="0.2"/>
    <row r="1560" customFormat="1" x14ac:dyDescent="0.2"/>
    <row r="1561" customFormat="1" x14ac:dyDescent="0.2"/>
    <row r="1562" customFormat="1" x14ac:dyDescent="0.2"/>
    <row r="1563" customFormat="1" x14ac:dyDescent="0.2"/>
    <row r="1564" customFormat="1" x14ac:dyDescent="0.2"/>
    <row r="1565" customFormat="1" x14ac:dyDescent="0.2"/>
    <row r="1566" customFormat="1" x14ac:dyDescent="0.2"/>
    <row r="1567" customFormat="1" x14ac:dyDescent="0.2"/>
    <row r="1568" customFormat="1" x14ac:dyDescent="0.2"/>
    <row r="1569" customFormat="1" x14ac:dyDescent="0.2"/>
    <row r="1570" customFormat="1" x14ac:dyDescent="0.2"/>
    <row r="1571" customFormat="1" x14ac:dyDescent="0.2"/>
    <row r="1572" customFormat="1" x14ac:dyDescent="0.2"/>
    <row r="1573" customFormat="1" x14ac:dyDescent="0.2"/>
    <row r="1574" customFormat="1" x14ac:dyDescent="0.2"/>
    <row r="1575" customFormat="1" x14ac:dyDescent="0.2"/>
    <row r="1576" customFormat="1" x14ac:dyDescent="0.2"/>
    <row r="1577" customFormat="1" x14ac:dyDescent="0.2"/>
    <row r="1578" customFormat="1" x14ac:dyDescent="0.2"/>
    <row r="1579" customFormat="1" x14ac:dyDescent="0.2"/>
    <row r="1580" customFormat="1" x14ac:dyDescent="0.2"/>
    <row r="1581" customFormat="1" x14ac:dyDescent="0.2"/>
    <row r="1582" customFormat="1" x14ac:dyDescent="0.2"/>
    <row r="1583" customFormat="1" x14ac:dyDescent="0.2"/>
    <row r="1584" customFormat="1" x14ac:dyDescent="0.2"/>
    <row r="1585" customFormat="1" x14ac:dyDescent="0.2"/>
    <row r="1586" customFormat="1" x14ac:dyDescent="0.2"/>
    <row r="1587" customFormat="1" x14ac:dyDescent="0.2"/>
    <row r="1588" customFormat="1" x14ac:dyDescent="0.2"/>
    <row r="1589" customFormat="1" x14ac:dyDescent="0.2"/>
    <row r="1590" customFormat="1" x14ac:dyDescent="0.2"/>
    <row r="1591" customFormat="1" x14ac:dyDescent="0.2"/>
    <row r="1592" customFormat="1" x14ac:dyDescent="0.2"/>
    <row r="1593" customFormat="1" x14ac:dyDescent="0.2"/>
    <row r="1594" customFormat="1" x14ac:dyDescent="0.2"/>
    <row r="1595" customFormat="1" x14ac:dyDescent="0.2"/>
    <row r="1596" customFormat="1" x14ac:dyDescent="0.2"/>
    <row r="1597" customFormat="1" x14ac:dyDescent="0.2"/>
    <row r="1598" customFormat="1" x14ac:dyDescent="0.2"/>
    <row r="1599" customFormat="1" x14ac:dyDescent="0.2"/>
    <row r="1600" customFormat="1" x14ac:dyDescent="0.2"/>
    <row r="1601" customFormat="1" x14ac:dyDescent="0.2"/>
    <row r="1602" customFormat="1" x14ac:dyDescent="0.2"/>
    <row r="1603" customFormat="1" x14ac:dyDescent="0.2"/>
    <row r="1604" customFormat="1" x14ac:dyDescent="0.2"/>
    <row r="1605" customFormat="1" x14ac:dyDescent="0.2"/>
    <row r="1606" customFormat="1" x14ac:dyDescent="0.2"/>
    <row r="1607" customFormat="1" x14ac:dyDescent="0.2"/>
    <row r="1608" customFormat="1" x14ac:dyDescent="0.2"/>
    <row r="1609" customFormat="1" x14ac:dyDescent="0.2"/>
    <row r="1610" customFormat="1" x14ac:dyDescent="0.2"/>
    <row r="1611" customFormat="1" x14ac:dyDescent="0.2"/>
    <row r="1612" customFormat="1" x14ac:dyDescent="0.2"/>
    <row r="1613" customFormat="1" x14ac:dyDescent="0.2"/>
    <row r="1614" customFormat="1" x14ac:dyDescent="0.2"/>
    <row r="1615" customFormat="1" x14ac:dyDescent="0.2"/>
    <row r="1616" customFormat="1" x14ac:dyDescent="0.2"/>
    <row r="1617" customFormat="1" x14ac:dyDescent="0.2"/>
    <row r="1618" customFormat="1" x14ac:dyDescent="0.2"/>
    <row r="1619" customFormat="1" x14ac:dyDescent="0.2"/>
    <row r="1620" customFormat="1" x14ac:dyDescent="0.2"/>
    <row r="1621" customFormat="1" x14ac:dyDescent="0.2"/>
    <row r="1622" customFormat="1" x14ac:dyDescent="0.2"/>
    <row r="1623" customFormat="1" x14ac:dyDescent="0.2"/>
    <row r="1624" customFormat="1" x14ac:dyDescent="0.2"/>
    <row r="1625" customFormat="1" x14ac:dyDescent="0.2"/>
    <row r="1626" customFormat="1" x14ac:dyDescent="0.2"/>
    <row r="1627" customFormat="1" x14ac:dyDescent="0.2"/>
    <row r="1628" customFormat="1" x14ac:dyDescent="0.2"/>
    <row r="1629" customFormat="1" x14ac:dyDescent="0.2"/>
    <row r="1630" customFormat="1" x14ac:dyDescent="0.2"/>
    <row r="1631" customFormat="1" x14ac:dyDescent="0.2"/>
    <row r="1632" customFormat="1" x14ac:dyDescent="0.2"/>
    <row r="1633" customFormat="1" x14ac:dyDescent="0.2"/>
    <row r="1634" customFormat="1" x14ac:dyDescent="0.2"/>
    <row r="1635" customFormat="1" x14ac:dyDescent="0.2"/>
    <row r="1636" customFormat="1" x14ac:dyDescent="0.2"/>
    <row r="1637" customFormat="1" x14ac:dyDescent="0.2"/>
    <row r="1638" customFormat="1" x14ac:dyDescent="0.2"/>
    <row r="1639" customFormat="1" x14ac:dyDescent="0.2"/>
    <row r="1640" customFormat="1" x14ac:dyDescent="0.2"/>
    <row r="1641" customFormat="1" x14ac:dyDescent="0.2"/>
    <row r="1642" customFormat="1" x14ac:dyDescent="0.2"/>
    <row r="1643" customFormat="1" x14ac:dyDescent="0.2"/>
    <row r="1644" customFormat="1" x14ac:dyDescent="0.2"/>
    <row r="1645" customFormat="1" x14ac:dyDescent="0.2"/>
    <row r="1646" customFormat="1" x14ac:dyDescent="0.2"/>
    <row r="1647" customFormat="1" x14ac:dyDescent="0.2"/>
    <row r="1648" customFormat="1" x14ac:dyDescent="0.2"/>
    <row r="1649" customFormat="1" x14ac:dyDescent="0.2"/>
    <row r="1650" customFormat="1" x14ac:dyDescent="0.2"/>
    <row r="1651" customFormat="1" x14ac:dyDescent="0.2"/>
    <row r="1652" customFormat="1" x14ac:dyDescent="0.2"/>
    <row r="1653" customFormat="1" x14ac:dyDescent="0.2"/>
    <row r="1654" customFormat="1" x14ac:dyDescent="0.2"/>
    <row r="1655" customFormat="1" x14ac:dyDescent="0.2"/>
    <row r="1656" customFormat="1" x14ac:dyDescent="0.2"/>
    <row r="1657" customFormat="1" x14ac:dyDescent="0.2"/>
    <row r="1658" customFormat="1" x14ac:dyDescent="0.2"/>
    <row r="1659" customFormat="1" x14ac:dyDescent="0.2"/>
    <row r="1660" customFormat="1" x14ac:dyDescent="0.2"/>
    <row r="1661" customFormat="1" x14ac:dyDescent="0.2"/>
    <row r="1662" customFormat="1" x14ac:dyDescent="0.2"/>
    <row r="1663" customFormat="1" x14ac:dyDescent="0.2"/>
    <row r="1664" customFormat="1" x14ac:dyDescent="0.2"/>
    <row r="1665" customFormat="1" x14ac:dyDescent="0.2"/>
    <row r="1666" customFormat="1" x14ac:dyDescent="0.2"/>
    <row r="1667" customFormat="1" x14ac:dyDescent="0.2"/>
    <row r="1668" customFormat="1" x14ac:dyDescent="0.2"/>
    <row r="1669" customFormat="1" x14ac:dyDescent="0.2"/>
    <row r="1670" customFormat="1" x14ac:dyDescent="0.2"/>
    <row r="1671" customFormat="1" x14ac:dyDescent="0.2"/>
    <row r="1672" customFormat="1" x14ac:dyDescent="0.2"/>
    <row r="1673" customFormat="1" x14ac:dyDescent="0.2"/>
    <row r="1674" customFormat="1" x14ac:dyDescent="0.2"/>
    <row r="1675" customFormat="1" x14ac:dyDescent="0.2"/>
    <row r="1676" customFormat="1" x14ac:dyDescent="0.2"/>
    <row r="1677" customFormat="1" x14ac:dyDescent="0.2"/>
    <row r="1678" customFormat="1" x14ac:dyDescent="0.2"/>
    <row r="1679" customFormat="1" x14ac:dyDescent="0.2"/>
    <row r="1680" customFormat="1" x14ac:dyDescent="0.2"/>
    <row r="1681" customFormat="1" x14ac:dyDescent="0.2"/>
    <row r="1682" customFormat="1" x14ac:dyDescent="0.2"/>
    <row r="1683" customFormat="1" x14ac:dyDescent="0.2"/>
    <row r="1684" customFormat="1" x14ac:dyDescent="0.2"/>
    <row r="1685" customFormat="1" x14ac:dyDescent="0.2"/>
    <row r="1686" customFormat="1" x14ac:dyDescent="0.2"/>
    <row r="1687" customFormat="1" x14ac:dyDescent="0.2"/>
    <row r="1688" customFormat="1" x14ac:dyDescent="0.2"/>
    <row r="1689" customFormat="1" x14ac:dyDescent="0.2"/>
    <row r="1690" customFormat="1" x14ac:dyDescent="0.2"/>
    <row r="1691" customFormat="1" x14ac:dyDescent="0.2"/>
    <row r="1692" customFormat="1" x14ac:dyDescent="0.2"/>
    <row r="1693" customFormat="1" x14ac:dyDescent="0.2"/>
    <row r="1694" customFormat="1" x14ac:dyDescent="0.2"/>
    <row r="1695" customFormat="1" x14ac:dyDescent="0.2"/>
    <row r="1696" customFormat="1" x14ac:dyDescent="0.2"/>
    <row r="1697" customFormat="1" x14ac:dyDescent="0.2"/>
    <row r="1698" customFormat="1" x14ac:dyDescent="0.2"/>
    <row r="1699" customFormat="1" x14ac:dyDescent="0.2"/>
    <row r="1700" customFormat="1" x14ac:dyDescent="0.2"/>
    <row r="1701" customFormat="1" x14ac:dyDescent="0.2"/>
    <row r="1702" customFormat="1" x14ac:dyDescent="0.2"/>
    <row r="1703" customFormat="1" x14ac:dyDescent="0.2"/>
    <row r="1704" customFormat="1" x14ac:dyDescent="0.2"/>
    <row r="1705" customFormat="1" x14ac:dyDescent="0.2"/>
    <row r="1706" customFormat="1" x14ac:dyDescent="0.2"/>
    <row r="1707" customFormat="1" x14ac:dyDescent="0.2"/>
    <row r="1708" customFormat="1" x14ac:dyDescent="0.2"/>
    <row r="1709" customFormat="1" x14ac:dyDescent="0.2"/>
    <row r="1710" customFormat="1" x14ac:dyDescent="0.2"/>
    <row r="1711" customFormat="1" x14ac:dyDescent="0.2"/>
    <row r="1712" customFormat="1" x14ac:dyDescent="0.2"/>
    <row r="1713" customFormat="1" x14ac:dyDescent="0.2"/>
    <row r="1714" customFormat="1" x14ac:dyDescent="0.2"/>
    <row r="1715" customFormat="1" x14ac:dyDescent="0.2"/>
    <row r="1716" customFormat="1" x14ac:dyDescent="0.2"/>
    <row r="1717" customFormat="1" x14ac:dyDescent="0.2"/>
    <row r="1718" customFormat="1" x14ac:dyDescent="0.2"/>
    <row r="1719" customFormat="1" x14ac:dyDescent="0.2"/>
    <row r="1720" customFormat="1" x14ac:dyDescent="0.2"/>
    <row r="1721" customFormat="1" x14ac:dyDescent="0.2"/>
    <row r="1722" customFormat="1" x14ac:dyDescent="0.2"/>
    <row r="1723" customFormat="1" x14ac:dyDescent="0.2"/>
    <row r="1724" customFormat="1" x14ac:dyDescent="0.2"/>
    <row r="1725" customFormat="1" x14ac:dyDescent="0.2"/>
    <row r="1726" customFormat="1" x14ac:dyDescent="0.2"/>
    <row r="1727" customFormat="1" x14ac:dyDescent="0.2"/>
    <row r="1728" customFormat="1" x14ac:dyDescent="0.2"/>
    <row r="1729" customFormat="1" x14ac:dyDescent="0.2"/>
    <row r="1730" customFormat="1" x14ac:dyDescent="0.2"/>
    <row r="1731" customFormat="1" x14ac:dyDescent="0.2"/>
    <row r="1732" customFormat="1" x14ac:dyDescent="0.2"/>
    <row r="1733" customFormat="1" x14ac:dyDescent="0.2"/>
    <row r="1734" customFormat="1" x14ac:dyDescent="0.2"/>
    <row r="1735" customFormat="1" x14ac:dyDescent="0.2"/>
    <row r="1736" customFormat="1" x14ac:dyDescent="0.2"/>
    <row r="1737" customFormat="1" x14ac:dyDescent="0.2"/>
    <row r="1738" customFormat="1" x14ac:dyDescent="0.2"/>
    <row r="1739" customFormat="1" x14ac:dyDescent="0.2"/>
    <row r="1740" customFormat="1" x14ac:dyDescent="0.2"/>
    <row r="1741" customFormat="1" x14ac:dyDescent="0.2"/>
    <row r="1742" customFormat="1" x14ac:dyDescent="0.2"/>
    <row r="1743" customFormat="1" x14ac:dyDescent="0.2"/>
    <row r="1744" customFormat="1" x14ac:dyDescent="0.2"/>
    <row r="1745" customFormat="1" x14ac:dyDescent="0.2"/>
    <row r="1746" customFormat="1" x14ac:dyDescent="0.2"/>
    <row r="1747" customFormat="1" x14ac:dyDescent="0.2"/>
    <row r="1748" customFormat="1" x14ac:dyDescent="0.2"/>
    <row r="1749" customFormat="1" x14ac:dyDescent="0.2"/>
    <row r="1750" customFormat="1" x14ac:dyDescent="0.2"/>
    <row r="1751" customFormat="1" x14ac:dyDescent="0.2"/>
    <row r="1752" customFormat="1" x14ac:dyDescent="0.2"/>
    <row r="1753" customFormat="1" x14ac:dyDescent="0.2"/>
    <row r="1754" customFormat="1" x14ac:dyDescent="0.2"/>
    <row r="1755" customFormat="1" x14ac:dyDescent="0.2"/>
    <row r="1756" customFormat="1" x14ac:dyDescent="0.2"/>
    <row r="1757" customFormat="1" x14ac:dyDescent="0.2"/>
    <row r="1758" customFormat="1" x14ac:dyDescent="0.2"/>
    <row r="1759" customFormat="1" x14ac:dyDescent="0.2"/>
    <row r="1760" customFormat="1" x14ac:dyDescent="0.2"/>
    <row r="1761" customFormat="1" x14ac:dyDescent="0.2"/>
    <row r="1762" customFormat="1" x14ac:dyDescent="0.2"/>
    <row r="1763" customFormat="1" x14ac:dyDescent="0.2"/>
    <row r="1764" customFormat="1" x14ac:dyDescent="0.2"/>
    <row r="1765" customFormat="1" x14ac:dyDescent="0.2"/>
    <row r="1766" customFormat="1" x14ac:dyDescent="0.2"/>
    <row r="1767" customFormat="1" x14ac:dyDescent="0.2"/>
    <row r="1768" customFormat="1" x14ac:dyDescent="0.2"/>
    <row r="1769" customFormat="1" x14ac:dyDescent="0.2"/>
    <row r="1770" customFormat="1" x14ac:dyDescent="0.2"/>
    <row r="1771" customFormat="1" x14ac:dyDescent="0.2"/>
    <row r="1772" customFormat="1" x14ac:dyDescent="0.2"/>
    <row r="1773" customFormat="1" x14ac:dyDescent="0.2"/>
    <row r="1774" customFormat="1" x14ac:dyDescent="0.2"/>
    <row r="1775" customFormat="1" x14ac:dyDescent="0.2"/>
    <row r="1776" customFormat="1" x14ac:dyDescent="0.2"/>
    <row r="1777" customFormat="1" x14ac:dyDescent="0.2"/>
    <row r="1778" customFormat="1" x14ac:dyDescent="0.2"/>
    <row r="1779" customFormat="1" x14ac:dyDescent="0.2"/>
    <row r="1780" customFormat="1" x14ac:dyDescent="0.2"/>
    <row r="1781" customFormat="1" x14ac:dyDescent="0.2"/>
    <row r="1782" customFormat="1" x14ac:dyDescent="0.2"/>
    <row r="1783" customFormat="1" x14ac:dyDescent="0.2"/>
    <row r="1784" customFormat="1" x14ac:dyDescent="0.2"/>
    <row r="1785" customFormat="1" x14ac:dyDescent="0.2"/>
    <row r="1786" customFormat="1" x14ac:dyDescent="0.2"/>
    <row r="1787" customFormat="1" x14ac:dyDescent="0.2"/>
    <row r="1788" customFormat="1" x14ac:dyDescent="0.2"/>
    <row r="1789" customFormat="1" x14ac:dyDescent="0.2"/>
    <row r="1790" customFormat="1" x14ac:dyDescent="0.2"/>
    <row r="1791" customFormat="1" x14ac:dyDescent="0.2"/>
    <row r="1792" customFormat="1" x14ac:dyDescent="0.2"/>
    <row r="1793" customFormat="1" x14ac:dyDescent="0.2"/>
    <row r="1794" customFormat="1" x14ac:dyDescent="0.2"/>
    <row r="1795" customFormat="1" x14ac:dyDescent="0.2"/>
    <row r="1796" customFormat="1" x14ac:dyDescent="0.2"/>
    <row r="1797" customFormat="1" x14ac:dyDescent="0.2"/>
    <row r="1798" customFormat="1" x14ac:dyDescent="0.2"/>
    <row r="1799" customFormat="1" x14ac:dyDescent="0.2"/>
    <row r="1800" customFormat="1" x14ac:dyDescent="0.2"/>
    <row r="1801" customFormat="1" x14ac:dyDescent="0.2"/>
    <row r="1802" customFormat="1" x14ac:dyDescent="0.2"/>
    <row r="1803" customFormat="1" x14ac:dyDescent="0.2"/>
    <row r="1804" customFormat="1" x14ac:dyDescent="0.2"/>
    <row r="1805" customFormat="1" x14ac:dyDescent="0.2"/>
    <row r="1806" customFormat="1" x14ac:dyDescent="0.2"/>
    <row r="1807" customFormat="1" x14ac:dyDescent="0.2"/>
    <row r="1808" customFormat="1" x14ac:dyDescent="0.2"/>
    <row r="1809" customFormat="1" x14ac:dyDescent="0.2"/>
    <row r="1810" customFormat="1" x14ac:dyDescent="0.2"/>
    <row r="1811" customFormat="1" x14ac:dyDescent="0.2"/>
    <row r="1812" customFormat="1" x14ac:dyDescent="0.2"/>
    <row r="1813" customFormat="1" x14ac:dyDescent="0.2"/>
    <row r="1814" customFormat="1" x14ac:dyDescent="0.2"/>
    <row r="1815" customFormat="1" x14ac:dyDescent="0.2"/>
    <row r="1816" customFormat="1" x14ac:dyDescent="0.2"/>
    <row r="1817" customFormat="1" x14ac:dyDescent="0.2"/>
    <row r="1818" customFormat="1" x14ac:dyDescent="0.2"/>
    <row r="1819" customFormat="1" x14ac:dyDescent="0.2"/>
    <row r="1820" customFormat="1" x14ac:dyDescent="0.2"/>
    <row r="1821" customFormat="1" x14ac:dyDescent="0.2"/>
    <row r="1822" customFormat="1" x14ac:dyDescent="0.2"/>
    <row r="1823" customFormat="1" x14ac:dyDescent="0.2"/>
    <row r="1824" customFormat="1" x14ac:dyDescent="0.2"/>
    <row r="1825" customFormat="1" x14ac:dyDescent="0.2"/>
    <row r="1826" customFormat="1" x14ac:dyDescent="0.2"/>
    <row r="1827" customFormat="1" x14ac:dyDescent="0.2"/>
    <row r="1828" customFormat="1" x14ac:dyDescent="0.2"/>
    <row r="1829" customFormat="1" x14ac:dyDescent="0.2"/>
    <row r="1830" customFormat="1" x14ac:dyDescent="0.2"/>
    <row r="1831" customFormat="1" x14ac:dyDescent="0.2"/>
    <row r="1832" customFormat="1" x14ac:dyDescent="0.2"/>
    <row r="1833" customFormat="1" x14ac:dyDescent="0.2"/>
    <row r="1834" customFormat="1" x14ac:dyDescent="0.2"/>
    <row r="1835" customFormat="1" x14ac:dyDescent="0.2"/>
    <row r="1836" customFormat="1" x14ac:dyDescent="0.2"/>
    <row r="1837" customFormat="1" x14ac:dyDescent="0.2"/>
    <row r="1838" customFormat="1" x14ac:dyDescent="0.2"/>
    <row r="1839" customFormat="1" x14ac:dyDescent="0.2"/>
    <row r="1840" customFormat="1" x14ac:dyDescent="0.2"/>
    <row r="1841" customFormat="1" x14ac:dyDescent="0.2"/>
    <row r="1842" customFormat="1" x14ac:dyDescent="0.2"/>
    <row r="1843" customFormat="1" x14ac:dyDescent="0.2"/>
    <row r="1844" customFormat="1" x14ac:dyDescent="0.2"/>
    <row r="1845" customFormat="1" x14ac:dyDescent="0.2"/>
    <row r="1846" customFormat="1" x14ac:dyDescent="0.2"/>
    <row r="1847" customFormat="1" x14ac:dyDescent="0.2"/>
    <row r="1848" customFormat="1" x14ac:dyDescent="0.2"/>
    <row r="1849" customFormat="1" x14ac:dyDescent="0.2"/>
    <row r="1850" customFormat="1" x14ac:dyDescent="0.2"/>
    <row r="1851" customFormat="1" x14ac:dyDescent="0.2"/>
    <row r="1852" customFormat="1" x14ac:dyDescent="0.2"/>
    <row r="1853" customFormat="1" x14ac:dyDescent="0.2"/>
    <row r="1854" customFormat="1" x14ac:dyDescent="0.2"/>
    <row r="1855" customFormat="1" x14ac:dyDescent="0.2"/>
    <row r="1856" customFormat="1" x14ac:dyDescent="0.2"/>
    <row r="1857" customFormat="1" x14ac:dyDescent="0.2"/>
    <row r="1858" customFormat="1" x14ac:dyDescent="0.2"/>
    <row r="1859" customFormat="1" x14ac:dyDescent="0.2"/>
    <row r="1860" customFormat="1" x14ac:dyDescent="0.2"/>
    <row r="1861" customFormat="1" x14ac:dyDescent="0.2"/>
    <row r="1862" customFormat="1" x14ac:dyDescent="0.2"/>
    <row r="1863" customFormat="1" x14ac:dyDescent="0.2"/>
    <row r="1864" customFormat="1" x14ac:dyDescent="0.2"/>
    <row r="1865" customFormat="1" x14ac:dyDescent="0.2"/>
    <row r="1866" customFormat="1" x14ac:dyDescent="0.2"/>
    <row r="1867" customFormat="1" x14ac:dyDescent="0.2"/>
    <row r="1868" customFormat="1" x14ac:dyDescent="0.2"/>
    <row r="1869" customFormat="1" x14ac:dyDescent="0.2"/>
    <row r="1870" customFormat="1" x14ac:dyDescent="0.2"/>
    <row r="1871" customFormat="1" x14ac:dyDescent="0.2"/>
    <row r="1872" customFormat="1" x14ac:dyDescent="0.2"/>
    <row r="1873" customFormat="1" x14ac:dyDescent="0.2"/>
    <row r="1874" customFormat="1" x14ac:dyDescent="0.2"/>
    <row r="1875" customFormat="1" x14ac:dyDescent="0.2"/>
    <row r="1876" customFormat="1" x14ac:dyDescent="0.2"/>
    <row r="1877" customFormat="1" x14ac:dyDescent="0.2"/>
    <row r="1878" customFormat="1" x14ac:dyDescent="0.2"/>
    <row r="1879" customFormat="1" x14ac:dyDescent="0.2"/>
    <row r="1880" customFormat="1" x14ac:dyDescent="0.2"/>
    <row r="1881" customFormat="1" x14ac:dyDescent="0.2"/>
    <row r="1882" customFormat="1" x14ac:dyDescent="0.2"/>
    <row r="1883" customFormat="1" x14ac:dyDescent="0.2"/>
    <row r="1884" customFormat="1" x14ac:dyDescent="0.2"/>
    <row r="1885" customFormat="1" x14ac:dyDescent="0.2"/>
    <row r="1886" customFormat="1" x14ac:dyDescent="0.2"/>
    <row r="1887" customFormat="1" x14ac:dyDescent="0.2"/>
    <row r="1888" customFormat="1" x14ac:dyDescent="0.2"/>
    <row r="1889" customFormat="1" x14ac:dyDescent="0.2"/>
    <row r="1890" customFormat="1" x14ac:dyDescent="0.2"/>
    <row r="1891" customFormat="1" x14ac:dyDescent="0.2"/>
    <row r="1892" customFormat="1" x14ac:dyDescent="0.2"/>
    <row r="1893" customFormat="1" x14ac:dyDescent="0.2"/>
    <row r="1894" customFormat="1" x14ac:dyDescent="0.2"/>
    <row r="1895" customFormat="1" x14ac:dyDescent="0.2"/>
    <row r="1896" customFormat="1" x14ac:dyDescent="0.2"/>
    <row r="1897" customFormat="1" x14ac:dyDescent="0.2"/>
    <row r="1898" customFormat="1" x14ac:dyDescent="0.2"/>
    <row r="1899" customFormat="1" x14ac:dyDescent="0.2"/>
    <row r="1900" customFormat="1" x14ac:dyDescent="0.2"/>
    <row r="1901" customFormat="1" x14ac:dyDescent="0.2"/>
    <row r="1902" customFormat="1" x14ac:dyDescent="0.2"/>
    <row r="1903" customFormat="1" x14ac:dyDescent="0.2"/>
    <row r="1904" customFormat="1" x14ac:dyDescent="0.2"/>
    <row r="1905" customFormat="1" x14ac:dyDescent="0.2"/>
    <row r="1906" customFormat="1" x14ac:dyDescent="0.2"/>
    <row r="1907" customFormat="1" x14ac:dyDescent="0.2"/>
    <row r="1908" customFormat="1" x14ac:dyDescent="0.2"/>
    <row r="1909" customFormat="1" x14ac:dyDescent="0.2"/>
    <row r="1910" customFormat="1" x14ac:dyDescent="0.2"/>
    <row r="1911" customFormat="1" x14ac:dyDescent="0.2"/>
    <row r="1912" customFormat="1" x14ac:dyDescent="0.2"/>
    <row r="1913" customFormat="1" x14ac:dyDescent="0.2"/>
    <row r="1914" customFormat="1" x14ac:dyDescent="0.2"/>
    <row r="1915" customFormat="1" x14ac:dyDescent="0.2"/>
    <row r="1916" customFormat="1" x14ac:dyDescent="0.2"/>
    <row r="1917" customFormat="1" x14ac:dyDescent="0.2"/>
    <row r="1918" customFormat="1" x14ac:dyDescent="0.2"/>
    <row r="1919" customFormat="1" x14ac:dyDescent="0.2"/>
    <row r="1920" customFormat="1" x14ac:dyDescent="0.2"/>
    <row r="1921" customFormat="1" x14ac:dyDescent="0.2"/>
    <row r="1922" customFormat="1" x14ac:dyDescent="0.2"/>
    <row r="1923" customFormat="1" x14ac:dyDescent="0.2"/>
    <row r="1924" customFormat="1" x14ac:dyDescent="0.2"/>
    <row r="1925" customFormat="1" x14ac:dyDescent="0.2"/>
    <row r="1926" customFormat="1" x14ac:dyDescent="0.2"/>
    <row r="1927" customFormat="1" x14ac:dyDescent="0.2"/>
    <row r="1928" customFormat="1" x14ac:dyDescent="0.2"/>
    <row r="1929" customFormat="1" x14ac:dyDescent="0.2"/>
    <row r="1930" customFormat="1" x14ac:dyDescent="0.2"/>
    <row r="1931" customFormat="1" x14ac:dyDescent="0.2"/>
    <row r="1932" customFormat="1" x14ac:dyDescent="0.2"/>
    <row r="1933" customFormat="1" x14ac:dyDescent="0.2"/>
    <row r="1934" customFormat="1" x14ac:dyDescent="0.2"/>
    <row r="1935" customFormat="1" x14ac:dyDescent="0.2"/>
    <row r="1936" customFormat="1" x14ac:dyDescent="0.2"/>
    <row r="1937" customFormat="1" x14ac:dyDescent="0.2"/>
    <row r="1938" customFormat="1" x14ac:dyDescent="0.2"/>
    <row r="1939" customFormat="1" x14ac:dyDescent="0.2"/>
    <row r="1940" customFormat="1" x14ac:dyDescent="0.2"/>
    <row r="1941" customFormat="1" x14ac:dyDescent="0.2"/>
    <row r="1942" customFormat="1" x14ac:dyDescent="0.2"/>
    <row r="1943" customFormat="1" x14ac:dyDescent="0.2"/>
    <row r="1944" customFormat="1" x14ac:dyDescent="0.2"/>
    <row r="1945" customFormat="1" x14ac:dyDescent="0.2"/>
    <row r="1946" customFormat="1" x14ac:dyDescent="0.2"/>
    <row r="1947" customFormat="1" x14ac:dyDescent="0.2"/>
    <row r="1948" customFormat="1" x14ac:dyDescent="0.2"/>
    <row r="1949" customFormat="1" x14ac:dyDescent="0.2"/>
    <row r="1950" customFormat="1" x14ac:dyDescent="0.2"/>
    <row r="1951" customFormat="1" x14ac:dyDescent="0.2"/>
    <row r="1952" customFormat="1" x14ac:dyDescent="0.2"/>
    <row r="1953" customFormat="1" x14ac:dyDescent="0.2"/>
    <row r="1954" customFormat="1" x14ac:dyDescent="0.2"/>
    <row r="1955" customFormat="1" x14ac:dyDescent="0.2"/>
    <row r="1956" customFormat="1" x14ac:dyDescent="0.2"/>
    <row r="1957" customFormat="1" x14ac:dyDescent="0.2"/>
    <row r="1958" customFormat="1" x14ac:dyDescent="0.2"/>
    <row r="1959" customFormat="1" x14ac:dyDescent="0.2"/>
    <row r="1960" customFormat="1" x14ac:dyDescent="0.2"/>
    <row r="1961" customFormat="1" x14ac:dyDescent="0.2"/>
    <row r="1962" customFormat="1" x14ac:dyDescent="0.2"/>
    <row r="1963" customFormat="1" x14ac:dyDescent="0.2"/>
    <row r="1964" customFormat="1" x14ac:dyDescent="0.2"/>
    <row r="1965" customFormat="1" x14ac:dyDescent="0.2"/>
    <row r="1966" customFormat="1" x14ac:dyDescent="0.2"/>
    <row r="1967" customFormat="1" x14ac:dyDescent="0.2"/>
    <row r="1968" customFormat="1" x14ac:dyDescent="0.2"/>
    <row r="1969" customFormat="1" x14ac:dyDescent="0.2"/>
    <row r="1970" customFormat="1" x14ac:dyDescent="0.2"/>
    <row r="1971" customFormat="1" x14ac:dyDescent="0.2"/>
    <row r="1972" customFormat="1" x14ac:dyDescent="0.2"/>
    <row r="1973" customFormat="1" x14ac:dyDescent="0.2"/>
    <row r="1974" customFormat="1" x14ac:dyDescent="0.2"/>
    <row r="1975" customFormat="1" x14ac:dyDescent="0.2"/>
    <row r="1976" customFormat="1" x14ac:dyDescent="0.2"/>
    <row r="1977" customFormat="1" x14ac:dyDescent="0.2"/>
    <row r="1978" customFormat="1" x14ac:dyDescent="0.2"/>
    <row r="1979" customFormat="1" x14ac:dyDescent="0.2"/>
    <row r="1980" customFormat="1" x14ac:dyDescent="0.2"/>
    <row r="1981" customFormat="1" x14ac:dyDescent="0.2"/>
    <row r="1982" customFormat="1" x14ac:dyDescent="0.2"/>
    <row r="1983" customFormat="1" x14ac:dyDescent="0.2"/>
    <row r="1984" customFormat="1" x14ac:dyDescent="0.2"/>
    <row r="1985" customFormat="1" x14ac:dyDescent="0.2"/>
    <row r="1986" customFormat="1" x14ac:dyDescent="0.2"/>
    <row r="1987" customFormat="1" x14ac:dyDescent="0.2"/>
    <row r="1988" customFormat="1" x14ac:dyDescent="0.2"/>
    <row r="1989" customFormat="1" x14ac:dyDescent="0.2"/>
    <row r="1990" customFormat="1" x14ac:dyDescent="0.2"/>
    <row r="1991" customFormat="1" x14ac:dyDescent="0.2"/>
    <row r="1992" customFormat="1" x14ac:dyDescent="0.2"/>
    <row r="1993" customFormat="1" x14ac:dyDescent="0.2"/>
    <row r="1994" customFormat="1" x14ac:dyDescent="0.2"/>
    <row r="1995" customFormat="1" x14ac:dyDescent="0.2"/>
    <row r="1996" customFormat="1" x14ac:dyDescent="0.2"/>
    <row r="1997" customFormat="1" x14ac:dyDescent="0.2"/>
    <row r="1998" customFormat="1" x14ac:dyDescent="0.2"/>
    <row r="1999" customFormat="1" x14ac:dyDescent="0.2"/>
    <row r="2000" customFormat="1" x14ac:dyDescent="0.2"/>
    <row r="2001" customFormat="1" x14ac:dyDescent="0.2"/>
    <row r="2002" customFormat="1" x14ac:dyDescent="0.2"/>
    <row r="2003" customFormat="1" x14ac:dyDescent="0.2"/>
    <row r="2004" customFormat="1" x14ac:dyDescent="0.2"/>
    <row r="2005" customFormat="1" x14ac:dyDescent="0.2"/>
    <row r="2006" customFormat="1" x14ac:dyDescent="0.2"/>
    <row r="2007" customFormat="1" x14ac:dyDescent="0.2"/>
    <row r="2008" customFormat="1" x14ac:dyDescent="0.2"/>
    <row r="2009" customFormat="1" x14ac:dyDescent="0.2"/>
    <row r="2010" customFormat="1" x14ac:dyDescent="0.2"/>
    <row r="2011" customFormat="1" x14ac:dyDescent="0.2"/>
    <row r="2012" customFormat="1" x14ac:dyDescent="0.2"/>
    <row r="2013" customFormat="1" x14ac:dyDescent="0.2"/>
    <row r="2014" customFormat="1" x14ac:dyDescent="0.2"/>
    <row r="2015" customFormat="1" x14ac:dyDescent="0.2"/>
    <row r="2016" customFormat="1" x14ac:dyDescent="0.2"/>
    <row r="2017" customFormat="1" x14ac:dyDescent="0.2"/>
    <row r="2018" customFormat="1" x14ac:dyDescent="0.2"/>
    <row r="2019" customFormat="1" x14ac:dyDescent="0.2"/>
    <row r="2020" customFormat="1" x14ac:dyDescent="0.2"/>
    <row r="2021" customFormat="1" x14ac:dyDescent="0.2"/>
    <row r="2022" customFormat="1" x14ac:dyDescent="0.2"/>
    <row r="2023" customFormat="1" x14ac:dyDescent="0.2"/>
    <row r="2024" customFormat="1" x14ac:dyDescent="0.2"/>
    <row r="2025" customFormat="1" x14ac:dyDescent="0.2"/>
    <row r="2026" customFormat="1" x14ac:dyDescent="0.2"/>
    <row r="2027" customFormat="1" x14ac:dyDescent="0.2"/>
    <row r="2028" customFormat="1" x14ac:dyDescent="0.2"/>
    <row r="2029" customFormat="1" x14ac:dyDescent="0.2"/>
    <row r="2030" customFormat="1" x14ac:dyDescent="0.2"/>
    <row r="2031" customFormat="1" x14ac:dyDescent="0.2"/>
    <row r="2032" customFormat="1" x14ac:dyDescent="0.2"/>
    <row r="2033" customFormat="1" x14ac:dyDescent="0.2"/>
    <row r="2034" customFormat="1" x14ac:dyDescent="0.2"/>
    <row r="2035" customFormat="1" x14ac:dyDescent="0.2"/>
    <row r="2036" customFormat="1" x14ac:dyDescent="0.2"/>
    <row r="2037" customFormat="1" x14ac:dyDescent="0.2"/>
    <row r="2038" customFormat="1" x14ac:dyDescent="0.2"/>
    <row r="2039" customFormat="1" x14ac:dyDescent="0.2"/>
    <row r="2040" customFormat="1" x14ac:dyDescent="0.2"/>
    <row r="2041" customFormat="1" x14ac:dyDescent="0.2"/>
    <row r="2042" customFormat="1" x14ac:dyDescent="0.2"/>
    <row r="2043" customFormat="1" x14ac:dyDescent="0.2"/>
    <row r="2044" customFormat="1" x14ac:dyDescent="0.2"/>
    <row r="2045" customFormat="1" x14ac:dyDescent="0.2"/>
    <row r="2046" customFormat="1" x14ac:dyDescent="0.2"/>
    <row r="2047" customFormat="1" x14ac:dyDescent="0.2"/>
    <row r="2048" customFormat="1" x14ac:dyDescent="0.2"/>
    <row r="2049" customFormat="1" x14ac:dyDescent="0.2"/>
    <row r="2050" customFormat="1" x14ac:dyDescent="0.2"/>
    <row r="2051" customFormat="1" x14ac:dyDescent="0.2"/>
    <row r="2052" customFormat="1" x14ac:dyDescent="0.2"/>
    <row r="2053" customFormat="1" x14ac:dyDescent="0.2"/>
    <row r="2054" customFormat="1" x14ac:dyDescent="0.2"/>
    <row r="2055" customFormat="1" x14ac:dyDescent="0.2"/>
    <row r="2056" customFormat="1" x14ac:dyDescent="0.2"/>
    <row r="2057" customFormat="1" x14ac:dyDescent="0.2"/>
    <row r="2058" customFormat="1" x14ac:dyDescent="0.2"/>
    <row r="2059" customFormat="1" x14ac:dyDescent="0.2"/>
    <row r="2060" customFormat="1" x14ac:dyDescent="0.2"/>
    <row r="2061" customFormat="1" x14ac:dyDescent="0.2"/>
    <row r="2062" customFormat="1" x14ac:dyDescent="0.2"/>
    <row r="2063" customFormat="1" x14ac:dyDescent="0.2"/>
    <row r="2064" customFormat="1" x14ac:dyDescent="0.2"/>
    <row r="2065" customFormat="1" x14ac:dyDescent="0.2"/>
    <row r="2066" customFormat="1" x14ac:dyDescent="0.2"/>
    <row r="2067" customFormat="1" x14ac:dyDescent="0.2"/>
    <row r="2068" customFormat="1" x14ac:dyDescent="0.2"/>
    <row r="2069" customFormat="1" x14ac:dyDescent="0.2"/>
    <row r="2070" customFormat="1" x14ac:dyDescent="0.2"/>
    <row r="2071" customFormat="1" x14ac:dyDescent="0.2"/>
    <row r="2072" customFormat="1" x14ac:dyDescent="0.2"/>
    <row r="2073" customFormat="1" x14ac:dyDescent="0.2"/>
    <row r="2074" customFormat="1" x14ac:dyDescent="0.2"/>
    <row r="2075" customFormat="1" x14ac:dyDescent="0.2"/>
    <row r="2076" customFormat="1" x14ac:dyDescent="0.2"/>
    <row r="2077" customFormat="1" x14ac:dyDescent="0.2"/>
    <row r="2078" customFormat="1" x14ac:dyDescent="0.2"/>
    <row r="2079" customFormat="1" x14ac:dyDescent="0.2"/>
    <row r="2080" customFormat="1" x14ac:dyDescent="0.2"/>
    <row r="2081" customFormat="1" x14ac:dyDescent="0.2"/>
    <row r="2082" customFormat="1" x14ac:dyDescent="0.2"/>
    <row r="2083" customFormat="1" x14ac:dyDescent="0.2"/>
    <row r="2084" customFormat="1" x14ac:dyDescent="0.2"/>
    <row r="2085" customFormat="1" x14ac:dyDescent="0.2"/>
    <row r="2086" customFormat="1" x14ac:dyDescent="0.2"/>
    <row r="2087" customFormat="1" x14ac:dyDescent="0.2"/>
    <row r="2088" customFormat="1" x14ac:dyDescent="0.2"/>
    <row r="2089" customFormat="1" x14ac:dyDescent="0.2"/>
    <row r="2090" customFormat="1" x14ac:dyDescent="0.2"/>
    <row r="2091" customFormat="1" x14ac:dyDescent="0.2"/>
    <row r="2092" customFormat="1" x14ac:dyDescent="0.2"/>
    <row r="2093" customFormat="1" x14ac:dyDescent="0.2"/>
    <row r="2094" customFormat="1" x14ac:dyDescent="0.2"/>
    <row r="2095" customFormat="1" x14ac:dyDescent="0.2"/>
    <row r="2096" customFormat="1" x14ac:dyDescent="0.2"/>
    <row r="2097" customFormat="1" x14ac:dyDescent="0.2"/>
    <row r="2098" customFormat="1" x14ac:dyDescent="0.2"/>
    <row r="2099" customFormat="1" x14ac:dyDescent="0.2"/>
    <row r="2100" customFormat="1" x14ac:dyDescent="0.2"/>
    <row r="2101" customFormat="1" x14ac:dyDescent="0.2"/>
    <row r="2102" customFormat="1" x14ac:dyDescent="0.2"/>
    <row r="2103" customFormat="1" x14ac:dyDescent="0.2"/>
    <row r="2104" customFormat="1" x14ac:dyDescent="0.2"/>
    <row r="2105" customFormat="1" x14ac:dyDescent="0.2"/>
    <row r="2106" customFormat="1" x14ac:dyDescent="0.2"/>
    <row r="2107" customFormat="1" x14ac:dyDescent="0.2"/>
    <row r="2108" customFormat="1" x14ac:dyDescent="0.2"/>
    <row r="2109" customFormat="1" x14ac:dyDescent="0.2"/>
    <row r="2110" customFormat="1" x14ac:dyDescent="0.2"/>
    <row r="2111" customFormat="1" x14ac:dyDescent="0.2"/>
    <row r="2112" customFormat="1" x14ac:dyDescent="0.2"/>
    <row r="2113" customFormat="1" x14ac:dyDescent="0.2"/>
    <row r="2114" customFormat="1" x14ac:dyDescent="0.2"/>
    <row r="2115" customFormat="1" x14ac:dyDescent="0.2"/>
    <row r="2116" customFormat="1" x14ac:dyDescent="0.2"/>
    <row r="2117" customFormat="1" x14ac:dyDescent="0.2"/>
    <row r="2118" customFormat="1" x14ac:dyDescent="0.2"/>
    <row r="2119" customFormat="1" x14ac:dyDescent="0.2"/>
    <row r="2120" customFormat="1" x14ac:dyDescent="0.2"/>
    <row r="2121" customFormat="1" x14ac:dyDescent="0.2"/>
    <row r="2122" customFormat="1" x14ac:dyDescent="0.2"/>
    <row r="2123" customFormat="1" x14ac:dyDescent="0.2"/>
    <row r="2124" customFormat="1" x14ac:dyDescent="0.2"/>
    <row r="2125" customFormat="1" x14ac:dyDescent="0.2"/>
    <row r="2126" customFormat="1" x14ac:dyDescent="0.2"/>
    <row r="2127" customFormat="1" x14ac:dyDescent="0.2"/>
    <row r="2128" customFormat="1" x14ac:dyDescent="0.2"/>
    <row r="2129" customFormat="1" x14ac:dyDescent="0.2"/>
    <row r="2130" customFormat="1" x14ac:dyDescent="0.2"/>
    <row r="2131" customFormat="1" x14ac:dyDescent="0.2"/>
    <row r="2132" customFormat="1" x14ac:dyDescent="0.2"/>
    <row r="2133" customFormat="1" x14ac:dyDescent="0.2"/>
    <row r="2134" customFormat="1" x14ac:dyDescent="0.2"/>
    <row r="2135" customFormat="1" x14ac:dyDescent="0.2"/>
    <row r="2136" customFormat="1" x14ac:dyDescent="0.2"/>
    <row r="2137" customFormat="1" x14ac:dyDescent="0.2"/>
    <row r="2138" customFormat="1" x14ac:dyDescent="0.2"/>
    <row r="2139" customFormat="1" x14ac:dyDescent="0.2"/>
    <row r="2140" customFormat="1" x14ac:dyDescent="0.2"/>
    <row r="2141" customFormat="1" x14ac:dyDescent="0.2"/>
    <row r="2142" customFormat="1" x14ac:dyDescent="0.2"/>
    <row r="2143" customFormat="1" x14ac:dyDescent="0.2"/>
    <row r="2144" customFormat="1" x14ac:dyDescent="0.2"/>
    <row r="2145" customFormat="1" x14ac:dyDescent="0.2"/>
    <row r="2146" customFormat="1" x14ac:dyDescent="0.2"/>
    <row r="2147" customFormat="1" x14ac:dyDescent="0.2"/>
    <row r="2148" customFormat="1" x14ac:dyDescent="0.2"/>
    <row r="2149" customFormat="1" x14ac:dyDescent="0.2"/>
    <row r="2150" customFormat="1" x14ac:dyDescent="0.2"/>
    <row r="2151" customFormat="1" x14ac:dyDescent="0.2"/>
    <row r="2152" customFormat="1" x14ac:dyDescent="0.2"/>
    <row r="2153" customFormat="1" x14ac:dyDescent="0.2"/>
    <row r="2154" customFormat="1" x14ac:dyDescent="0.2"/>
    <row r="2155" customFormat="1" x14ac:dyDescent="0.2"/>
    <row r="2156" customFormat="1" x14ac:dyDescent="0.2"/>
    <row r="2157" customFormat="1" x14ac:dyDescent="0.2"/>
    <row r="2158" customFormat="1" x14ac:dyDescent="0.2"/>
    <row r="2159" customFormat="1" x14ac:dyDescent="0.2"/>
    <row r="2160" customFormat="1" x14ac:dyDescent="0.2"/>
    <row r="2161" customFormat="1" x14ac:dyDescent="0.2"/>
    <row r="2162" customFormat="1" x14ac:dyDescent="0.2"/>
    <row r="2163" customFormat="1" x14ac:dyDescent="0.2"/>
    <row r="2164" customFormat="1" x14ac:dyDescent="0.2"/>
    <row r="2165" customFormat="1" x14ac:dyDescent="0.2"/>
    <row r="2166" customFormat="1" x14ac:dyDescent="0.2"/>
    <row r="2167" customFormat="1" x14ac:dyDescent="0.2"/>
    <row r="2168" customFormat="1" x14ac:dyDescent="0.2"/>
    <row r="2169" customFormat="1" x14ac:dyDescent="0.2"/>
    <row r="2170" customFormat="1" x14ac:dyDescent="0.2"/>
    <row r="2171" customFormat="1" x14ac:dyDescent="0.2"/>
    <row r="2172" customFormat="1" x14ac:dyDescent="0.2"/>
    <row r="2173" customFormat="1" x14ac:dyDescent="0.2"/>
    <row r="2174" customFormat="1" x14ac:dyDescent="0.2"/>
    <row r="2175" customFormat="1" x14ac:dyDescent="0.2"/>
    <row r="2176" customFormat="1" x14ac:dyDescent="0.2"/>
    <row r="2177" customFormat="1" x14ac:dyDescent="0.2"/>
    <row r="2178" customFormat="1" x14ac:dyDescent="0.2"/>
    <row r="2179" customFormat="1" x14ac:dyDescent="0.2"/>
    <row r="2180" customFormat="1" x14ac:dyDescent="0.2"/>
    <row r="2181" customFormat="1" x14ac:dyDescent="0.2"/>
    <row r="2182" customFormat="1" x14ac:dyDescent="0.2"/>
    <row r="2183" customFormat="1" x14ac:dyDescent="0.2"/>
    <row r="2184" customFormat="1" x14ac:dyDescent="0.2"/>
    <row r="2185" customFormat="1" x14ac:dyDescent="0.2"/>
    <row r="2186" customFormat="1" x14ac:dyDescent="0.2"/>
    <row r="2187" customFormat="1" x14ac:dyDescent="0.2"/>
    <row r="2188" customFormat="1" x14ac:dyDescent="0.2"/>
    <row r="2189" customFormat="1" x14ac:dyDescent="0.2"/>
    <row r="2190" customFormat="1" x14ac:dyDescent="0.2"/>
    <row r="2191" customFormat="1" x14ac:dyDescent="0.2"/>
    <row r="2192" customFormat="1" x14ac:dyDescent="0.2"/>
    <row r="2193" customFormat="1" x14ac:dyDescent="0.2"/>
    <row r="2194" customFormat="1" x14ac:dyDescent="0.2"/>
    <row r="2195" customFormat="1" x14ac:dyDescent="0.2"/>
    <row r="2196" customFormat="1" x14ac:dyDescent="0.2"/>
    <row r="2197" customFormat="1" x14ac:dyDescent="0.2"/>
    <row r="2198" customFormat="1" x14ac:dyDescent="0.2"/>
    <row r="2199" customFormat="1" x14ac:dyDescent="0.2"/>
    <row r="2200" customFormat="1" x14ac:dyDescent="0.2"/>
    <row r="2201" customFormat="1" x14ac:dyDescent="0.2"/>
    <row r="2202" customFormat="1" x14ac:dyDescent="0.2"/>
    <row r="2203" customFormat="1" x14ac:dyDescent="0.2"/>
    <row r="2204" customFormat="1" x14ac:dyDescent="0.2"/>
    <row r="2205" customFormat="1" x14ac:dyDescent="0.2"/>
    <row r="2206" customFormat="1" x14ac:dyDescent="0.2"/>
    <row r="2207" customFormat="1" x14ac:dyDescent="0.2"/>
    <row r="2208" customFormat="1" x14ac:dyDescent="0.2"/>
    <row r="2209" customFormat="1" x14ac:dyDescent="0.2"/>
    <row r="2210" customFormat="1" x14ac:dyDescent="0.2"/>
    <row r="2211" customFormat="1" x14ac:dyDescent="0.2"/>
    <row r="2212" customFormat="1" x14ac:dyDescent="0.2"/>
    <row r="2213" customFormat="1" x14ac:dyDescent="0.2"/>
    <row r="2214" customFormat="1" x14ac:dyDescent="0.2"/>
    <row r="2215" customFormat="1" x14ac:dyDescent="0.2"/>
    <row r="2216" customFormat="1" x14ac:dyDescent="0.2"/>
    <row r="2217" customFormat="1" x14ac:dyDescent="0.2"/>
    <row r="2218" customFormat="1" x14ac:dyDescent="0.2"/>
    <row r="2219" customFormat="1" x14ac:dyDescent="0.2"/>
    <row r="2220" customFormat="1" x14ac:dyDescent="0.2"/>
    <row r="2221" customFormat="1" x14ac:dyDescent="0.2"/>
    <row r="2222" customFormat="1" x14ac:dyDescent="0.2"/>
    <row r="2223" customFormat="1" x14ac:dyDescent="0.2"/>
    <row r="2224" customFormat="1" x14ac:dyDescent="0.2"/>
    <row r="2225" customFormat="1" x14ac:dyDescent="0.2"/>
    <row r="2226" customFormat="1" x14ac:dyDescent="0.2"/>
    <row r="2227" customFormat="1" x14ac:dyDescent="0.2"/>
    <row r="2228" customFormat="1" x14ac:dyDescent="0.2"/>
    <row r="2229" customFormat="1" x14ac:dyDescent="0.2"/>
    <row r="2230" customFormat="1" x14ac:dyDescent="0.2"/>
    <row r="2231" customFormat="1" x14ac:dyDescent="0.2"/>
    <row r="2232" customFormat="1" x14ac:dyDescent="0.2"/>
    <row r="2233" customFormat="1" x14ac:dyDescent="0.2"/>
    <row r="2234" customFormat="1" x14ac:dyDescent="0.2"/>
    <row r="2235" customFormat="1" x14ac:dyDescent="0.2"/>
    <row r="2236" customFormat="1" x14ac:dyDescent="0.2"/>
    <row r="2237" customFormat="1" x14ac:dyDescent="0.2"/>
    <row r="2238" customFormat="1" x14ac:dyDescent="0.2"/>
    <row r="2239" customFormat="1" x14ac:dyDescent="0.2"/>
    <row r="2240" customFormat="1" x14ac:dyDescent="0.2"/>
    <row r="2241" customFormat="1" x14ac:dyDescent="0.2"/>
    <row r="2242" customFormat="1" x14ac:dyDescent="0.2"/>
    <row r="2243" customFormat="1" x14ac:dyDescent="0.2"/>
    <row r="2244" customFormat="1" x14ac:dyDescent="0.2"/>
    <row r="2245" customFormat="1" x14ac:dyDescent="0.2"/>
    <row r="2246" customFormat="1" x14ac:dyDescent="0.2"/>
    <row r="2247" customFormat="1" x14ac:dyDescent="0.2"/>
    <row r="2248" customFormat="1" x14ac:dyDescent="0.2"/>
    <row r="2249" customFormat="1" x14ac:dyDescent="0.2"/>
    <row r="2250" customFormat="1" x14ac:dyDescent="0.2"/>
    <row r="2251" customFormat="1" x14ac:dyDescent="0.2"/>
    <row r="2252" customFormat="1" x14ac:dyDescent="0.2"/>
    <row r="2253" customFormat="1" x14ac:dyDescent="0.2"/>
    <row r="2254" customFormat="1" x14ac:dyDescent="0.2"/>
    <row r="2255" customFormat="1" x14ac:dyDescent="0.2"/>
    <row r="2256" customFormat="1" x14ac:dyDescent="0.2"/>
    <row r="2257" customFormat="1" x14ac:dyDescent="0.2"/>
    <row r="2258" customFormat="1" x14ac:dyDescent="0.2"/>
    <row r="2259" customFormat="1" x14ac:dyDescent="0.2"/>
    <row r="2260" customFormat="1" x14ac:dyDescent="0.2"/>
    <row r="2261" customFormat="1" x14ac:dyDescent="0.2"/>
    <row r="2262" customFormat="1" x14ac:dyDescent="0.2"/>
    <row r="2263" customFormat="1" x14ac:dyDescent="0.2"/>
    <row r="2264" customFormat="1" x14ac:dyDescent="0.2"/>
    <row r="2265" customFormat="1" x14ac:dyDescent="0.2"/>
    <row r="2266" customFormat="1" x14ac:dyDescent="0.2"/>
    <row r="2267" customFormat="1" x14ac:dyDescent="0.2"/>
    <row r="2268" customFormat="1" x14ac:dyDescent="0.2"/>
    <row r="2269" customFormat="1" x14ac:dyDescent="0.2"/>
    <row r="2270" customFormat="1" x14ac:dyDescent="0.2"/>
    <row r="2271" customFormat="1" x14ac:dyDescent="0.2"/>
    <row r="2272" customFormat="1" x14ac:dyDescent="0.2"/>
    <row r="2273" customFormat="1" x14ac:dyDescent="0.2"/>
    <row r="2274" customFormat="1" x14ac:dyDescent="0.2"/>
    <row r="2275" customFormat="1" x14ac:dyDescent="0.2"/>
    <row r="2276" customFormat="1" x14ac:dyDescent="0.2"/>
    <row r="2277" customFormat="1" x14ac:dyDescent="0.2"/>
    <row r="2278" customFormat="1" x14ac:dyDescent="0.2"/>
    <row r="2279" customFormat="1" x14ac:dyDescent="0.2"/>
    <row r="2280" customFormat="1" x14ac:dyDescent="0.2"/>
    <row r="2281" customFormat="1" x14ac:dyDescent="0.2"/>
    <row r="2282" customFormat="1" x14ac:dyDescent="0.2"/>
    <row r="2283" customFormat="1" x14ac:dyDescent="0.2"/>
    <row r="2284" customFormat="1" x14ac:dyDescent="0.2"/>
    <row r="2285" customFormat="1" x14ac:dyDescent="0.2"/>
    <row r="2286" customFormat="1" x14ac:dyDescent="0.2"/>
    <row r="2287" customFormat="1" x14ac:dyDescent="0.2"/>
    <row r="2288" customFormat="1" x14ac:dyDescent="0.2"/>
    <row r="2289" customFormat="1" x14ac:dyDescent="0.2"/>
    <row r="2290" customFormat="1" x14ac:dyDescent="0.2"/>
    <row r="2291" customFormat="1" x14ac:dyDescent="0.2"/>
    <row r="2292" customFormat="1" x14ac:dyDescent="0.2"/>
    <row r="2293" customFormat="1" x14ac:dyDescent="0.2"/>
    <row r="2294" customFormat="1" x14ac:dyDescent="0.2"/>
    <row r="2295" customFormat="1" x14ac:dyDescent="0.2"/>
    <row r="2296" customFormat="1" x14ac:dyDescent="0.2"/>
    <row r="2297" customFormat="1" x14ac:dyDescent="0.2"/>
    <row r="2298" customFormat="1" x14ac:dyDescent="0.2"/>
    <row r="2299" customFormat="1" x14ac:dyDescent="0.2"/>
    <row r="2300" customFormat="1" x14ac:dyDescent="0.2"/>
    <row r="2301" customFormat="1" x14ac:dyDescent="0.2"/>
    <row r="2302" customFormat="1" x14ac:dyDescent="0.2"/>
    <row r="2303" customFormat="1" x14ac:dyDescent="0.2"/>
    <row r="2304" customFormat="1" x14ac:dyDescent="0.2"/>
    <row r="2305" customFormat="1" x14ac:dyDescent="0.2"/>
    <row r="2306" customFormat="1" x14ac:dyDescent="0.2"/>
    <row r="2307" customFormat="1" x14ac:dyDescent="0.2"/>
    <row r="2308" customFormat="1" x14ac:dyDescent="0.2"/>
    <row r="2309" customFormat="1" x14ac:dyDescent="0.2"/>
    <row r="2310" customFormat="1" x14ac:dyDescent="0.2"/>
    <row r="2311" customFormat="1" x14ac:dyDescent="0.2"/>
    <row r="2312" customFormat="1" x14ac:dyDescent="0.2"/>
    <row r="2313" customFormat="1" x14ac:dyDescent="0.2"/>
    <row r="2314" customFormat="1" x14ac:dyDescent="0.2"/>
    <row r="2315" customFormat="1" x14ac:dyDescent="0.2"/>
    <row r="2316" customFormat="1" x14ac:dyDescent="0.2"/>
    <row r="2317" customFormat="1" x14ac:dyDescent="0.2"/>
    <row r="2318" customFormat="1" x14ac:dyDescent="0.2"/>
    <row r="2319" customFormat="1" x14ac:dyDescent="0.2"/>
    <row r="2320" customFormat="1" x14ac:dyDescent="0.2"/>
    <row r="2321" customFormat="1" x14ac:dyDescent="0.2"/>
    <row r="2322" customFormat="1" x14ac:dyDescent="0.2"/>
    <row r="2323" customFormat="1" x14ac:dyDescent="0.2"/>
    <row r="2324" customFormat="1" x14ac:dyDescent="0.2"/>
    <row r="2325" customFormat="1" x14ac:dyDescent="0.2"/>
    <row r="2326" customFormat="1" x14ac:dyDescent="0.2"/>
    <row r="2327" customFormat="1" x14ac:dyDescent="0.2"/>
    <row r="2328" customFormat="1" x14ac:dyDescent="0.2"/>
    <row r="2329" customFormat="1" x14ac:dyDescent="0.2"/>
    <row r="2330" customFormat="1" x14ac:dyDescent="0.2"/>
    <row r="2331" customFormat="1" x14ac:dyDescent="0.2"/>
    <row r="2332" customFormat="1" x14ac:dyDescent="0.2"/>
    <row r="2333" customFormat="1" x14ac:dyDescent="0.2"/>
    <row r="2334" customFormat="1" x14ac:dyDescent="0.2"/>
    <row r="2335" customFormat="1" x14ac:dyDescent="0.2"/>
    <row r="2336" customFormat="1" x14ac:dyDescent="0.2"/>
    <row r="2337" customFormat="1" x14ac:dyDescent="0.2"/>
    <row r="2338" customFormat="1" x14ac:dyDescent="0.2"/>
    <row r="2339" customFormat="1" x14ac:dyDescent="0.2"/>
    <row r="2340" customFormat="1" x14ac:dyDescent="0.2"/>
    <row r="2341" customFormat="1" x14ac:dyDescent="0.2"/>
    <row r="2342" customFormat="1" x14ac:dyDescent="0.2"/>
    <row r="2343" customFormat="1" x14ac:dyDescent="0.2"/>
    <row r="2344" customFormat="1" x14ac:dyDescent="0.2"/>
    <row r="2345" customFormat="1" x14ac:dyDescent="0.2"/>
    <row r="2346" customFormat="1" x14ac:dyDescent="0.2"/>
    <row r="2347" customFormat="1" x14ac:dyDescent="0.2"/>
    <row r="2348" customFormat="1" x14ac:dyDescent="0.2"/>
    <row r="2349" customFormat="1" x14ac:dyDescent="0.2"/>
    <row r="2350" customFormat="1" x14ac:dyDescent="0.2"/>
    <row r="2351" customFormat="1" x14ac:dyDescent="0.2"/>
    <row r="2352" customFormat="1" x14ac:dyDescent="0.2"/>
    <row r="2353" customFormat="1" x14ac:dyDescent="0.2"/>
    <row r="2354" customFormat="1" x14ac:dyDescent="0.2"/>
    <row r="2355" customFormat="1" x14ac:dyDescent="0.2"/>
    <row r="2356" customFormat="1" x14ac:dyDescent="0.2"/>
    <row r="2357" customFormat="1" x14ac:dyDescent="0.2"/>
    <row r="2358" customFormat="1" x14ac:dyDescent="0.2"/>
    <row r="2359" customFormat="1" x14ac:dyDescent="0.2"/>
    <row r="2360" customFormat="1" x14ac:dyDescent="0.2"/>
    <row r="2361" customFormat="1" x14ac:dyDescent="0.2"/>
    <row r="2362" customFormat="1" x14ac:dyDescent="0.2"/>
    <row r="2363" customFormat="1" x14ac:dyDescent="0.2"/>
    <row r="2364" customFormat="1" x14ac:dyDescent="0.2"/>
    <row r="2365" customFormat="1" x14ac:dyDescent="0.2"/>
    <row r="2366" customFormat="1" x14ac:dyDescent="0.2"/>
    <row r="2367" customFormat="1" x14ac:dyDescent="0.2"/>
    <row r="2368" customFormat="1" x14ac:dyDescent="0.2"/>
    <row r="2369" customFormat="1" x14ac:dyDescent="0.2"/>
    <row r="2370" customFormat="1" x14ac:dyDescent="0.2"/>
    <row r="2371" customFormat="1" x14ac:dyDescent="0.2"/>
    <row r="2372" customFormat="1" x14ac:dyDescent="0.2"/>
    <row r="2373" customFormat="1" x14ac:dyDescent="0.2"/>
    <row r="2374" customFormat="1" x14ac:dyDescent="0.2"/>
    <row r="2375" customFormat="1" x14ac:dyDescent="0.2"/>
    <row r="2376" customFormat="1" x14ac:dyDescent="0.2"/>
    <row r="2377" customFormat="1" x14ac:dyDescent="0.2"/>
    <row r="2378" customFormat="1" x14ac:dyDescent="0.2"/>
    <row r="2379" customFormat="1" x14ac:dyDescent="0.2"/>
    <row r="2380" customFormat="1" x14ac:dyDescent="0.2"/>
    <row r="2381" customFormat="1" x14ac:dyDescent="0.2"/>
    <row r="2382" customFormat="1" x14ac:dyDescent="0.2"/>
    <row r="2383" customFormat="1" x14ac:dyDescent="0.2"/>
    <row r="2384" customFormat="1" x14ac:dyDescent="0.2"/>
    <row r="2385" customFormat="1" x14ac:dyDescent="0.2"/>
    <row r="2386" customFormat="1" x14ac:dyDescent="0.2"/>
    <row r="2387" customFormat="1" x14ac:dyDescent="0.2"/>
    <row r="2388" customFormat="1" x14ac:dyDescent="0.2"/>
    <row r="2389" customFormat="1" x14ac:dyDescent="0.2"/>
    <row r="2390" customFormat="1" x14ac:dyDescent="0.2"/>
    <row r="2391" customFormat="1" x14ac:dyDescent="0.2"/>
    <row r="2392" customFormat="1" x14ac:dyDescent="0.2"/>
    <row r="2393" customFormat="1" x14ac:dyDescent="0.2"/>
    <row r="2394" customFormat="1" x14ac:dyDescent="0.2"/>
    <row r="2395" customFormat="1" x14ac:dyDescent="0.2"/>
    <row r="2396" customFormat="1" x14ac:dyDescent="0.2"/>
    <row r="2397" customFormat="1" x14ac:dyDescent="0.2"/>
    <row r="2398" customFormat="1" x14ac:dyDescent="0.2"/>
    <row r="2399" customFormat="1" x14ac:dyDescent="0.2"/>
    <row r="2400" customFormat="1" x14ac:dyDescent="0.2"/>
    <row r="2401" customFormat="1" x14ac:dyDescent="0.2"/>
    <row r="2402" customFormat="1" x14ac:dyDescent="0.2"/>
    <row r="2403" customFormat="1" x14ac:dyDescent="0.2"/>
    <row r="2404" customFormat="1" x14ac:dyDescent="0.2"/>
    <row r="2405" customFormat="1" x14ac:dyDescent="0.2"/>
    <row r="2406" customFormat="1" x14ac:dyDescent="0.2"/>
    <row r="2407" customFormat="1" x14ac:dyDescent="0.2"/>
    <row r="2408" customFormat="1" x14ac:dyDescent="0.2"/>
    <row r="2409" customFormat="1" x14ac:dyDescent="0.2"/>
    <row r="2410" customFormat="1" x14ac:dyDescent="0.2"/>
    <row r="2411" customFormat="1" x14ac:dyDescent="0.2"/>
    <row r="2412" customFormat="1" x14ac:dyDescent="0.2"/>
    <row r="2413" customFormat="1" x14ac:dyDescent="0.2"/>
    <row r="2414" customFormat="1" x14ac:dyDescent="0.2"/>
    <row r="2415" customFormat="1" x14ac:dyDescent="0.2"/>
    <row r="2416" customFormat="1" x14ac:dyDescent="0.2"/>
    <row r="2417" customFormat="1" x14ac:dyDescent="0.2"/>
    <row r="2418" customFormat="1" x14ac:dyDescent="0.2"/>
    <row r="2419" customFormat="1" x14ac:dyDescent="0.2"/>
    <row r="2420" customFormat="1" x14ac:dyDescent="0.2"/>
    <row r="2421" customFormat="1" x14ac:dyDescent="0.2"/>
    <row r="2422" customFormat="1" x14ac:dyDescent="0.2"/>
    <row r="2423" customFormat="1" x14ac:dyDescent="0.2"/>
    <row r="2424" customFormat="1" x14ac:dyDescent="0.2"/>
    <row r="2425" customFormat="1" x14ac:dyDescent="0.2"/>
    <row r="2426" customFormat="1" x14ac:dyDescent="0.2"/>
    <row r="2427" customFormat="1" x14ac:dyDescent="0.2"/>
    <row r="2428" customFormat="1" x14ac:dyDescent="0.2"/>
    <row r="2429" customFormat="1" x14ac:dyDescent="0.2"/>
    <row r="2430" customFormat="1" x14ac:dyDescent="0.2"/>
    <row r="2431" customFormat="1" x14ac:dyDescent="0.2"/>
    <row r="2432" customFormat="1" x14ac:dyDescent="0.2"/>
    <row r="2433" customFormat="1" x14ac:dyDescent="0.2"/>
    <row r="2434" customFormat="1" x14ac:dyDescent="0.2"/>
    <row r="2435" customFormat="1" x14ac:dyDescent="0.2"/>
    <row r="2436" customFormat="1" x14ac:dyDescent="0.2"/>
    <row r="2437" customFormat="1" x14ac:dyDescent="0.2"/>
    <row r="2438" customFormat="1" x14ac:dyDescent="0.2"/>
    <row r="2439" customFormat="1" x14ac:dyDescent="0.2"/>
    <row r="2440" customFormat="1" x14ac:dyDescent="0.2"/>
    <row r="2441" customFormat="1" x14ac:dyDescent="0.2"/>
    <row r="2442" customFormat="1" x14ac:dyDescent="0.2"/>
    <row r="2443" customFormat="1" x14ac:dyDescent="0.2"/>
    <row r="2444" customFormat="1" x14ac:dyDescent="0.2"/>
    <row r="2445" customFormat="1" x14ac:dyDescent="0.2"/>
    <row r="2446" customFormat="1" x14ac:dyDescent="0.2"/>
    <row r="2447" customFormat="1" x14ac:dyDescent="0.2"/>
    <row r="2448" customFormat="1" x14ac:dyDescent="0.2"/>
    <row r="2449" customFormat="1" x14ac:dyDescent="0.2"/>
    <row r="2450" customFormat="1" x14ac:dyDescent="0.2"/>
    <row r="2451" customFormat="1" x14ac:dyDescent="0.2"/>
    <row r="2452" customFormat="1" x14ac:dyDescent="0.2"/>
  </sheetData>
  <phoneticPr fontId="67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147E5-7CEE-428E-8138-958CB42A18AC}">
  <dimension ref="A1:C588"/>
  <sheetViews>
    <sheetView topLeftCell="A545" workbookViewId="0">
      <selection activeCell="C548" sqref="C548"/>
    </sheetView>
  </sheetViews>
  <sheetFormatPr defaultRowHeight="12.75" x14ac:dyDescent="0.2"/>
  <cols>
    <col min="1" max="1" width="10.140625" bestFit="1" customWidth="1"/>
    <col min="2" max="2" width="11" bestFit="1" customWidth="1"/>
    <col min="3" max="3" width="11.28515625" bestFit="1" customWidth="1"/>
  </cols>
  <sheetData>
    <row r="1" spans="1:3" x14ac:dyDescent="0.2">
      <c r="A1" t="s">
        <v>20</v>
      </c>
      <c r="B1" t="s">
        <v>40</v>
      </c>
      <c r="C1" t="s">
        <v>41</v>
      </c>
    </row>
    <row r="2" spans="1:3" x14ac:dyDescent="0.2">
      <c r="A2" s="128">
        <v>44562</v>
      </c>
      <c r="B2" s="158">
        <v>1451</v>
      </c>
      <c r="C2">
        <v>301.44</v>
      </c>
    </row>
    <row r="3" spans="1:3" x14ac:dyDescent="0.2">
      <c r="A3" s="128">
        <v>44563</v>
      </c>
      <c r="B3" s="158">
        <v>2330</v>
      </c>
      <c r="C3">
        <v>407.29</v>
      </c>
    </row>
    <row r="4" spans="1:3" x14ac:dyDescent="0.2">
      <c r="A4" s="128">
        <v>44564</v>
      </c>
      <c r="B4" s="158">
        <v>3741</v>
      </c>
      <c r="C4">
        <v>282.47000000000003</v>
      </c>
    </row>
    <row r="5" spans="1:3" x14ac:dyDescent="0.2">
      <c r="A5" s="128">
        <v>44565</v>
      </c>
      <c r="B5" s="158">
        <v>3810</v>
      </c>
      <c r="C5">
        <v>0</v>
      </c>
    </row>
    <row r="6" spans="1:3" x14ac:dyDescent="0.2">
      <c r="A6" s="128">
        <v>44566</v>
      </c>
      <c r="B6" s="158">
        <v>3549</v>
      </c>
      <c r="C6">
        <v>0</v>
      </c>
    </row>
    <row r="7" spans="1:3" x14ac:dyDescent="0.2">
      <c r="A7" s="128">
        <v>44567</v>
      </c>
      <c r="B7" s="158">
        <v>3584</v>
      </c>
      <c r="C7">
        <v>0</v>
      </c>
    </row>
    <row r="8" spans="1:3" x14ac:dyDescent="0.2">
      <c r="A8" s="128">
        <v>44568</v>
      </c>
      <c r="B8" s="158">
        <v>3558</v>
      </c>
      <c r="C8">
        <v>0</v>
      </c>
    </row>
    <row r="9" spans="1:3" x14ac:dyDescent="0.2">
      <c r="A9" s="128">
        <v>44569</v>
      </c>
      <c r="B9" s="158">
        <v>2705</v>
      </c>
      <c r="C9">
        <v>0</v>
      </c>
    </row>
    <row r="10" spans="1:3" x14ac:dyDescent="0.2">
      <c r="A10" s="128">
        <v>44570</v>
      </c>
      <c r="B10" s="158">
        <v>2507</v>
      </c>
      <c r="C10">
        <v>0</v>
      </c>
    </row>
    <row r="11" spans="1:3" x14ac:dyDescent="0.2">
      <c r="A11" s="128">
        <v>44571</v>
      </c>
      <c r="B11" s="158">
        <v>3501</v>
      </c>
      <c r="C11">
        <v>0</v>
      </c>
    </row>
    <row r="12" spans="1:3" x14ac:dyDescent="0.2">
      <c r="A12" s="128">
        <v>44572</v>
      </c>
      <c r="B12" s="158">
        <v>3639</v>
      </c>
      <c r="C12">
        <v>528.15</v>
      </c>
    </row>
    <row r="13" spans="1:3" x14ac:dyDescent="0.2">
      <c r="A13" s="128">
        <v>44573</v>
      </c>
      <c r="B13" s="158">
        <v>4033</v>
      </c>
      <c r="C13">
        <v>663.54</v>
      </c>
    </row>
    <row r="14" spans="1:3" x14ac:dyDescent="0.2">
      <c r="A14" s="128">
        <v>44574</v>
      </c>
      <c r="B14" s="158">
        <v>3773</v>
      </c>
      <c r="C14">
        <v>629.92999999999995</v>
      </c>
    </row>
    <row r="15" spans="1:3" x14ac:dyDescent="0.2">
      <c r="A15" s="128">
        <v>44575</v>
      </c>
      <c r="B15" s="158">
        <v>3470</v>
      </c>
      <c r="C15">
        <v>542.01</v>
      </c>
    </row>
    <row r="16" spans="1:3" x14ac:dyDescent="0.2">
      <c r="A16" s="128">
        <v>44576</v>
      </c>
      <c r="B16" s="158">
        <v>2830</v>
      </c>
      <c r="C16">
        <v>504.22</v>
      </c>
    </row>
    <row r="17" spans="1:3" x14ac:dyDescent="0.2">
      <c r="A17" s="128">
        <v>44577</v>
      </c>
      <c r="B17" s="158">
        <v>2426</v>
      </c>
      <c r="C17">
        <v>367.86</v>
      </c>
    </row>
    <row r="18" spans="1:3" x14ac:dyDescent="0.2">
      <c r="A18" s="128">
        <v>44578</v>
      </c>
      <c r="B18" s="158">
        <v>4395</v>
      </c>
      <c r="C18">
        <v>558.91999999999996</v>
      </c>
    </row>
    <row r="19" spans="1:3" x14ac:dyDescent="0.2">
      <c r="A19" s="128">
        <v>44579</v>
      </c>
      <c r="B19" s="158">
        <v>3565</v>
      </c>
      <c r="C19">
        <v>520.02</v>
      </c>
    </row>
    <row r="20" spans="1:3" x14ac:dyDescent="0.2">
      <c r="A20" s="128">
        <v>44580</v>
      </c>
      <c r="B20" s="158">
        <v>3392</v>
      </c>
      <c r="C20">
        <v>488.86</v>
      </c>
    </row>
    <row r="21" spans="1:3" x14ac:dyDescent="0.2">
      <c r="A21" s="128">
        <v>44581</v>
      </c>
      <c r="B21" s="158">
        <v>3446</v>
      </c>
      <c r="C21">
        <v>409.9</v>
      </c>
    </row>
    <row r="22" spans="1:3" x14ac:dyDescent="0.2">
      <c r="A22" s="128">
        <v>44582</v>
      </c>
      <c r="B22" s="158">
        <v>3195</v>
      </c>
      <c r="C22">
        <v>367.89</v>
      </c>
    </row>
    <row r="23" spans="1:3" x14ac:dyDescent="0.2">
      <c r="A23" s="128">
        <v>44583</v>
      </c>
      <c r="B23" s="158">
        <v>2480</v>
      </c>
      <c r="C23">
        <v>240.31</v>
      </c>
    </row>
    <row r="24" spans="1:3" x14ac:dyDescent="0.2">
      <c r="A24" s="128">
        <v>44584</v>
      </c>
      <c r="B24" s="158">
        <v>2195</v>
      </c>
      <c r="C24">
        <v>195.31</v>
      </c>
    </row>
    <row r="25" spans="1:3" x14ac:dyDescent="0.2">
      <c r="A25" s="128">
        <v>44585</v>
      </c>
      <c r="B25" s="158">
        <v>4190</v>
      </c>
      <c r="C25">
        <v>368.09</v>
      </c>
    </row>
    <row r="26" spans="1:3" x14ac:dyDescent="0.2">
      <c r="A26" s="128">
        <v>44586</v>
      </c>
      <c r="B26" s="158">
        <v>3729</v>
      </c>
      <c r="C26">
        <v>350.74</v>
      </c>
    </row>
    <row r="27" spans="1:3" x14ac:dyDescent="0.2">
      <c r="A27" s="128">
        <v>44587</v>
      </c>
      <c r="B27" s="158">
        <v>3595</v>
      </c>
      <c r="C27">
        <v>412.58</v>
      </c>
    </row>
    <row r="28" spans="1:3" x14ac:dyDescent="0.2">
      <c r="A28" s="128">
        <v>44588</v>
      </c>
      <c r="B28" s="158">
        <v>3755</v>
      </c>
      <c r="C28">
        <v>483.31</v>
      </c>
    </row>
    <row r="29" spans="1:3" x14ac:dyDescent="0.2">
      <c r="A29" s="128">
        <v>44589</v>
      </c>
      <c r="B29" s="158">
        <v>3664</v>
      </c>
      <c r="C29">
        <v>463.92</v>
      </c>
    </row>
    <row r="30" spans="1:3" x14ac:dyDescent="0.2">
      <c r="A30" s="128">
        <v>44590</v>
      </c>
      <c r="B30" s="158">
        <v>3019</v>
      </c>
      <c r="C30">
        <v>338.09</v>
      </c>
    </row>
    <row r="31" spans="1:3" x14ac:dyDescent="0.2">
      <c r="A31" s="128">
        <v>44591</v>
      </c>
      <c r="B31" s="158">
        <v>2728</v>
      </c>
      <c r="C31">
        <v>259.91000000000003</v>
      </c>
    </row>
    <row r="32" spans="1:3" x14ac:dyDescent="0.2">
      <c r="A32" s="128">
        <v>44592</v>
      </c>
      <c r="B32" s="158">
        <v>3843</v>
      </c>
      <c r="C32">
        <v>557.44000000000005</v>
      </c>
    </row>
    <row r="33" spans="1:3" x14ac:dyDescent="0.2">
      <c r="A33" s="128">
        <v>44593</v>
      </c>
      <c r="B33" s="158">
        <v>4432</v>
      </c>
      <c r="C33">
        <v>588.03</v>
      </c>
    </row>
    <row r="34" spans="1:3" x14ac:dyDescent="0.2">
      <c r="A34" s="128">
        <v>44594</v>
      </c>
      <c r="B34" s="158">
        <v>4313</v>
      </c>
      <c r="C34">
        <v>566.9</v>
      </c>
    </row>
    <row r="35" spans="1:3" x14ac:dyDescent="0.2">
      <c r="A35" s="128">
        <v>44595</v>
      </c>
      <c r="B35" s="158">
        <v>3709</v>
      </c>
      <c r="C35">
        <v>568.38</v>
      </c>
    </row>
    <row r="36" spans="1:3" x14ac:dyDescent="0.2">
      <c r="A36" s="128">
        <v>44596</v>
      </c>
      <c r="B36" s="158">
        <v>3739</v>
      </c>
      <c r="C36">
        <v>469.63</v>
      </c>
    </row>
    <row r="37" spans="1:3" x14ac:dyDescent="0.2">
      <c r="A37" s="128">
        <v>44597</v>
      </c>
      <c r="B37" s="158">
        <v>2990</v>
      </c>
      <c r="C37">
        <v>384.26</v>
      </c>
    </row>
    <row r="38" spans="1:3" x14ac:dyDescent="0.2">
      <c r="A38" s="128">
        <v>44598</v>
      </c>
      <c r="B38" s="158">
        <v>2653</v>
      </c>
      <c r="C38">
        <v>325.14999999999998</v>
      </c>
    </row>
    <row r="39" spans="1:3" x14ac:dyDescent="0.2">
      <c r="A39" s="128">
        <v>44599</v>
      </c>
      <c r="B39" s="158">
        <v>3855</v>
      </c>
      <c r="C39">
        <v>629.72</v>
      </c>
    </row>
    <row r="40" spans="1:3" x14ac:dyDescent="0.2">
      <c r="A40" s="128">
        <v>44600</v>
      </c>
      <c r="B40" s="158">
        <v>3847</v>
      </c>
      <c r="C40">
        <v>571.84</v>
      </c>
    </row>
    <row r="41" spans="1:3" x14ac:dyDescent="0.2">
      <c r="A41" s="128">
        <v>44601</v>
      </c>
      <c r="B41" s="158">
        <v>3829</v>
      </c>
      <c r="C41">
        <v>566.54</v>
      </c>
    </row>
    <row r="42" spans="1:3" x14ac:dyDescent="0.2">
      <c r="A42" s="128">
        <v>44602</v>
      </c>
      <c r="B42" s="158">
        <v>3713</v>
      </c>
      <c r="C42">
        <v>588.33000000000004</v>
      </c>
    </row>
    <row r="43" spans="1:3" x14ac:dyDescent="0.2">
      <c r="A43" s="128">
        <v>44603</v>
      </c>
      <c r="B43" s="158">
        <v>3532</v>
      </c>
      <c r="C43">
        <v>437.91</v>
      </c>
    </row>
    <row r="44" spans="1:3" x14ac:dyDescent="0.2">
      <c r="A44" s="128">
        <v>44604</v>
      </c>
      <c r="B44" s="158">
        <v>2792</v>
      </c>
      <c r="C44">
        <v>362.67</v>
      </c>
    </row>
    <row r="45" spans="1:3" x14ac:dyDescent="0.2">
      <c r="A45" s="128">
        <v>44605</v>
      </c>
      <c r="B45" s="158">
        <v>2610</v>
      </c>
      <c r="C45">
        <v>394.01</v>
      </c>
    </row>
    <row r="46" spans="1:3" x14ac:dyDescent="0.2">
      <c r="A46" s="128">
        <v>44606</v>
      </c>
      <c r="B46" s="158">
        <v>3802</v>
      </c>
      <c r="C46">
        <v>206.89</v>
      </c>
    </row>
    <row r="47" spans="1:3" x14ac:dyDescent="0.2">
      <c r="A47" s="128">
        <v>44607</v>
      </c>
      <c r="B47" s="158">
        <v>3685</v>
      </c>
      <c r="C47">
        <v>0</v>
      </c>
    </row>
    <row r="48" spans="1:3" x14ac:dyDescent="0.2">
      <c r="A48" s="128">
        <v>44608</v>
      </c>
      <c r="B48" s="158">
        <v>3950</v>
      </c>
      <c r="C48">
        <v>462.14</v>
      </c>
    </row>
    <row r="49" spans="1:3" x14ac:dyDescent="0.2">
      <c r="A49" s="128">
        <v>44609</v>
      </c>
      <c r="B49" s="158">
        <v>3982</v>
      </c>
      <c r="C49">
        <v>757.83</v>
      </c>
    </row>
    <row r="50" spans="1:3" x14ac:dyDescent="0.2">
      <c r="A50" s="128">
        <v>44610</v>
      </c>
      <c r="B50" s="158">
        <v>3717</v>
      </c>
      <c r="C50">
        <v>606.80999999999995</v>
      </c>
    </row>
    <row r="51" spans="1:3" x14ac:dyDescent="0.2">
      <c r="A51" s="128">
        <v>44611</v>
      </c>
      <c r="B51" s="158">
        <v>2874</v>
      </c>
      <c r="C51">
        <v>444.23</v>
      </c>
    </row>
    <row r="52" spans="1:3" x14ac:dyDescent="0.2">
      <c r="A52" s="128">
        <v>44612</v>
      </c>
      <c r="B52" s="158">
        <v>2702</v>
      </c>
      <c r="C52">
        <v>458.07</v>
      </c>
    </row>
    <row r="53" spans="1:3" x14ac:dyDescent="0.2">
      <c r="A53" s="128">
        <v>44613</v>
      </c>
      <c r="B53" s="158">
        <v>3943</v>
      </c>
      <c r="C53">
        <v>616.54</v>
      </c>
    </row>
    <row r="54" spans="1:3" x14ac:dyDescent="0.2">
      <c r="A54" s="128">
        <v>44614</v>
      </c>
      <c r="B54" s="158">
        <v>4392</v>
      </c>
      <c r="C54">
        <v>563.65</v>
      </c>
    </row>
    <row r="55" spans="1:3" x14ac:dyDescent="0.2">
      <c r="A55" s="128">
        <v>44615</v>
      </c>
      <c r="B55" s="158">
        <v>4046</v>
      </c>
      <c r="C55">
        <v>500.55</v>
      </c>
    </row>
    <row r="56" spans="1:3" x14ac:dyDescent="0.2">
      <c r="A56" s="128">
        <v>44616</v>
      </c>
      <c r="B56" s="158">
        <v>3927</v>
      </c>
      <c r="C56">
        <v>547.71</v>
      </c>
    </row>
    <row r="57" spans="1:3" x14ac:dyDescent="0.2">
      <c r="A57" s="128">
        <v>44617</v>
      </c>
      <c r="B57" s="158">
        <v>3688</v>
      </c>
      <c r="C57">
        <v>407.17</v>
      </c>
    </row>
    <row r="58" spans="1:3" x14ac:dyDescent="0.2">
      <c r="A58" s="128">
        <v>44618</v>
      </c>
      <c r="B58" s="158">
        <v>2721</v>
      </c>
      <c r="C58">
        <v>391.77</v>
      </c>
    </row>
    <row r="59" spans="1:3" x14ac:dyDescent="0.2">
      <c r="A59" s="128">
        <v>44619</v>
      </c>
      <c r="B59" s="158">
        <v>2157</v>
      </c>
      <c r="C59">
        <v>308.87</v>
      </c>
    </row>
    <row r="60" spans="1:3" x14ac:dyDescent="0.2">
      <c r="A60" s="128">
        <v>44620</v>
      </c>
      <c r="B60" s="158">
        <v>3593</v>
      </c>
      <c r="C60">
        <v>411.65</v>
      </c>
    </row>
    <row r="61" spans="1:3" x14ac:dyDescent="0.2">
      <c r="A61" s="128">
        <v>44621</v>
      </c>
      <c r="B61" s="158">
        <v>2798</v>
      </c>
      <c r="C61">
        <v>435.4</v>
      </c>
    </row>
    <row r="62" spans="1:3" x14ac:dyDescent="0.2">
      <c r="A62" s="128">
        <v>44622</v>
      </c>
      <c r="B62" s="158">
        <v>4040</v>
      </c>
      <c r="C62">
        <v>466.11</v>
      </c>
    </row>
    <row r="63" spans="1:3" x14ac:dyDescent="0.2">
      <c r="A63" s="128">
        <v>44623</v>
      </c>
      <c r="B63" s="158">
        <v>3937</v>
      </c>
      <c r="C63">
        <v>506.61</v>
      </c>
    </row>
    <row r="64" spans="1:3" x14ac:dyDescent="0.2">
      <c r="A64" s="128">
        <v>44624</v>
      </c>
      <c r="B64" s="158">
        <v>3680</v>
      </c>
      <c r="C64">
        <v>519.73</v>
      </c>
    </row>
    <row r="65" spans="1:3" x14ac:dyDescent="0.2">
      <c r="A65" s="128">
        <v>44625</v>
      </c>
      <c r="B65" s="158">
        <v>2905</v>
      </c>
      <c r="C65">
        <v>407.41</v>
      </c>
    </row>
    <row r="66" spans="1:3" x14ac:dyDescent="0.2">
      <c r="A66" s="128">
        <v>44626</v>
      </c>
      <c r="B66" s="158">
        <v>2521</v>
      </c>
      <c r="C66">
        <v>406.66</v>
      </c>
    </row>
    <row r="67" spans="1:3" x14ac:dyDescent="0.2">
      <c r="A67" s="128">
        <v>44627</v>
      </c>
      <c r="B67" s="158">
        <v>4558</v>
      </c>
      <c r="C67">
        <v>557.52</v>
      </c>
    </row>
    <row r="68" spans="1:3" x14ac:dyDescent="0.2">
      <c r="A68" s="128">
        <v>44628</v>
      </c>
      <c r="B68" s="158">
        <v>4622</v>
      </c>
      <c r="C68">
        <v>507.35</v>
      </c>
    </row>
    <row r="69" spans="1:3" x14ac:dyDescent="0.2">
      <c r="A69" s="128">
        <v>44629</v>
      </c>
      <c r="B69" s="158">
        <v>4144</v>
      </c>
      <c r="C69">
        <v>483.98</v>
      </c>
    </row>
    <row r="70" spans="1:3" x14ac:dyDescent="0.2">
      <c r="A70" s="128">
        <v>44630</v>
      </c>
      <c r="B70" s="158">
        <v>3802</v>
      </c>
      <c r="C70">
        <v>460.88</v>
      </c>
    </row>
    <row r="71" spans="1:3" x14ac:dyDescent="0.2">
      <c r="A71" s="128">
        <v>44631</v>
      </c>
      <c r="B71" s="158">
        <v>3694</v>
      </c>
      <c r="C71">
        <v>454.94</v>
      </c>
    </row>
    <row r="72" spans="1:3" x14ac:dyDescent="0.2">
      <c r="A72" s="128">
        <v>44632</v>
      </c>
      <c r="B72" s="158">
        <v>2890</v>
      </c>
      <c r="C72">
        <v>277.64999999999998</v>
      </c>
    </row>
    <row r="73" spans="1:3" x14ac:dyDescent="0.2">
      <c r="A73" s="128">
        <v>44633</v>
      </c>
      <c r="B73" s="158">
        <v>2377</v>
      </c>
      <c r="C73">
        <v>0</v>
      </c>
    </row>
    <row r="74" spans="1:3" x14ac:dyDescent="0.2">
      <c r="A74" s="128">
        <v>44634</v>
      </c>
      <c r="B74" s="158">
        <v>4381</v>
      </c>
      <c r="C74">
        <v>0</v>
      </c>
    </row>
    <row r="75" spans="1:3" x14ac:dyDescent="0.2">
      <c r="A75" s="128">
        <v>44635</v>
      </c>
      <c r="B75" s="158">
        <v>4105</v>
      </c>
      <c r="C75">
        <v>0</v>
      </c>
    </row>
    <row r="76" spans="1:3" x14ac:dyDescent="0.2">
      <c r="A76" s="128">
        <v>44636</v>
      </c>
      <c r="B76" s="158">
        <v>3955</v>
      </c>
      <c r="C76">
        <v>0</v>
      </c>
    </row>
    <row r="77" spans="1:3" x14ac:dyDescent="0.2">
      <c r="A77" s="128">
        <v>44637</v>
      </c>
      <c r="B77" s="158">
        <v>3631</v>
      </c>
      <c r="C77">
        <v>0</v>
      </c>
    </row>
    <row r="78" spans="1:3" x14ac:dyDescent="0.2">
      <c r="A78" s="128">
        <v>44638</v>
      </c>
      <c r="B78" s="158">
        <v>3478</v>
      </c>
      <c r="C78">
        <v>0</v>
      </c>
    </row>
    <row r="79" spans="1:3" x14ac:dyDescent="0.2">
      <c r="A79" s="128">
        <v>44639</v>
      </c>
      <c r="B79" s="158">
        <v>2741</v>
      </c>
      <c r="C79">
        <v>0</v>
      </c>
    </row>
    <row r="80" spans="1:3" x14ac:dyDescent="0.2">
      <c r="A80" s="128">
        <v>44640</v>
      </c>
      <c r="B80" s="158">
        <v>2348</v>
      </c>
      <c r="C80">
        <v>0</v>
      </c>
    </row>
    <row r="81" spans="1:3" x14ac:dyDescent="0.2">
      <c r="A81" s="128">
        <v>44641</v>
      </c>
      <c r="B81" s="158">
        <v>3663</v>
      </c>
      <c r="C81">
        <v>0</v>
      </c>
    </row>
    <row r="82" spans="1:3" x14ac:dyDescent="0.2">
      <c r="A82" s="128">
        <v>44642</v>
      </c>
      <c r="B82" s="158">
        <v>3443</v>
      </c>
      <c r="C82">
        <v>0</v>
      </c>
    </row>
    <row r="83" spans="1:3" x14ac:dyDescent="0.2">
      <c r="A83" s="128">
        <v>44643</v>
      </c>
      <c r="B83" s="158">
        <v>3796</v>
      </c>
      <c r="C83">
        <v>0</v>
      </c>
    </row>
    <row r="84" spans="1:3" x14ac:dyDescent="0.2">
      <c r="A84" s="128">
        <v>44644</v>
      </c>
      <c r="B84" s="158">
        <v>3537</v>
      </c>
      <c r="C84">
        <v>0</v>
      </c>
    </row>
    <row r="85" spans="1:3" x14ac:dyDescent="0.2">
      <c r="A85" s="128">
        <v>44645</v>
      </c>
      <c r="B85" s="158">
        <v>3335</v>
      </c>
      <c r="C85">
        <v>0</v>
      </c>
    </row>
    <row r="86" spans="1:3" x14ac:dyDescent="0.2">
      <c r="A86" s="128">
        <v>44646</v>
      </c>
      <c r="B86" s="158">
        <v>2637</v>
      </c>
      <c r="C86">
        <v>0</v>
      </c>
    </row>
    <row r="87" spans="1:3" x14ac:dyDescent="0.2">
      <c r="A87" s="128">
        <v>44647</v>
      </c>
      <c r="B87" s="158">
        <v>2203</v>
      </c>
      <c r="C87">
        <v>0</v>
      </c>
    </row>
    <row r="88" spans="1:3" x14ac:dyDescent="0.2">
      <c r="A88" s="128">
        <v>44648</v>
      </c>
      <c r="B88" s="158">
        <v>3477</v>
      </c>
      <c r="C88">
        <v>0</v>
      </c>
    </row>
    <row r="89" spans="1:3" x14ac:dyDescent="0.2">
      <c r="A89" s="128">
        <v>44649</v>
      </c>
      <c r="B89" s="158">
        <v>5253</v>
      </c>
      <c r="C89">
        <v>0</v>
      </c>
    </row>
    <row r="90" spans="1:3" x14ac:dyDescent="0.2">
      <c r="A90" s="128">
        <v>44650</v>
      </c>
      <c r="B90" s="158">
        <v>4377</v>
      </c>
      <c r="C90">
        <v>334.93</v>
      </c>
    </row>
    <row r="91" spans="1:3" x14ac:dyDescent="0.2">
      <c r="A91" s="128">
        <v>44651</v>
      </c>
      <c r="B91" s="158">
        <v>4754</v>
      </c>
      <c r="C91">
        <v>762.77</v>
      </c>
    </row>
    <row r="92" spans="1:3" x14ac:dyDescent="0.2">
      <c r="A92" s="128">
        <v>44652</v>
      </c>
      <c r="B92" s="158">
        <v>3829</v>
      </c>
      <c r="C92">
        <v>462.83</v>
      </c>
    </row>
    <row r="93" spans="1:3" x14ac:dyDescent="0.2">
      <c r="A93" s="128">
        <v>44653</v>
      </c>
      <c r="B93" s="158">
        <v>2847</v>
      </c>
      <c r="C93">
        <v>460.43</v>
      </c>
    </row>
    <row r="94" spans="1:3" x14ac:dyDescent="0.2">
      <c r="A94" s="128">
        <v>44654</v>
      </c>
      <c r="B94" s="158">
        <v>2385</v>
      </c>
      <c r="C94">
        <v>437.7</v>
      </c>
    </row>
    <row r="95" spans="1:3" x14ac:dyDescent="0.2">
      <c r="A95" s="128">
        <v>44655</v>
      </c>
      <c r="B95" s="158">
        <v>4984</v>
      </c>
      <c r="C95">
        <v>622.75</v>
      </c>
    </row>
    <row r="96" spans="1:3" x14ac:dyDescent="0.2">
      <c r="A96" s="128">
        <v>44656</v>
      </c>
      <c r="B96" s="158">
        <v>4064</v>
      </c>
      <c r="C96">
        <v>568.38</v>
      </c>
    </row>
    <row r="97" spans="1:3" x14ac:dyDescent="0.2">
      <c r="A97" s="128">
        <v>44657</v>
      </c>
      <c r="B97" s="158">
        <v>4203</v>
      </c>
      <c r="C97">
        <v>592.04999999999995</v>
      </c>
    </row>
    <row r="98" spans="1:3" x14ac:dyDescent="0.2">
      <c r="A98" s="128">
        <v>44658</v>
      </c>
      <c r="B98" s="158">
        <v>3938</v>
      </c>
      <c r="C98">
        <v>578.59</v>
      </c>
    </row>
    <row r="99" spans="1:3" x14ac:dyDescent="0.2">
      <c r="A99" s="128">
        <v>44659</v>
      </c>
      <c r="B99" s="158">
        <v>3874</v>
      </c>
      <c r="C99">
        <v>482.64</v>
      </c>
    </row>
    <row r="100" spans="1:3" x14ac:dyDescent="0.2">
      <c r="A100" s="128">
        <v>44660</v>
      </c>
      <c r="B100" s="158">
        <v>3047</v>
      </c>
      <c r="C100">
        <v>408.89</v>
      </c>
    </row>
    <row r="101" spans="1:3" x14ac:dyDescent="0.2">
      <c r="A101" s="128">
        <v>44661</v>
      </c>
      <c r="B101" s="158">
        <v>2670</v>
      </c>
      <c r="C101">
        <v>421.13</v>
      </c>
    </row>
    <row r="102" spans="1:3" x14ac:dyDescent="0.2">
      <c r="A102" s="128">
        <v>44662</v>
      </c>
      <c r="B102" s="158">
        <v>3983</v>
      </c>
      <c r="C102">
        <v>502.41</v>
      </c>
    </row>
    <row r="103" spans="1:3" x14ac:dyDescent="0.2">
      <c r="A103" s="128">
        <v>44663</v>
      </c>
      <c r="B103" s="158">
        <v>3978</v>
      </c>
      <c r="C103">
        <v>474.42</v>
      </c>
    </row>
    <row r="104" spans="1:3" x14ac:dyDescent="0.2">
      <c r="A104" s="128">
        <v>44664</v>
      </c>
      <c r="B104" s="158">
        <v>3557</v>
      </c>
      <c r="C104">
        <v>460.7</v>
      </c>
    </row>
    <row r="105" spans="1:3" x14ac:dyDescent="0.2">
      <c r="A105" s="128">
        <v>44665</v>
      </c>
      <c r="B105" s="158">
        <v>3916</v>
      </c>
      <c r="C105">
        <v>413.14</v>
      </c>
    </row>
    <row r="106" spans="1:3" x14ac:dyDescent="0.2">
      <c r="A106" s="128">
        <v>44666</v>
      </c>
      <c r="B106" s="158">
        <v>2384</v>
      </c>
      <c r="C106">
        <v>395.37</v>
      </c>
    </row>
    <row r="107" spans="1:3" x14ac:dyDescent="0.2">
      <c r="A107" s="128">
        <v>44667</v>
      </c>
      <c r="B107" s="158">
        <v>2545</v>
      </c>
      <c r="C107">
        <v>440.05</v>
      </c>
    </row>
    <row r="108" spans="1:3" x14ac:dyDescent="0.2">
      <c r="A108" s="128">
        <v>44668</v>
      </c>
      <c r="B108" s="158">
        <v>2089</v>
      </c>
      <c r="C108">
        <v>401.75</v>
      </c>
    </row>
    <row r="109" spans="1:3" x14ac:dyDescent="0.2">
      <c r="A109" s="128">
        <v>44669</v>
      </c>
      <c r="B109" s="158">
        <v>4088</v>
      </c>
      <c r="C109">
        <v>491.95</v>
      </c>
    </row>
    <row r="110" spans="1:3" x14ac:dyDescent="0.2">
      <c r="A110" s="128">
        <v>44670</v>
      </c>
      <c r="B110" s="158">
        <v>4263</v>
      </c>
      <c r="C110">
        <v>500.47</v>
      </c>
    </row>
    <row r="111" spans="1:3" x14ac:dyDescent="0.2">
      <c r="A111" s="128">
        <v>44671</v>
      </c>
      <c r="B111" s="158">
        <v>3810</v>
      </c>
      <c r="C111">
        <v>467.95</v>
      </c>
    </row>
    <row r="112" spans="1:3" x14ac:dyDescent="0.2">
      <c r="A112" s="128">
        <v>44672</v>
      </c>
      <c r="B112" s="158">
        <v>2858</v>
      </c>
      <c r="C112">
        <v>411.67</v>
      </c>
    </row>
    <row r="113" spans="1:3" x14ac:dyDescent="0.2">
      <c r="A113" s="128">
        <v>44673</v>
      </c>
      <c r="B113" s="158">
        <v>3489</v>
      </c>
      <c r="C113">
        <v>438.18</v>
      </c>
    </row>
    <row r="114" spans="1:3" x14ac:dyDescent="0.2">
      <c r="A114" s="128">
        <v>44674</v>
      </c>
      <c r="B114" s="158">
        <v>2872</v>
      </c>
      <c r="C114">
        <v>424.52</v>
      </c>
    </row>
    <row r="115" spans="1:3" x14ac:dyDescent="0.2">
      <c r="A115" s="128">
        <v>44675</v>
      </c>
      <c r="B115" s="158">
        <v>2756</v>
      </c>
      <c r="C115">
        <v>330.33</v>
      </c>
    </row>
    <row r="116" spans="1:3" x14ac:dyDescent="0.2">
      <c r="A116" s="128">
        <v>44676</v>
      </c>
      <c r="B116" s="158">
        <v>4527</v>
      </c>
      <c r="C116">
        <v>467.18</v>
      </c>
    </row>
    <row r="117" spans="1:3" x14ac:dyDescent="0.2">
      <c r="A117" s="128">
        <v>44677</v>
      </c>
      <c r="B117" s="158">
        <v>4594</v>
      </c>
      <c r="C117">
        <v>430.53</v>
      </c>
    </row>
    <row r="118" spans="1:3" x14ac:dyDescent="0.2">
      <c r="A118" s="128">
        <v>44678</v>
      </c>
      <c r="B118" s="158">
        <v>5394</v>
      </c>
      <c r="C118">
        <v>451.69</v>
      </c>
    </row>
    <row r="119" spans="1:3" x14ac:dyDescent="0.2">
      <c r="A119" s="128">
        <v>44679</v>
      </c>
      <c r="B119" s="158">
        <v>5106</v>
      </c>
      <c r="C119">
        <v>474.62</v>
      </c>
    </row>
    <row r="120" spans="1:3" x14ac:dyDescent="0.2">
      <c r="A120" s="128">
        <v>44680</v>
      </c>
      <c r="B120" s="158">
        <v>4967</v>
      </c>
      <c r="C120">
        <v>464.01</v>
      </c>
    </row>
    <row r="121" spans="1:3" x14ac:dyDescent="0.2">
      <c r="A121" s="128">
        <v>44681</v>
      </c>
      <c r="B121" s="158">
        <v>4101</v>
      </c>
      <c r="C121">
        <v>350.24</v>
      </c>
    </row>
    <row r="122" spans="1:3" x14ac:dyDescent="0.2">
      <c r="A122" s="128">
        <v>44682</v>
      </c>
      <c r="B122" s="158">
        <v>3994</v>
      </c>
      <c r="C122">
        <v>453.69</v>
      </c>
    </row>
    <row r="123" spans="1:3" x14ac:dyDescent="0.2">
      <c r="A123" s="128">
        <v>44683</v>
      </c>
      <c r="B123" s="158">
        <v>8254</v>
      </c>
      <c r="C123">
        <v>482.9</v>
      </c>
    </row>
    <row r="124" spans="1:3" x14ac:dyDescent="0.2">
      <c r="A124" s="128">
        <v>44684</v>
      </c>
      <c r="B124" s="158">
        <v>8428</v>
      </c>
      <c r="C124">
        <v>517.55999999999995</v>
      </c>
    </row>
    <row r="125" spans="1:3" x14ac:dyDescent="0.2">
      <c r="A125" s="128">
        <v>44685</v>
      </c>
      <c r="B125" s="158">
        <v>7985</v>
      </c>
      <c r="C125">
        <v>537.1</v>
      </c>
    </row>
    <row r="126" spans="1:3" x14ac:dyDescent="0.2">
      <c r="A126" s="128">
        <v>44686</v>
      </c>
      <c r="B126" s="158">
        <v>7952</v>
      </c>
      <c r="C126">
        <v>512.34</v>
      </c>
    </row>
    <row r="127" spans="1:3" x14ac:dyDescent="0.2">
      <c r="A127" s="128">
        <v>44687</v>
      </c>
      <c r="B127" s="158">
        <v>8598</v>
      </c>
      <c r="C127">
        <v>479.24</v>
      </c>
    </row>
    <row r="128" spans="1:3" x14ac:dyDescent="0.2">
      <c r="A128" s="128">
        <v>44688</v>
      </c>
      <c r="B128" s="158">
        <v>7301</v>
      </c>
      <c r="C128">
        <v>506.33</v>
      </c>
    </row>
    <row r="129" spans="1:3" x14ac:dyDescent="0.2">
      <c r="A129" s="128">
        <v>44689</v>
      </c>
      <c r="B129" s="158">
        <v>6222</v>
      </c>
      <c r="C129">
        <v>423.19</v>
      </c>
    </row>
    <row r="130" spans="1:3" x14ac:dyDescent="0.2">
      <c r="A130" s="128">
        <v>44690</v>
      </c>
      <c r="B130" s="158">
        <v>6002</v>
      </c>
      <c r="C130">
        <v>592.94000000000005</v>
      </c>
    </row>
    <row r="131" spans="1:3" x14ac:dyDescent="0.2">
      <c r="A131" s="128">
        <v>44691</v>
      </c>
      <c r="B131" s="158">
        <v>5562</v>
      </c>
      <c r="C131">
        <v>593.99</v>
      </c>
    </row>
    <row r="132" spans="1:3" x14ac:dyDescent="0.2">
      <c r="A132" s="128">
        <v>44692</v>
      </c>
      <c r="B132" s="158">
        <v>4786</v>
      </c>
      <c r="C132">
        <v>580.54</v>
      </c>
    </row>
    <row r="133" spans="1:3" x14ac:dyDescent="0.2">
      <c r="A133" s="128">
        <v>44693</v>
      </c>
      <c r="B133" s="158">
        <v>4449</v>
      </c>
      <c r="C133">
        <v>517.47</v>
      </c>
    </row>
    <row r="134" spans="1:3" x14ac:dyDescent="0.2">
      <c r="A134" s="128">
        <v>44694</v>
      </c>
      <c r="B134" s="158">
        <v>4162</v>
      </c>
      <c r="C134">
        <v>440.31</v>
      </c>
    </row>
    <row r="135" spans="1:3" x14ac:dyDescent="0.2">
      <c r="A135" s="128">
        <v>44695</v>
      </c>
      <c r="B135" s="158">
        <v>3136</v>
      </c>
      <c r="C135">
        <v>488.81</v>
      </c>
    </row>
    <row r="136" spans="1:3" x14ac:dyDescent="0.2">
      <c r="A136" s="128">
        <v>44696</v>
      </c>
      <c r="B136" s="158">
        <v>3385</v>
      </c>
      <c r="C136">
        <v>439.76</v>
      </c>
    </row>
    <row r="137" spans="1:3" x14ac:dyDescent="0.2">
      <c r="A137" s="128">
        <v>44697</v>
      </c>
      <c r="B137" s="158">
        <v>4326</v>
      </c>
      <c r="C137">
        <v>482.47</v>
      </c>
    </row>
    <row r="138" spans="1:3" x14ac:dyDescent="0.2">
      <c r="A138" s="128">
        <v>44698</v>
      </c>
      <c r="B138" s="158">
        <v>3961</v>
      </c>
      <c r="C138">
        <v>477.36</v>
      </c>
    </row>
    <row r="139" spans="1:3" x14ac:dyDescent="0.2">
      <c r="A139" s="128">
        <v>44699</v>
      </c>
      <c r="B139" s="158">
        <v>3461</v>
      </c>
      <c r="C139">
        <v>518.32000000000005</v>
      </c>
    </row>
    <row r="140" spans="1:3" x14ac:dyDescent="0.2">
      <c r="A140" s="128">
        <v>44700</v>
      </c>
      <c r="B140" s="158">
        <v>3307</v>
      </c>
      <c r="C140">
        <v>593.27</v>
      </c>
    </row>
    <row r="141" spans="1:3" x14ac:dyDescent="0.2">
      <c r="A141" s="128">
        <v>44701</v>
      </c>
      <c r="B141" s="158">
        <v>3004</v>
      </c>
      <c r="C141">
        <v>346.19</v>
      </c>
    </row>
    <row r="142" spans="1:3" x14ac:dyDescent="0.2">
      <c r="A142" s="128">
        <v>44702</v>
      </c>
      <c r="B142" s="158">
        <v>2600</v>
      </c>
      <c r="C142">
        <v>383.35</v>
      </c>
    </row>
    <row r="143" spans="1:3" x14ac:dyDescent="0.2">
      <c r="A143" s="128">
        <v>44703</v>
      </c>
      <c r="B143" s="158">
        <v>2424</v>
      </c>
      <c r="C143">
        <v>423.01</v>
      </c>
    </row>
    <row r="144" spans="1:3" x14ac:dyDescent="0.2">
      <c r="A144" s="128">
        <v>44704</v>
      </c>
      <c r="B144" s="158">
        <v>3827</v>
      </c>
      <c r="C144">
        <v>474.63</v>
      </c>
    </row>
    <row r="145" spans="1:3" x14ac:dyDescent="0.2">
      <c r="A145" s="128">
        <v>44705</v>
      </c>
      <c r="B145" s="158">
        <v>3743</v>
      </c>
      <c r="C145">
        <v>434.55</v>
      </c>
    </row>
    <row r="146" spans="1:3" x14ac:dyDescent="0.2">
      <c r="A146" s="128">
        <v>44706</v>
      </c>
      <c r="B146" s="158">
        <v>3877</v>
      </c>
      <c r="C146">
        <v>434.04</v>
      </c>
    </row>
    <row r="147" spans="1:3" x14ac:dyDescent="0.2">
      <c r="A147" s="128">
        <v>44707</v>
      </c>
      <c r="B147" s="158">
        <v>3656</v>
      </c>
      <c r="C147">
        <v>556.23</v>
      </c>
    </row>
    <row r="148" spans="1:3" x14ac:dyDescent="0.2">
      <c r="A148" s="128">
        <v>44708</v>
      </c>
      <c r="B148" s="158">
        <v>3432</v>
      </c>
      <c r="C148">
        <v>393.99</v>
      </c>
    </row>
    <row r="149" spans="1:3" x14ac:dyDescent="0.2">
      <c r="A149" s="128">
        <v>44709</v>
      </c>
      <c r="B149" s="158">
        <v>2620</v>
      </c>
      <c r="C149">
        <v>431.65</v>
      </c>
    </row>
    <row r="150" spans="1:3" x14ac:dyDescent="0.2">
      <c r="A150" s="128">
        <v>44710</v>
      </c>
      <c r="B150" s="158">
        <v>2389</v>
      </c>
      <c r="C150">
        <v>418.64</v>
      </c>
    </row>
    <row r="151" spans="1:3" x14ac:dyDescent="0.2">
      <c r="A151" s="128">
        <v>44711</v>
      </c>
      <c r="B151" s="158">
        <v>4355</v>
      </c>
      <c r="C151">
        <v>491.48</v>
      </c>
    </row>
    <row r="152" spans="1:3" x14ac:dyDescent="0.2">
      <c r="A152" s="128">
        <v>44712</v>
      </c>
      <c r="B152" s="158">
        <v>3980</v>
      </c>
      <c r="C152">
        <v>459.78</v>
      </c>
    </row>
    <row r="153" spans="1:3" x14ac:dyDescent="0.2">
      <c r="A153" s="128">
        <v>44713</v>
      </c>
      <c r="B153" s="158">
        <v>4342</v>
      </c>
      <c r="C153">
        <v>534.61</v>
      </c>
    </row>
    <row r="154" spans="1:3" x14ac:dyDescent="0.2">
      <c r="A154" s="128">
        <v>44714</v>
      </c>
      <c r="B154" s="158">
        <v>4311</v>
      </c>
      <c r="C154">
        <v>541.01</v>
      </c>
    </row>
    <row r="155" spans="1:3" x14ac:dyDescent="0.2">
      <c r="A155" s="128">
        <v>44715</v>
      </c>
      <c r="B155" s="158">
        <v>3998</v>
      </c>
      <c r="C155">
        <v>609.19000000000005</v>
      </c>
    </row>
    <row r="156" spans="1:3" x14ac:dyDescent="0.2">
      <c r="A156" s="128">
        <v>44716</v>
      </c>
      <c r="B156" s="158">
        <v>3039</v>
      </c>
      <c r="C156">
        <v>557.59</v>
      </c>
    </row>
    <row r="157" spans="1:3" x14ac:dyDescent="0.2">
      <c r="A157" s="128">
        <v>44717</v>
      </c>
      <c r="B157" s="158">
        <v>2780</v>
      </c>
      <c r="C157">
        <v>533.51</v>
      </c>
    </row>
    <row r="158" spans="1:3" x14ac:dyDescent="0.2">
      <c r="A158" s="128">
        <v>44718</v>
      </c>
      <c r="B158" s="158">
        <v>5228</v>
      </c>
      <c r="C158">
        <v>786.05</v>
      </c>
    </row>
    <row r="159" spans="1:3" x14ac:dyDescent="0.2">
      <c r="A159" s="128">
        <v>44719</v>
      </c>
      <c r="B159" s="158">
        <v>5142</v>
      </c>
      <c r="C159">
        <v>785.94</v>
      </c>
    </row>
    <row r="160" spans="1:3" x14ac:dyDescent="0.2">
      <c r="A160" s="128">
        <v>44720</v>
      </c>
      <c r="B160" s="158">
        <v>5370</v>
      </c>
      <c r="C160">
        <v>861.14</v>
      </c>
    </row>
    <row r="161" spans="1:3" x14ac:dyDescent="0.2">
      <c r="A161" s="128">
        <v>44721</v>
      </c>
      <c r="B161" s="158">
        <v>5422</v>
      </c>
      <c r="C161">
        <v>850.24</v>
      </c>
    </row>
    <row r="162" spans="1:3" x14ac:dyDescent="0.2">
      <c r="A162" s="128">
        <v>44722</v>
      </c>
      <c r="B162" s="158">
        <v>5312</v>
      </c>
      <c r="C162">
        <v>721.19</v>
      </c>
    </row>
    <row r="163" spans="1:3" x14ac:dyDescent="0.2">
      <c r="A163" s="128">
        <v>44723</v>
      </c>
      <c r="B163" s="158">
        <v>4014</v>
      </c>
      <c r="C163">
        <v>681.83</v>
      </c>
    </row>
    <row r="164" spans="1:3" x14ac:dyDescent="0.2">
      <c r="A164" s="128">
        <v>44724</v>
      </c>
      <c r="B164" s="158">
        <v>3132</v>
      </c>
      <c r="C164">
        <v>538</v>
      </c>
    </row>
    <row r="165" spans="1:3" x14ac:dyDescent="0.2">
      <c r="A165" s="128">
        <v>44725</v>
      </c>
      <c r="B165" s="158">
        <v>3845</v>
      </c>
      <c r="C165">
        <v>737.25</v>
      </c>
    </row>
    <row r="166" spans="1:3" x14ac:dyDescent="0.2">
      <c r="A166" s="128">
        <v>44726</v>
      </c>
      <c r="B166" s="158">
        <v>3477</v>
      </c>
      <c r="C166">
        <v>650.33000000000004</v>
      </c>
    </row>
    <row r="167" spans="1:3" x14ac:dyDescent="0.2">
      <c r="A167" s="128">
        <v>44727</v>
      </c>
      <c r="B167" s="158">
        <v>3289</v>
      </c>
      <c r="C167">
        <v>607.49</v>
      </c>
    </row>
    <row r="168" spans="1:3" x14ac:dyDescent="0.2">
      <c r="A168" s="128">
        <v>44728</v>
      </c>
      <c r="B168" s="158">
        <v>2616</v>
      </c>
      <c r="C168">
        <v>371.92</v>
      </c>
    </row>
    <row r="169" spans="1:3" x14ac:dyDescent="0.2">
      <c r="A169" s="128">
        <v>44729</v>
      </c>
      <c r="B169" s="158">
        <v>2930</v>
      </c>
      <c r="C169">
        <v>0</v>
      </c>
    </row>
    <row r="170" spans="1:3" x14ac:dyDescent="0.2">
      <c r="A170" s="128">
        <v>44730</v>
      </c>
      <c r="B170" s="158">
        <v>2173</v>
      </c>
      <c r="C170">
        <v>0</v>
      </c>
    </row>
    <row r="171" spans="1:3" x14ac:dyDescent="0.2">
      <c r="A171" s="128">
        <v>44731</v>
      </c>
      <c r="B171" s="158">
        <v>1993</v>
      </c>
      <c r="C171">
        <v>0</v>
      </c>
    </row>
    <row r="172" spans="1:3" x14ac:dyDescent="0.2">
      <c r="A172" s="128">
        <v>44732</v>
      </c>
      <c r="B172" s="158">
        <v>213</v>
      </c>
      <c r="C172">
        <v>0</v>
      </c>
    </row>
    <row r="173" spans="1:3" x14ac:dyDescent="0.2">
      <c r="A173" s="128">
        <v>44733</v>
      </c>
      <c r="B173" s="158">
        <v>181</v>
      </c>
      <c r="C173">
        <v>0</v>
      </c>
    </row>
    <row r="174" spans="1:3" x14ac:dyDescent="0.2">
      <c r="A174" s="128">
        <v>44734</v>
      </c>
      <c r="B174" s="158">
        <v>3613</v>
      </c>
      <c r="C174">
        <v>862.09</v>
      </c>
    </row>
    <row r="175" spans="1:3" x14ac:dyDescent="0.2">
      <c r="A175" s="128">
        <v>44735</v>
      </c>
      <c r="B175" s="158">
        <v>3691</v>
      </c>
      <c r="C175">
        <v>991.36</v>
      </c>
    </row>
    <row r="176" spans="1:3" x14ac:dyDescent="0.2">
      <c r="A176" s="128">
        <v>44736</v>
      </c>
      <c r="B176" s="158">
        <v>3476</v>
      </c>
      <c r="C176">
        <v>1041</v>
      </c>
    </row>
    <row r="177" spans="1:3" x14ac:dyDescent="0.2">
      <c r="A177" s="128">
        <v>44737</v>
      </c>
      <c r="B177" s="158">
        <v>2733</v>
      </c>
      <c r="C177">
        <v>859.09</v>
      </c>
    </row>
    <row r="178" spans="1:3" x14ac:dyDescent="0.2">
      <c r="A178" s="128">
        <v>44738</v>
      </c>
      <c r="B178" s="158">
        <v>2391</v>
      </c>
      <c r="C178">
        <v>720</v>
      </c>
    </row>
    <row r="179" spans="1:3" x14ac:dyDescent="0.2">
      <c r="A179" s="128">
        <v>44739</v>
      </c>
      <c r="B179" s="158">
        <v>3714</v>
      </c>
      <c r="C179">
        <v>886.39</v>
      </c>
    </row>
    <row r="180" spans="1:3" x14ac:dyDescent="0.2">
      <c r="A180" s="128">
        <v>44740</v>
      </c>
      <c r="B180" s="158">
        <v>3531</v>
      </c>
      <c r="C180">
        <v>816.87</v>
      </c>
    </row>
    <row r="181" spans="1:3" x14ac:dyDescent="0.2">
      <c r="A181" s="128">
        <v>44741</v>
      </c>
      <c r="B181" s="158">
        <v>4086</v>
      </c>
      <c r="C181">
        <v>771.46</v>
      </c>
    </row>
    <row r="182" spans="1:3" x14ac:dyDescent="0.2">
      <c r="A182" s="128">
        <v>44742</v>
      </c>
      <c r="B182" s="158">
        <v>3740</v>
      </c>
      <c r="C182">
        <v>591.4</v>
      </c>
    </row>
    <row r="183" spans="1:3" x14ac:dyDescent="0.2">
      <c r="A183" s="128">
        <v>44743</v>
      </c>
      <c r="B183" s="158">
        <v>3383</v>
      </c>
      <c r="C183">
        <v>608.69000000000005</v>
      </c>
    </row>
    <row r="184" spans="1:3" x14ac:dyDescent="0.2">
      <c r="A184" s="128">
        <v>44744</v>
      </c>
      <c r="B184" s="158">
        <v>2584</v>
      </c>
      <c r="C184">
        <v>505.8</v>
      </c>
    </row>
    <row r="185" spans="1:3" x14ac:dyDescent="0.2">
      <c r="A185" s="128">
        <v>44745</v>
      </c>
      <c r="B185" s="158">
        <v>2372</v>
      </c>
      <c r="C185">
        <v>543.34</v>
      </c>
    </row>
    <row r="186" spans="1:3" x14ac:dyDescent="0.2">
      <c r="A186" s="128">
        <v>44746</v>
      </c>
      <c r="B186" s="158">
        <v>3866</v>
      </c>
      <c r="C186">
        <v>662.2</v>
      </c>
    </row>
    <row r="187" spans="1:3" x14ac:dyDescent="0.2">
      <c r="A187" s="128">
        <v>44747</v>
      </c>
      <c r="B187" s="158">
        <v>3732</v>
      </c>
      <c r="C187">
        <v>612.45000000000005</v>
      </c>
    </row>
    <row r="188" spans="1:3" x14ac:dyDescent="0.2">
      <c r="A188" s="128">
        <v>44748</v>
      </c>
      <c r="B188" s="158">
        <v>3529</v>
      </c>
      <c r="C188">
        <v>70.27</v>
      </c>
    </row>
    <row r="189" spans="1:3" x14ac:dyDescent="0.2">
      <c r="A189" s="128">
        <v>44749</v>
      </c>
      <c r="B189" s="158">
        <v>3390</v>
      </c>
      <c r="C189">
        <v>0</v>
      </c>
    </row>
    <row r="190" spans="1:3" x14ac:dyDescent="0.2">
      <c r="A190" s="128">
        <v>44750</v>
      </c>
      <c r="B190" s="158">
        <v>3477</v>
      </c>
      <c r="C190">
        <v>0</v>
      </c>
    </row>
    <row r="191" spans="1:3" x14ac:dyDescent="0.2">
      <c r="A191" s="128">
        <v>44751</v>
      </c>
      <c r="B191" s="158">
        <v>2534</v>
      </c>
      <c r="C191">
        <v>0</v>
      </c>
    </row>
    <row r="192" spans="1:3" x14ac:dyDescent="0.2">
      <c r="A192" s="128">
        <v>44752</v>
      </c>
      <c r="B192" s="158">
        <v>2218</v>
      </c>
      <c r="C192">
        <v>0</v>
      </c>
    </row>
    <row r="193" spans="1:3" x14ac:dyDescent="0.2">
      <c r="A193" s="128">
        <v>44753</v>
      </c>
      <c r="B193" s="158">
        <v>3435</v>
      </c>
      <c r="C193">
        <v>0</v>
      </c>
    </row>
    <row r="194" spans="1:3" x14ac:dyDescent="0.2">
      <c r="A194" s="128">
        <v>44754</v>
      </c>
      <c r="B194" s="158">
        <v>4038</v>
      </c>
      <c r="C194">
        <v>853.98</v>
      </c>
    </row>
    <row r="195" spans="1:3" x14ac:dyDescent="0.2">
      <c r="A195" s="128">
        <v>44755</v>
      </c>
      <c r="B195" s="158">
        <v>3921</v>
      </c>
      <c r="C195">
        <v>788.24</v>
      </c>
    </row>
    <row r="196" spans="1:3" x14ac:dyDescent="0.2">
      <c r="A196" s="128">
        <v>44756</v>
      </c>
      <c r="B196" s="158">
        <v>3954</v>
      </c>
      <c r="C196">
        <v>644.99</v>
      </c>
    </row>
    <row r="197" spans="1:3" x14ac:dyDescent="0.2">
      <c r="A197" s="128">
        <v>44757</v>
      </c>
      <c r="B197" s="158">
        <v>3743</v>
      </c>
      <c r="C197">
        <v>566.66</v>
      </c>
    </row>
    <row r="198" spans="1:3" x14ac:dyDescent="0.2">
      <c r="A198" s="128">
        <v>44758</v>
      </c>
      <c r="B198" s="158">
        <v>2786</v>
      </c>
      <c r="C198">
        <v>463.59</v>
      </c>
    </row>
    <row r="199" spans="1:3" x14ac:dyDescent="0.2">
      <c r="A199" s="128">
        <v>44759</v>
      </c>
      <c r="B199" s="158">
        <v>2429</v>
      </c>
      <c r="C199">
        <v>428.38</v>
      </c>
    </row>
    <row r="200" spans="1:3" x14ac:dyDescent="0.2">
      <c r="A200" s="128">
        <v>44760</v>
      </c>
      <c r="B200" s="158">
        <v>4268</v>
      </c>
      <c r="C200">
        <v>729.38</v>
      </c>
    </row>
    <row r="201" spans="1:3" x14ac:dyDescent="0.2">
      <c r="A201" s="128">
        <v>44761</v>
      </c>
      <c r="B201" s="158">
        <v>4017</v>
      </c>
      <c r="C201">
        <v>606.92999999999995</v>
      </c>
    </row>
    <row r="202" spans="1:3" x14ac:dyDescent="0.2">
      <c r="A202" s="128">
        <v>44762</v>
      </c>
      <c r="B202" s="158">
        <v>3957</v>
      </c>
      <c r="C202">
        <v>599.52</v>
      </c>
    </row>
    <row r="203" spans="1:3" x14ac:dyDescent="0.2">
      <c r="A203" s="128">
        <v>44763</v>
      </c>
      <c r="B203" s="158">
        <v>3647</v>
      </c>
      <c r="C203">
        <v>621.15</v>
      </c>
    </row>
    <row r="204" spans="1:3" x14ac:dyDescent="0.2">
      <c r="A204" s="128">
        <v>44764</v>
      </c>
      <c r="B204" s="158">
        <v>3499</v>
      </c>
      <c r="C204">
        <v>544</v>
      </c>
    </row>
    <row r="205" spans="1:3" x14ac:dyDescent="0.2">
      <c r="A205" s="128">
        <v>44765</v>
      </c>
      <c r="B205" s="158">
        <v>2695</v>
      </c>
      <c r="C205">
        <v>425.99</v>
      </c>
    </row>
    <row r="206" spans="1:3" x14ac:dyDescent="0.2">
      <c r="A206" s="128">
        <v>44766</v>
      </c>
      <c r="B206" s="158">
        <v>2359</v>
      </c>
      <c r="C206">
        <v>362.66</v>
      </c>
    </row>
    <row r="207" spans="1:3" x14ac:dyDescent="0.2">
      <c r="A207" s="128">
        <v>44767</v>
      </c>
      <c r="B207" s="158">
        <v>4677</v>
      </c>
      <c r="C207">
        <v>725.77</v>
      </c>
    </row>
    <row r="208" spans="1:3" x14ac:dyDescent="0.2">
      <c r="A208" s="128">
        <v>44768</v>
      </c>
      <c r="B208" s="158">
        <v>4181</v>
      </c>
      <c r="C208">
        <v>610.45000000000005</v>
      </c>
    </row>
    <row r="209" spans="1:3" x14ac:dyDescent="0.2">
      <c r="A209" s="128">
        <v>44769</v>
      </c>
      <c r="B209" s="158">
        <v>4202</v>
      </c>
      <c r="C209">
        <v>611.41999999999996</v>
      </c>
    </row>
    <row r="210" spans="1:3" x14ac:dyDescent="0.2">
      <c r="A210" s="128">
        <v>44770</v>
      </c>
      <c r="B210" s="158">
        <v>4145</v>
      </c>
      <c r="C210">
        <v>620.84</v>
      </c>
    </row>
    <row r="211" spans="1:3" x14ac:dyDescent="0.2">
      <c r="A211" s="128">
        <v>44771</v>
      </c>
      <c r="B211" s="158">
        <v>3954</v>
      </c>
      <c r="C211">
        <v>508.54</v>
      </c>
    </row>
    <row r="212" spans="1:3" x14ac:dyDescent="0.2">
      <c r="A212" s="128">
        <v>44772</v>
      </c>
      <c r="B212" s="158">
        <v>2932</v>
      </c>
      <c r="C212">
        <v>398.9</v>
      </c>
    </row>
    <row r="213" spans="1:3" x14ac:dyDescent="0.2">
      <c r="A213" s="128">
        <v>44773</v>
      </c>
      <c r="B213" s="158">
        <v>2518</v>
      </c>
      <c r="C213">
        <v>392.58</v>
      </c>
    </row>
    <row r="214" spans="1:3" x14ac:dyDescent="0.2">
      <c r="A214" s="128">
        <v>44774</v>
      </c>
      <c r="B214" s="158">
        <v>4452</v>
      </c>
      <c r="C214">
        <v>580.66</v>
      </c>
    </row>
    <row r="215" spans="1:3" x14ac:dyDescent="0.2">
      <c r="A215" s="128">
        <v>44775</v>
      </c>
      <c r="B215" s="158">
        <v>4378</v>
      </c>
      <c r="C215">
        <v>600.57000000000005</v>
      </c>
    </row>
    <row r="216" spans="1:3" x14ac:dyDescent="0.2">
      <c r="A216" s="128">
        <v>44776</v>
      </c>
      <c r="B216" s="158">
        <v>4182</v>
      </c>
      <c r="C216">
        <v>584.9</v>
      </c>
    </row>
    <row r="217" spans="1:3" x14ac:dyDescent="0.2">
      <c r="A217" s="128">
        <v>44777</v>
      </c>
      <c r="B217" s="158">
        <v>4335</v>
      </c>
      <c r="C217">
        <v>572.59</v>
      </c>
    </row>
    <row r="218" spans="1:3" x14ac:dyDescent="0.2">
      <c r="A218" s="128">
        <v>44778</v>
      </c>
      <c r="B218" s="158">
        <v>4281</v>
      </c>
      <c r="C218">
        <v>600.07000000000005</v>
      </c>
    </row>
    <row r="219" spans="1:3" x14ac:dyDescent="0.2">
      <c r="A219" s="128">
        <v>44779</v>
      </c>
      <c r="B219" s="158">
        <v>3263</v>
      </c>
      <c r="C219">
        <v>558.65</v>
      </c>
    </row>
    <row r="220" spans="1:3" x14ac:dyDescent="0.2">
      <c r="A220" s="128">
        <v>44780</v>
      </c>
      <c r="B220" s="158">
        <v>2756</v>
      </c>
      <c r="C220">
        <v>529.92999999999995</v>
      </c>
    </row>
    <row r="221" spans="1:3" x14ac:dyDescent="0.2">
      <c r="A221" s="128">
        <v>44781</v>
      </c>
      <c r="B221" s="158">
        <v>4353</v>
      </c>
      <c r="C221">
        <v>627.21</v>
      </c>
    </row>
    <row r="222" spans="1:3" x14ac:dyDescent="0.2">
      <c r="A222" s="128">
        <v>44782</v>
      </c>
      <c r="B222" s="158">
        <v>4293</v>
      </c>
      <c r="C222">
        <v>574.20000000000005</v>
      </c>
    </row>
    <row r="223" spans="1:3" x14ac:dyDescent="0.2">
      <c r="A223" s="128">
        <v>44783</v>
      </c>
      <c r="B223" s="158">
        <v>4130</v>
      </c>
      <c r="C223">
        <v>587.58000000000004</v>
      </c>
    </row>
    <row r="224" spans="1:3" x14ac:dyDescent="0.2">
      <c r="A224" s="128">
        <v>44784</v>
      </c>
      <c r="B224" s="158">
        <v>4014</v>
      </c>
      <c r="C224">
        <v>583.79</v>
      </c>
    </row>
    <row r="225" spans="1:3" x14ac:dyDescent="0.2">
      <c r="A225" s="128">
        <v>44785</v>
      </c>
      <c r="B225" s="158">
        <v>4219</v>
      </c>
      <c r="C225">
        <v>578.58000000000004</v>
      </c>
    </row>
    <row r="226" spans="1:3" x14ac:dyDescent="0.2">
      <c r="A226" s="128">
        <v>44786</v>
      </c>
      <c r="B226" s="158">
        <v>3373</v>
      </c>
      <c r="C226">
        <v>529.79</v>
      </c>
    </row>
    <row r="227" spans="1:3" x14ac:dyDescent="0.2">
      <c r="A227" s="128">
        <v>44787</v>
      </c>
      <c r="B227" s="158">
        <v>2660</v>
      </c>
      <c r="C227">
        <v>542.69000000000005</v>
      </c>
    </row>
    <row r="228" spans="1:3" x14ac:dyDescent="0.2">
      <c r="A228" s="128">
        <v>44788</v>
      </c>
      <c r="B228" s="158">
        <v>5224</v>
      </c>
      <c r="C228">
        <v>601.98</v>
      </c>
    </row>
    <row r="229" spans="1:3" x14ac:dyDescent="0.2">
      <c r="A229" s="128">
        <v>44789</v>
      </c>
      <c r="B229" s="158">
        <v>4660</v>
      </c>
      <c r="C229">
        <v>580.84</v>
      </c>
    </row>
    <row r="230" spans="1:3" x14ac:dyDescent="0.2">
      <c r="A230" s="128">
        <v>44790</v>
      </c>
      <c r="B230" s="158">
        <v>4671</v>
      </c>
      <c r="C230">
        <v>584.13</v>
      </c>
    </row>
    <row r="231" spans="1:3" x14ac:dyDescent="0.2">
      <c r="A231" s="128">
        <v>44791</v>
      </c>
      <c r="B231" s="158">
        <v>4160</v>
      </c>
      <c r="C231">
        <v>590.08000000000004</v>
      </c>
    </row>
    <row r="232" spans="1:3" x14ac:dyDescent="0.2">
      <c r="A232" s="128">
        <v>44792</v>
      </c>
      <c r="B232" s="158">
        <v>3560</v>
      </c>
      <c r="C232">
        <v>548.46</v>
      </c>
    </row>
    <row r="233" spans="1:3" x14ac:dyDescent="0.2">
      <c r="A233" s="128">
        <v>44793</v>
      </c>
      <c r="B233" s="158">
        <v>2763</v>
      </c>
      <c r="C233">
        <v>539.4</v>
      </c>
    </row>
    <row r="234" spans="1:3" x14ac:dyDescent="0.2">
      <c r="A234" s="128">
        <v>44794</v>
      </c>
      <c r="B234" s="158">
        <v>2448</v>
      </c>
      <c r="C234">
        <v>520.5</v>
      </c>
    </row>
    <row r="235" spans="1:3" x14ac:dyDescent="0.2">
      <c r="A235" s="128">
        <v>44795</v>
      </c>
      <c r="B235" s="158">
        <v>3827</v>
      </c>
      <c r="C235">
        <v>603.37</v>
      </c>
    </row>
    <row r="236" spans="1:3" x14ac:dyDescent="0.2">
      <c r="A236" s="128">
        <v>44796</v>
      </c>
      <c r="B236" s="158">
        <v>3755</v>
      </c>
      <c r="C236">
        <v>563.98</v>
      </c>
    </row>
    <row r="237" spans="1:3" x14ac:dyDescent="0.2">
      <c r="A237" s="128">
        <v>44797</v>
      </c>
      <c r="B237" s="158">
        <v>3950</v>
      </c>
      <c r="C237">
        <v>549.44000000000005</v>
      </c>
    </row>
    <row r="238" spans="1:3" x14ac:dyDescent="0.2">
      <c r="A238" s="128">
        <v>44798</v>
      </c>
      <c r="B238" s="158">
        <v>3866</v>
      </c>
      <c r="C238">
        <v>551.85</v>
      </c>
    </row>
    <row r="239" spans="1:3" x14ac:dyDescent="0.2">
      <c r="A239" s="128">
        <v>44799</v>
      </c>
      <c r="B239" s="158">
        <v>3938</v>
      </c>
      <c r="C239">
        <v>544.24</v>
      </c>
    </row>
    <row r="240" spans="1:3" x14ac:dyDescent="0.2">
      <c r="A240" s="128">
        <v>44800</v>
      </c>
      <c r="B240" s="158">
        <v>3181</v>
      </c>
      <c r="C240">
        <v>511.82</v>
      </c>
    </row>
    <row r="241" spans="1:3" x14ac:dyDescent="0.2">
      <c r="A241" s="128">
        <v>44801</v>
      </c>
      <c r="B241" s="158">
        <v>2767</v>
      </c>
      <c r="C241">
        <v>488.88</v>
      </c>
    </row>
    <row r="242" spans="1:3" x14ac:dyDescent="0.2">
      <c r="A242" s="128">
        <v>44802</v>
      </c>
      <c r="B242" s="158">
        <v>3741</v>
      </c>
      <c r="C242">
        <v>533.21</v>
      </c>
    </row>
    <row r="243" spans="1:3" x14ac:dyDescent="0.2">
      <c r="A243" s="128">
        <v>44803</v>
      </c>
      <c r="B243" s="158">
        <v>3717</v>
      </c>
      <c r="C243">
        <v>495.44</v>
      </c>
    </row>
    <row r="244" spans="1:3" x14ac:dyDescent="0.2">
      <c r="A244" s="128">
        <v>44804</v>
      </c>
      <c r="B244" s="158">
        <v>4281</v>
      </c>
      <c r="C244">
        <v>473.06</v>
      </c>
    </row>
    <row r="245" spans="1:3" x14ac:dyDescent="0.2">
      <c r="A245" s="128">
        <v>44805</v>
      </c>
      <c r="B245" s="158">
        <v>4990</v>
      </c>
      <c r="C245">
        <v>583.75</v>
      </c>
    </row>
    <row r="246" spans="1:3" x14ac:dyDescent="0.2">
      <c r="A246" s="128">
        <v>44806</v>
      </c>
      <c r="B246" s="158">
        <v>4768</v>
      </c>
      <c r="C246">
        <v>643.44000000000005</v>
      </c>
    </row>
    <row r="247" spans="1:3" x14ac:dyDescent="0.2">
      <c r="A247" s="128">
        <v>44807</v>
      </c>
      <c r="B247" s="158">
        <v>3716</v>
      </c>
      <c r="C247">
        <v>556.98</v>
      </c>
    </row>
    <row r="248" spans="1:3" x14ac:dyDescent="0.2">
      <c r="A248" s="128">
        <v>44808</v>
      </c>
      <c r="B248" s="158">
        <v>3251</v>
      </c>
      <c r="C248">
        <v>498.47</v>
      </c>
    </row>
    <row r="249" spans="1:3" x14ac:dyDescent="0.2">
      <c r="A249" s="128">
        <v>44809</v>
      </c>
      <c r="B249" s="158">
        <v>4471</v>
      </c>
      <c r="C249">
        <v>703.43</v>
      </c>
    </row>
    <row r="250" spans="1:3" x14ac:dyDescent="0.2">
      <c r="A250" s="128">
        <v>44810</v>
      </c>
      <c r="B250" s="158">
        <v>4205</v>
      </c>
      <c r="C250">
        <v>592.53</v>
      </c>
    </row>
    <row r="251" spans="1:3" x14ac:dyDescent="0.2">
      <c r="A251" s="128">
        <v>44811</v>
      </c>
      <c r="B251" s="158">
        <v>3079</v>
      </c>
      <c r="C251">
        <v>559.94000000000005</v>
      </c>
    </row>
    <row r="252" spans="1:3" x14ac:dyDescent="0.2">
      <c r="A252" s="128">
        <v>44812</v>
      </c>
      <c r="B252" s="158">
        <v>4536</v>
      </c>
      <c r="C252">
        <v>585.38</v>
      </c>
    </row>
    <row r="253" spans="1:3" x14ac:dyDescent="0.2">
      <c r="A253" s="128">
        <v>44813</v>
      </c>
      <c r="B253" s="158">
        <v>4035</v>
      </c>
      <c r="C253">
        <v>673.2</v>
      </c>
    </row>
    <row r="254" spans="1:3" x14ac:dyDescent="0.2">
      <c r="A254" s="128">
        <v>44814</v>
      </c>
      <c r="B254" s="158">
        <v>3298</v>
      </c>
      <c r="C254">
        <v>518.44000000000005</v>
      </c>
    </row>
    <row r="255" spans="1:3" x14ac:dyDescent="0.2">
      <c r="A255" s="128">
        <v>44815</v>
      </c>
      <c r="B255" s="158">
        <v>2818</v>
      </c>
      <c r="C255">
        <v>489.8</v>
      </c>
    </row>
    <row r="256" spans="1:3" x14ac:dyDescent="0.2">
      <c r="A256" s="128">
        <v>44816</v>
      </c>
      <c r="B256" s="158">
        <v>4451</v>
      </c>
      <c r="C256">
        <v>667.8</v>
      </c>
    </row>
    <row r="257" spans="1:3" x14ac:dyDescent="0.2">
      <c r="A257" s="128">
        <v>44817</v>
      </c>
      <c r="B257" s="158">
        <v>4524</v>
      </c>
      <c r="C257">
        <v>655.59</v>
      </c>
    </row>
    <row r="258" spans="1:3" x14ac:dyDescent="0.2">
      <c r="A258" s="128">
        <v>44818</v>
      </c>
      <c r="B258" s="158">
        <v>4481</v>
      </c>
      <c r="C258">
        <v>603.77</v>
      </c>
    </row>
    <row r="259" spans="1:3" x14ac:dyDescent="0.2">
      <c r="A259" s="128">
        <v>44819</v>
      </c>
      <c r="B259" s="158">
        <v>5422</v>
      </c>
      <c r="C259">
        <v>616.01</v>
      </c>
    </row>
    <row r="260" spans="1:3" x14ac:dyDescent="0.2">
      <c r="A260" s="128">
        <v>44820</v>
      </c>
      <c r="B260" s="158">
        <v>4585</v>
      </c>
      <c r="C260">
        <v>947.43</v>
      </c>
    </row>
    <row r="261" spans="1:3" x14ac:dyDescent="0.2">
      <c r="A261" s="128">
        <v>44821</v>
      </c>
      <c r="B261" s="158">
        <v>3452</v>
      </c>
      <c r="C261">
        <v>1065.24</v>
      </c>
    </row>
    <row r="262" spans="1:3" x14ac:dyDescent="0.2">
      <c r="A262" s="128">
        <v>44822</v>
      </c>
      <c r="B262" s="158">
        <v>2982</v>
      </c>
      <c r="C262">
        <v>978.31</v>
      </c>
    </row>
    <row r="263" spans="1:3" x14ac:dyDescent="0.2">
      <c r="A263" s="128">
        <v>44823</v>
      </c>
      <c r="B263" s="158">
        <v>5581</v>
      </c>
      <c r="C263">
        <v>1674.01</v>
      </c>
    </row>
    <row r="264" spans="1:3" x14ac:dyDescent="0.2">
      <c r="A264" s="128">
        <v>44824</v>
      </c>
      <c r="B264" s="158">
        <v>5118</v>
      </c>
      <c r="C264">
        <v>1519.65</v>
      </c>
    </row>
    <row r="265" spans="1:3" x14ac:dyDescent="0.2">
      <c r="A265" s="128">
        <v>44825</v>
      </c>
      <c r="B265" s="158">
        <v>5393</v>
      </c>
      <c r="C265">
        <v>568.26</v>
      </c>
    </row>
    <row r="266" spans="1:3" x14ac:dyDescent="0.2">
      <c r="A266" s="128">
        <v>44826</v>
      </c>
      <c r="B266" s="158">
        <v>5591</v>
      </c>
      <c r="C266">
        <v>519.64</v>
      </c>
    </row>
    <row r="267" spans="1:3" x14ac:dyDescent="0.2">
      <c r="A267" s="128">
        <v>44827</v>
      </c>
      <c r="B267" s="158">
        <v>4236</v>
      </c>
      <c r="C267">
        <v>444.88</v>
      </c>
    </row>
    <row r="268" spans="1:3" x14ac:dyDescent="0.2">
      <c r="A268" s="128">
        <v>44828</v>
      </c>
      <c r="B268" s="158">
        <v>2965</v>
      </c>
      <c r="C268">
        <v>335.73</v>
      </c>
    </row>
    <row r="269" spans="1:3" x14ac:dyDescent="0.2">
      <c r="A269" s="128">
        <v>44829</v>
      </c>
      <c r="B269" s="158">
        <v>2629</v>
      </c>
      <c r="C269">
        <v>331.38</v>
      </c>
    </row>
    <row r="270" spans="1:3" x14ac:dyDescent="0.2">
      <c r="A270" s="128">
        <v>44830</v>
      </c>
      <c r="B270" s="158">
        <v>4585</v>
      </c>
      <c r="C270">
        <v>468.78</v>
      </c>
    </row>
    <row r="271" spans="1:3" x14ac:dyDescent="0.2">
      <c r="A271" s="128">
        <v>44831</v>
      </c>
      <c r="B271" s="158">
        <v>4252</v>
      </c>
      <c r="C271">
        <v>459.89</v>
      </c>
    </row>
    <row r="272" spans="1:3" x14ac:dyDescent="0.2">
      <c r="A272" s="128">
        <v>44832</v>
      </c>
      <c r="B272" s="158">
        <v>4736</v>
      </c>
      <c r="C272">
        <v>415.17</v>
      </c>
    </row>
    <row r="273" spans="1:3" x14ac:dyDescent="0.2">
      <c r="A273" s="128">
        <v>44833</v>
      </c>
      <c r="B273" s="158">
        <v>4408</v>
      </c>
      <c r="C273">
        <v>352.71</v>
      </c>
    </row>
    <row r="274" spans="1:3" x14ac:dyDescent="0.2">
      <c r="A274" s="128">
        <v>44834</v>
      </c>
      <c r="B274" s="158">
        <v>4421</v>
      </c>
      <c r="C274">
        <v>328.14</v>
      </c>
    </row>
    <row r="275" spans="1:3" x14ac:dyDescent="0.2">
      <c r="A275" s="128">
        <v>44835</v>
      </c>
      <c r="B275" s="158">
        <v>3090</v>
      </c>
      <c r="C275">
        <v>329.44</v>
      </c>
    </row>
    <row r="276" spans="1:3" x14ac:dyDescent="0.2">
      <c r="A276" s="128">
        <v>44836</v>
      </c>
      <c r="B276" s="158">
        <v>2075</v>
      </c>
      <c r="C276">
        <v>313</v>
      </c>
    </row>
    <row r="277" spans="1:3" x14ac:dyDescent="0.2">
      <c r="A277" s="128">
        <v>44837</v>
      </c>
      <c r="B277" s="158">
        <v>4155</v>
      </c>
      <c r="C277">
        <v>527.64</v>
      </c>
    </row>
    <row r="278" spans="1:3" x14ac:dyDescent="0.2">
      <c r="A278" s="128">
        <v>44838</v>
      </c>
      <c r="B278" s="158">
        <v>4277</v>
      </c>
      <c r="C278">
        <v>486.85</v>
      </c>
    </row>
    <row r="279" spans="1:3" x14ac:dyDescent="0.2">
      <c r="A279" s="128">
        <v>44839</v>
      </c>
      <c r="B279" s="158">
        <v>5214</v>
      </c>
      <c r="C279">
        <v>471.43</v>
      </c>
    </row>
    <row r="280" spans="1:3" x14ac:dyDescent="0.2">
      <c r="A280" s="128">
        <v>44840</v>
      </c>
      <c r="B280" s="158">
        <v>4908</v>
      </c>
      <c r="C280">
        <v>440.09</v>
      </c>
    </row>
    <row r="281" spans="1:3" x14ac:dyDescent="0.2">
      <c r="A281" s="128">
        <v>44841</v>
      </c>
      <c r="B281" s="158">
        <v>4596</v>
      </c>
      <c r="C281">
        <v>394.12</v>
      </c>
    </row>
    <row r="282" spans="1:3" x14ac:dyDescent="0.2">
      <c r="A282" s="128">
        <v>44842</v>
      </c>
      <c r="B282" s="158">
        <v>3382</v>
      </c>
      <c r="C282">
        <v>280.68</v>
      </c>
    </row>
    <row r="283" spans="1:3" x14ac:dyDescent="0.2">
      <c r="A283" s="128">
        <v>44843</v>
      </c>
      <c r="B283" s="158">
        <v>2970</v>
      </c>
      <c r="C283">
        <v>277.17</v>
      </c>
    </row>
    <row r="284" spans="1:3" x14ac:dyDescent="0.2">
      <c r="A284" s="128">
        <v>44844</v>
      </c>
      <c r="B284" s="158">
        <v>4708</v>
      </c>
      <c r="C284">
        <v>497.09</v>
      </c>
    </row>
    <row r="285" spans="1:3" x14ac:dyDescent="0.2">
      <c r="A285" s="128">
        <v>44845</v>
      </c>
      <c r="B285" s="158">
        <v>4798</v>
      </c>
      <c r="C285">
        <v>373.43</v>
      </c>
    </row>
    <row r="286" spans="1:3" x14ac:dyDescent="0.2">
      <c r="A286" s="128">
        <v>44846</v>
      </c>
      <c r="B286" s="158">
        <v>3119</v>
      </c>
      <c r="C286">
        <v>292.45999999999998</v>
      </c>
    </row>
    <row r="287" spans="1:3" x14ac:dyDescent="0.2">
      <c r="A287" s="128">
        <v>44847</v>
      </c>
      <c r="B287" s="158">
        <v>4885</v>
      </c>
      <c r="C287">
        <v>342.11</v>
      </c>
    </row>
    <row r="288" spans="1:3" x14ac:dyDescent="0.2">
      <c r="A288" s="128">
        <v>44848</v>
      </c>
      <c r="B288" s="158">
        <v>4811</v>
      </c>
      <c r="C288">
        <v>374.51</v>
      </c>
    </row>
    <row r="289" spans="1:3" x14ac:dyDescent="0.2">
      <c r="A289" s="128">
        <v>44849</v>
      </c>
      <c r="B289" s="158">
        <v>3633</v>
      </c>
      <c r="C289">
        <v>309.14</v>
      </c>
    </row>
    <row r="290" spans="1:3" x14ac:dyDescent="0.2">
      <c r="A290" s="128">
        <v>44850</v>
      </c>
      <c r="B290" s="158">
        <v>2865</v>
      </c>
      <c r="C290">
        <v>322.10000000000002</v>
      </c>
    </row>
    <row r="291" spans="1:3" x14ac:dyDescent="0.2">
      <c r="A291" s="128">
        <v>44851</v>
      </c>
      <c r="B291" s="158">
        <v>5160</v>
      </c>
      <c r="C291">
        <v>463.59</v>
      </c>
    </row>
    <row r="292" spans="1:3" x14ac:dyDescent="0.2">
      <c r="A292" s="128">
        <v>44852</v>
      </c>
      <c r="B292" s="158">
        <v>4615</v>
      </c>
      <c r="C292">
        <v>377.88</v>
      </c>
    </row>
    <row r="293" spans="1:3" x14ac:dyDescent="0.2">
      <c r="A293" s="128">
        <v>44853</v>
      </c>
      <c r="B293" s="158">
        <v>4507</v>
      </c>
      <c r="C293">
        <v>367.31</v>
      </c>
    </row>
    <row r="294" spans="1:3" x14ac:dyDescent="0.2">
      <c r="A294" s="128">
        <v>44854</v>
      </c>
      <c r="B294" s="158">
        <v>4547</v>
      </c>
      <c r="C294">
        <v>329.96</v>
      </c>
    </row>
    <row r="295" spans="1:3" x14ac:dyDescent="0.2">
      <c r="A295" s="128">
        <v>44855</v>
      </c>
      <c r="B295" s="158">
        <v>4350</v>
      </c>
      <c r="C295">
        <v>341.91</v>
      </c>
    </row>
    <row r="296" spans="1:3" x14ac:dyDescent="0.2">
      <c r="A296" s="128">
        <v>44856</v>
      </c>
      <c r="B296" s="158">
        <v>3592</v>
      </c>
      <c r="C296">
        <v>356.1</v>
      </c>
    </row>
    <row r="297" spans="1:3" x14ac:dyDescent="0.2">
      <c r="A297" s="128">
        <v>44857</v>
      </c>
      <c r="B297" s="158">
        <v>2965</v>
      </c>
      <c r="C297">
        <v>319.83</v>
      </c>
    </row>
    <row r="298" spans="1:3" x14ac:dyDescent="0.2">
      <c r="A298" s="128">
        <v>44858</v>
      </c>
      <c r="B298" s="158">
        <v>4493</v>
      </c>
      <c r="C298">
        <v>341.56</v>
      </c>
    </row>
    <row r="299" spans="1:3" x14ac:dyDescent="0.2">
      <c r="A299" s="128">
        <v>44859</v>
      </c>
      <c r="B299" s="158">
        <v>4214</v>
      </c>
      <c r="C299">
        <v>402.63</v>
      </c>
    </row>
    <row r="300" spans="1:3" x14ac:dyDescent="0.2">
      <c r="A300" s="128">
        <v>44860</v>
      </c>
      <c r="B300" s="158">
        <v>4060</v>
      </c>
      <c r="C300">
        <v>468.86</v>
      </c>
    </row>
    <row r="301" spans="1:3" x14ac:dyDescent="0.2">
      <c r="A301" s="128">
        <v>44861</v>
      </c>
      <c r="B301" s="158">
        <v>3857</v>
      </c>
      <c r="C301">
        <v>488.88</v>
      </c>
    </row>
    <row r="302" spans="1:3" x14ac:dyDescent="0.2">
      <c r="A302" s="128">
        <v>44862</v>
      </c>
      <c r="B302" s="158">
        <v>3824</v>
      </c>
      <c r="C302">
        <v>368.96</v>
      </c>
    </row>
    <row r="303" spans="1:3" x14ac:dyDescent="0.2">
      <c r="A303" s="128">
        <v>44863</v>
      </c>
      <c r="B303" s="158">
        <v>2802</v>
      </c>
      <c r="C303">
        <v>325.94</v>
      </c>
    </row>
    <row r="304" spans="1:3" x14ac:dyDescent="0.2">
      <c r="A304" s="128">
        <v>44864</v>
      </c>
      <c r="B304" s="158">
        <v>1896</v>
      </c>
      <c r="C304">
        <v>276.83</v>
      </c>
    </row>
    <row r="305" spans="1:3" x14ac:dyDescent="0.2">
      <c r="A305" s="128">
        <v>44865</v>
      </c>
      <c r="B305" s="158">
        <v>3539</v>
      </c>
      <c r="C305">
        <v>459.05</v>
      </c>
    </row>
    <row r="306" spans="1:3" x14ac:dyDescent="0.2">
      <c r="A306" s="128">
        <v>44866</v>
      </c>
      <c r="B306" s="158">
        <v>4309</v>
      </c>
      <c r="C306">
        <v>476.25</v>
      </c>
    </row>
    <row r="307" spans="1:3" x14ac:dyDescent="0.2">
      <c r="A307" s="128">
        <v>44867</v>
      </c>
      <c r="B307" s="158">
        <v>3361</v>
      </c>
      <c r="C307" s="154">
        <v>444.97</v>
      </c>
    </row>
    <row r="308" spans="1:3" x14ac:dyDescent="0.2">
      <c r="A308" s="128">
        <v>44868</v>
      </c>
      <c r="B308" s="158">
        <v>4088</v>
      </c>
      <c r="C308" s="154">
        <v>507.49</v>
      </c>
    </row>
    <row r="309" spans="1:3" x14ac:dyDescent="0.2">
      <c r="A309" s="128">
        <v>44869</v>
      </c>
      <c r="B309" s="158">
        <v>3941</v>
      </c>
      <c r="C309" s="154">
        <v>439.85</v>
      </c>
    </row>
    <row r="310" spans="1:3" x14ac:dyDescent="0.2">
      <c r="A310" s="128">
        <v>44870</v>
      </c>
      <c r="B310" s="158">
        <v>2984</v>
      </c>
      <c r="C310" s="154">
        <v>441.25</v>
      </c>
    </row>
    <row r="311" spans="1:3" x14ac:dyDescent="0.2">
      <c r="A311" s="128">
        <v>44871</v>
      </c>
      <c r="B311" s="158">
        <v>2587</v>
      </c>
      <c r="C311" s="154">
        <v>413.47</v>
      </c>
    </row>
    <row r="312" spans="1:3" x14ac:dyDescent="0.2">
      <c r="A312" s="128">
        <v>44872</v>
      </c>
      <c r="B312" s="158">
        <v>4378</v>
      </c>
      <c r="C312" s="154">
        <v>487.54</v>
      </c>
    </row>
    <row r="313" spans="1:3" x14ac:dyDescent="0.2">
      <c r="A313" s="128">
        <v>44873</v>
      </c>
      <c r="B313" s="158">
        <v>4432</v>
      </c>
      <c r="C313" s="154">
        <v>499.29</v>
      </c>
    </row>
    <row r="314" spans="1:3" x14ac:dyDescent="0.2">
      <c r="A314" s="128">
        <v>44874</v>
      </c>
      <c r="B314" s="158">
        <v>4915</v>
      </c>
      <c r="C314" s="154">
        <v>566.65</v>
      </c>
    </row>
    <row r="315" spans="1:3" x14ac:dyDescent="0.2">
      <c r="A315" s="128">
        <v>44875</v>
      </c>
      <c r="B315" s="158">
        <v>4853</v>
      </c>
      <c r="C315" s="154">
        <v>547.80999999999995</v>
      </c>
    </row>
    <row r="316" spans="1:3" x14ac:dyDescent="0.2">
      <c r="A316" s="128">
        <v>44876</v>
      </c>
      <c r="B316" s="158">
        <v>4453</v>
      </c>
      <c r="C316" s="154">
        <v>638.13</v>
      </c>
    </row>
    <row r="317" spans="1:3" x14ac:dyDescent="0.2">
      <c r="A317" s="128">
        <v>44877</v>
      </c>
      <c r="B317" s="158">
        <v>3630</v>
      </c>
      <c r="C317" s="154">
        <v>470.39</v>
      </c>
    </row>
    <row r="318" spans="1:3" x14ac:dyDescent="0.2">
      <c r="A318" s="128">
        <v>44878</v>
      </c>
      <c r="B318" s="158">
        <v>2955</v>
      </c>
      <c r="C318" s="154">
        <v>457.97</v>
      </c>
    </row>
    <row r="319" spans="1:3" x14ac:dyDescent="0.2">
      <c r="A319" s="128">
        <v>44879</v>
      </c>
      <c r="B319" s="158">
        <v>4507</v>
      </c>
      <c r="C319" s="154">
        <v>713.48</v>
      </c>
    </row>
    <row r="320" spans="1:3" x14ac:dyDescent="0.2">
      <c r="A320" s="128">
        <v>44880</v>
      </c>
      <c r="B320" s="158">
        <v>3551</v>
      </c>
      <c r="C320" s="154">
        <v>681.31</v>
      </c>
    </row>
    <row r="321" spans="1:3" x14ac:dyDescent="0.2">
      <c r="A321" s="128">
        <v>44881</v>
      </c>
      <c r="B321" s="158">
        <v>4845</v>
      </c>
      <c r="C321" s="154">
        <v>774.91</v>
      </c>
    </row>
    <row r="322" spans="1:3" x14ac:dyDescent="0.2">
      <c r="A322" s="128">
        <v>44882</v>
      </c>
      <c r="B322" s="158">
        <v>4496</v>
      </c>
      <c r="C322" s="154">
        <v>689.83</v>
      </c>
    </row>
    <row r="323" spans="1:3" x14ac:dyDescent="0.2">
      <c r="A323" s="128">
        <v>44883</v>
      </c>
      <c r="B323" s="158">
        <v>4411</v>
      </c>
      <c r="C323" s="154">
        <v>677.37</v>
      </c>
    </row>
    <row r="324" spans="1:3" x14ac:dyDescent="0.2">
      <c r="A324" s="128">
        <v>44884</v>
      </c>
      <c r="B324" s="158">
        <v>3399</v>
      </c>
      <c r="C324" s="154">
        <v>515.91</v>
      </c>
    </row>
    <row r="325" spans="1:3" x14ac:dyDescent="0.2">
      <c r="A325" s="128">
        <v>44885</v>
      </c>
      <c r="B325" s="158">
        <v>2928</v>
      </c>
      <c r="C325" s="154">
        <v>519.04999999999995</v>
      </c>
    </row>
    <row r="326" spans="1:3" x14ac:dyDescent="0.2">
      <c r="A326" s="128">
        <v>44886</v>
      </c>
      <c r="B326" s="158">
        <v>7401</v>
      </c>
      <c r="C326" s="154">
        <v>1061.5899999999999</v>
      </c>
    </row>
    <row r="327" spans="1:3" x14ac:dyDescent="0.2">
      <c r="A327" s="128">
        <v>44887</v>
      </c>
      <c r="B327" s="158">
        <v>5705</v>
      </c>
      <c r="C327" s="154">
        <v>1421.9</v>
      </c>
    </row>
    <row r="328" spans="1:3" x14ac:dyDescent="0.2">
      <c r="A328" s="128">
        <v>44888</v>
      </c>
      <c r="B328" s="158">
        <v>6435</v>
      </c>
      <c r="C328" s="154">
        <v>1681.47</v>
      </c>
    </row>
    <row r="329" spans="1:3" x14ac:dyDescent="0.2">
      <c r="A329" s="128">
        <v>44889</v>
      </c>
      <c r="B329" s="158">
        <v>5552</v>
      </c>
      <c r="C329" s="154">
        <v>1188.8</v>
      </c>
    </row>
    <row r="330" spans="1:3" x14ac:dyDescent="0.2">
      <c r="A330" s="128">
        <v>44890</v>
      </c>
      <c r="B330" s="158">
        <v>8661</v>
      </c>
      <c r="C330" s="154">
        <v>2253.3000000000002</v>
      </c>
    </row>
    <row r="331" spans="1:3" x14ac:dyDescent="0.2">
      <c r="A331" s="128">
        <v>44891</v>
      </c>
      <c r="B331" s="158">
        <v>4639</v>
      </c>
      <c r="C331" s="154">
        <v>465.81</v>
      </c>
    </row>
    <row r="332" spans="1:3" x14ac:dyDescent="0.2">
      <c r="A332" s="128">
        <v>44892</v>
      </c>
      <c r="B332" s="158">
        <v>4100</v>
      </c>
      <c r="C332" s="154">
        <v>574.32000000000005</v>
      </c>
    </row>
    <row r="333" spans="1:3" x14ac:dyDescent="0.2">
      <c r="A333" s="128">
        <v>44893</v>
      </c>
      <c r="B333" s="158">
        <v>7616</v>
      </c>
      <c r="C333" s="154">
        <v>237.04</v>
      </c>
    </row>
    <row r="334" spans="1:3" x14ac:dyDescent="0.2">
      <c r="A334" s="128">
        <v>44894</v>
      </c>
      <c r="B334" s="158">
        <v>6120</v>
      </c>
      <c r="C334" s="154">
        <v>251.5</v>
      </c>
    </row>
    <row r="335" spans="1:3" x14ac:dyDescent="0.2">
      <c r="A335" s="128">
        <v>44895</v>
      </c>
      <c r="B335" s="158">
        <v>5415</v>
      </c>
      <c r="C335" s="154">
        <v>254.92</v>
      </c>
    </row>
    <row r="336" spans="1:3" x14ac:dyDescent="0.2">
      <c r="A336" s="128">
        <v>44896</v>
      </c>
      <c r="B336" s="158">
        <v>6190</v>
      </c>
      <c r="C336" s="154">
        <v>345.85</v>
      </c>
    </row>
    <row r="337" spans="1:3" x14ac:dyDescent="0.2">
      <c r="A337" s="128">
        <v>44897</v>
      </c>
      <c r="B337" s="158">
        <v>4015</v>
      </c>
      <c r="C337" s="154">
        <v>331.21</v>
      </c>
    </row>
    <row r="338" spans="1:3" x14ac:dyDescent="0.2">
      <c r="A338" s="128">
        <v>44898</v>
      </c>
      <c r="B338" s="158">
        <v>3860</v>
      </c>
      <c r="C338" s="154">
        <v>329.84</v>
      </c>
    </row>
    <row r="339" spans="1:3" x14ac:dyDescent="0.2">
      <c r="A339" s="128">
        <v>44899</v>
      </c>
      <c r="B339" s="158">
        <v>3515</v>
      </c>
      <c r="C339" s="154">
        <v>341.13</v>
      </c>
    </row>
    <row r="340" spans="1:3" x14ac:dyDescent="0.2">
      <c r="A340" s="128">
        <v>44900</v>
      </c>
      <c r="B340" s="158">
        <v>6626</v>
      </c>
      <c r="C340" s="154">
        <v>356.86</v>
      </c>
    </row>
    <row r="341" spans="1:3" x14ac:dyDescent="0.2">
      <c r="A341" s="128">
        <v>44901</v>
      </c>
      <c r="B341" s="158">
        <v>6022</v>
      </c>
      <c r="C341" s="154">
        <v>497.52</v>
      </c>
    </row>
    <row r="342" spans="1:3" x14ac:dyDescent="0.2">
      <c r="A342" s="128">
        <v>44902</v>
      </c>
      <c r="B342" s="158">
        <v>6671</v>
      </c>
      <c r="C342" s="154">
        <v>716.96</v>
      </c>
    </row>
    <row r="343" spans="1:3" x14ac:dyDescent="0.2">
      <c r="A343" s="128">
        <v>44903</v>
      </c>
      <c r="B343" s="158">
        <v>6224</v>
      </c>
      <c r="C343" s="154">
        <v>921.41</v>
      </c>
    </row>
    <row r="344" spans="1:3" x14ac:dyDescent="0.2">
      <c r="A344" s="128">
        <v>44904</v>
      </c>
      <c r="B344" s="158">
        <v>4217</v>
      </c>
      <c r="C344" s="154">
        <v>557.97</v>
      </c>
    </row>
    <row r="345" spans="1:3" x14ac:dyDescent="0.2">
      <c r="A345" s="128">
        <v>44905</v>
      </c>
      <c r="B345" s="158">
        <v>4623</v>
      </c>
      <c r="C345" s="154">
        <v>568.98</v>
      </c>
    </row>
    <row r="346" spans="1:3" x14ac:dyDescent="0.2">
      <c r="A346" s="128">
        <v>44906</v>
      </c>
      <c r="B346" s="158">
        <v>3929</v>
      </c>
      <c r="C346" s="154">
        <v>565.07000000000005</v>
      </c>
    </row>
    <row r="347" spans="1:3" x14ac:dyDescent="0.2">
      <c r="A347" s="128">
        <v>44907</v>
      </c>
      <c r="B347" s="158">
        <v>6766</v>
      </c>
      <c r="C347" s="154">
        <v>994.9</v>
      </c>
    </row>
    <row r="348" spans="1:3" x14ac:dyDescent="0.2">
      <c r="A348" s="128">
        <v>44908</v>
      </c>
      <c r="B348" s="158">
        <v>6563</v>
      </c>
      <c r="C348" s="154">
        <v>938.02</v>
      </c>
    </row>
    <row r="349" spans="1:3" x14ac:dyDescent="0.2">
      <c r="A349" s="128">
        <v>44909</v>
      </c>
      <c r="B349" s="158">
        <v>6787</v>
      </c>
      <c r="C349" s="154">
        <v>840.34</v>
      </c>
    </row>
    <row r="350" spans="1:3" x14ac:dyDescent="0.2">
      <c r="A350" s="128">
        <v>44910</v>
      </c>
      <c r="B350" s="158">
        <v>6860</v>
      </c>
      <c r="C350" s="154">
        <v>792.91</v>
      </c>
    </row>
    <row r="351" spans="1:3" x14ac:dyDescent="0.2">
      <c r="A351" s="128">
        <v>44911</v>
      </c>
      <c r="B351" s="158">
        <v>6406</v>
      </c>
      <c r="C351" s="154">
        <v>700.56</v>
      </c>
    </row>
    <row r="352" spans="1:3" x14ac:dyDescent="0.2">
      <c r="A352" s="128">
        <v>44912</v>
      </c>
      <c r="B352" s="158">
        <v>4992</v>
      </c>
      <c r="C352" s="154">
        <v>502.86</v>
      </c>
    </row>
    <row r="353" spans="1:3" x14ac:dyDescent="0.2">
      <c r="A353" s="128">
        <v>44913</v>
      </c>
      <c r="B353" s="158">
        <v>4201</v>
      </c>
      <c r="C353" s="154">
        <v>549.71</v>
      </c>
    </row>
    <row r="354" spans="1:3" x14ac:dyDescent="0.2">
      <c r="A354" s="128">
        <v>44914</v>
      </c>
      <c r="B354" s="158">
        <v>8120</v>
      </c>
      <c r="C354" s="154">
        <v>1090.8900000000001</v>
      </c>
    </row>
    <row r="355" spans="1:3" x14ac:dyDescent="0.2">
      <c r="A355" s="128">
        <v>44915</v>
      </c>
      <c r="B355" s="158">
        <v>8565</v>
      </c>
      <c r="C355" s="154">
        <v>1149.32</v>
      </c>
    </row>
    <row r="356" spans="1:3" x14ac:dyDescent="0.2">
      <c r="A356" s="128">
        <v>44916</v>
      </c>
      <c r="B356" s="158">
        <v>8198</v>
      </c>
      <c r="C356" s="154">
        <v>1403.22</v>
      </c>
    </row>
    <row r="357" spans="1:3" x14ac:dyDescent="0.2">
      <c r="A357" s="128">
        <v>44917</v>
      </c>
      <c r="B357" s="158">
        <v>7850</v>
      </c>
      <c r="C357" s="154">
        <v>2078.35</v>
      </c>
    </row>
    <row r="358" spans="1:3" x14ac:dyDescent="0.2">
      <c r="A358" s="128">
        <v>44918</v>
      </c>
      <c r="B358" s="158">
        <v>4618</v>
      </c>
      <c r="C358" s="154">
        <v>1644.76</v>
      </c>
    </row>
    <row r="359" spans="1:3" x14ac:dyDescent="0.2">
      <c r="A359" s="128">
        <v>44919</v>
      </c>
      <c r="B359" s="158">
        <v>3644</v>
      </c>
      <c r="C359" s="154">
        <v>1185.98</v>
      </c>
    </row>
    <row r="360" spans="1:3" x14ac:dyDescent="0.2">
      <c r="A360" s="128">
        <v>44920</v>
      </c>
      <c r="B360" s="158">
        <v>7683</v>
      </c>
      <c r="C360" s="154">
        <v>665.14</v>
      </c>
    </row>
    <row r="361" spans="1:3" x14ac:dyDescent="0.2">
      <c r="A361" s="128">
        <v>44921</v>
      </c>
      <c r="B361" s="158">
        <v>6295</v>
      </c>
      <c r="C361" s="154">
        <v>1624.1</v>
      </c>
    </row>
    <row r="362" spans="1:3" x14ac:dyDescent="0.2">
      <c r="A362" s="128">
        <v>44922</v>
      </c>
      <c r="B362" s="158">
        <v>5511</v>
      </c>
      <c r="C362" s="154">
        <v>940.44</v>
      </c>
    </row>
    <row r="363" spans="1:3" x14ac:dyDescent="0.2">
      <c r="A363" s="128">
        <v>44923</v>
      </c>
      <c r="B363" s="158">
        <v>4715</v>
      </c>
      <c r="C363" s="154">
        <v>661.43</v>
      </c>
    </row>
    <row r="364" spans="1:3" x14ac:dyDescent="0.2">
      <c r="A364" s="128">
        <v>44924</v>
      </c>
      <c r="B364" s="158">
        <v>3751</v>
      </c>
      <c r="C364" s="154">
        <v>499.29</v>
      </c>
    </row>
    <row r="365" spans="1:3" x14ac:dyDescent="0.2">
      <c r="A365" s="128">
        <v>44925</v>
      </c>
      <c r="B365" s="158">
        <v>1968</v>
      </c>
      <c r="C365" s="154">
        <v>316.07</v>
      </c>
    </row>
    <row r="366" spans="1:3" x14ac:dyDescent="0.2">
      <c r="A366" s="128">
        <v>44926</v>
      </c>
      <c r="B366" s="158">
        <v>2085</v>
      </c>
      <c r="C366" s="154">
        <v>205.7</v>
      </c>
    </row>
    <row r="367" spans="1:3" x14ac:dyDescent="0.2">
      <c r="A367" s="128">
        <v>44927</v>
      </c>
      <c r="B367" s="158">
        <v>5236</v>
      </c>
      <c r="C367" s="154">
        <v>195.73</v>
      </c>
    </row>
    <row r="368" spans="1:3" x14ac:dyDescent="0.2">
      <c r="A368" s="128">
        <v>44928</v>
      </c>
      <c r="B368" s="158">
        <v>5421</v>
      </c>
      <c r="C368" s="154">
        <v>367.59</v>
      </c>
    </row>
    <row r="369" spans="1:3" x14ac:dyDescent="0.2">
      <c r="A369" s="128">
        <v>44929</v>
      </c>
      <c r="B369" s="158">
        <v>5673</v>
      </c>
      <c r="C369" s="154">
        <v>355.9</v>
      </c>
    </row>
    <row r="370" spans="1:3" x14ac:dyDescent="0.2">
      <c r="A370" s="128">
        <v>44930</v>
      </c>
      <c r="B370" s="158">
        <v>5412</v>
      </c>
      <c r="C370" s="154">
        <v>389.93</v>
      </c>
    </row>
    <row r="371" spans="1:3" x14ac:dyDescent="0.2">
      <c r="A371" s="128">
        <v>44931</v>
      </c>
      <c r="B371" s="158">
        <v>5139</v>
      </c>
      <c r="C371" s="154">
        <v>383.58</v>
      </c>
    </row>
    <row r="372" spans="1:3" x14ac:dyDescent="0.2">
      <c r="A372" s="128">
        <v>44932</v>
      </c>
      <c r="B372" s="158">
        <v>3680</v>
      </c>
      <c r="C372" s="154">
        <v>256.48</v>
      </c>
    </row>
    <row r="373" spans="1:3" x14ac:dyDescent="0.2">
      <c r="A373" s="128">
        <v>44933</v>
      </c>
      <c r="B373" s="158">
        <v>3001</v>
      </c>
      <c r="C373" s="154">
        <v>184.02</v>
      </c>
    </row>
    <row r="374" spans="1:3" x14ac:dyDescent="0.2">
      <c r="A374" s="128">
        <v>44934</v>
      </c>
      <c r="B374" s="158">
        <v>5670</v>
      </c>
      <c r="C374" s="154">
        <v>209.58</v>
      </c>
    </row>
    <row r="375" spans="1:3" x14ac:dyDescent="0.2">
      <c r="A375" s="128">
        <v>44935</v>
      </c>
      <c r="B375" s="158">
        <v>64</v>
      </c>
      <c r="C375" s="154">
        <v>347.26</v>
      </c>
    </row>
    <row r="376" spans="1:3" x14ac:dyDescent="0.2">
      <c r="A376" s="128">
        <v>44936</v>
      </c>
      <c r="B376" s="158">
        <v>39</v>
      </c>
      <c r="C376" s="154">
        <v>78.040000000000006</v>
      </c>
    </row>
    <row r="377" spans="1:3" x14ac:dyDescent="0.2">
      <c r="A377" s="128">
        <v>44937</v>
      </c>
      <c r="B377" s="158">
        <v>25</v>
      </c>
      <c r="C377" s="154">
        <v>108.64</v>
      </c>
    </row>
    <row r="378" spans="1:3" x14ac:dyDescent="0.2">
      <c r="A378" s="128">
        <v>44938</v>
      </c>
      <c r="B378" s="158">
        <v>14</v>
      </c>
      <c r="C378" s="154">
        <v>474.2</v>
      </c>
    </row>
    <row r="379" spans="1:3" x14ac:dyDescent="0.2">
      <c r="A379" s="128">
        <v>44939</v>
      </c>
      <c r="B379" s="158">
        <v>9</v>
      </c>
      <c r="C379" s="154">
        <v>984.16</v>
      </c>
    </row>
    <row r="380" spans="1:3" x14ac:dyDescent="0.2">
      <c r="A380" s="128">
        <v>44940</v>
      </c>
      <c r="B380" s="158">
        <v>10</v>
      </c>
      <c r="C380" s="154">
        <v>1263.3599999999999</v>
      </c>
    </row>
    <row r="381" spans="1:3" x14ac:dyDescent="0.2">
      <c r="A381" s="128">
        <v>44941</v>
      </c>
      <c r="B381" s="158">
        <v>18</v>
      </c>
      <c r="C381" s="154">
        <v>732.43</v>
      </c>
    </row>
    <row r="382" spans="1:3" x14ac:dyDescent="0.2">
      <c r="A382" s="128">
        <v>44942</v>
      </c>
      <c r="B382" s="158">
        <v>18</v>
      </c>
      <c r="C382" s="154">
        <v>857.78</v>
      </c>
    </row>
    <row r="383" spans="1:3" x14ac:dyDescent="0.2">
      <c r="A383" s="128">
        <v>44943</v>
      </c>
      <c r="B383" s="158">
        <v>17</v>
      </c>
      <c r="C383" s="154">
        <v>1118.21</v>
      </c>
    </row>
    <row r="384" spans="1:3" x14ac:dyDescent="0.2">
      <c r="A384" s="128">
        <v>44944</v>
      </c>
      <c r="B384" s="158">
        <v>10</v>
      </c>
      <c r="C384" s="154">
        <v>1777.04</v>
      </c>
    </row>
    <row r="385" spans="1:3" x14ac:dyDescent="0.2">
      <c r="A385" s="128">
        <v>44945</v>
      </c>
      <c r="B385" s="158">
        <v>13</v>
      </c>
      <c r="C385" s="154">
        <v>722.46</v>
      </c>
    </row>
    <row r="386" spans="1:3" x14ac:dyDescent="0.2">
      <c r="A386" s="128">
        <v>44946</v>
      </c>
      <c r="B386" s="158">
        <v>9</v>
      </c>
      <c r="C386" s="154">
        <v>719.38</v>
      </c>
    </row>
    <row r="387" spans="1:3" x14ac:dyDescent="0.2">
      <c r="A387" s="128">
        <v>44947</v>
      </c>
      <c r="B387" s="158">
        <v>3</v>
      </c>
      <c r="C387" s="154">
        <v>738.61</v>
      </c>
    </row>
    <row r="388" spans="1:3" x14ac:dyDescent="0.2">
      <c r="A388" s="128">
        <v>44948</v>
      </c>
      <c r="B388" s="158">
        <v>17</v>
      </c>
      <c r="C388" s="154">
        <v>496.73</v>
      </c>
    </row>
    <row r="389" spans="1:3" x14ac:dyDescent="0.2">
      <c r="A389" s="128">
        <v>44949</v>
      </c>
      <c r="B389" s="158">
        <v>15</v>
      </c>
      <c r="C389" s="154">
        <v>353.74</v>
      </c>
    </row>
    <row r="390" spans="1:3" x14ac:dyDescent="0.2">
      <c r="A390" s="128">
        <v>44950</v>
      </c>
      <c r="B390" s="158">
        <v>8</v>
      </c>
      <c r="C390" s="154">
        <v>374.54</v>
      </c>
    </row>
    <row r="391" spans="1:3" x14ac:dyDescent="0.2">
      <c r="A391" s="128">
        <v>44951</v>
      </c>
      <c r="B391" s="158">
        <v>5</v>
      </c>
      <c r="C391" s="154">
        <v>415.31</v>
      </c>
    </row>
    <row r="392" spans="1:3" x14ac:dyDescent="0.2">
      <c r="A392" s="128">
        <v>44952</v>
      </c>
      <c r="B392" s="158">
        <v>4</v>
      </c>
      <c r="C392" s="154">
        <v>556.47</v>
      </c>
    </row>
    <row r="393" spans="1:3" x14ac:dyDescent="0.2">
      <c r="A393" s="128">
        <v>44953</v>
      </c>
      <c r="B393" s="158">
        <v>2</v>
      </c>
      <c r="C393" s="154">
        <v>533.99</v>
      </c>
    </row>
    <row r="394" spans="1:3" x14ac:dyDescent="0.2">
      <c r="A394" s="128">
        <v>44954</v>
      </c>
      <c r="B394" s="158">
        <v>4</v>
      </c>
      <c r="C394" s="154">
        <v>499.27</v>
      </c>
    </row>
    <row r="395" spans="1:3" x14ac:dyDescent="0.2">
      <c r="A395" s="128">
        <v>44955</v>
      </c>
      <c r="B395" s="158">
        <v>2</v>
      </c>
      <c r="C395" s="154">
        <v>380.31</v>
      </c>
    </row>
    <row r="396" spans="1:3" x14ac:dyDescent="0.2">
      <c r="A396" s="128">
        <v>44956</v>
      </c>
      <c r="B396" s="158">
        <v>4</v>
      </c>
      <c r="C396" s="154">
        <v>338.42</v>
      </c>
    </row>
    <row r="397" spans="1:3" x14ac:dyDescent="0.2">
      <c r="A397" s="128">
        <v>44957</v>
      </c>
      <c r="B397" s="158">
        <v>3</v>
      </c>
      <c r="C397" s="154">
        <v>596.05999999999995</v>
      </c>
    </row>
    <row r="398" spans="1:3" x14ac:dyDescent="0.2">
      <c r="A398" s="128">
        <v>44958</v>
      </c>
      <c r="B398" s="158">
        <v>136</v>
      </c>
      <c r="C398" s="154">
        <v>489.19</v>
      </c>
    </row>
    <row r="399" spans="1:3" x14ac:dyDescent="0.2">
      <c r="A399" s="128">
        <v>44959</v>
      </c>
      <c r="B399" s="158">
        <v>5</v>
      </c>
      <c r="C399" s="154">
        <v>658.46</v>
      </c>
    </row>
    <row r="400" spans="1:3" x14ac:dyDescent="0.2">
      <c r="A400" s="128">
        <v>44960</v>
      </c>
      <c r="B400" s="158">
        <v>1</v>
      </c>
      <c r="C400" s="154">
        <v>796.55</v>
      </c>
    </row>
    <row r="401" spans="1:3" x14ac:dyDescent="0.2">
      <c r="A401" s="128">
        <v>44961</v>
      </c>
      <c r="B401" s="158">
        <v>0</v>
      </c>
      <c r="C401" s="154">
        <v>704.94</v>
      </c>
    </row>
    <row r="402" spans="1:3" x14ac:dyDescent="0.2">
      <c r="A402" s="128">
        <v>44962</v>
      </c>
      <c r="B402" s="158">
        <v>3386</v>
      </c>
      <c r="C402" s="154">
        <v>504.42</v>
      </c>
    </row>
    <row r="403" spans="1:3" x14ac:dyDescent="0.2">
      <c r="A403" s="128">
        <v>44963</v>
      </c>
      <c r="B403" s="158">
        <v>5315</v>
      </c>
      <c r="C403" s="154">
        <v>78.040000000000006</v>
      </c>
    </row>
    <row r="404" spans="1:3" x14ac:dyDescent="0.2">
      <c r="A404" s="128">
        <v>44964</v>
      </c>
      <c r="B404" s="158">
        <v>4952</v>
      </c>
      <c r="C404" s="154">
        <v>108.64</v>
      </c>
    </row>
    <row r="405" spans="1:3" x14ac:dyDescent="0.2">
      <c r="A405" s="128">
        <v>44965</v>
      </c>
      <c r="B405" s="158">
        <v>5382</v>
      </c>
      <c r="C405" s="154">
        <v>474.2</v>
      </c>
    </row>
    <row r="406" spans="1:3" x14ac:dyDescent="0.2">
      <c r="A406" s="128">
        <v>44966</v>
      </c>
      <c r="B406" s="158">
        <v>5580</v>
      </c>
      <c r="C406" s="154">
        <v>984.16</v>
      </c>
    </row>
    <row r="407" spans="1:3" x14ac:dyDescent="0.2">
      <c r="A407" s="128">
        <v>44967</v>
      </c>
      <c r="B407" s="158">
        <v>4314</v>
      </c>
      <c r="C407" s="154">
        <v>1263.3599999999999</v>
      </c>
    </row>
    <row r="408" spans="1:3" x14ac:dyDescent="0.2">
      <c r="A408" s="128">
        <v>44968</v>
      </c>
      <c r="B408" s="158">
        <v>3954</v>
      </c>
      <c r="C408" s="154">
        <v>732.43</v>
      </c>
    </row>
    <row r="409" spans="1:3" x14ac:dyDescent="0.2">
      <c r="A409" s="128">
        <v>44969</v>
      </c>
      <c r="B409" s="158">
        <v>5517</v>
      </c>
      <c r="C409" s="154">
        <v>857.78</v>
      </c>
    </row>
    <row r="410" spans="1:3" x14ac:dyDescent="0.2">
      <c r="A410" s="128">
        <v>44970</v>
      </c>
      <c r="B410" s="158">
        <v>6309</v>
      </c>
      <c r="C410" s="154">
        <v>1118.21</v>
      </c>
    </row>
    <row r="411" spans="1:3" x14ac:dyDescent="0.2">
      <c r="A411" s="128">
        <v>44971</v>
      </c>
      <c r="B411" s="158">
        <v>5862</v>
      </c>
      <c r="C411" s="154">
        <v>1777.04</v>
      </c>
    </row>
    <row r="412" spans="1:3" x14ac:dyDescent="0.2">
      <c r="A412" s="128">
        <v>44972</v>
      </c>
      <c r="B412" s="158">
        <v>5223</v>
      </c>
      <c r="C412" s="154">
        <v>722.46</v>
      </c>
    </row>
    <row r="413" spans="1:3" x14ac:dyDescent="0.2">
      <c r="A413" s="128">
        <v>44973</v>
      </c>
      <c r="B413" s="158">
        <v>4723</v>
      </c>
      <c r="C413" s="154">
        <v>719.38</v>
      </c>
    </row>
    <row r="414" spans="1:3" x14ac:dyDescent="0.2">
      <c r="A414" s="128">
        <v>44974</v>
      </c>
      <c r="B414" s="158">
        <v>3548</v>
      </c>
      <c r="C414" s="154">
        <v>738.61</v>
      </c>
    </row>
    <row r="415" spans="1:3" x14ac:dyDescent="0.2">
      <c r="A415" s="128">
        <v>44975</v>
      </c>
      <c r="B415" s="158">
        <v>2843</v>
      </c>
      <c r="C415" s="154">
        <v>496.73</v>
      </c>
    </row>
    <row r="416" spans="1:3" x14ac:dyDescent="0.2">
      <c r="A416" s="128">
        <v>44976</v>
      </c>
      <c r="B416" s="158">
        <v>3229</v>
      </c>
      <c r="C416" s="154">
        <v>353.74</v>
      </c>
    </row>
    <row r="417" spans="1:3" x14ac:dyDescent="0.2">
      <c r="A417" s="128">
        <v>44977</v>
      </c>
      <c r="B417" s="158">
        <v>3360</v>
      </c>
      <c r="C417" s="154">
        <v>374.54</v>
      </c>
    </row>
    <row r="418" spans="1:3" x14ac:dyDescent="0.2">
      <c r="A418" s="128">
        <v>44978</v>
      </c>
      <c r="B418" s="158">
        <v>5099</v>
      </c>
      <c r="C418" s="154">
        <v>415.31</v>
      </c>
    </row>
    <row r="419" spans="1:3" x14ac:dyDescent="0.2">
      <c r="A419" s="128">
        <v>44979</v>
      </c>
      <c r="B419" s="158">
        <v>5529</v>
      </c>
      <c r="C419" s="154">
        <v>556.47</v>
      </c>
    </row>
    <row r="420" spans="1:3" x14ac:dyDescent="0.2">
      <c r="A420" s="128">
        <v>44980</v>
      </c>
      <c r="B420" s="158">
        <v>5857</v>
      </c>
      <c r="C420" s="154">
        <v>533.99</v>
      </c>
    </row>
    <row r="421" spans="1:3" x14ac:dyDescent="0.2">
      <c r="A421" s="128">
        <v>44981</v>
      </c>
      <c r="B421" s="158">
        <v>4521</v>
      </c>
      <c r="C421" s="154">
        <v>499.27</v>
      </c>
    </row>
    <row r="422" spans="1:3" x14ac:dyDescent="0.2">
      <c r="A422" s="128">
        <v>44982</v>
      </c>
      <c r="B422" s="158">
        <v>3595</v>
      </c>
      <c r="C422" s="154">
        <v>380.31</v>
      </c>
    </row>
    <row r="423" spans="1:3" x14ac:dyDescent="0.2">
      <c r="A423" s="128">
        <v>44983</v>
      </c>
      <c r="B423" s="158">
        <v>5470</v>
      </c>
      <c r="C423" s="154">
        <v>338.42</v>
      </c>
    </row>
    <row r="424" spans="1:3" x14ac:dyDescent="0.2">
      <c r="A424" s="128">
        <v>44984</v>
      </c>
      <c r="B424" s="158">
        <v>5639</v>
      </c>
      <c r="C424" s="154">
        <v>596.05999999999995</v>
      </c>
    </row>
    <row r="425" spans="1:3" x14ac:dyDescent="0.2">
      <c r="A425" s="128">
        <v>44985</v>
      </c>
      <c r="B425" s="158">
        <v>6848</v>
      </c>
      <c r="C425" s="154">
        <v>489.19</v>
      </c>
    </row>
    <row r="426" spans="1:3" x14ac:dyDescent="0.2">
      <c r="A426" s="128">
        <v>44986</v>
      </c>
      <c r="B426" s="158">
        <v>6781</v>
      </c>
      <c r="C426" s="154">
        <v>658.46</v>
      </c>
    </row>
    <row r="427" spans="1:3" x14ac:dyDescent="0.2">
      <c r="A427" s="128">
        <v>44987</v>
      </c>
      <c r="B427" s="158">
        <v>6189</v>
      </c>
      <c r="C427" s="154">
        <v>796.55</v>
      </c>
    </row>
    <row r="428" spans="1:3" x14ac:dyDescent="0.2">
      <c r="A428" s="128">
        <v>44988</v>
      </c>
      <c r="B428" s="158">
        <v>4758</v>
      </c>
      <c r="C428" s="154">
        <v>704.94</v>
      </c>
    </row>
    <row r="429" spans="1:3" x14ac:dyDescent="0.2">
      <c r="A429" s="128">
        <v>44989</v>
      </c>
      <c r="B429" s="158">
        <v>4189</v>
      </c>
      <c r="C429" s="154">
        <v>504.42</v>
      </c>
    </row>
    <row r="430" spans="1:3" x14ac:dyDescent="0.2">
      <c r="A430" s="128">
        <v>44990</v>
      </c>
      <c r="B430" s="158">
        <v>6786</v>
      </c>
      <c r="C430" s="154">
        <v>618.39</v>
      </c>
    </row>
    <row r="431" spans="1:3" x14ac:dyDescent="0.2">
      <c r="A431" s="128">
        <v>44991</v>
      </c>
      <c r="B431" s="158">
        <v>7831</v>
      </c>
      <c r="C431" s="154">
        <v>890.38</v>
      </c>
    </row>
    <row r="432" spans="1:3" x14ac:dyDescent="0.2">
      <c r="A432" s="128">
        <v>44992</v>
      </c>
      <c r="B432" s="158">
        <v>8178</v>
      </c>
      <c r="C432" s="154">
        <v>1272.53</v>
      </c>
    </row>
    <row r="433" spans="1:3" x14ac:dyDescent="0.2">
      <c r="A433" s="128">
        <v>44993</v>
      </c>
      <c r="B433" s="158">
        <v>5944</v>
      </c>
      <c r="C433" s="154">
        <v>1605.07</v>
      </c>
    </row>
    <row r="434" spans="1:3" x14ac:dyDescent="0.2">
      <c r="A434" s="128">
        <v>44994</v>
      </c>
      <c r="B434" s="158">
        <v>5540</v>
      </c>
      <c r="C434" s="154">
        <v>804.32</v>
      </c>
    </row>
    <row r="435" spans="1:3" x14ac:dyDescent="0.2">
      <c r="A435" s="128">
        <v>44995</v>
      </c>
      <c r="B435" s="158">
        <v>4609</v>
      </c>
      <c r="C435" s="154">
        <v>625.32000000000005</v>
      </c>
    </row>
    <row r="436" spans="1:3" x14ac:dyDescent="0.2">
      <c r="A436" s="128">
        <v>44996</v>
      </c>
      <c r="B436" s="158">
        <v>3753</v>
      </c>
      <c r="C436" s="154">
        <v>597.41</v>
      </c>
    </row>
    <row r="437" spans="1:3" x14ac:dyDescent="0.2">
      <c r="A437" s="128">
        <v>44997</v>
      </c>
      <c r="B437" s="158">
        <v>5966</v>
      </c>
      <c r="C437" s="154">
        <v>476.96</v>
      </c>
    </row>
    <row r="438" spans="1:3" x14ac:dyDescent="0.2">
      <c r="A438" s="128">
        <v>44998</v>
      </c>
      <c r="B438" s="158">
        <v>6248</v>
      </c>
      <c r="C438" s="154">
        <v>666.7</v>
      </c>
    </row>
    <row r="439" spans="1:3" x14ac:dyDescent="0.2">
      <c r="A439" s="128">
        <v>44999</v>
      </c>
      <c r="B439" s="158">
        <v>5702</v>
      </c>
      <c r="C439" s="154">
        <v>547.5</v>
      </c>
    </row>
    <row r="440" spans="1:3" x14ac:dyDescent="0.2">
      <c r="A440" s="128">
        <v>45000</v>
      </c>
      <c r="B440" s="158">
        <v>5641</v>
      </c>
      <c r="C440" s="154">
        <v>575.14</v>
      </c>
    </row>
    <row r="441" spans="1:3" x14ac:dyDescent="0.2">
      <c r="A441" s="128">
        <v>45001</v>
      </c>
      <c r="B441" s="158">
        <v>5066</v>
      </c>
      <c r="C441" s="154">
        <v>544.22</v>
      </c>
    </row>
    <row r="442" spans="1:3" x14ac:dyDescent="0.2">
      <c r="A442" s="128">
        <v>45002</v>
      </c>
      <c r="B442" s="158">
        <v>3989</v>
      </c>
      <c r="C442" s="154">
        <v>477.33</v>
      </c>
    </row>
    <row r="443" spans="1:3" x14ac:dyDescent="0.2">
      <c r="A443" s="128">
        <v>45003</v>
      </c>
      <c r="B443" s="158">
        <v>3422</v>
      </c>
      <c r="C443" s="154">
        <v>356.3</v>
      </c>
    </row>
    <row r="444" spans="1:3" x14ac:dyDescent="0.2">
      <c r="A444" s="128">
        <v>45004</v>
      </c>
      <c r="B444" s="158">
        <v>5739</v>
      </c>
      <c r="C444" s="154">
        <v>367.08</v>
      </c>
    </row>
    <row r="445" spans="1:3" x14ac:dyDescent="0.2">
      <c r="A445" s="128">
        <v>45005</v>
      </c>
      <c r="B445" s="158">
        <v>5783</v>
      </c>
      <c r="C445" s="154">
        <v>537.85</v>
      </c>
    </row>
    <row r="446" spans="1:3" x14ac:dyDescent="0.2">
      <c r="A446" s="128">
        <v>45006</v>
      </c>
      <c r="B446" s="158">
        <v>5328</v>
      </c>
      <c r="C446" s="154">
        <v>571.11</v>
      </c>
    </row>
    <row r="447" spans="1:3" x14ac:dyDescent="0.2">
      <c r="A447" s="128">
        <v>45007</v>
      </c>
      <c r="B447" s="158">
        <v>5258</v>
      </c>
      <c r="C447" s="154">
        <v>429.16</v>
      </c>
    </row>
    <row r="448" spans="1:3" x14ac:dyDescent="0.2">
      <c r="A448" s="128">
        <v>45008</v>
      </c>
      <c r="B448" s="158">
        <v>5536</v>
      </c>
      <c r="C448" s="154">
        <v>410.74</v>
      </c>
    </row>
    <row r="449" spans="1:3" x14ac:dyDescent="0.2">
      <c r="A449" s="128">
        <v>45009</v>
      </c>
      <c r="B449" s="158">
        <v>4104</v>
      </c>
      <c r="C449" s="154">
        <v>384.74</v>
      </c>
    </row>
    <row r="450" spans="1:3" x14ac:dyDescent="0.2">
      <c r="A450" s="128">
        <v>45010</v>
      </c>
      <c r="B450" s="158">
        <v>3295</v>
      </c>
      <c r="C450" s="154">
        <v>297.32</v>
      </c>
    </row>
    <row r="451" spans="1:3" x14ac:dyDescent="0.2">
      <c r="A451" s="128">
        <v>45011</v>
      </c>
      <c r="B451" s="158">
        <v>5141</v>
      </c>
      <c r="C451" s="154">
        <v>256.68</v>
      </c>
    </row>
    <row r="452" spans="1:3" x14ac:dyDescent="0.2">
      <c r="A452" s="128">
        <v>45012</v>
      </c>
      <c r="B452" s="158">
        <v>5182</v>
      </c>
      <c r="C452" s="154">
        <v>419.34</v>
      </c>
    </row>
    <row r="453" spans="1:3" x14ac:dyDescent="0.2">
      <c r="A453" s="128">
        <v>45013</v>
      </c>
      <c r="B453" s="158">
        <v>6017</v>
      </c>
      <c r="C453" s="154">
        <v>478.03</v>
      </c>
    </row>
    <row r="454" spans="1:3" x14ac:dyDescent="0.2">
      <c r="A454" s="128">
        <v>45014</v>
      </c>
      <c r="B454" s="158">
        <v>6015</v>
      </c>
      <c r="C454" s="154">
        <v>499.53</v>
      </c>
    </row>
    <row r="455" spans="1:3" x14ac:dyDescent="0.2">
      <c r="A455" s="128">
        <v>45015</v>
      </c>
      <c r="B455" s="158">
        <v>5353</v>
      </c>
      <c r="C455" s="154">
        <v>406.94</v>
      </c>
    </row>
    <row r="456" spans="1:3" x14ac:dyDescent="0.2">
      <c r="A456" s="128">
        <v>45016</v>
      </c>
      <c r="B456" s="158">
        <v>4276</v>
      </c>
      <c r="C456" s="154">
        <v>555</v>
      </c>
    </row>
    <row r="457" spans="1:3" x14ac:dyDescent="0.2">
      <c r="A457" s="128">
        <v>45017</v>
      </c>
      <c r="B457" s="158">
        <v>3518</v>
      </c>
      <c r="C457" s="154">
        <v>329.7</v>
      </c>
    </row>
    <row r="458" spans="1:3" x14ac:dyDescent="0.2">
      <c r="A458" s="128">
        <v>45018</v>
      </c>
      <c r="B458" s="158">
        <v>5346</v>
      </c>
      <c r="C458" s="154">
        <v>329.66</v>
      </c>
    </row>
    <row r="459" spans="1:3" x14ac:dyDescent="0.2">
      <c r="A459" s="128">
        <v>45019</v>
      </c>
      <c r="B459" s="158">
        <v>5473</v>
      </c>
      <c r="C459" s="154">
        <v>437.12</v>
      </c>
    </row>
    <row r="460" spans="1:3" x14ac:dyDescent="0.2">
      <c r="A460" s="128">
        <v>45020</v>
      </c>
      <c r="B460" s="158">
        <v>5556</v>
      </c>
      <c r="C460" s="154">
        <v>592.42999999999995</v>
      </c>
    </row>
    <row r="461" spans="1:3" x14ac:dyDescent="0.2">
      <c r="A461" s="128">
        <v>45021</v>
      </c>
      <c r="B461" s="158">
        <v>6322</v>
      </c>
      <c r="C461" s="154">
        <v>460.87</v>
      </c>
    </row>
    <row r="462" spans="1:3" x14ac:dyDescent="0.2">
      <c r="A462" s="128">
        <v>45022</v>
      </c>
      <c r="B462" s="158">
        <v>3733</v>
      </c>
      <c r="C462" s="154">
        <v>473.4</v>
      </c>
    </row>
    <row r="463" spans="1:3" x14ac:dyDescent="0.2">
      <c r="A463" s="128">
        <v>45023</v>
      </c>
      <c r="B463" s="158">
        <v>3787</v>
      </c>
      <c r="C463" s="154">
        <v>358.73</v>
      </c>
    </row>
    <row r="464" spans="1:3" x14ac:dyDescent="0.2">
      <c r="A464" s="128">
        <v>45024</v>
      </c>
      <c r="B464" s="158">
        <v>2946</v>
      </c>
      <c r="C464" s="154">
        <v>360.65</v>
      </c>
    </row>
    <row r="465" spans="1:3" x14ac:dyDescent="0.2">
      <c r="A465" s="128">
        <v>45025</v>
      </c>
      <c r="B465" s="158">
        <v>5293</v>
      </c>
      <c r="C465" s="154">
        <v>293.31</v>
      </c>
    </row>
    <row r="466" spans="1:3" x14ac:dyDescent="0.2">
      <c r="A466" s="128">
        <v>45026</v>
      </c>
      <c r="B466" s="158">
        <v>6059</v>
      </c>
      <c r="C466" s="154">
        <v>483.58</v>
      </c>
    </row>
    <row r="467" spans="1:3" x14ac:dyDescent="0.2">
      <c r="A467" s="128">
        <v>45027</v>
      </c>
      <c r="B467" s="158">
        <v>7657</v>
      </c>
      <c r="C467" s="154">
        <v>553.20000000000005</v>
      </c>
    </row>
    <row r="468" spans="1:3" x14ac:dyDescent="0.2">
      <c r="A468" s="128">
        <v>45028</v>
      </c>
      <c r="B468" s="158">
        <v>6821</v>
      </c>
      <c r="C468" s="154">
        <v>1081.6300000000001</v>
      </c>
    </row>
    <row r="469" spans="1:3" x14ac:dyDescent="0.2">
      <c r="A469" s="128">
        <v>45029</v>
      </c>
      <c r="B469" s="158">
        <v>6830</v>
      </c>
      <c r="C469" s="154">
        <v>1339.11</v>
      </c>
    </row>
    <row r="470" spans="1:3" x14ac:dyDescent="0.2">
      <c r="A470" s="128">
        <v>45030</v>
      </c>
      <c r="B470" s="158">
        <v>5083</v>
      </c>
      <c r="C470" s="154">
        <v>1378.9</v>
      </c>
    </row>
    <row r="471" spans="1:3" x14ac:dyDescent="0.2">
      <c r="A471" s="128">
        <v>45031</v>
      </c>
      <c r="B471" s="158">
        <v>4517</v>
      </c>
      <c r="C471" s="154">
        <v>1072.79</v>
      </c>
    </row>
    <row r="472" spans="1:3" x14ac:dyDescent="0.2">
      <c r="A472" s="128">
        <v>45032</v>
      </c>
      <c r="B472" s="158">
        <v>6740</v>
      </c>
      <c r="C472" s="154">
        <v>975.99</v>
      </c>
    </row>
    <row r="473" spans="1:3" x14ac:dyDescent="0.2">
      <c r="A473" s="128">
        <v>45033</v>
      </c>
      <c r="B473" s="158">
        <v>7567</v>
      </c>
      <c r="C473" s="154">
        <v>1604.34</v>
      </c>
    </row>
    <row r="474" spans="1:3" x14ac:dyDescent="0.2">
      <c r="A474" s="128">
        <v>45034</v>
      </c>
      <c r="B474" s="158">
        <v>7195</v>
      </c>
      <c r="C474" s="154">
        <v>1698.94</v>
      </c>
    </row>
    <row r="475" spans="1:3" x14ac:dyDescent="0.2">
      <c r="A475" s="128">
        <v>45035</v>
      </c>
      <c r="B475" s="158">
        <v>6997</v>
      </c>
      <c r="C475" s="154">
        <v>1545.65</v>
      </c>
    </row>
    <row r="476" spans="1:3" x14ac:dyDescent="0.2">
      <c r="A476" s="128">
        <v>45036</v>
      </c>
      <c r="B476" s="158">
        <v>4424</v>
      </c>
      <c r="C476" s="154">
        <v>1369.74</v>
      </c>
    </row>
    <row r="477" spans="1:3" x14ac:dyDescent="0.2">
      <c r="A477" s="128">
        <v>45037</v>
      </c>
      <c r="B477" s="158">
        <v>4464</v>
      </c>
      <c r="C477" s="154">
        <v>779.57</v>
      </c>
    </row>
    <row r="478" spans="1:3" x14ac:dyDescent="0.2">
      <c r="A478" s="128">
        <v>45038</v>
      </c>
      <c r="B478" s="158">
        <v>4080</v>
      </c>
      <c r="C478" s="154">
        <v>841.37</v>
      </c>
    </row>
    <row r="479" spans="1:3" x14ac:dyDescent="0.2">
      <c r="A479" s="128">
        <v>45039</v>
      </c>
      <c r="B479" s="158">
        <v>6453</v>
      </c>
      <c r="C479" s="154">
        <v>761.07</v>
      </c>
    </row>
    <row r="480" spans="1:3" x14ac:dyDescent="0.2">
      <c r="A480" s="128">
        <v>45040</v>
      </c>
      <c r="B480" s="158">
        <v>6523</v>
      </c>
      <c r="C480" s="154">
        <v>751.01</v>
      </c>
    </row>
    <row r="481" spans="1:3" x14ac:dyDescent="0.2">
      <c r="A481" s="128">
        <v>45041</v>
      </c>
      <c r="B481" s="158">
        <v>6616</v>
      </c>
      <c r="C481" s="154">
        <v>796.8</v>
      </c>
    </row>
    <row r="482" spans="1:3" x14ac:dyDescent="0.2">
      <c r="A482" s="128">
        <v>45042</v>
      </c>
      <c r="B482" s="158">
        <v>6734</v>
      </c>
      <c r="C482" s="154">
        <v>1138.58</v>
      </c>
    </row>
    <row r="483" spans="1:3" x14ac:dyDescent="0.2">
      <c r="A483" s="128">
        <v>45043</v>
      </c>
      <c r="B483" s="158">
        <v>6476</v>
      </c>
      <c r="C483" s="154">
        <v>1323.75</v>
      </c>
    </row>
    <row r="484" spans="1:3" x14ac:dyDescent="0.2">
      <c r="A484" s="128">
        <v>45044</v>
      </c>
      <c r="B484" s="158">
        <v>4866</v>
      </c>
      <c r="C484" s="154">
        <v>1248.6099999999999</v>
      </c>
    </row>
    <row r="485" spans="1:3" x14ac:dyDescent="0.2">
      <c r="A485" s="128">
        <v>45045</v>
      </c>
      <c r="B485" s="158">
        <v>4288</v>
      </c>
      <c r="C485" s="154">
        <v>816.18</v>
      </c>
    </row>
    <row r="486" spans="1:3" x14ac:dyDescent="0.2">
      <c r="A486" s="128">
        <v>45046</v>
      </c>
      <c r="B486" s="158">
        <v>4948</v>
      </c>
      <c r="C486" s="154">
        <v>1004.03</v>
      </c>
    </row>
    <row r="487" spans="1:3" x14ac:dyDescent="0.2">
      <c r="A487" s="128">
        <v>45047</v>
      </c>
      <c r="B487" s="158">
        <v>8840</v>
      </c>
      <c r="C487" s="154">
        <v>1106.3599999999999</v>
      </c>
    </row>
    <row r="488" spans="1:3" x14ac:dyDescent="0.2">
      <c r="A488" s="128">
        <v>45048</v>
      </c>
      <c r="B488" s="158">
        <v>8727</v>
      </c>
      <c r="C488" s="154">
        <v>2322.44</v>
      </c>
    </row>
    <row r="489" spans="1:3" x14ac:dyDescent="0.2">
      <c r="A489" s="128">
        <v>45049</v>
      </c>
      <c r="B489" s="158">
        <v>8992</v>
      </c>
      <c r="C489" s="154">
        <v>2455.9699999999998</v>
      </c>
    </row>
    <row r="490" spans="1:3" x14ac:dyDescent="0.2">
      <c r="A490" s="128">
        <v>45050</v>
      </c>
      <c r="B490" s="158">
        <v>6631</v>
      </c>
      <c r="C490" s="154">
        <v>1673.25</v>
      </c>
    </row>
    <row r="491" spans="1:3" x14ac:dyDescent="0.2">
      <c r="A491" s="128">
        <v>45051</v>
      </c>
      <c r="B491" s="158">
        <v>6344</v>
      </c>
      <c r="C491" s="154">
        <v>1517.77</v>
      </c>
    </row>
    <row r="492" spans="1:3" x14ac:dyDescent="0.2">
      <c r="A492" s="128">
        <v>45052</v>
      </c>
      <c r="B492" s="158">
        <v>8833</v>
      </c>
      <c r="C492" s="154">
        <v>1202.47</v>
      </c>
    </row>
    <row r="493" spans="1:3" x14ac:dyDescent="0.2">
      <c r="A493" s="128">
        <v>45053</v>
      </c>
      <c r="B493" s="158">
        <v>7942</v>
      </c>
      <c r="C493" s="154">
        <v>1282.32</v>
      </c>
    </row>
    <row r="494" spans="1:3" x14ac:dyDescent="0.2">
      <c r="A494" s="128">
        <v>45054</v>
      </c>
      <c r="B494" s="158">
        <v>6354</v>
      </c>
      <c r="C494" s="154">
        <v>2356.86</v>
      </c>
    </row>
    <row r="495" spans="1:3" x14ac:dyDescent="0.2">
      <c r="A495" s="128">
        <v>45055</v>
      </c>
      <c r="B495" s="158">
        <v>5749</v>
      </c>
      <c r="C495" s="154">
        <v>2350.35</v>
      </c>
    </row>
    <row r="496" spans="1:3" x14ac:dyDescent="0.2">
      <c r="A496" s="128">
        <v>45056</v>
      </c>
      <c r="B496" s="158">
        <v>5291</v>
      </c>
      <c r="C496" s="154">
        <v>3269.82</v>
      </c>
    </row>
    <row r="497" spans="1:3" x14ac:dyDescent="0.2">
      <c r="A497" s="128">
        <v>45057</v>
      </c>
      <c r="B497" s="158">
        <v>3979</v>
      </c>
      <c r="C497" s="154">
        <v>4506.1000000000004</v>
      </c>
    </row>
    <row r="498" spans="1:3" x14ac:dyDescent="0.2">
      <c r="A498" s="128">
        <v>45058</v>
      </c>
      <c r="B498" s="158">
        <v>3383</v>
      </c>
      <c r="C498" s="154">
        <v>2374.61</v>
      </c>
    </row>
    <row r="499" spans="1:3" x14ac:dyDescent="0.2">
      <c r="A499" s="128">
        <v>45059</v>
      </c>
      <c r="B499" s="158">
        <v>5743</v>
      </c>
      <c r="C499" s="154">
        <v>5078.95</v>
      </c>
    </row>
    <row r="500" spans="1:3" x14ac:dyDescent="0.2">
      <c r="A500" s="128">
        <v>45060</v>
      </c>
      <c r="B500" s="158">
        <v>6136</v>
      </c>
      <c r="C500" s="154">
        <v>3910.66</v>
      </c>
    </row>
    <row r="501" spans="1:3" x14ac:dyDescent="0.2">
      <c r="A501" s="128">
        <v>45061</v>
      </c>
      <c r="B501" s="158">
        <v>6345</v>
      </c>
      <c r="C501" s="154">
        <v>720.2</v>
      </c>
    </row>
    <row r="502" spans="1:3" x14ac:dyDescent="0.2">
      <c r="A502" s="128">
        <v>45062</v>
      </c>
      <c r="B502" s="158">
        <v>6574</v>
      </c>
      <c r="C502" s="154">
        <v>680.41</v>
      </c>
    </row>
    <row r="503" spans="1:3" x14ac:dyDescent="0.2">
      <c r="A503" s="128">
        <v>45063</v>
      </c>
      <c r="B503" s="158">
        <v>6805</v>
      </c>
      <c r="C503" s="154">
        <v>632.01</v>
      </c>
    </row>
    <row r="504" spans="1:3" x14ac:dyDescent="0.2">
      <c r="A504" s="128">
        <v>45064</v>
      </c>
      <c r="B504" s="158">
        <v>4432</v>
      </c>
      <c r="C504" s="154">
        <v>426.97</v>
      </c>
    </row>
    <row r="505" spans="1:3" x14ac:dyDescent="0.2">
      <c r="A505" s="128">
        <v>45065</v>
      </c>
      <c r="B505" s="158">
        <v>3985</v>
      </c>
      <c r="C505" s="154">
        <v>361.34</v>
      </c>
    </row>
    <row r="506" spans="1:3" x14ac:dyDescent="0.2">
      <c r="A506" s="128">
        <v>45066</v>
      </c>
      <c r="B506" s="158">
        <v>6289</v>
      </c>
      <c r="C506" s="154">
        <v>372.43</v>
      </c>
    </row>
    <row r="507" spans="1:3" x14ac:dyDescent="0.2">
      <c r="A507" s="128">
        <v>45067</v>
      </c>
      <c r="B507" s="158">
        <v>5843</v>
      </c>
      <c r="C507" s="154">
        <v>297.41000000000003</v>
      </c>
    </row>
    <row r="508" spans="1:3" x14ac:dyDescent="0.2">
      <c r="A508" s="128">
        <v>45068</v>
      </c>
      <c r="B508" s="158">
        <v>5640</v>
      </c>
      <c r="C508" s="154">
        <v>346.89</v>
      </c>
    </row>
    <row r="509" spans="1:3" x14ac:dyDescent="0.2">
      <c r="A509" s="128">
        <v>45069</v>
      </c>
      <c r="B509" s="158">
        <v>6421</v>
      </c>
      <c r="C509" s="154">
        <v>414.94</v>
      </c>
    </row>
    <row r="510" spans="1:3" x14ac:dyDescent="0.2">
      <c r="A510" s="128">
        <v>45070</v>
      </c>
      <c r="B510" s="158">
        <v>6907</v>
      </c>
      <c r="C510" s="154">
        <v>439.74</v>
      </c>
    </row>
    <row r="511" spans="1:3" x14ac:dyDescent="0.2">
      <c r="A511" s="128">
        <v>45071</v>
      </c>
      <c r="B511" s="158">
        <v>4733</v>
      </c>
      <c r="C511" s="154">
        <v>483.56</v>
      </c>
    </row>
    <row r="512" spans="1:3" x14ac:dyDescent="0.2">
      <c r="A512" s="128">
        <v>45072</v>
      </c>
      <c r="B512" s="158">
        <v>4285</v>
      </c>
      <c r="C512" s="154">
        <v>367.61</v>
      </c>
    </row>
    <row r="513" spans="1:3" x14ac:dyDescent="0.2">
      <c r="A513" s="128">
        <v>45073</v>
      </c>
      <c r="B513" s="158">
        <v>7503</v>
      </c>
      <c r="C513" s="154">
        <v>365.87</v>
      </c>
    </row>
    <row r="514" spans="1:3" x14ac:dyDescent="0.2">
      <c r="A514" s="128">
        <v>45074</v>
      </c>
      <c r="B514" s="158">
        <v>7839</v>
      </c>
      <c r="C514" s="154">
        <v>397.45</v>
      </c>
    </row>
    <row r="515" spans="1:3" x14ac:dyDescent="0.2">
      <c r="A515" s="128">
        <v>45075</v>
      </c>
      <c r="B515" s="158">
        <v>7176</v>
      </c>
      <c r="C515" s="154">
        <v>471.42</v>
      </c>
    </row>
    <row r="516" spans="1:3" x14ac:dyDescent="0.2">
      <c r="A516" s="128">
        <v>45076</v>
      </c>
      <c r="B516" s="158">
        <v>5948</v>
      </c>
      <c r="C516" s="154">
        <v>422.43</v>
      </c>
    </row>
    <row r="517" spans="1:3" x14ac:dyDescent="0.2">
      <c r="A517" s="128">
        <v>45077</v>
      </c>
      <c r="B517" s="158">
        <v>7013</v>
      </c>
      <c r="C517" s="154">
        <v>373.62</v>
      </c>
    </row>
    <row r="518" spans="1:3" x14ac:dyDescent="0.2">
      <c r="A518" s="128">
        <v>45078</v>
      </c>
      <c r="B518" s="158">
        <v>5485</v>
      </c>
      <c r="C518" s="154">
        <v>644.13</v>
      </c>
    </row>
    <row r="519" spans="1:3" x14ac:dyDescent="0.2">
      <c r="A519" s="128">
        <v>45079</v>
      </c>
      <c r="B519" s="158">
        <v>5470</v>
      </c>
      <c r="C519" s="154">
        <v>717.73</v>
      </c>
    </row>
    <row r="520" spans="1:3" x14ac:dyDescent="0.2">
      <c r="A520" s="128">
        <v>45080</v>
      </c>
      <c r="B520" s="158">
        <v>6199</v>
      </c>
      <c r="C520" s="154">
        <v>804.5</v>
      </c>
    </row>
    <row r="521" spans="1:3" x14ac:dyDescent="0.2">
      <c r="A521" s="128">
        <v>45081</v>
      </c>
      <c r="B521" s="158">
        <v>5766</v>
      </c>
      <c r="C521" s="154">
        <v>740.84</v>
      </c>
    </row>
    <row r="522" spans="1:3" x14ac:dyDescent="0.2">
      <c r="A522" s="128">
        <v>45082</v>
      </c>
      <c r="B522" s="158">
        <v>5253</v>
      </c>
      <c r="C522" s="154">
        <v>1099.1300000000001</v>
      </c>
    </row>
    <row r="523" spans="1:3" x14ac:dyDescent="0.2">
      <c r="A523" s="128">
        <v>45083</v>
      </c>
      <c r="B523" s="158">
        <v>4757</v>
      </c>
      <c r="C523" s="154">
        <v>1276.1600000000001</v>
      </c>
    </row>
    <row r="524" spans="1:3" x14ac:dyDescent="0.2">
      <c r="A524" s="128">
        <v>45084</v>
      </c>
      <c r="B524" s="158">
        <v>3433</v>
      </c>
      <c r="C524" s="154">
        <v>1472.66</v>
      </c>
    </row>
    <row r="525" spans="1:3" x14ac:dyDescent="0.2">
      <c r="A525" s="128">
        <v>45085</v>
      </c>
      <c r="B525" s="158">
        <v>3013</v>
      </c>
      <c r="C525" s="154">
        <v>1515.41</v>
      </c>
    </row>
    <row r="526" spans="1:3" x14ac:dyDescent="0.2">
      <c r="A526" s="128">
        <v>45086</v>
      </c>
      <c r="B526" s="158">
        <v>4806</v>
      </c>
      <c r="C526" s="154">
        <v>2148.1999999999998</v>
      </c>
    </row>
    <row r="527" spans="1:3" x14ac:dyDescent="0.2">
      <c r="A527" s="128">
        <v>45087</v>
      </c>
      <c r="B527" s="158">
        <v>4779</v>
      </c>
      <c r="C527" s="154">
        <v>1565.7</v>
      </c>
    </row>
    <row r="528" spans="1:3" x14ac:dyDescent="0.2">
      <c r="A528" s="128">
        <v>45088</v>
      </c>
      <c r="B528" s="158">
        <v>4767</v>
      </c>
      <c r="C528" s="154">
        <v>1561.26</v>
      </c>
    </row>
    <row r="529" spans="1:3" x14ac:dyDescent="0.2">
      <c r="A529" s="128">
        <v>45089</v>
      </c>
      <c r="B529" s="158">
        <v>4751</v>
      </c>
      <c r="C529" s="154">
        <v>3859.45</v>
      </c>
    </row>
    <row r="530" spans="1:3" x14ac:dyDescent="0.2">
      <c r="A530" s="128">
        <v>45090</v>
      </c>
      <c r="B530" s="158">
        <v>4391</v>
      </c>
      <c r="C530" s="154">
        <v>553.01</v>
      </c>
    </row>
    <row r="531" spans="1:3" x14ac:dyDescent="0.2">
      <c r="A531" s="128">
        <v>45091</v>
      </c>
      <c r="B531" s="158">
        <v>3355</v>
      </c>
      <c r="C531" s="154">
        <v>576.76</v>
      </c>
    </row>
    <row r="532" spans="1:3" x14ac:dyDescent="0.2">
      <c r="A532" s="128">
        <v>45092</v>
      </c>
      <c r="B532" s="158">
        <v>2929</v>
      </c>
      <c r="C532" s="154">
        <v>615.70000000000005</v>
      </c>
    </row>
    <row r="533" spans="1:3" x14ac:dyDescent="0.2">
      <c r="A533" s="128">
        <v>45093</v>
      </c>
      <c r="B533" s="158">
        <v>6587</v>
      </c>
      <c r="C533" s="154">
        <v>544.71</v>
      </c>
    </row>
    <row r="534" spans="1:3" x14ac:dyDescent="0.2">
      <c r="A534" s="128">
        <v>45094</v>
      </c>
      <c r="B534" s="158">
        <v>6722</v>
      </c>
      <c r="C534" s="154">
        <v>417.07</v>
      </c>
    </row>
    <row r="535" spans="1:3" x14ac:dyDescent="0.2">
      <c r="A535" s="128">
        <v>45095</v>
      </c>
      <c r="B535" s="158">
        <v>5691</v>
      </c>
      <c r="C535" s="154">
        <v>494.97</v>
      </c>
    </row>
    <row r="536" spans="1:3" x14ac:dyDescent="0.2">
      <c r="A536" s="128">
        <v>45096</v>
      </c>
      <c r="B536" s="158">
        <v>5634</v>
      </c>
      <c r="C536" s="154">
        <v>396.89</v>
      </c>
    </row>
    <row r="537" spans="1:3" x14ac:dyDescent="0.2">
      <c r="A537" s="128">
        <v>45097</v>
      </c>
      <c r="B537" s="158">
        <v>5181</v>
      </c>
      <c r="C537" s="154">
        <v>430.55</v>
      </c>
    </row>
    <row r="538" spans="1:3" x14ac:dyDescent="0.2">
      <c r="A538" s="128">
        <v>45098</v>
      </c>
      <c r="B538" s="158">
        <v>3927</v>
      </c>
      <c r="C538" s="154">
        <v>454.33</v>
      </c>
    </row>
    <row r="539" spans="1:3" x14ac:dyDescent="0.2">
      <c r="A539" s="128">
        <v>45099</v>
      </c>
      <c r="B539" s="158">
        <v>3239</v>
      </c>
      <c r="C539" s="154">
        <v>474.16</v>
      </c>
    </row>
    <row r="540" spans="1:3" x14ac:dyDescent="0.2">
      <c r="A540" s="128">
        <v>45100</v>
      </c>
      <c r="B540" s="158">
        <v>5686</v>
      </c>
      <c r="C540" s="154">
        <v>441.79</v>
      </c>
    </row>
    <row r="541" spans="1:3" x14ac:dyDescent="0.2">
      <c r="A541" s="128">
        <v>45101</v>
      </c>
      <c r="B541" s="158">
        <v>5430</v>
      </c>
      <c r="C541" s="154">
        <v>372.46</v>
      </c>
    </row>
    <row r="542" spans="1:3" x14ac:dyDescent="0.2">
      <c r="A542" s="128">
        <v>45102</v>
      </c>
      <c r="B542" s="158">
        <v>5074</v>
      </c>
      <c r="C542" s="154">
        <v>391.29</v>
      </c>
    </row>
    <row r="543" spans="1:3" x14ac:dyDescent="0.2">
      <c r="A543" s="128">
        <v>45103</v>
      </c>
      <c r="B543" s="158">
        <v>5305</v>
      </c>
      <c r="C543" s="154">
        <v>636.51</v>
      </c>
    </row>
    <row r="544" spans="1:3" x14ac:dyDescent="0.2">
      <c r="A544" s="128">
        <v>45104</v>
      </c>
      <c r="B544" s="158">
        <v>5122</v>
      </c>
      <c r="C544" s="154">
        <v>558.16999999999996</v>
      </c>
    </row>
    <row r="545" spans="1:3" x14ac:dyDescent="0.2">
      <c r="A545" s="128">
        <v>45105</v>
      </c>
      <c r="B545" s="158">
        <v>4070</v>
      </c>
      <c r="C545" s="154">
        <v>617.79</v>
      </c>
    </row>
    <row r="546" spans="1:3" x14ac:dyDescent="0.2">
      <c r="A546" s="128">
        <v>45106</v>
      </c>
      <c r="B546" s="158">
        <v>3898</v>
      </c>
      <c r="C546" s="154">
        <v>602.17999999999995</v>
      </c>
    </row>
    <row r="547" spans="1:3" x14ac:dyDescent="0.2">
      <c r="A547" s="128">
        <v>45107</v>
      </c>
      <c r="B547" s="158">
        <v>5968</v>
      </c>
      <c r="C547" s="154">
        <v>464.24</v>
      </c>
    </row>
    <row r="548" spans="1:3" x14ac:dyDescent="0.2">
      <c r="A548" s="128">
        <v>45108</v>
      </c>
      <c r="B548" s="158">
        <v>5753</v>
      </c>
      <c r="C548" s="154">
        <v>468.71</v>
      </c>
    </row>
    <row r="549" spans="1:3" x14ac:dyDescent="0.2">
      <c r="A549" s="128">
        <v>45109</v>
      </c>
      <c r="B549" s="158">
        <v>5662</v>
      </c>
      <c r="C549" s="154">
        <v>446.52</v>
      </c>
    </row>
    <row r="550" spans="1:3" x14ac:dyDescent="0.2">
      <c r="A550" s="128">
        <v>45110</v>
      </c>
      <c r="B550" s="158">
        <v>5299</v>
      </c>
      <c r="C550" s="154">
        <v>532.65</v>
      </c>
    </row>
    <row r="551" spans="1:3" x14ac:dyDescent="0.2">
      <c r="A551" s="128">
        <v>45111</v>
      </c>
      <c r="B551" s="158">
        <v>5028</v>
      </c>
      <c r="C551" s="154">
        <v>713.77</v>
      </c>
    </row>
    <row r="552" spans="1:3" x14ac:dyDescent="0.2">
      <c r="A552" s="128">
        <v>45112</v>
      </c>
      <c r="B552" s="158">
        <v>3757</v>
      </c>
      <c r="C552" s="154">
        <v>745.55</v>
      </c>
    </row>
    <row r="553" spans="1:3" x14ac:dyDescent="0.2">
      <c r="A553" s="128">
        <v>45113</v>
      </c>
      <c r="B553" s="158">
        <v>3159</v>
      </c>
      <c r="C553" s="154">
        <v>798.92</v>
      </c>
    </row>
    <row r="554" spans="1:3" x14ac:dyDescent="0.2">
      <c r="A554" s="128">
        <v>45114</v>
      </c>
      <c r="B554" s="158">
        <v>5415</v>
      </c>
      <c r="C554" s="154">
        <v>719.43</v>
      </c>
    </row>
    <row r="555" spans="1:3" x14ac:dyDescent="0.2">
      <c r="A555" s="128">
        <v>45115</v>
      </c>
      <c r="B555" s="158">
        <v>5161</v>
      </c>
      <c r="C555" s="154">
        <v>843.49</v>
      </c>
    </row>
    <row r="556" spans="1:3" x14ac:dyDescent="0.2">
      <c r="A556" s="128">
        <v>45116</v>
      </c>
      <c r="B556" s="158">
        <v>5204</v>
      </c>
      <c r="C556" s="154">
        <v>1026.8499999999999</v>
      </c>
    </row>
    <row r="557" spans="1:3" x14ac:dyDescent="0.2">
      <c r="A557" s="128">
        <v>45117</v>
      </c>
      <c r="B557" s="158">
        <v>4914</v>
      </c>
      <c r="C557" s="154">
        <v>1164.1400000000001</v>
      </c>
    </row>
    <row r="558" spans="1:3" x14ac:dyDescent="0.2">
      <c r="A558" s="128">
        <v>45118</v>
      </c>
      <c r="B558" s="158">
        <v>5113</v>
      </c>
      <c r="C558" s="154">
        <v>877.59</v>
      </c>
    </row>
    <row r="559" spans="1:3" x14ac:dyDescent="0.2">
      <c r="A559" s="128">
        <v>45119</v>
      </c>
      <c r="B559" s="158">
        <v>3826</v>
      </c>
      <c r="C559" s="154">
        <v>1237.43</v>
      </c>
    </row>
    <row r="560" spans="1:3" x14ac:dyDescent="0.2">
      <c r="A560" s="128">
        <v>45120</v>
      </c>
      <c r="B560" s="158">
        <v>3346</v>
      </c>
      <c r="C560" s="154">
        <v>770.22</v>
      </c>
    </row>
    <row r="561" spans="1:3" x14ac:dyDescent="0.2">
      <c r="A561" s="128">
        <v>45121</v>
      </c>
      <c r="B561" s="158">
        <v>6224</v>
      </c>
      <c r="C561" s="154">
        <v>704.24</v>
      </c>
    </row>
    <row r="562" spans="1:3" x14ac:dyDescent="0.2">
      <c r="A562" s="128">
        <v>45122</v>
      </c>
      <c r="B562" s="158">
        <v>6101</v>
      </c>
      <c r="C562" s="154">
        <v>587.48</v>
      </c>
    </row>
    <row r="563" spans="1:3" x14ac:dyDescent="0.2">
      <c r="A563" s="128">
        <v>45123</v>
      </c>
      <c r="B563" s="158">
        <v>5847</v>
      </c>
      <c r="C563" s="154">
        <v>610.47</v>
      </c>
    </row>
    <row r="564" spans="1:3" x14ac:dyDescent="0.2">
      <c r="A564" s="128">
        <v>45124</v>
      </c>
      <c r="B564" s="158">
        <v>5576</v>
      </c>
      <c r="C564" s="154">
        <v>985.29</v>
      </c>
    </row>
    <row r="565" spans="1:3" x14ac:dyDescent="0.2">
      <c r="A565" s="128">
        <v>45125</v>
      </c>
      <c r="B565" s="158">
        <v>5586</v>
      </c>
      <c r="C565" s="154">
        <v>898.43</v>
      </c>
    </row>
    <row r="566" spans="1:3" x14ac:dyDescent="0.2">
      <c r="A566" s="128">
        <v>45126</v>
      </c>
      <c r="B566" s="158">
        <v>4322</v>
      </c>
      <c r="C566" s="154">
        <v>885.31</v>
      </c>
    </row>
    <row r="567" spans="1:3" x14ac:dyDescent="0.2">
      <c r="A567" s="128">
        <v>45127</v>
      </c>
      <c r="B567" s="158">
        <v>3813</v>
      </c>
      <c r="C567" s="154">
        <v>851.39</v>
      </c>
    </row>
    <row r="568" spans="1:3" x14ac:dyDescent="0.2">
      <c r="A568" s="128">
        <v>45128</v>
      </c>
      <c r="B568" s="158">
        <v>5222</v>
      </c>
      <c r="C568" s="154">
        <v>743.38</v>
      </c>
    </row>
    <row r="569" spans="1:3" x14ac:dyDescent="0.2">
      <c r="A569" s="128">
        <v>45129</v>
      </c>
      <c r="B569" s="158">
        <v>6068</v>
      </c>
      <c r="C569" s="154">
        <v>505.57</v>
      </c>
    </row>
    <row r="570" spans="1:3" x14ac:dyDescent="0.2">
      <c r="A570" s="128">
        <v>45130</v>
      </c>
      <c r="B570" s="158">
        <v>5662</v>
      </c>
      <c r="C570" s="154">
        <v>565.17999999999995</v>
      </c>
    </row>
    <row r="571" spans="1:3" x14ac:dyDescent="0.2">
      <c r="A571" s="128">
        <v>45131</v>
      </c>
      <c r="B571" s="158">
        <v>5839</v>
      </c>
      <c r="C571" s="154">
        <v>840.42</v>
      </c>
    </row>
    <row r="572" spans="1:3" x14ac:dyDescent="0.2">
      <c r="A572" s="128">
        <v>45132</v>
      </c>
      <c r="B572" s="158">
        <v>5278</v>
      </c>
      <c r="C572" s="154">
        <v>712.09</v>
      </c>
    </row>
    <row r="573" spans="1:3" x14ac:dyDescent="0.2">
      <c r="A573" s="128">
        <v>45133</v>
      </c>
      <c r="B573" s="158">
        <v>4620</v>
      </c>
      <c r="C573" s="154">
        <v>726.96</v>
      </c>
    </row>
    <row r="574" spans="1:3" x14ac:dyDescent="0.2">
      <c r="A574" s="128">
        <v>45134</v>
      </c>
      <c r="B574" s="158">
        <v>4169</v>
      </c>
      <c r="C574" s="154">
        <v>711.19</v>
      </c>
    </row>
    <row r="575" spans="1:3" x14ac:dyDescent="0.2">
      <c r="A575" s="128">
        <v>45135</v>
      </c>
      <c r="B575" s="158"/>
      <c r="C575" s="154">
        <v>703.64</v>
      </c>
    </row>
    <row r="576" spans="1:3" x14ac:dyDescent="0.2">
      <c r="A576" s="128">
        <v>45136</v>
      </c>
      <c r="B576" s="158"/>
      <c r="C576" s="154">
        <v>471.07</v>
      </c>
    </row>
    <row r="577" spans="1:3" x14ac:dyDescent="0.2">
      <c r="A577" s="128">
        <v>45137</v>
      </c>
      <c r="B577" s="158"/>
      <c r="C577" s="154">
        <v>531.39</v>
      </c>
    </row>
    <row r="578" spans="1:3" x14ac:dyDescent="0.2">
      <c r="A578" s="128">
        <v>45138</v>
      </c>
      <c r="B578" s="158"/>
      <c r="C578" s="154">
        <v>782.9</v>
      </c>
    </row>
    <row r="579" spans="1:3" x14ac:dyDescent="0.2">
      <c r="A579" s="128">
        <v>45139</v>
      </c>
      <c r="B579" s="158"/>
      <c r="C579" s="154">
        <v>730.78</v>
      </c>
    </row>
    <row r="580" spans="1:3" x14ac:dyDescent="0.2">
      <c r="A580" s="128">
        <v>45140</v>
      </c>
      <c r="B580" s="158"/>
      <c r="C580" s="154">
        <v>837.01</v>
      </c>
    </row>
    <row r="581" spans="1:3" x14ac:dyDescent="0.2">
      <c r="A581" s="128">
        <v>45141</v>
      </c>
      <c r="B581" s="158"/>
      <c r="C581" s="154">
        <v>865.25</v>
      </c>
    </row>
    <row r="582" spans="1:3" x14ac:dyDescent="0.2">
      <c r="A582" s="128">
        <v>45142</v>
      </c>
      <c r="B582" s="158"/>
      <c r="C582" s="154">
        <v>732.61</v>
      </c>
    </row>
    <row r="583" spans="1:3" x14ac:dyDescent="0.2">
      <c r="A583" s="128">
        <v>45143</v>
      </c>
      <c r="B583" s="158"/>
      <c r="C583" s="154">
        <v>645.87</v>
      </c>
    </row>
    <row r="584" spans="1:3" x14ac:dyDescent="0.2">
      <c r="A584" s="128">
        <v>45144</v>
      </c>
      <c r="B584" s="158"/>
      <c r="C584" s="154">
        <v>711.53</v>
      </c>
    </row>
    <row r="585" spans="1:3" x14ac:dyDescent="0.2">
      <c r="A585" s="128">
        <v>45145</v>
      </c>
      <c r="B585" s="158"/>
      <c r="C585" s="154">
        <v>1005.45</v>
      </c>
    </row>
    <row r="586" spans="1:3" x14ac:dyDescent="0.2">
      <c r="A586" s="128">
        <v>45146</v>
      </c>
      <c r="B586" s="158"/>
      <c r="C586" s="154">
        <v>927.51</v>
      </c>
    </row>
    <row r="587" spans="1:3" x14ac:dyDescent="0.2">
      <c r="A587" s="128">
        <v>45147</v>
      </c>
      <c r="B587" s="158"/>
      <c r="C587" s="154">
        <v>899.78</v>
      </c>
    </row>
    <row r="588" spans="1:3" x14ac:dyDescent="0.2">
      <c r="A588" s="128">
        <v>45148</v>
      </c>
      <c r="B588" s="158"/>
      <c r="C588" s="154">
        <v>965.39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03038-7623-4725-8D2D-81D8E812DF7C}">
  <dimension ref="A1:B95"/>
  <sheetViews>
    <sheetView topLeftCell="B1" workbookViewId="0">
      <selection activeCell="B1" sqref="B1"/>
    </sheetView>
  </sheetViews>
  <sheetFormatPr defaultRowHeight="12.75" x14ac:dyDescent="0.2"/>
  <cols>
    <col min="1" max="1" width="24.7109375" bestFit="1" customWidth="1"/>
    <col min="2" max="2" width="16.7109375" bestFit="1" customWidth="1"/>
  </cols>
  <sheetData>
    <row r="1" spans="1:2" x14ac:dyDescent="0.2">
      <c r="A1" t="s">
        <v>42</v>
      </c>
      <c r="B1" t="s">
        <v>43</v>
      </c>
    </row>
    <row r="2" spans="1:2" x14ac:dyDescent="0.2">
      <c r="A2" s="128">
        <v>44911</v>
      </c>
    </row>
    <row r="3" spans="1:2" x14ac:dyDescent="0.2">
      <c r="A3" s="128">
        <v>44914</v>
      </c>
    </row>
    <row r="4" spans="1:2" x14ac:dyDescent="0.2">
      <c r="A4" s="128">
        <v>44915</v>
      </c>
    </row>
    <row r="5" spans="1:2" x14ac:dyDescent="0.2">
      <c r="A5" s="128">
        <v>44916</v>
      </c>
    </row>
    <row r="6" spans="1:2" x14ac:dyDescent="0.2">
      <c r="A6" s="128">
        <v>44917</v>
      </c>
    </row>
    <row r="7" spans="1:2" x14ac:dyDescent="0.2">
      <c r="A7" s="128">
        <v>44918</v>
      </c>
    </row>
    <row r="8" spans="1:2" x14ac:dyDescent="0.2">
      <c r="A8" s="128">
        <v>45036</v>
      </c>
      <c r="B8">
        <v>129.66999999999999</v>
      </c>
    </row>
    <row r="9" spans="1:2" x14ac:dyDescent="0.2">
      <c r="A9" s="128">
        <v>45038</v>
      </c>
      <c r="B9">
        <v>3.52</v>
      </c>
    </row>
    <row r="10" spans="1:2" x14ac:dyDescent="0.2">
      <c r="A10" s="128">
        <v>45039</v>
      </c>
      <c r="B10">
        <v>2.13</v>
      </c>
    </row>
    <row r="11" spans="1:2" x14ac:dyDescent="0.2">
      <c r="A11" s="128">
        <v>45040</v>
      </c>
      <c r="B11">
        <v>65.89</v>
      </c>
    </row>
    <row r="12" spans="1:2" x14ac:dyDescent="0.2">
      <c r="A12" s="128">
        <v>45041</v>
      </c>
      <c r="B12">
        <v>106.95</v>
      </c>
    </row>
    <row r="13" spans="1:2" x14ac:dyDescent="0.2">
      <c r="A13" s="128">
        <v>45042</v>
      </c>
      <c r="B13">
        <v>114.16</v>
      </c>
    </row>
    <row r="14" spans="1:2" x14ac:dyDescent="0.2">
      <c r="A14" s="128">
        <v>45043</v>
      </c>
      <c r="B14">
        <v>129.1</v>
      </c>
    </row>
    <row r="15" spans="1:2" x14ac:dyDescent="0.2">
      <c r="A15" s="128">
        <v>45044</v>
      </c>
      <c r="B15">
        <v>93.03</v>
      </c>
    </row>
    <row r="16" spans="1:2" x14ac:dyDescent="0.2">
      <c r="A16" s="128">
        <v>45045</v>
      </c>
      <c r="B16">
        <v>104.15</v>
      </c>
    </row>
    <row r="17" spans="1:2" x14ac:dyDescent="0.2">
      <c r="A17" s="128">
        <v>45046</v>
      </c>
      <c r="B17">
        <v>23.4</v>
      </c>
    </row>
    <row r="18" spans="1:2" x14ac:dyDescent="0.2">
      <c r="A18" s="128">
        <v>45047</v>
      </c>
      <c r="B18">
        <v>52.11</v>
      </c>
    </row>
    <row r="19" spans="1:2" x14ac:dyDescent="0.2">
      <c r="A19" s="128">
        <v>45048</v>
      </c>
      <c r="B19">
        <v>150</v>
      </c>
    </row>
    <row r="20" spans="1:2" x14ac:dyDescent="0.2">
      <c r="A20" s="128">
        <v>45049</v>
      </c>
      <c r="B20">
        <v>120.83</v>
      </c>
    </row>
    <row r="21" spans="1:2" x14ac:dyDescent="0.2">
      <c r="A21" s="128">
        <v>45050</v>
      </c>
      <c r="B21">
        <v>96.41</v>
      </c>
    </row>
    <row r="22" spans="1:2" x14ac:dyDescent="0.2">
      <c r="A22" s="128">
        <v>45051</v>
      </c>
      <c r="B22">
        <v>71.19</v>
      </c>
    </row>
    <row r="23" spans="1:2" x14ac:dyDescent="0.2">
      <c r="A23" s="128">
        <v>45052</v>
      </c>
      <c r="B23">
        <v>58.47</v>
      </c>
    </row>
    <row r="24" spans="1:2" x14ac:dyDescent="0.2">
      <c r="A24" s="128">
        <v>45053</v>
      </c>
      <c r="B24">
        <v>57.88</v>
      </c>
    </row>
    <row r="25" spans="1:2" x14ac:dyDescent="0.2">
      <c r="A25" s="128">
        <v>45054</v>
      </c>
      <c r="B25">
        <v>25.51</v>
      </c>
    </row>
    <row r="26" spans="1:2" x14ac:dyDescent="0.2">
      <c r="A26" s="128">
        <v>45055</v>
      </c>
      <c r="B26">
        <v>31.57</v>
      </c>
    </row>
    <row r="27" spans="1:2" x14ac:dyDescent="0.2">
      <c r="A27" s="128">
        <v>45056</v>
      </c>
      <c r="B27">
        <v>26.33</v>
      </c>
    </row>
    <row r="28" spans="1:2" x14ac:dyDescent="0.2">
      <c r="A28" s="128">
        <v>45057</v>
      </c>
      <c r="B28">
        <v>12.08</v>
      </c>
    </row>
    <row r="29" spans="1:2" x14ac:dyDescent="0.2">
      <c r="A29" s="128">
        <v>45058</v>
      </c>
      <c r="B29">
        <v>38.049999999999997</v>
      </c>
    </row>
    <row r="30" spans="1:2" x14ac:dyDescent="0.2">
      <c r="A30" s="128">
        <v>45059</v>
      </c>
      <c r="B30">
        <v>2.9</v>
      </c>
    </row>
    <row r="31" spans="1:2" x14ac:dyDescent="0.2">
      <c r="A31" s="128">
        <v>45061</v>
      </c>
      <c r="B31">
        <v>2.76</v>
      </c>
    </row>
    <row r="32" spans="1:2" x14ac:dyDescent="0.2">
      <c r="A32" s="128">
        <v>45062</v>
      </c>
      <c r="B32">
        <v>1.26</v>
      </c>
    </row>
    <row r="33" spans="1:2" x14ac:dyDescent="0.2">
      <c r="A33" s="128">
        <v>45063</v>
      </c>
      <c r="B33">
        <v>3.34</v>
      </c>
    </row>
    <row r="34" spans="1:2" x14ac:dyDescent="0.2">
      <c r="A34" s="128">
        <v>45064</v>
      </c>
      <c r="B34">
        <v>1.45</v>
      </c>
    </row>
    <row r="35" spans="1:2" x14ac:dyDescent="0.2">
      <c r="A35" s="128">
        <v>45065</v>
      </c>
      <c r="B35">
        <v>1.43</v>
      </c>
    </row>
    <row r="36" spans="1:2" x14ac:dyDescent="0.2">
      <c r="A36" s="128">
        <v>45066</v>
      </c>
      <c r="B36">
        <v>1.43</v>
      </c>
    </row>
    <row r="37" spans="1:2" x14ac:dyDescent="0.2">
      <c r="A37" s="128">
        <v>45067</v>
      </c>
      <c r="B37">
        <v>2.61</v>
      </c>
    </row>
    <row r="38" spans="1:2" x14ac:dyDescent="0.2">
      <c r="A38" s="128">
        <v>45069</v>
      </c>
      <c r="B38">
        <v>1.1200000000000001</v>
      </c>
    </row>
    <row r="39" spans="1:2" x14ac:dyDescent="0.2">
      <c r="A39" s="128">
        <v>45070</v>
      </c>
      <c r="B39">
        <v>6.58</v>
      </c>
    </row>
    <row r="40" spans="1:2" x14ac:dyDescent="0.2">
      <c r="A40" s="128">
        <v>45071</v>
      </c>
      <c r="B40">
        <v>1.01</v>
      </c>
    </row>
    <row r="41" spans="1:2" x14ac:dyDescent="0.2">
      <c r="A41" s="128">
        <v>45072</v>
      </c>
      <c r="B41">
        <v>1.1100000000000001</v>
      </c>
    </row>
    <row r="42" spans="1:2" x14ac:dyDescent="0.2">
      <c r="A42" s="128">
        <v>45074</v>
      </c>
      <c r="B42">
        <v>2.13</v>
      </c>
    </row>
    <row r="43" spans="1:2" x14ac:dyDescent="0.2">
      <c r="A43" s="128">
        <v>45075</v>
      </c>
      <c r="B43">
        <v>1.52</v>
      </c>
    </row>
    <row r="44" spans="1:2" x14ac:dyDescent="0.2">
      <c r="A44" s="128">
        <v>45076</v>
      </c>
      <c r="B44">
        <v>1</v>
      </c>
    </row>
    <row r="45" spans="1:2" x14ac:dyDescent="0.2">
      <c r="A45" s="128">
        <v>45077</v>
      </c>
      <c r="B45">
        <v>1.07</v>
      </c>
    </row>
    <row r="46" spans="1:2" x14ac:dyDescent="0.2">
      <c r="A46" s="128">
        <v>45078</v>
      </c>
      <c r="B46">
        <v>0.3</v>
      </c>
    </row>
    <row r="47" spans="1:2" x14ac:dyDescent="0.2">
      <c r="A47" s="128">
        <v>45080</v>
      </c>
      <c r="B47">
        <v>2.9</v>
      </c>
    </row>
    <row r="48" spans="1:2" x14ac:dyDescent="0.2">
      <c r="A48" s="128">
        <v>45082</v>
      </c>
      <c r="B48">
        <v>1.24</v>
      </c>
    </row>
    <row r="49" spans="1:2" x14ac:dyDescent="0.2">
      <c r="A49" s="128">
        <v>45087</v>
      </c>
      <c r="B49">
        <v>0.93</v>
      </c>
    </row>
    <row r="50" spans="1:2" x14ac:dyDescent="0.2">
      <c r="A50" s="128">
        <v>45090</v>
      </c>
      <c r="B50">
        <v>1</v>
      </c>
    </row>
    <row r="51" spans="1:2" x14ac:dyDescent="0.2">
      <c r="A51" s="128">
        <v>45091</v>
      </c>
      <c r="B51">
        <v>0.21</v>
      </c>
    </row>
    <row r="52" spans="1:2" x14ac:dyDescent="0.2">
      <c r="A52" s="128">
        <v>45094</v>
      </c>
      <c r="B52">
        <v>2.2400000000000002</v>
      </c>
    </row>
    <row r="53" spans="1:2" x14ac:dyDescent="0.2">
      <c r="A53" s="128">
        <v>45100</v>
      </c>
      <c r="B53">
        <v>1.45</v>
      </c>
    </row>
    <row r="54" spans="1:2" x14ac:dyDescent="0.2">
      <c r="A54" s="128">
        <v>45106</v>
      </c>
      <c r="B54">
        <v>1.4</v>
      </c>
    </row>
    <row r="55" spans="1:2" x14ac:dyDescent="0.2">
      <c r="A55" s="128">
        <v>45107</v>
      </c>
      <c r="B55">
        <v>5.0599999999999996</v>
      </c>
    </row>
    <row r="56" spans="1:2" x14ac:dyDescent="0.2">
      <c r="A56" s="128">
        <v>45108</v>
      </c>
      <c r="B56">
        <v>5.42</v>
      </c>
    </row>
    <row r="57" spans="1:2" x14ac:dyDescent="0.2">
      <c r="A57" s="128">
        <v>45109</v>
      </c>
      <c r="B57">
        <v>4.8</v>
      </c>
    </row>
    <row r="58" spans="1:2" x14ac:dyDescent="0.2">
      <c r="A58" s="128">
        <v>45110</v>
      </c>
      <c r="B58">
        <v>4.8600000000000003</v>
      </c>
    </row>
    <row r="59" spans="1:2" x14ac:dyDescent="0.2">
      <c r="A59" s="128">
        <v>45111</v>
      </c>
      <c r="B59">
        <v>5.17</v>
      </c>
    </row>
    <row r="60" spans="1:2" x14ac:dyDescent="0.2">
      <c r="A60" s="128">
        <v>45113</v>
      </c>
      <c r="B60">
        <v>5.55</v>
      </c>
    </row>
    <row r="61" spans="1:2" x14ac:dyDescent="0.2">
      <c r="A61" s="128">
        <v>45114</v>
      </c>
      <c r="B61">
        <v>5.0199999999999996</v>
      </c>
    </row>
    <row r="62" spans="1:2" x14ac:dyDescent="0.2">
      <c r="A62" s="128">
        <v>45115</v>
      </c>
      <c r="B62">
        <v>3.04</v>
      </c>
    </row>
    <row r="63" spans="1:2" x14ac:dyDescent="0.2">
      <c r="A63" s="128">
        <v>45116</v>
      </c>
      <c r="B63">
        <v>4.66</v>
      </c>
    </row>
    <row r="64" spans="1:2" x14ac:dyDescent="0.2">
      <c r="A64" s="128">
        <v>45119</v>
      </c>
      <c r="B64">
        <v>0.97</v>
      </c>
    </row>
    <row r="65" spans="1:2" x14ac:dyDescent="0.2">
      <c r="A65" s="128">
        <v>45120</v>
      </c>
      <c r="B65">
        <v>1.1200000000000001</v>
      </c>
    </row>
    <row r="66" spans="1:2" x14ac:dyDescent="0.2">
      <c r="A66" s="128">
        <v>45121</v>
      </c>
      <c r="B66">
        <v>1.05</v>
      </c>
    </row>
    <row r="67" spans="1:2" x14ac:dyDescent="0.2">
      <c r="A67" s="128">
        <v>45122</v>
      </c>
      <c r="B67">
        <v>2.34</v>
      </c>
    </row>
    <row r="68" spans="1:2" x14ac:dyDescent="0.2">
      <c r="A68" s="128">
        <v>45123</v>
      </c>
      <c r="B68">
        <v>4.95</v>
      </c>
    </row>
    <row r="69" spans="1:2" x14ac:dyDescent="0.2">
      <c r="A69" s="128">
        <v>45124</v>
      </c>
      <c r="B69">
        <v>2.1800000000000002</v>
      </c>
    </row>
    <row r="70" spans="1:2" x14ac:dyDescent="0.2">
      <c r="A70" s="128">
        <v>45125</v>
      </c>
      <c r="B70">
        <v>0.38</v>
      </c>
    </row>
    <row r="71" spans="1:2" x14ac:dyDescent="0.2">
      <c r="A71" s="128">
        <v>45126</v>
      </c>
      <c r="B71">
        <v>0.42</v>
      </c>
    </row>
    <row r="72" spans="1:2" x14ac:dyDescent="0.2">
      <c r="A72" s="128">
        <v>45128</v>
      </c>
      <c r="B72">
        <v>1.01</v>
      </c>
    </row>
    <row r="73" spans="1:2" x14ac:dyDescent="0.2">
      <c r="A73" s="128">
        <v>45129</v>
      </c>
      <c r="B73">
        <v>0.99</v>
      </c>
    </row>
    <row r="74" spans="1:2" x14ac:dyDescent="0.2">
      <c r="A74" s="128">
        <v>45130</v>
      </c>
      <c r="B74">
        <v>2.69</v>
      </c>
    </row>
    <row r="75" spans="1:2" x14ac:dyDescent="0.2">
      <c r="A75" s="128">
        <v>45131</v>
      </c>
      <c r="B75">
        <v>0.32</v>
      </c>
    </row>
    <row r="76" spans="1:2" x14ac:dyDescent="0.2">
      <c r="A76" s="128">
        <v>45132</v>
      </c>
      <c r="B76">
        <v>0.96</v>
      </c>
    </row>
    <row r="77" spans="1:2" x14ac:dyDescent="0.2">
      <c r="A77" s="128">
        <v>45133</v>
      </c>
      <c r="B77">
        <v>1.85</v>
      </c>
    </row>
    <row r="78" spans="1:2" x14ac:dyDescent="0.2">
      <c r="A78" s="128">
        <v>45134</v>
      </c>
      <c r="B78">
        <v>1</v>
      </c>
    </row>
    <row r="79" spans="1:2" x14ac:dyDescent="0.2">
      <c r="A79" s="128">
        <v>45135</v>
      </c>
      <c r="B79">
        <v>1.1599999999999999</v>
      </c>
    </row>
    <row r="80" spans="1:2" x14ac:dyDescent="0.2">
      <c r="A80" s="128">
        <v>45136</v>
      </c>
      <c r="B80">
        <v>1.05</v>
      </c>
    </row>
    <row r="81" spans="1:2" x14ac:dyDescent="0.2">
      <c r="A81" s="128">
        <v>45137</v>
      </c>
      <c r="B81">
        <v>4.9800000000000004</v>
      </c>
    </row>
    <row r="82" spans="1:2" x14ac:dyDescent="0.2">
      <c r="A82" s="128">
        <v>45138</v>
      </c>
      <c r="B82">
        <v>2.15</v>
      </c>
    </row>
    <row r="83" spans="1:2" x14ac:dyDescent="0.2">
      <c r="A83" s="128">
        <v>45139</v>
      </c>
      <c r="B83">
        <v>3.43</v>
      </c>
    </row>
    <row r="84" spans="1:2" x14ac:dyDescent="0.2">
      <c r="A84" s="128">
        <v>45140</v>
      </c>
      <c r="B84">
        <v>1.1299999999999999</v>
      </c>
    </row>
    <row r="85" spans="1:2" x14ac:dyDescent="0.2">
      <c r="A85" s="128">
        <v>45143</v>
      </c>
      <c r="B85">
        <v>2.14</v>
      </c>
    </row>
    <row r="86" spans="1:2" x14ac:dyDescent="0.2">
      <c r="A86" s="128">
        <v>45144</v>
      </c>
      <c r="B86">
        <v>0.8</v>
      </c>
    </row>
    <row r="87" spans="1:2" x14ac:dyDescent="0.2">
      <c r="A87" s="128">
        <v>45145</v>
      </c>
      <c r="B87">
        <v>3.02</v>
      </c>
    </row>
    <row r="88" spans="1:2" x14ac:dyDescent="0.2">
      <c r="A88" s="128">
        <v>45146</v>
      </c>
      <c r="B88">
        <v>2.16</v>
      </c>
    </row>
    <row r="89" spans="1:2" x14ac:dyDescent="0.2">
      <c r="A89" s="128">
        <v>45148</v>
      </c>
      <c r="B89">
        <v>1.27</v>
      </c>
    </row>
    <row r="90" spans="1:2" x14ac:dyDescent="0.2">
      <c r="A90" s="128"/>
    </row>
    <row r="91" spans="1:2" x14ac:dyDescent="0.2">
      <c r="A91" s="128"/>
    </row>
    <row r="92" spans="1:2" x14ac:dyDescent="0.2">
      <c r="A92" s="128"/>
    </row>
    <row r="93" spans="1:2" x14ac:dyDescent="0.2">
      <c r="A93" s="128"/>
    </row>
    <row r="94" spans="1:2" x14ac:dyDescent="0.2">
      <c r="A94" s="128"/>
    </row>
    <row r="95" spans="1:2" x14ac:dyDescent="0.2">
      <c r="A95" s="128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71DF9-3190-40B2-90C9-4032573AD169}">
  <dimension ref="A3:F30"/>
  <sheetViews>
    <sheetView topLeftCell="D9" workbookViewId="0">
      <selection activeCell="E24" sqref="E24"/>
    </sheetView>
  </sheetViews>
  <sheetFormatPr defaultRowHeight="12.75" x14ac:dyDescent="0.2"/>
  <cols>
    <col min="1" max="1" width="18.7109375" bestFit="1" customWidth="1"/>
    <col min="2" max="2" width="21.7109375" bestFit="1" customWidth="1"/>
    <col min="3" max="3" width="16.7109375" bestFit="1" customWidth="1"/>
    <col min="4" max="4" width="14.5703125" bestFit="1" customWidth="1"/>
    <col min="5" max="5" width="17.28515625" bestFit="1" customWidth="1"/>
    <col min="6" max="6" width="14.140625" bestFit="1" customWidth="1"/>
  </cols>
  <sheetData>
    <row r="3" spans="1:6" x14ac:dyDescent="0.2">
      <c r="A3" s="144" t="s">
        <v>44</v>
      </c>
      <c r="B3" t="s">
        <v>45</v>
      </c>
      <c r="C3" t="s">
        <v>46</v>
      </c>
      <c r="D3" t="s">
        <v>47</v>
      </c>
      <c r="E3" t="s">
        <v>48</v>
      </c>
      <c r="F3" t="s">
        <v>49</v>
      </c>
    </row>
    <row r="4" spans="1:6" x14ac:dyDescent="0.2">
      <c r="A4" s="140" t="s">
        <v>50</v>
      </c>
    </row>
    <row r="5" spans="1:6" x14ac:dyDescent="0.2">
      <c r="A5" s="155" t="s">
        <v>51</v>
      </c>
      <c r="B5" s="184">
        <v>734495.29000000015</v>
      </c>
      <c r="C5" s="184">
        <v>734200.77000000014</v>
      </c>
      <c r="D5" s="184">
        <v>294.52000000000004</v>
      </c>
      <c r="E5">
        <v>2545</v>
      </c>
      <c r="F5">
        <v>3082</v>
      </c>
    </row>
    <row r="6" spans="1:6" x14ac:dyDescent="0.2">
      <c r="A6" s="155" t="s">
        <v>52</v>
      </c>
      <c r="B6" s="184">
        <v>932931.16999999981</v>
      </c>
      <c r="C6" s="184">
        <v>932586.94999999984</v>
      </c>
      <c r="D6" s="184">
        <v>344.22</v>
      </c>
      <c r="E6">
        <v>3110</v>
      </c>
      <c r="F6">
        <v>3819</v>
      </c>
    </row>
    <row r="7" spans="1:6" x14ac:dyDescent="0.2">
      <c r="A7" s="155" t="s">
        <v>53</v>
      </c>
      <c r="B7" s="184">
        <v>1077514.7199999997</v>
      </c>
      <c r="C7" s="184">
        <v>1077261.3400000001</v>
      </c>
      <c r="D7" s="184">
        <v>253.38</v>
      </c>
      <c r="E7">
        <v>3901</v>
      </c>
      <c r="F7">
        <v>5161</v>
      </c>
    </row>
    <row r="8" spans="1:6" x14ac:dyDescent="0.2">
      <c r="A8" s="155" t="s">
        <v>54</v>
      </c>
      <c r="B8" s="184">
        <v>1192462.82</v>
      </c>
      <c r="C8" s="184">
        <v>1192151.3600000003</v>
      </c>
      <c r="D8" s="184">
        <v>311.45999999999998</v>
      </c>
      <c r="E8">
        <v>4346</v>
      </c>
      <c r="F8">
        <v>5861</v>
      </c>
    </row>
    <row r="9" spans="1:6" x14ac:dyDescent="0.2">
      <c r="A9" s="155" t="s">
        <v>55</v>
      </c>
      <c r="B9" s="184">
        <v>2504733.5500000003</v>
      </c>
      <c r="C9" s="184">
        <v>2504557.9200000004</v>
      </c>
      <c r="D9" s="184">
        <v>175.63000000000002</v>
      </c>
      <c r="E9">
        <v>8271</v>
      </c>
      <c r="F9">
        <v>10149</v>
      </c>
    </row>
    <row r="10" spans="1:6" x14ac:dyDescent="0.2">
      <c r="A10" s="155" t="s">
        <v>56</v>
      </c>
      <c r="B10" s="184">
        <v>1505467.4300000004</v>
      </c>
      <c r="C10" s="184">
        <v>1505191.8399999999</v>
      </c>
      <c r="D10" s="184">
        <v>275.59000000000003</v>
      </c>
      <c r="E10">
        <v>4940</v>
      </c>
      <c r="F10">
        <v>5814</v>
      </c>
    </row>
    <row r="11" spans="1:6" x14ac:dyDescent="0.2">
      <c r="A11" s="155" t="s">
        <v>57</v>
      </c>
      <c r="B11" s="184">
        <v>1090274.3299999998</v>
      </c>
      <c r="C11" s="184">
        <v>1089982.27</v>
      </c>
      <c r="D11" s="184">
        <v>292.05999999999995</v>
      </c>
      <c r="E11">
        <v>3930</v>
      </c>
      <c r="F11">
        <v>4989</v>
      </c>
    </row>
    <row r="12" spans="1:6" x14ac:dyDescent="0.2">
      <c r="A12" s="155" t="s">
        <v>58</v>
      </c>
      <c r="B12" s="184">
        <v>1423209.8800000001</v>
      </c>
      <c r="C12" s="184">
        <v>1423009.2</v>
      </c>
      <c r="D12" s="184">
        <v>200.68</v>
      </c>
      <c r="E12">
        <v>5306</v>
      </c>
      <c r="F12">
        <v>6585</v>
      </c>
    </row>
    <row r="13" spans="1:6" x14ac:dyDescent="0.2">
      <c r="A13" s="155" t="s">
        <v>59</v>
      </c>
      <c r="B13" s="184">
        <v>1500212.96</v>
      </c>
      <c r="C13" s="184">
        <v>1500070.37</v>
      </c>
      <c r="D13" s="184">
        <v>142.59</v>
      </c>
      <c r="E13">
        <v>5790</v>
      </c>
      <c r="F13">
        <v>8221</v>
      </c>
    </row>
    <row r="14" spans="1:6" x14ac:dyDescent="0.2">
      <c r="A14" s="155" t="s">
        <v>60</v>
      </c>
      <c r="B14" s="184">
        <v>1430837.0399999998</v>
      </c>
      <c r="C14" s="184">
        <v>1430558.34</v>
      </c>
      <c r="D14" s="184">
        <v>278.70000000000005</v>
      </c>
      <c r="E14">
        <v>4869</v>
      </c>
      <c r="F14">
        <v>6539</v>
      </c>
    </row>
    <row r="15" spans="1:6" x14ac:dyDescent="0.2">
      <c r="A15" s="155" t="s">
        <v>61</v>
      </c>
      <c r="B15" s="184">
        <v>1836530.5</v>
      </c>
      <c r="C15" s="184">
        <v>1836180.64</v>
      </c>
      <c r="D15" s="184">
        <v>349.86</v>
      </c>
      <c r="E15">
        <v>6556</v>
      </c>
      <c r="F15">
        <v>9839</v>
      </c>
    </row>
    <row r="16" spans="1:6" x14ac:dyDescent="0.2">
      <c r="A16" s="155" t="s">
        <v>62</v>
      </c>
      <c r="B16" s="184">
        <v>3470256.77</v>
      </c>
      <c r="C16" s="184">
        <v>3469620.04</v>
      </c>
      <c r="D16" s="184">
        <v>636.73</v>
      </c>
      <c r="E16">
        <v>10887</v>
      </c>
      <c r="F16">
        <v>14826</v>
      </c>
    </row>
    <row r="17" spans="1:6" x14ac:dyDescent="0.2">
      <c r="A17" s="140" t="s">
        <v>63</v>
      </c>
      <c r="B17" s="184"/>
      <c r="C17" s="184"/>
      <c r="D17" s="184"/>
    </row>
    <row r="18" spans="1:6" x14ac:dyDescent="0.2">
      <c r="A18" s="155" t="s">
        <v>51</v>
      </c>
      <c r="B18" s="184">
        <v>1253345.8</v>
      </c>
      <c r="C18" s="184">
        <v>1253021.2900000003</v>
      </c>
      <c r="D18" s="184">
        <v>324.51000000000005</v>
      </c>
      <c r="E18">
        <v>4374</v>
      </c>
      <c r="F18">
        <v>5430</v>
      </c>
    </row>
    <row r="19" spans="1:6" x14ac:dyDescent="0.2">
      <c r="A19" s="155" t="s">
        <v>52</v>
      </c>
      <c r="B19" s="184">
        <v>1351868.6099999999</v>
      </c>
      <c r="C19" s="184">
        <v>1351463.69</v>
      </c>
      <c r="D19" s="184">
        <v>404.92</v>
      </c>
      <c r="E19">
        <v>4526</v>
      </c>
      <c r="F19">
        <v>5792</v>
      </c>
    </row>
    <row r="20" spans="1:6" x14ac:dyDescent="0.2">
      <c r="A20" s="155" t="s">
        <v>53</v>
      </c>
      <c r="B20" s="184">
        <v>2017380.1000000008</v>
      </c>
      <c r="C20" s="184">
        <v>2016749.9200000006</v>
      </c>
      <c r="D20" s="184">
        <v>630.18000000000018</v>
      </c>
      <c r="E20">
        <v>6471</v>
      </c>
      <c r="F20">
        <v>8675</v>
      </c>
    </row>
    <row r="21" spans="1:6" x14ac:dyDescent="0.2">
      <c r="A21" s="155" t="s">
        <v>54</v>
      </c>
      <c r="B21" s="184">
        <v>2016692.72</v>
      </c>
      <c r="C21" s="184">
        <v>2016186.7700000003</v>
      </c>
      <c r="D21" s="184">
        <v>505.94999999999993</v>
      </c>
      <c r="E21">
        <v>6949</v>
      </c>
      <c r="F21">
        <v>9274</v>
      </c>
    </row>
    <row r="22" spans="1:6" x14ac:dyDescent="0.2">
      <c r="A22" s="155" t="s">
        <v>55</v>
      </c>
      <c r="B22" s="184">
        <v>4675512.3699999982</v>
      </c>
      <c r="C22" s="184">
        <v>4674993.22</v>
      </c>
      <c r="D22" s="184">
        <v>519.15</v>
      </c>
      <c r="E22">
        <v>15193</v>
      </c>
      <c r="F22">
        <v>19197</v>
      </c>
    </row>
    <row r="23" spans="1:6" x14ac:dyDescent="0.2">
      <c r="A23" s="155" t="s">
        <v>56</v>
      </c>
      <c r="B23" s="184">
        <v>2527259.56</v>
      </c>
      <c r="C23" s="184">
        <v>2527005.66</v>
      </c>
      <c r="D23" s="184">
        <v>253.9</v>
      </c>
      <c r="E23">
        <v>8766</v>
      </c>
      <c r="F23">
        <v>10491</v>
      </c>
    </row>
    <row r="24" spans="1:6" x14ac:dyDescent="0.2">
      <c r="A24" s="155" t="s">
        <v>57</v>
      </c>
      <c r="B24" s="184">
        <v>1540566.8000000003</v>
      </c>
      <c r="C24" s="184">
        <v>1540385.8400000003</v>
      </c>
      <c r="D24" s="184">
        <v>180.96</v>
      </c>
      <c r="E24">
        <v>5662</v>
      </c>
      <c r="F24">
        <v>6642</v>
      </c>
    </row>
    <row r="25" spans="1:6" x14ac:dyDescent="0.2">
      <c r="A25" s="155" t="s">
        <v>58</v>
      </c>
      <c r="B25" s="184">
        <v>134881.63</v>
      </c>
      <c r="C25" s="184">
        <v>134881.63</v>
      </c>
      <c r="D25" s="184">
        <v>0</v>
      </c>
      <c r="E25">
        <v>497</v>
      </c>
      <c r="F25">
        <v>578</v>
      </c>
    </row>
    <row r="26" spans="1:6" x14ac:dyDescent="0.2">
      <c r="A26" s="155" t="s">
        <v>59</v>
      </c>
      <c r="B26" s="184">
        <v>0</v>
      </c>
      <c r="C26" s="184">
        <v>0</v>
      </c>
      <c r="D26" s="184">
        <v>0</v>
      </c>
      <c r="E26">
        <v>0</v>
      </c>
      <c r="F26">
        <v>0</v>
      </c>
    </row>
    <row r="27" spans="1:6" x14ac:dyDescent="0.2">
      <c r="A27" s="155" t="s">
        <v>60</v>
      </c>
      <c r="B27" s="184">
        <v>0</v>
      </c>
      <c r="C27" s="184">
        <v>0</v>
      </c>
      <c r="D27" s="184">
        <v>0</v>
      </c>
      <c r="E27">
        <v>0</v>
      </c>
      <c r="F27">
        <v>0</v>
      </c>
    </row>
    <row r="28" spans="1:6" x14ac:dyDescent="0.2">
      <c r="A28" s="155" t="s">
        <v>61</v>
      </c>
      <c r="B28" s="184">
        <v>0</v>
      </c>
      <c r="C28" s="184">
        <v>0</v>
      </c>
      <c r="D28" s="184">
        <v>0</v>
      </c>
      <c r="E28">
        <v>0</v>
      </c>
      <c r="F28">
        <v>0</v>
      </c>
    </row>
    <row r="29" spans="1:6" x14ac:dyDescent="0.2">
      <c r="A29" s="155" t="s">
        <v>62</v>
      </c>
      <c r="B29" s="184">
        <v>0</v>
      </c>
      <c r="C29" s="184">
        <v>0</v>
      </c>
      <c r="D29" s="184">
        <v>0</v>
      </c>
      <c r="E29">
        <v>0</v>
      </c>
      <c r="F29">
        <v>0</v>
      </c>
    </row>
    <row r="30" spans="1:6" x14ac:dyDescent="0.2">
      <c r="A30" s="140" t="s">
        <v>64</v>
      </c>
      <c r="B30" s="184">
        <v>34216434.049999997</v>
      </c>
      <c r="C30" s="184">
        <v>34210059.060000002</v>
      </c>
      <c r="D30" s="184">
        <v>6374.99</v>
      </c>
      <c r="E30">
        <v>116889</v>
      </c>
      <c r="F30">
        <v>150964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AD3A1-7500-4439-9666-8F196E064F72}">
  <dimension ref="A3:G18"/>
  <sheetViews>
    <sheetView workbookViewId="0">
      <selection activeCell="C37" sqref="C37"/>
    </sheetView>
  </sheetViews>
  <sheetFormatPr defaultRowHeight="12.75" x14ac:dyDescent="0.2"/>
  <cols>
    <col min="1" max="1" width="18.7109375" bestFit="1" customWidth="1"/>
    <col min="2" max="2" width="20.140625" bestFit="1" customWidth="1"/>
    <col min="3" max="3" width="17.28515625" bestFit="1" customWidth="1"/>
    <col min="4" max="4" width="12" bestFit="1" customWidth="1"/>
    <col min="5" max="5" width="17.28515625" bestFit="1" customWidth="1"/>
    <col min="6" max="6" width="15.7109375" bestFit="1" customWidth="1"/>
    <col min="7" max="7" width="22.5703125" bestFit="1" customWidth="1"/>
  </cols>
  <sheetData>
    <row r="3" spans="1:7" x14ac:dyDescent="0.2">
      <c r="B3" s="144" t="s">
        <v>65</v>
      </c>
    </row>
    <row r="4" spans="1:7" x14ac:dyDescent="0.2">
      <c r="B4" t="s">
        <v>50</v>
      </c>
      <c r="D4" t="s">
        <v>63</v>
      </c>
      <c r="F4" t="s">
        <v>66</v>
      </c>
      <c r="G4" t="s">
        <v>67</v>
      </c>
    </row>
    <row r="5" spans="1:7" x14ac:dyDescent="0.2">
      <c r="A5" s="144" t="s">
        <v>44</v>
      </c>
      <c r="B5" t="s">
        <v>68</v>
      </c>
      <c r="C5" t="s">
        <v>48</v>
      </c>
      <c r="D5" t="s">
        <v>68</v>
      </c>
      <c r="E5" t="s">
        <v>48</v>
      </c>
    </row>
    <row r="6" spans="1:7" x14ac:dyDescent="0.2">
      <c r="A6" s="140" t="s">
        <v>51</v>
      </c>
      <c r="B6">
        <v>734495.29000000015</v>
      </c>
      <c r="C6">
        <v>2545</v>
      </c>
      <c r="D6">
        <v>1253345.8</v>
      </c>
      <c r="E6">
        <v>4374</v>
      </c>
      <c r="F6">
        <v>1987841.0900000003</v>
      </c>
      <c r="G6">
        <v>6919</v>
      </c>
    </row>
    <row r="7" spans="1:7" x14ac:dyDescent="0.2">
      <c r="A7" s="140" t="s">
        <v>52</v>
      </c>
      <c r="B7">
        <v>932931.16999999981</v>
      </c>
      <c r="C7">
        <v>3110</v>
      </c>
      <c r="D7">
        <v>1351868.6099999999</v>
      </c>
      <c r="E7">
        <v>4526</v>
      </c>
      <c r="F7">
        <v>2284799.7799999998</v>
      </c>
      <c r="G7">
        <v>7636</v>
      </c>
    </row>
    <row r="8" spans="1:7" x14ac:dyDescent="0.2">
      <c r="A8" s="140" t="s">
        <v>53</v>
      </c>
      <c r="B8">
        <v>1077514.7199999997</v>
      </c>
      <c r="C8">
        <v>3901</v>
      </c>
      <c r="D8">
        <v>2017380.1000000008</v>
      </c>
      <c r="E8">
        <v>6471</v>
      </c>
      <c r="F8">
        <v>3094894.8200000003</v>
      </c>
      <c r="G8">
        <v>10372</v>
      </c>
    </row>
    <row r="9" spans="1:7" x14ac:dyDescent="0.2">
      <c r="A9" s="140" t="s">
        <v>54</v>
      </c>
      <c r="B9">
        <v>1192462.82</v>
      </c>
      <c r="C9">
        <v>4346</v>
      </c>
      <c r="D9">
        <v>2016692.72</v>
      </c>
      <c r="E9">
        <v>6949</v>
      </c>
      <c r="F9">
        <v>3209155.54</v>
      </c>
      <c r="G9">
        <v>11295</v>
      </c>
    </row>
    <row r="10" spans="1:7" x14ac:dyDescent="0.2">
      <c r="A10" s="140" t="s">
        <v>55</v>
      </c>
      <c r="B10">
        <v>2504733.5500000003</v>
      </c>
      <c r="C10">
        <v>8271</v>
      </c>
      <c r="D10">
        <v>4675512.3699999982</v>
      </c>
      <c r="E10">
        <v>15193</v>
      </c>
      <c r="F10">
        <v>7180245.9199999981</v>
      </c>
      <c r="G10">
        <v>23464</v>
      </c>
    </row>
    <row r="11" spans="1:7" x14ac:dyDescent="0.2">
      <c r="A11" s="140" t="s">
        <v>56</v>
      </c>
      <c r="B11">
        <v>1505467.4300000004</v>
      </c>
      <c r="C11">
        <v>4940</v>
      </c>
      <c r="D11">
        <v>2527259.56</v>
      </c>
      <c r="E11">
        <v>8766</v>
      </c>
      <c r="F11">
        <v>4032726.99</v>
      </c>
      <c r="G11">
        <v>13706</v>
      </c>
    </row>
    <row r="12" spans="1:7" x14ac:dyDescent="0.2">
      <c r="A12" s="140" t="s">
        <v>57</v>
      </c>
      <c r="B12">
        <v>1090274.3299999998</v>
      </c>
      <c r="C12">
        <v>3930</v>
      </c>
      <c r="D12">
        <v>1540566.8000000003</v>
      </c>
      <c r="E12">
        <v>5662</v>
      </c>
      <c r="F12">
        <v>2630841.13</v>
      </c>
      <c r="G12">
        <v>9592</v>
      </c>
    </row>
    <row r="13" spans="1:7" x14ac:dyDescent="0.2">
      <c r="A13" s="140" t="s">
        <v>58</v>
      </c>
      <c r="B13">
        <v>1423209.8800000001</v>
      </c>
      <c r="C13">
        <v>5306</v>
      </c>
      <c r="D13">
        <v>167070.52000000002</v>
      </c>
      <c r="E13">
        <v>609</v>
      </c>
      <c r="F13">
        <v>1590280.4000000001</v>
      </c>
      <c r="G13">
        <v>5915</v>
      </c>
    </row>
    <row r="14" spans="1:7" x14ac:dyDescent="0.2">
      <c r="A14" s="140" t="s">
        <v>59</v>
      </c>
      <c r="B14">
        <v>1500212.96</v>
      </c>
      <c r="C14">
        <v>5790</v>
      </c>
      <c r="D14">
        <v>0</v>
      </c>
      <c r="E14">
        <v>0</v>
      </c>
      <c r="F14">
        <v>1500212.96</v>
      </c>
      <c r="G14">
        <v>5790</v>
      </c>
    </row>
    <row r="15" spans="1:7" x14ac:dyDescent="0.2">
      <c r="A15" s="140" t="s">
        <v>60</v>
      </c>
      <c r="B15">
        <v>1430837.0399999998</v>
      </c>
      <c r="C15">
        <v>4869</v>
      </c>
      <c r="D15">
        <v>0</v>
      </c>
      <c r="E15">
        <v>0</v>
      </c>
      <c r="F15">
        <v>1430837.0399999998</v>
      </c>
      <c r="G15">
        <v>4869</v>
      </c>
    </row>
    <row r="16" spans="1:7" x14ac:dyDescent="0.2">
      <c r="A16" s="140" t="s">
        <v>61</v>
      </c>
      <c r="B16">
        <v>1836530.5</v>
      </c>
      <c r="C16">
        <v>6556</v>
      </c>
      <c r="D16">
        <v>0</v>
      </c>
      <c r="E16">
        <v>0</v>
      </c>
      <c r="F16">
        <v>1836530.5</v>
      </c>
      <c r="G16">
        <v>6556</v>
      </c>
    </row>
    <row r="17" spans="1:7" x14ac:dyDescent="0.2">
      <c r="A17" s="140" t="s">
        <v>62</v>
      </c>
      <c r="B17">
        <v>3470256.77</v>
      </c>
      <c r="C17">
        <v>10887</v>
      </c>
      <c r="D17">
        <v>0</v>
      </c>
      <c r="E17">
        <v>0</v>
      </c>
      <c r="F17">
        <v>3470256.77</v>
      </c>
      <c r="G17">
        <v>10887</v>
      </c>
    </row>
    <row r="18" spans="1:7" x14ac:dyDescent="0.2">
      <c r="A18" s="140" t="s">
        <v>64</v>
      </c>
      <c r="B18">
        <v>18698926.460000001</v>
      </c>
      <c r="C18">
        <v>64451</v>
      </c>
      <c r="D18">
        <v>15549696.479999999</v>
      </c>
      <c r="E18">
        <v>52550</v>
      </c>
      <c r="F18">
        <v>34248622.939999998</v>
      </c>
      <c r="G18">
        <v>117001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866D5-16AA-4205-A8B4-D332D1D26362}">
  <sheetPr codeName="Planilha2">
    <outlinePr summaryBelow="0" summaryRight="0"/>
  </sheetPr>
  <dimension ref="A1:AG732"/>
  <sheetViews>
    <sheetView showGridLines="0" tabSelected="1" workbookViewId="0">
      <pane xSplit="2" ySplit="2" topLeftCell="G3" activePane="bottomRight" state="frozen"/>
      <selection pane="topRight" activeCell="C1" sqref="C1"/>
      <selection pane="bottomLeft" activeCell="A3" sqref="A3"/>
      <selection pane="bottomRight" activeCell="I3" sqref="I3"/>
    </sheetView>
  </sheetViews>
  <sheetFormatPr defaultColWidth="0" defaultRowHeight="12.75" x14ac:dyDescent="0.2"/>
  <cols>
    <col min="1" max="1" width="12.28515625" bestFit="1" customWidth="1"/>
    <col min="2" max="2" width="10.42578125" bestFit="1" customWidth="1"/>
    <col min="3" max="3" width="13.42578125" bestFit="1" customWidth="1"/>
    <col min="4" max="4" width="13.5703125" bestFit="1" customWidth="1"/>
    <col min="5" max="5" width="10" bestFit="1" customWidth="1"/>
    <col min="6" max="6" width="9.85546875" bestFit="1" customWidth="1"/>
    <col min="7" max="7" width="10" bestFit="1" customWidth="1"/>
    <col min="8" max="8" width="11.7109375" bestFit="1" customWidth="1"/>
    <col min="9" max="9" width="15.85546875" customWidth="1"/>
    <col min="10" max="10" width="10.42578125" bestFit="1" customWidth="1"/>
    <col min="11" max="11" width="9.42578125" customWidth="1"/>
    <col min="12" max="12" width="12" bestFit="1" customWidth="1"/>
    <col min="13" max="13" width="4.7109375" bestFit="1" customWidth="1"/>
    <col min="14" max="14" width="12.42578125" customWidth="1"/>
    <col min="15" max="15" width="13.5703125" bestFit="1" customWidth="1"/>
    <col min="16" max="16" width="6.85546875" customWidth="1"/>
    <col min="17" max="17" width="11.140625" customWidth="1"/>
    <col min="18" max="18" width="10.28515625" customWidth="1"/>
    <col min="19" max="19" width="11.42578125" bestFit="1" customWidth="1"/>
    <col min="20" max="20" width="10.28515625" customWidth="1"/>
    <col min="21" max="21" width="8.140625" customWidth="1"/>
    <col min="22" max="22" width="4.7109375" bestFit="1" customWidth="1"/>
    <col min="23" max="23" width="9.85546875" customWidth="1"/>
    <col min="24" max="24" width="10.28515625" customWidth="1"/>
    <col min="25" max="25" width="8.140625" customWidth="1"/>
    <col min="26" max="26" width="4" customWidth="1"/>
    <col min="27" max="27" width="105.7109375" bestFit="1" customWidth="1"/>
    <col min="28" max="33" width="60.42578125" hidden="1" customWidth="1"/>
    <col min="34" max="16384" width="12.5703125" hidden="1"/>
  </cols>
  <sheetData>
    <row r="1" spans="1:27" ht="61.5" thickBot="1" x14ac:dyDescent="0.25">
      <c r="A1" s="5">
        <f ca="1">TODAY()</f>
        <v>45834</v>
      </c>
      <c r="B1" s="39"/>
      <c r="C1" s="4" t="s">
        <v>69</v>
      </c>
      <c r="D1" s="3"/>
      <c r="E1" s="3"/>
      <c r="F1" s="3"/>
      <c r="G1" s="3"/>
      <c r="H1" s="3"/>
      <c r="I1" s="3"/>
      <c r="J1" s="3"/>
      <c r="K1" s="3"/>
      <c r="L1" s="3"/>
      <c r="M1" s="153" t="s">
        <v>70</v>
      </c>
      <c r="N1" s="4" t="s">
        <v>71</v>
      </c>
      <c r="O1" s="3"/>
      <c r="P1" s="3"/>
      <c r="Q1" s="3"/>
      <c r="R1" s="3"/>
      <c r="S1" s="3"/>
      <c r="T1" s="3"/>
      <c r="U1" s="3"/>
      <c r="V1" s="55" t="s">
        <v>72</v>
      </c>
      <c r="W1" s="4" t="s">
        <v>72</v>
      </c>
      <c r="X1" s="3"/>
      <c r="Y1" s="3"/>
      <c r="Z1" s="3"/>
      <c r="AA1" s="67" t="s">
        <v>73</v>
      </c>
    </row>
    <row r="2" spans="1:27" s="2" customFormat="1" ht="16.5" x14ac:dyDescent="0.35">
      <c r="A2" s="151" t="s">
        <v>74</v>
      </c>
      <c r="B2" s="151" t="s">
        <v>20</v>
      </c>
      <c r="C2" s="151" t="s">
        <v>75</v>
      </c>
      <c r="D2" s="151" t="s">
        <v>76</v>
      </c>
      <c r="E2" s="151" t="s">
        <v>77</v>
      </c>
      <c r="F2" s="151" t="s">
        <v>78</v>
      </c>
      <c r="G2" s="151" t="s">
        <v>79</v>
      </c>
      <c r="H2" s="151" t="s">
        <v>80</v>
      </c>
      <c r="I2" s="151" t="s">
        <v>81</v>
      </c>
      <c r="J2" s="151" t="s">
        <v>82</v>
      </c>
      <c r="K2" s="151" t="s">
        <v>40</v>
      </c>
      <c r="L2" s="152" t="s">
        <v>83</v>
      </c>
      <c r="M2" s="56" t="s">
        <v>84</v>
      </c>
      <c r="N2" s="151" t="s">
        <v>85</v>
      </c>
      <c r="O2" s="151" t="s">
        <v>86</v>
      </c>
      <c r="P2" s="152" t="s">
        <v>87</v>
      </c>
      <c r="Q2" s="152" t="s">
        <v>88</v>
      </c>
      <c r="R2" s="152" t="s">
        <v>89</v>
      </c>
      <c r="S2" s="152" t="s">
        <v>90</v>
      </c>
      <c r="T2" s="152" t="s">
        <v>91</v>
      </c>
      <c r="U2" s="152" t="s">
        <v>92</v>
      </c>
      <c r="V2" s="56"/>
      <c r="W2" s="151" t="s">
        <v>88</v>
      </c>
      <c r="X2" s="151" t="s">
        <v>91</v>
      </c>
      <c r="Y2" s="151" t="s">
        <v>92</v>
      </c>
      <c r="Z2" s="38"/>
      <c r="AA2" s="68" t="s">
        <v>93</v>
      </c>
    </row>
    <row r="3" spans="1:27" s="2" customFormat="1" x14ac:dyDescent="0.2">
      <c r="A3" s="16" t="s">
        <v>94</v>
      </c>
      <c r="B3" s="17">
        <v>44562</v>
      </c>
      <c r="C3" s="19">
        <v>5604.5</v>
      </c>
      <c r="D3" s="52">
        <v>5604.5</v>
      </c>
      <c r="E3" s="52">
        <v>0</v>
      </c>
      <c r="F3" s="157">
        <v>16</v>
      </c>
      <c r="G3" s="157">
        <v>20</v>
      </c>
      <c r="H3" s="35">
        <v>350.28125</v>
      </c>
      <c r="I3" s="19">
        <v>864.09290322580648</v>
      </c>
      <c r="J3" s="111">
        <v>6.4859923962775801</v>
      </c>
      <c r="K3" s="53">
        <v>1451</v>
      </c>
      <c r="L3" s="54">
        <v>1.1026878015161957E-2</v>
      </c>
      <c r="M3" s="59"/>
      <c r="N3" s="69">
        <v>301.44</v>
      </c>
      <c r="O3" s="70">
        <f>SUMIF(Facebook!A:A,'Compilado 2023'!B:B,Facebook!B:B)</f>
        <v>255.52</v>
      </c>
      <c r="P3" s="70">
        <v>0</v>
      </c>
      <c r="Q3" s="70">
        <v>51.612903225806448</v>
      </c>
      <c r="R3" s="202">
        <f>IFERROR(VLOOKUP($B:$B,Tabela_Linkedin[],2,),0)</f>
        <v>0</v>
      </c>
      <c r="S3" s="70">
        <f>SUMIF(TikTok!A:A,'Compilado 2023'!B:B,TikTok!B:B)</f>
        <v>0</v>
      </c>
      <c r="T3" s="70">
        <v>0</v>
      </c>
      <c r="U3" s="70">
        <v>0</v>
      </c>
      <c r="V3" s="59"/>
      <c r="W3" s="70">
        <v>0</v>
      </c>
      <c r="X3" s="70">
        <v>0</v>
      </c>
      <c r="Y3" s="70">
        <v>0</v>
      </c>
      <c r="Z3" s="38"/>
      <c r="AA3" s="40"/>
    </row>
    <row r="4" spans="1:27" s="2" customFormat="1" x14ac:dyDescent="0.2">
      <c r="A4" s="16" t="s">
        <v>95</v>
      </c>
      <c r="B4" s="17">
        <v>44563</v>
      </c>
      <c r="C4" s="19">
        <v>14542.06</v>
      </c>
      <c r="D4" s="52">
        <v>14542.06</v>
      </c>
      <c r="E4" s="52">
        <v>0</v>
      </c>
      <c r="F4" s="157">
        <v>49</v>
      </c>
      <c r="G4" s="157">
        <v>53</v>
      </c>
      <c r="H4" s="35">
        <v>296.77673469387753</v>
      </c>
      <c r="I4" s="19">
        <v>623.00290322580645</v>
      </c>
      <c r="J4" s="111">
        <v>23.341881594296925</v>
      </c>
      <c r="K4" s="53">
        <v>2330</v>
      </c>
      <c r="L4" s="54">
        <v>2.1030042918454936E-2</v>
      </c>
      <c r="M4" s="59"/>
      <c r="N4" s="69">
        <v>407.29</v>
      </c>
      <c r="O4" s="70">
        <f>SUMIF(Facebook!A:A,'Compilado 2023'!B:B,Facebook!B:B)</f>
        <v>82.05</v>
      </c>
      <c r="P4" s="70">
        <v>0</v>
      </c>
      <c r="Q4" s="70">
        <v>51.612903225806448</v>
      </c>
      <c r="R4" s="202">
        <f>IFERROR(VLOOKUP($B:$B,Tabela_Linkedin[],2,),0)</f>
        <v>0</v>
      </c>
      <c r="S4" s="70">
        <f>SUMIF(TikTok!A:A,'Compilado 2023'!B:B,TikTok!B:B)</f>
        <v>0</v>
      </c>
      <c r="T4" s="70">
        <v>0</v>
      </c>
      <c r="U4" s="70">
        <v>0</v>
      </c>
      <c r="V4" s="59"/>
      <c r="W4" s="70">
        <v>0</v>
      </c>
      <c r="X4" s="70">
        <v>0</v>
      </c>
      <c r="Y4" s="70">
        <v>0</v>
      </c>
      <c r="Z4" s="38"/>
      <c r="AA4" s="40"/>
    </row>
    <row r="5" spans="1:27" s="2" customFormat="1" x14ac:dyDescent="0.2">
      <c r="A5" s="16" t="s">
        <v>96</v>
      </c>
      <c r="B5" s="17">
        <v>44564</v>
      </c>
      <c r="C5" s="19">
        <v>32070.35</v>
      </c>
      <c r="D5" s="52">
        <v>32070.35</v>
      </c>
      <c r="E5" s="52">
        <v>0</v>
      </c>
      <c r="F5" s="157">
        <v>110</v>
      </c>
      <c r="G5" s="157">
        <v>132</v>
      </c>
      <c r="H5" s="35">
        <v>291.54863636363638</v>
      </c>
      <c r="I5" s="19">
        <v>495.34290322580648</v>
      </c>
      <c r="J5" s="111">
        <v>64.743735685217729</v>
      </c>
      <c r="K5" s="53">
        <v>3741</v>
      </c>
      <c r="L5" s="54">
        <v>2.9403902699812884E-2</v>
      </c>
      <c r="M5" s="59"/>
      <c r="N5" s="69">
        <v>282.47000000000003</v>
      </c>
      <c r="O5" s="70">
        <f>SUMIF(Facebook!A:A,'Compilado 2023'!B:B,Facebook!B:B)</f>
        <v>80.63</v>
      </c>
      <c r="P5" s="70">
        <v>0</v>
      </c>
      <c r="Q5" s="70">
        <v>51.612903225806448</v>
      </c>
      <c r="R5" s="202">
        <f>IFERROR(VLOOKUP($B:$B,Tabela_Linkedin[],2,),0)</f>
        <v>0</v>
      </c>
      <c r="S5" s="70">
        <f>SUMIF(TikTok!A:A,'Compilado 2023'!B:B,TikTok!B:B)</f>
        <v>0</v>
      </c>
      <c r="T5" s="70">
        <v>0</v>
      </c>
      <c r="U5" s="70">
        <v>0</v>
      </c>
      <c r="V5" s="59"/>
      <c r="W5" s="70">
        <v>0</v>
      </c>
      <c r="X5" s="70">
        <v>0</v>
      </c>
      <c r="Y5" s="70">
        <v>0</v>
      </c>
      <c r="Z5" s="38"/>
      <c r="AA5" s="40"/>
    </row>
    <row r="6" spans="1:27" s="2" customFormat="1" x14ac:dyDescent="0.2">
      <c r="A6" s="16" t="s">
        <v>97</v>
      </c>
      <c r="B6" s="17">
        <v>44565</v>
      </c>
      <c r="C6" s="19">
        <v>29496.3</v>
      </c>
      <c r="D6" s="52">
        <v>29496.3</v>
      </c>
      <c r="E6" s="52">
        <v>0</v>
      </c>
      <c r="F6" s="157">
        <v>90</v>
      </c>
      <c r="G6" s="157">
        <v>113</v>
      </c>
      <c r="H6" s="35">
        <v>327.73666666666668</v>
      </c>
      <c r="I6" s="19">
        <v>327.95290322580644</v>
      </c>
      <c r="J6" s="111">
        <v>89.940658277053942</v>
      </c>
      <c r="K6" s="53">
        <v>3810</v>
      </c>
      <c r="L6" s="54">
        <v>2.3622047244094488E-2</v>
      </c>
      <c r="M6" s="59"/>
      <c r="N6" s="69">
        <v>0</v>
      </c>
      <c r="O6" s="70">
        <f>SUMIF(Facebook!A:A,'Compilado 2023'!B:B,Facebook!B:B)</f>
        <v>138.16999999999999</v>
      </c>
      <c r="P6" s="70">
        <v>0</v>
      </c>
      <c r="Q6" s="70">
        <v>51.612903225806448</v>
      </c>
      <c r="R6" s="202">
        <f>IFERROR(VLOOKUP($B:$B,Tabela_Linkedin[],2,),0)</f>
        <v>0</v>
      </c>
      <c r="S6" s="70">
        <f>SUMIF(TikTok!A:A,'Compilado 2023'!B:B,TikTok!B:B)</f>
        <v>0</v>
      </c>
      <c r="T6" s="70">
        <v>0</v>
      </c>
      <c r="U6" s="70">
        <v>0</v>
      </c>
      <c r="V6" s="59"/>
      <c r="W6" s="70">
        <v>0</v>
      </c>
      <c r="X6" s="70">
        <v>0</v>
      </c>
      <c r="Y6" s="70">
        <v>0</v>
      </c>
      <c r="Z6" s="38"/>
      <c r="AA6" s="40"/>
    </row>
    <row r="7" spans="1:27" s="2" customFormat="1" x14ac:dyDescent="0.2">
      <c r="A7" s="16" t="s">
        <v>98</v>
      </c>
      <c r="B7" s="17">
        <v>44566</v>
      </c>
      <c r="C7" s="19">
        <v>31936.07</v>
      </c>
      <c r="D7" s="52">
        <v>31936.07</v>
      </c>
      <c r="E7" s="52">
        <v>0</v>
      </c>
      <c r="F7" s="157">
        <v>100</v>
      </c>
      <c r="G7" s="157">
        <v>112</v>
      </c>
      <c r="H7" s="35">
        <v>319.36070000000001</v>
      </c>
      <c r="I7" s="19">
        <v>369.33290322580649</v>
      </c>
      <c r="J7" s="111">
        <v>86.469604308378123</v>
      </c>
      <c r="K7" s="53">
        <v>3549</v>
      </c>
      <c r="L7" s="54">
        <v>2.817695125387433E-2</v>
      </c>
      <c r="M7" s="59"/>
      <c r="N7" s="69">
        <v>0</v>
      </c>
      <c r="O7" s="70">
        <f>SUMIF(Facebook!A:A,'Compilado 2023'!B:B,Facebook!B:B)</f>
        <v>158.86000000000001</v>
      </c>
      <c r="P7" s="70">
        <v>0</v>
      </c>
      <c r="Q7" s="70">
        <v>51.612903225806448</v>
      </c>
      <c r="R7" s="202">
        <f>IFERROR(VLOOKUP($B:$B,Tabela_Linkedin[],2,),0)</f>
        <v>0</v>
      </c>
      <c r="S7" s="70">
        <f>SUMIF(TikTok!A:A,'Compilado 2023'!B:B,TikTok!B:B)</f>
        <v>0</v>
      </c>
      <c r="T7" s="70">
        <v>0</v>
      </c>
      <c r="U7" s="70">
        <v>0</v>
      </c>
      <c r="V7" s="59"/>
      <c r="W7" s="70">
        <v>0</v>
      </c>
      <c r="X7" s="70">
        <v>0</v>
      </c>
      <c r="Y7" s="70">
        <v>0</v>
      </c>
      <c r="Z7" s="38"/>
      <c r="AA7" s="40"/>
    </row>
    <row r="8" spans="1:27" s="2" customFormat="1" x14ac:dyDescent="0.2">
      <c r="A8" s="16" t="s">
        <v>99</v>
      </c>
      <c r="B8" s="17">
        <v>44567</v>
      </c>
      <c r="C8" s="19">
        <v>31305.439999999999</v>
      </c>
      <c r="D8" s="52">
        <v>31305.439999999999</v>
      </c>
      <c r="E8" s="52">
        <v>0</v>
      </c>
      <c r="F8" s="157">
        <v>102</v>
      </c>
      <c r="G8" s="157">
        <v>125</v>
      </c>
      <c r="H8" s="35">
        <v>306.91607843137251</v>
      </c>
      <c r="I8" s="19">
        <v>480.43290322580646</v>
      </c>
      <c r="J8" s="111">
        <v>65.160899242752834</v>
      </c>
      <c r="K8" s="53">
        <v>3584</v>
      </c>
      <c r="L8" s="54">
        <v>2.8459821428571428E-2</v>
      </c>
      <c r="M8" s="59"/>
      <c r="N8" s="69">
        <v>0</v>
      </c>
      <c r="O8" s="70">
        <f>SUMIF(Facebook!A:A,'Compilado 2023'!B:B,Facebook!B:B)</f>
        <v>214.41</v>
      </c>
      <c r="P8" s="70">
        <v>0</v>
      </c>
      <c r="Q8" s="70">
        <v>51.612903225806448</v>
      </c>
      <c r="R8" s="202">
        <f>IFERROR(VLOOKUP($B:$B,Tabela_Linkedin[],2,),0)</f>
        <v>0</v>
      </c>
      <c r="S8" s="70">
        <f>SUMIF(TikTok!A:A,'Compilado 2023'!B:B,TikTok!B:B)</f>
        <v>0</v>
      </c>
      <c r="T8" s="70">
        <v>0</v>
      </c>
      <c r="U8" s="70">
        <v>0</v>
      </c>
      <c r="V8" s="59"/>
      <c r="W8" s="70">
        <v>0</v>
      </c>
      <c r="X8" s="70">
        <v>0</v>
      </c>
      <c r="Y8" s="70">
        <v>0</v>
      </c>
      <c r="Z8" s="38"/>
      <c r="AA8" s="40"/>
    </row>
    <row r="9" spans="1:27" s="2" customFormat="1" x14ac:dyDescent="0.2">
      <c r="A9" s="16" t="s">
        <v>100</v>
      </c>
      <c r="B9" s="17">
        <v>44568</v>
      </c>
      <c r="C9" s="19">
        <v>23900.41</v>
      </c>
      <c r="D9" s="52">
        <v>23900.41</v>
      </c>
      <c r="E9" s="52">
        <v>0</v>
      </c>
      <c r="F9" s="157">
        <v>84</v>
      </c>
      <c r="G9" s="157">
        <v>103</v>
      </c>
      <c r="H9" s="35">
        <v>284.52869047619049</v>
      </c>
      <c r="I9" s="19">
        <v>611.81290322580651</v>
      </c>
      <c r="J9" s="111">
        <v>39.064900190865849</v>
      </c>
      <c r="K9" s="53">
        <v>3558</v>
      </c>
      <c r="L9" s="54">
        <v>2.3608768971332208E-2</v>
      </c>
      <c r="M9" s="59"/>
      <c r="N9" s="69">
        <v>0</v>
      </c>
      <c r="O9" s="70">
        <f>SUMIF(Facebook!A:A,'Compilado 2023'!B:B,Facebook!B:B)</f>
        <v>280.10000000000002</v>
      </c>
      <c r="P9" s="70">
        <v>0</v>
      </c>
      <c r="Q9" s="70">
        <v>51.612903225806448</v>
      </c>
      <c r="R9" s="202">
        <f>IFERROR(VLOOKUP($B:$B,Tabela_Linkedin[],2,),0)</f>
        <v>0</v>
      </c>
      <c r="S9" s="70">
        <f>SUMIF(TikTok!A:A,'Compilado 2023'!B:B,TikTok!B:B)</f>
        <v>0</v>
      </c>
      <c r="T9" s="70">
        <v>0</v>
      </c>
      <c r="U9" s="70">
        <v>0</v>
      </c>
      <c r="V9" s="59"/>
      <c r="W9" s="70">
        <v>0</v>
      </c>
      <c r="X9" s="70">
        <v>0</v>
      </c>
      <c r="Y9" s="70">
        <v>0</v>
      </c>
      <c r="Z9" s="38"/>
      <c r="AA9" s="40"/>
    </row>
    <row r="10" spans="1:27" s="2" customFormat="1" x14ac:dyDescent="0.2">
      <c r="A10" s="16" t="s">
        <v>94</v>
      </c>
      <c r="B10" s="17">
        <v>44569</v>
      </c>
      <c r="C10" s="19">
        <v>11335.06</v>
      </c>
      <c r="D10" s="52">
        <v>11298.96</v>
      </c>
      <c r="E10" s="52">
        <v>36.1</v>
      </c>
      <c r="F10" s="157">
        <v>42</v>
      </c>
      <c r="G10" s="157">
        <v>51</v>
      </c>
      <c r="H10" s="35">
        <v>269.88238095238091</v>
      </c>
      <c r="I10" s="19">
        <v>639.21290322580649</v>
      </c>
      <c r="J10" s="111">
        <v>17.732839782797392</v>
      </c>
      <c r="K10" s="53">
        <v>2705</v>
      </c>
      <c r="L10" s="54">
        <v>1.5526802218114602E-2</v>
      </c>
      <c r="M10" s="59"/>
      <c r="N10" s="69">
        <v>0</v>
      </c>
      <c r="O10" s="70">
        <f>SUMIF(Facebook!A:A,'Compilado 2023'!B:B,Facebook!B:B)</f>
        <v>293.8</v>
      </c>
      <c r="P10" s="70">
        <v>0</v>
      </c>
      <c r="Q10" s="70">
        <v>51.612903225806448</v>
      </c>
      <c r="R10" s="202">
        <f>IFERROR(VLOOKUP($B:$B,Tabela_Linkedin[],2,),0)</f>
        <v>0</v>
      </c>
      <c r="S10" s="70">
        <f>SUMIF(TikTok!A:A,'Compilado 2023'!B:B,TikTok!B:B)</f>
        <v>0</v>
      </c>
      <c r="T10" s="70">
        <v>0</v>
      </c>
      <c r="U10" s="70">
        <v>0</v>
      </c>
      <c r="V10" s="59"/>
      <c r="W10" s="70">
        <v>0</v>
      </c>
      <c r="X10" s="70">
        <v>0</v>
      </c>
      <c r="Y10" s="70">
        <v>0</v>
      </c>
      <c r="Z10" s="38"/>
      <c r="AA10" s="40"/>
    </row>
    <row r="11" spans="1:27" s="2" customFormat="1" x14ac:dyDescent="0.2">
      <c r="A11" s="16" t="s">
        <v>95</v>
      </c>
      <c r="B11" s="17">
        <v>44570</v>
      </c>
      <c r="C11" s="19">
        <v>11848.73</v>
      </c>
      <c r="D11" s="52">
        <v>11796.75</v>
      </c>
      <c r="E11" s="52">
        <v>51.98</v>
      </c>
      <c r="F11" s="157">
        <v>40</v>
      </c>
      <c r="G11" s="157">
        <v>43</v>
      </c>
      <c r="H11" s="35">
        <v>296.21825000000001</v>
      </c>
      <c r="I11" s="19">
        <v>659.0729032258065</v>
      </c>
      <c r="J11" s="111">
        <v>17.977874590211272</v>
      </c>
      <c r="K11" s="53">
        <v>2507</v>
      </c>
      <c r="L11" s="54">
        <v>1.5955325089748704E-2</v>
      </c>
      <c r="M11" s="59"/>
      <c r="N11" s="69">
        <v>0</v>
      </c>
      <c r="O11" s="70">
        <f>SUMIF(Facebook!A:A,'Compilado 2023'!B:B,Facebook!B:B)</f>
        <v>303.73</v>
      </c>
      <c r="P11" s="70">
        <v>0</v>
      </c>
      <c r="Q11" s="70">
        <v>51.612903225806448</v>
      </c>
      <c r="R11" s="202">
        <f>IFERROR(VLOOKUP($B:$B,Tabela_Linkedin[],2,),0)</f>
        <v>0</v>
      </c>
      <c r="S11" s="70">
        <f>SUMIF(TikTok!A:A,'Compilado 2023'!B:B,TikTok!B:B)</f>
        <v>0</v>
      </c>
      <c r="T11" s="70">
        <v>0</v>
      </c>
      <c r="U11" s="70">
        <v>0</v>
      </c>
      <c r="V11" s="59"/>
      <c r="W11" s="70">
        <v>0</v>
      </c>
      <c r="X11" s="70">
        <v>0</v>
      </c>
      <c r="Y11" s="70">
        <v>0</v>
      </c>
      <c r="Z11" s="38"/>
      <c r="AA11" s="40"/>
    </row>
    <row r="12" spans="1:27" s="2" customFormat="1" x14ac:dyDescent="0.2">
      <c r="A12" s="16" t="s">
        <v>96</v>
      </c>
      <c r="B12" s="17">
        <v>44571</v>
      </c>
      <c r="C12" s="19">
        <v>30538.06</v>
      </c>
      <c r="D12" s="52">
        <v>30538.06</v>
      </c>
      <c r="E12" s="52">
        <v>0</v>
      </c>
      <c r="F12" s="157">
        <v>106</v>
      </c>
      <c r="G12" s="157">
        <v>120</v>
      </c>
      <c r="H12" s="35">
        <v>288.09490566037738</v>
      </c>
      <c r="I12" s="19">
        <v>648.41290322580642</v>
      </c>
      <c r="J12" s="111">
        <v>47.096626004935132</v>
      </c>
      <c r="K12" s="53">
        <v>3501</v>
      </c>
      <c r="L12" s="54">
        <v>3.0277063696086834E-2</v>
      </c>
      <c r="M12" s="59"/>
      <c r="N12" s="69">
        <v>0</v>
      </c>
      <c r="O12" s="70">
        <f>SUMIF(Facebook!A:A,'Compilado 2023'!B:B,Facebook!B:B)</f>
        <v>298.39999999999998</v>
      </c>
      <c r="P12" s="70">
        <v>0</v>
      </c>
      <c r="Q12" s="70">
        <v>51.612903225806448</v>
      </c>
      <c r="R12" s="202">
        <f>IFERROR(VLOOKUP($B:$B,Tabela_Linkedin[],2,),0)</f>
        <v>0</v>
      </c>
      <c r="S12" s="70">
        <f>SUMIF(TikTok!A:A,'Compilado 2023'!B:B,TikTok!B:B)</f>
        <v>0</v>
      </c>
      <c r="T12" s="70">
        <v>0</v>
      </c>
      <c r="U12" s="70">
        <v>0</v>
      </c>
      <c r="V12" s="59"/>
      <c r="W12" s="70">
        <v>0</v>
      </c>
      <c r="X12" s="70">
        <v>0</v>
      </c>
      <c r="Y12" s="70">
        <v>0</v>
      </c>
      <c r="Z12" s="38"/>
      <c r="AA12" s="40"/>
    </row>
    <row r="13" spans="1:27" s="2" customFormat="1" x14ac:dyDescent="0.2">
      <c r="A13" s="16" t="s">
        <v>97</v>
      </c>
      <c r="B13" s="17">
        <v>44572</v>
      </c>
      <c r="C13" s="19">
        <v>23086.73</v>
      </c>
      <c r="D13" s="52">
        <v>23086.73</v>
      </c>
      <c r="E13" s="52">
        <v>0</v>
      </c>
      <c r="F13" s="157">
        <v>81</v>
      </c>
      <c r="G13" s="157">
        <v>97</v>
      </c>
      <c r="H13" s="35">
        <v>285.02135802469138</v>
      </c>
      <c r="I13" s="19">
        <v>871.80290322580652</v>
      </c>
      <c r="J13" s="111">
        <v>26.481593390633943</v>
      </c>
      <c r="K13" s="53">
        <v>3639</v>
      </c>
      <c r="L13" s="54">
        <v>2.2258862324814509E-2</v>
      </c>
      <c r="M13" s="59"/>
      <c r="N13" s="69">
        <v>528.15</v>
      </c>
      <c r="O13" s="70">
        <f>SUMIF(Facebook!A:A,'Compilado 2023'!B:B,Facebook!B:B)</f>
        <v>146.02000000000001</v>
      </c>
      <c r="P13" s="70">
        <v>0</v>
      </c>
      <c r="Q13" s="70">
        <v>51.612903225806448</v>
      </c>
      <c r="R13" s="202">
        <f>IFERROR(VLOOKUP($B:$B,Tabela_Linkedin[],2,),0)</f>
        <v>0</v>
      </c>
      <c r="S13" s="70">
        <f>SUMIF(TikTok!A:A,'Compilado 2023'!B:B,TikTok!B:B)</f>
        <v>0</v>
      </c>
      <c r="T13" s="70">
        <v>0</v>
      </c>
      <c r="U13" s="70">
        <v>0</v>
      </c>
      <c r="V13" s="59"/>
      <c r="W13" s="70">
        <v>0</v>
      </c>
      <c r="X13" s="70">
        <v>0</v>
      </c>
      <c r="Y13" s="70">
        <v>0</v>
      </c>
      <c r="Z13" s="38"/>
      <c r="AA13" s="40"/>
    </row>
    <row r="14" spans="1:27" s="2" customFormat="1" x14ac:dyDescent="0.2">
      <c r="A14" s="16" t="s">
        <v>98</v>
      </c>
      <c r="B14" s="17">
        <v>44573</v>
      </c>
      <c r="C14" s="19">
        <v>27521.47</v>
      </c>
      <c r="D14" s="52">
        <v>27521.47</v>
      </c>
      <c r="E14" s="52">
        <v>0</v>
      </c>
      <c r="F14" s="157">
        <v>104</v>
      </c>
      <c r="G14" s="157">
        <v>132</v>
      </c>
      <c r="H14" s="35">
        <v>264.62951923076923</v>
      </c>
      <c r="I14" s="19">
        <v>1014.6729032258064</v>
      </c>
      <c r="J14" s="111">
        <v>27.12348966105715</v>
      </c>
      <c r="K14" s="53">
        <v>4033</v>
      </c>
      <c r="L14" s="54">
        <v>2.5787255145053312E-2</v>
      </c>
      <c r="M14" s="59"/>
      <c r="N14" s="69">
        <v>663.54</v>
      </c>
      <c r="O14" s="70">
        <f>SUMIF(Facebook!A:A,'Compilado 2023'!B:B,Facebook!B:B)</f>
        <v>149.76</v>
      </c>
      <c r="P14" s="70">
        <v>0</v>
      </c>
      <c r="Q14" s="70">
        <v>51.612903225806448</v>
      </c>
      <c r="R14" s="202">
        <f>IFERROR(VLOOKUP($B:$B,Tabela_Linkedin[],2,),0)</f>
        <v>0</v>
      </c>
      <c r="S14" s="70">
        <f>SUMIF(TikTok!A:A,'Compilado 2023'!B:B,TikTok!B:B)</f>
        <v>0</v>
      </c>
      <c r="T14" s="70">
        <v>0</v>
      </c>
      <c r="U14" s="70">
        <v>0</v>
      </c>
      <c r="V14" s="59"/>
      <c r="W14" s="70">
        <v>0</v>
      </c>
      <c r="X14" s="70">
        <v>0</v>
      </c>
      <c r="Y14" s="70">
        <v>0</v>
      </c>
      <c r="Z14" s="38"/>
      <c r="AA14" s="40"/>
    </row>
    <row r="15" spans="1:27" s="2" customFormat="1" x14ac:dyDescent="0.2">
      <c r="A15" s="16" t="s">
        <v>99</v>
      </c>
      <c r="B15" s="17">
        <v>44574</v>
      </c>
      <c r="C15" s="19">
        <v>29283.95</v>
      </c>
      <c r="D15" s="52">
        <v>29283.95</v>
      </c>
      <c r="E15" s="52">
        <v>0</v>
      </c>
      <c r="F15" s="157">
        <v>104</v>
      </c>
      <c r="G15" s="157">
        <v>129</v>
      </c>
      <c r="H15" s="35">
        <v>281.57644230769233</v>
      </c>
      <c r="I15" s="19">
        <v>1082.3629032258063</v>
      </c>
      <c r="J15" s="111">
        <v>27.055574348237506</v>
      </c>
      <c r="K15" s="53">
        <v>3773</v>
      </c>
      <c r="L15" s="54">
        <v>2.7564272462231646E-2</v>
      </c>
      <c r="M15" s="59"/>
      <c r="N15" s="69">
        <v>629.92999999999995</v>
      </c>
      <c r="O15" s="70">
        <f>SUMIF(Facebook!A:A,'Compilado 2023'!B:B,Facebook!B:B)</f>
        <v>200.41</v>
      </c>
      <c r="P15" s="70">
        <v>0</v>
      </c>
      <c r="Q15" s="70">
        <v>51.612903225806448</v>
      </c>
      <c r="R15" s="202">
        <f>IFERROR(VLOOKUP($B:$B,Tabela_Linkedin[],2,),0)</f>
        <v>0</v>
      </c>
      <c r="S15" s="70">
        <f>SUMIF(TikTok!A:A,'Compilado 2023'!B:B,TikTok!B:B)</f>
        <v>0</v>
      </c>
      <c r="T15" s="70">
        <v>0</v>
      </c>
      <c r="U15" s="70">
        <v>0</v>
      </c>
      <c r="V15" s="59"/>
      <c r="W15" s="70">
        <v>0</v>
      </c>
      <c r="X15" s="70">
        <v>0</v>
      </c>
      <c r="Y15" s="70">
        <v>0</v>
      </c>
      <c r="Z15" s="38"/>
      <c r="AA15" s="40"/>
    </row>
    <row r="16" spans="1:27" s="2" customFormat="1" x14ac:dyDescent="0.2">
      <c r="A16" s="16" t="s">
        <v>100</v>
      </c>
      <c r="B16" s="17">
        <v>44575</v>
      </c>
      <c r="C16" s="19">
        <v>29457.77</v>
      </c>
      <c r="D16" s="52">
        <v>29457.77</v>
      </c>
      <c r="E16" s="52">
        <v>0</v>
      </c>
      <c r="F16" s="157">
        <v>109</v>
      </c>
      <c r="G16" s="157">
        <v>133</v>
      </c>
      <c r="H16" s="35">
        <v>270.25477064220183</v>
      </c>
      <c r="I16" s="19">
        <v>1021.8629032258065</v>
      </c>
      <c r="J16" s="111">
        <v>28.82751679017607</v>
      </c>
      <c r="K16" s="53">
        <v>3470</v>
      </c>
      <c r="L16" s="54">
        <v>3.1412103746397697E-2</v>
      </c>
      <c r="M16" s="59"/>
      <c r="N16" s="69">
        <v>542.01</v>
      </c>
      <c r="O16" s="70">
        <f>SUMIF(Facebook!A:A,'Compilado 2023'!B:B,Facebook!B:B)</f>
        <v>214.12</v>
      </c>
      <c r="P16" s="70">
        <v>0</v>
      </c>
      <c r="Q16" s="70">
        <v>51.612903225806448</v>
      </c>
      <c r="R16" s="202">
        <f>IFERROR(VLOOKUP($B:$B,Tabela_Linkedin[],2,),0)</f>
        <v>0</v>
      </c>
      <c r="S16" s="70">
        <f>SUMIF(TikTok!A:A,'Compilado 2023'!B:B,TikTok!B:B)</f>
        <v>0</v>
      </c>
      <c r="T16" s="70">
        <v>0</v>
      </c>
      <c r="U16" s="70">
        <v>0</v>
      </c>
      <c r="V16" s="59"/>
      <c r="W16" s="70">
        <v>0</v>
      </c>
      <c r="X16" s="70">
        <v>0</v>
      </c>
      <c r="Y16" s="70">
        <v>0</v>
      </c>
      <c r="Z16" s="38"/>
      <c r="AA16" s="40"/>
    </row>
    <row r="17" spans="1:27" s="2" customFormat="1" x14ac:dyDescent="0.2">
      <c r="A17" s="16" t="s">
        <v>94</v>
      </c>
      <c r="B17" s="17">
        <v>44576</v>
      </c>
      <c r="C17" s="19">
        <v>17356.990000000002</v>
      </c>
      <c r="D17" s="52">
        <v>17288.830000000002</v>
      </c>
      <c r="E17" s="52">
        <v>68.16</v>
      </c>
      <c r="F17" s="157">
        <v>64</v>
      </c>
      <c r="G17" s="157">
        <v>80</v>
      </c>
      <c r="H17" s="35">
        <v>271.20296875000003</v>
      </c>
      <c r="I17" s="19">
        <v>994.23290322580647</v>
      </c>
      <c r="J17" s="111">
        <v>17.457670072761559</v>
      </c>
      <c r="K17" s="53">
        <v>2830</v>
      </c>
      <c r="L17" s="54">
        <v>2.2614840989399292E-2</v>
      </c>
      <c r="M17" s="59"/>
      <c r="N17" s="69">
        <v>504.22</v>
      </c>
      <c r="O17" s="70">
        <f>SUMIF(Facebook!A:A,'Compilado 2023'!B:B,Facebook!B:B)</f>
        <v>219.2</v>
      </c>
      <c r="P17" s="70">
        <v>0</v>
      </c>
      <c r="Q17" s="70">
        <v>51.612903225806448</v>
      </c>
      <c r="R17" s="202">
        <f>IFERROR(VLOOKUP($B:$B,Tabela_Linkedin[],2,),0)</f>
        <v>0</v>
      </c>
      <c r="S17" s="70">
        <f>SUMIF(TikTok!A:A,'Compilado 2023'!B:B,TikTok!B:B)</f>
        <v>0</v>
      </c>
      <c r="T17" s="70">
        <v>0</v>
      </c>
      <c r="U17" s="70">
        <v>0</v>
      </c>
      <c r="V17" s="59"/>
      <c r="W17" s="70">
        <v>0</v>
      </c>
      <c r="X17" s="70">
        <v>0</v>
      </c>
      <c r="Y17" s="70">
        <v>0</v>
      </c>
      <c r="Z17" s="38"/>
      <c r="AA17" s="40"/>
    </row>
    <row r="18" spans="1:27" s="2" customFormat="1" x14ac:dyDescent="0.2">
      <c r="A18" s="16" t="s">
        <v>95</v>
      </c>
      <c r="B18" s="17">
        <v>44577</v>
      </c>
      <c r="C18" s="19">
        <v>16479.939999999999</v>
      </c>
      <c r="D18" s="52">
        <v>16479.939999999999</v>
      </c>
      <c r="E18" s="52">
        <v>0</v>
      </c>
      <c r="F18" s="157">
        <v>57</v>
      </c>
      <c r="G18" s="157">
        <v>67</v>
      </c>
      <c r="H18" s="35">
        <v>289.12175438596489</v>
      </c>
      <c r="I18" s="19">
        <v>855.37290322580645</v>
      </c>
      <c r="J18" s="111">
        <v>19.266380706999701</v>
      </c>
      <c r="K18" s="53">
        <v>2426</v>
      </c>
      <c r="L18" s="54">
        <v>2.3495465787304205E-2</v>
      </c>
      <c r="M18" s="59"/>
      <c r="N18" s="69">
        <v>367.86</v>
      </c>
      <c r="O18" s="70">
        <f>SUMIF(Facebook!A:A,'Compilado 2023'!B:B,Facebook!B:B)</f>
        <v>217.95</v>
      </c>
      <c r="P18" s="70">
        <v>0</v>
      </c>
      <c r="Q18" s="70">
        <v>51.612903225806448</v>
      </c>
      <c r="R18" s="202">
        <f>IFERROR(VLOOKUP($B:$B,Tabela_Linkedin[],2,),0)</f>
        <v>0</v>
      </c>
      <c r="S18" s="70">
        <f>SUMIF(TikTok!A:A,'Compilado 2023'!B:B,TikTok!B:B)</f>
        <v>0</v>
      </c>
      <c r="T18" s="70">
        <v>0</v>
      </c>
      <c r="U18" s="70">
        <v>0</v>
      </c>
      <c r="V18" s="59"/>
      <c r="W18" s="70">
        <v>0</v>
      </c>
      <c r="X18" s="70">
        <v>0</v>
      </c>
      <c r="Y18" s="70">
        <v>0</v>
      </c>
      <c r="Z18" s="38"/>
      <c r="AA18" s="40"/>
    </row>
    <row r="19" spans="1:27" s="2" customFormat="1" x14ac:dyDescent="0.2">
      <c r="A19" s="16" t="s">
        <v>96</v>
      </c>
      <c r="B19" s="17">
        <v>44578</v>
      </c>
      <c r="C19" s="19">
        <v>29037.33</v>
      </c>
      <c r="D19" s="52">
        <v>29037.33</v>
      </c>
      <c r="E19" s="52">
        <v>0</v>
      </c>
      <c r="F19" s="157">
        <v>114</v>
      </c>
      <c r="G19" s="157">
        <v>147</v>
      </c>
      <c r="H19" s="35">
        <v>254.71342105263159</v>
      </c>
      <c r="I19" s="19">
        <v>1122.5129032258064</v>
      </c>
      <c r="J19" s="111">
        <v>25.868148077901253</v>
      </c>
      <c r="K19" s="53">
        <v>4395</v>
      </c>
      <c r="L19" s="54">
        <v>2.5938566552901023E-2</v>
      </c>
      <c r="M19" s="59"/>
      <c r="N19" s="69">
        <v>558.91999999999996</v>
      </c>
      <c r="O19" s="70">
        <f>SUMIF(Facebook!A:A,'Compilado 2023'!B:B,Facebook!B:B)</f>
        <v>255.99</v>
      </c>
      <c r="P19" s="70">
        <v>0</v>
      </c>
      <c r="Q19" s="70">
        <v>51.612903225806448</v>
      </c>
      <c r="R19" s="202">
        <f>IFERROR(VLOOKUP($B:$B,Tabela_Linkedin[],2,),0)</f>
        <v>0</v>
      </c>
      <c r="S19" s="70">
        <f>SUMIF(TikTok!A:A,'Compilado 2023'!B:B,TikTok!B:B)</f>
        <v>0</v>
      </c>
      <c r="T19" s="70">
        <v>0</v>
      </c>
      <c r="U19" s="70">
        <v>0</v>
      </c>
      <c r="V19" s="59"/>
      <c r="W19" s="70">
        <v>0</v>
      </c>
      <c r="X19" s="70">
        <v>0</v>
      </c>
      <c r="Y19" s="70">
        <v>0</v>
      </c>
      <c r="Z19" s="38"/>
      <c r="AA19" s="40"/>
    </row>
    <row r="20" spans="1:27" s="2" customFormat="1" x14ac:dyDescent="0.2">
      <c r="A20" s="16" t="s">
        <v>97</v>
      </c>
      <c r="B20" s="17">
        <v>44579</v>
      </c>
      <c r="C20" s="19">
        <v>23704.3</v>
      </c>
      <c r="D20" s="52">
        <v>23704.3</v>
      </c>
      <c r="E20" s="52">
        <v>0</v>
      </c>
      <c r="F20" s="157">
        <v>84</v>
      </c>
      <c r="G20" s="157">
        <v>104</v>
      </c>
      <c r="H20" s="35">
        <v>282.19404761904764</v>
      </c>
      <c r="I20" s="19">
        <v>954.25290322580645</v>
      </c>
      <c r="J20" s="111">
        <v>24.840689422970307</v>
      </c>
      <c r="K20" s="53">
        <v>3565</v>
      </c>
      <c r="L20" s="54">
        <v>2.356241234221599E-2</v>
      </c>
      <c r="M20" s="59"/>
      <c r="N20" s="69">
        <v>520.02</v>
      </c>
      <c r="O20" s="70">
        <f>SUMIF(Facebook!A:A,'Compilado 2023'!B:B,Facebook!B:B)</f>
        <v>191.31</v>
      </c>
      <c r="P20" s="70">
        <v>0</v>
      </c>
      <c r="Q20" s="70">
        <v>51.612903225806448</v>
      </c>
      <c r="R20" s="202">
        <f>IFERROR(VLOOKUP($B:$B,Tabela_Linkedin[],2,),0)</f>
        <v>0</v>
      </c>
      <c r="S20" s="70">
        <f>SUMIF(TikTok!A:A,'Compilado 2023'!B:B,TikTok!B:B)</f>
        <v>0</v>
      </c>
      <c r="T20" s="70">
        <v>0</v>
      </c>
      <c r="U20" s="70">
        <v>0</v>
      </c>
      <c r="V20" s="59"/>
      <c r="W20" s="70">
        <v>0</v>
      </c>
      <c r="X20" s="70">
        <v>0</v>
      </c>
      <c r="Y20" s="70">
        <v>0</v>
      </c>
      <c r="Z20" s="38"/>
      <c r="AA20" s="40"/>
    </row>
    <row r="21" spans="1:27" s="2" customFormat="1" x14ac:dyDescent="0.2">
      <c r="A21" s="16" t="s">
        <v>98</v>
      </c>
      <c r="B21" s="17">
        <v>44580</v>
      </c>
      <c r="C21" s="19">
        <v>30359.67</v>
      </c>
      <c r="D21" s="52">
        <v>30324.67</v>
      </c>
      <c r="E21" s="52">
        <v>35</v>
      </c>
      <c r="F21" s="157">
        <v>95</v>
      </c>
      <c r="G21" s="157">
        <v>124</v>
      </c>
      <c r="H21" s="35">
        <v>319.57547368421052</v>
      </c>
      <c r="I21" s="19">
        <v>920.61290322580646</v>
      </c>
      <c r="J21" s="111">
        <v>32.977671607274253</v>
      </c>
      <c r="K21" s="53">
        <v>3392</v>
      </c>
      <c r="L21" s="54">
        <v>2.8007075471698114E-2</v>
      </c>
      <c r="M21" s="59"/>
      <c r="N21" s="69">
        <v>488.86</v>
      </c>
      <c r="O21" s="70">
        <f>SUMIF(Facebook!A:A,'Compilado 2023'!B:B,Facebook!B:B)</f>
        <v>190.07</v>
      </c>
      <c r="P21" s="70">
        <v>0</v>
      </c>
      <c r="Q21" s="70">
        <v>51.612903225806448</v>
      </c>
      <c r="R21" s="202">
        <f>IFERROR(VLOOKUP($B:$B,Tabela_Linkedin[],2,),0)</f>
        <v>0</v>
      </c>
      <c r="S21" s="70">
        <f>SUMIF(TikTok!A:A,'Compilado 2023'!B:B,TikTok!B:B)</f>
        <v>0</v>
      </c>
      <c r="T21" s="70">
        <v>0</v>
      </c>
      <c r="U21" s="70">
        <v>0</v>
      </c>
      <c r="V21" s="59"/>
      <c r="W21" s="70">
        <v>0</v>
      </c>
      <c r="X21" s="70">
        <v>0</v>
      </c>
      <c r="Y21" s="70">
        <v>0</v>
      </c>
      <c r="Z21" s="38"/>
      <c r="AA21" s="40"/>
    </row>
    <row r="22" spans="1:27" s="2" customFormat="1" x14ac:dyDescent="0.2">
      <c r="A22" s="16" t="s">
        <v>99</v>
      </c>
      <c r="B22" s="17">
        <v>44581</v>
      </c>
      <c r="C22" s="19">
        <v>23211.75</v>
      </c>
      <c r="D22" s="52">
        <v>23211.75</v>
      </c>
      <c r="E22" s="52">
        <v>0</v>
      </c>
      <c r="F22" s="157">
        <v>84</v>
      </c>
      <c r="G22" s="157">
        <v>104</v>
      </c>
      <c r="H22" s="35">
        <v>276.33035714285717</v>
      </c>
      <c r="I22" s="19">
        <v>911.23290322580647</v>
      </c>
      <c r="J22" s="111">
        <v>25.472905903451615</v>
      </c>
      <c r="K22" s="53">
        <v>3446</v>
      </c>
      <c r="L22" s="54">
        <v>2.4376088218224026E-2</v>
      </c>
      <c r="M22" s="59"/>
      <c r="N22" s="69">
        <v>409.9</v>
      </c>
      <c r="O22" s="70">
        <f>SUMIF(Facebook!A:A,'Compilado 2023'!B:B,Facebook!B:B)</f>
        <v>224.86</v>
      </c>
      <c r="P22" s="70">
        <v>0</v>
      </c>
      <c r="Q22" s="70">
        <v>51.612903225806448</v>
      </c>
      <c r="R22" s="202">
        <f>IFERROR(VLOOKUP($B:$B,Tabela_Linkedin[],2,),0)</f>
        <v>0</v>
      </c>
      <c r="S22" s="70">
        <f>SUMIF(TikTok!A:A,'Compilado 2023'!B:B,TikTok!B:B)</f>
        <v>0</v>
      </c>
      <c r="T22" s="70">
        <v>0</v>
      </c>
      <c r="U22" s="70">
        <v>0</v>
      </c>
      <c r="V22" s="59"/>
      <c r="W22" s="70">
        <v>0</v>
      </c>
      <c r="X22" s="70">
        <v>0</v>
      </c>
      <c r="Y22" s="70">
        <v>0</v>
      </c>
      <c r="Z22" s="38"/>
      <c r="AA22" s="40"/>
    </row>
    <row r="23" spans="1:27" s="2" customFormat="1" x14ac:dyDescent="0.2">
      <c r="A23" s="16" t="s">
        <v>100</v>
      </c>
      <c r="B23" s="17">
        <v>44582</v>
      </c>
      <c r="C23" s="19">
        <v>28186.440000000002</v>
      </c>
      <c r="D23" s="52">
        <v>28164.080000000002</v>
      </c>
      <c r="E23" s="52">
        <v>22.36</v>
      </c>
      <c r="F23" s="157">
        <v>101</v>
      </c>
      <c r="G23" s="157">
        <v>129</v>
      </c>
      <c r="H23" s="35">
        <v>279.07366336633663</v>
      </c>
      <c r="I23" s="19">
        <v>984.34290322580648</v>
      </c>
      <c r="J23" s="111">
        <v>28.634777482145452</v>
      </c>
      <c r="K23" s="53">
        <v>3195</v>
      </c>
      <c r="L23" s="54">
        <v>3.1611893583724571E-2</v>
      </c>
      <c r="M23" s="59"/>
      <c r="N23" s="69">
        <v>367.89</v>
      </c>
      <c r="O23" s="70">
        <f>SUMIF(Facebook!A:A,'Compilado 2023'!B:B,Facebook!B:B)</f>
        <v>282.42</v>
      </c>
      <c r="P23" s="70">
        <v>0</v>
      </c>
      <c r="Q23" s="70">
        <v>51.612903225806448</v>
      </c>
      <c r="R23" s="202">
        <f>IFERROR(VLOOKUP($B:$B,Tabela_Linkedin[],2,),0)</f>
        <v>0</v>
      </c>
      <c r="S23" s="70">
        <f>SUMIF(TikTok!A:A,'Compilado 2023'!B:B,TikTok!B:B)</f>
        <v>0</v>
      </c>
      <c r="T23" s="70">
        <v>0</v>
      </c>
      <c r="U23" s="70">
        <v>0</v>
      </c>
      <c r="V23" s="59"/>
      <c r="W23" s="70">
        <v>0</v>
      </c>
      <c r="X23" s="70">
        <v>0</v>
      </c>
      <c r="Y23" s="70">
        <v>0</v>
      </c>
      <c r="Z23" s="38"/>
      <c r="AA23" s="40"/>
    </row>
    <row r="24" spans="1:27" s="2" customFormat="1" x14ac:dyDescent="0.2">
      <c r="A24" s="16" t="s">
        <v>94</v>
      </c>
      <c r="B24" s="17">
        <v>44583</v>
      </c>
      <c r="C24" s="19">
        <v>17544.060000000001</v>
      </c>
      <c r="D24" s="52">
        <v>17544.060000000001</v>
      </c>
      <c r="E24" s="52">
        <v>0</v>
      </c>
      <c r="F24" s="157">
        <v>55</v>
      </c>
      <c r="G24" s="157">
        <v>62</v>
      </c>
      <c r="H24" s="35">
        <v>318.98290909090912</v>
      </c>
      <c r="I24" s="19">
        <v>879.90290322580643</v>
      </c>
      <c r="J24" s="111">
        <v>19.938631791850934</v>
      </c>
      <c r="K24" s="53">
        <v>2480</v>
      </c>
      <c r="L24" s="54">
        <v>2.2177419354838711E-2</v>
      </c>
      <c r="M24" s="59"/>
      <c r="N24" s="69">
        <v>240.31</v>
      </c>
      <c r="O24" s="70">
        <f>SUMIF(Facebook!A:A,'Compilado 2023'!B:B,Facebook!B:B)</f>
        <v>293.99</v>
      </c>
      <c r="P24" s="70">
        <v>0</v>
      </c>
      <c r="Q24" s="70">
        <v>51.612903225806448</v>
      </c>
      <c r="R24" s="202">
        <f>IFERROR(VLOOKUP($B:$B,Tabela_Linkedin[],2,),0)</f>
        <v>0</v>
      </c>
      <c r="S24" s="70">
        <f>SUMIF(TikTok!A:A,'Compilado 2023'!B:B,TikTok!B:B)</f>
        <v>0</v>
      </c>
      <c r="T24" s="70">
        <v>0</v>
      </c>
      <c r="U24" s="70">
        <v>0</v>
      </c>
      <c r="V24" s="59"/>
      <c r="W24" s="70">
        <v>0</v>
      </c>
      <c r="X24" s="70">
        <v>0</v>
      </c>
      <c r="Y24" s="70">
        <v>0</v>
      </c>
      <c r="Z24" s="38"/>
      <c r="AA24" s="40"/>
    </row>
    <row r="25" spans="1:27" s="2" customFormat="1" x14ac:dyDescent="0.2">
      <c r="A25" s="16" t="s">
        <v>95</v>
      </c>
      <c r="B25" s="17">
        <v>44584</v>
      </c>
      <c r="C25" s="19">
        <v>13039.53</v>
      </c>
      <c r="D25" s="52">
        <v>13039.53</v>
      </c>
      <c r="E25" s="52">
        <v>0</v>
      </c>
      <c r="F25" s="157">
        <v>50</v>
      </c>
      <c r="G25" s="157">
        <v>58</v>
      </c>
      <c r="H25" s="35">
        <v>260.79060000000004</v>
      </c>
      <c r="I25" s="19">
        <v>848.08290322580649</v>
      </c>
      <c r="J25" s="111">
        <v>15.375301106061983</v>
      </c>
      <c r="K25" s="53">
        <v>2195</v>
      </c>
      <c r="L25" s="54">
        <v>2.2779043280182234E-2</v>
      </c>
      <c r="M25" s="59"/>
      <c r="N25" s="69">
        <v>195.31</v>
      </c>
      <c r="O25" s="70">
        <f>SUMIF(Facebook!A:A,'Compilado 2023'!B:B,Facebook!B:B)</f>
        <v>300.58</v>
      </c>
      <c r="P25" s="70">
        <v>0</v>
      </c>
      <c r="Q25" s="70">
        <v>51.612903225806448</v>
      </c>
      <c r="R25" s="202">
        <f>IFERROR(VLOOKUP($B:$B,Tabela_Linkedin[],2,),0)</f>
        <v>0</v>
      </c>
      <c r="S25" s="70">
        <f>SUMIF(TikTok!A:A,'Compilado 2023'!B:B,TikTok!B:B)</f>
        <v>0</v>
      </c>
      <c r="T25" s="70">
        <v>0</v>
      </c>
      <c r="U25" s="70">
        <v>0</v>
      </c>
      <c r="V25" s="59"/>
      <c r="W25" s="70">
        <v>0</v>
      </c>
      <c r="X25" s="70">
        <v>0</v>
      </c>
      <c r="Y25" s="70">
        <v>0</v>
      </c>
      <c r="Z25" s="38"/>
      <c r="AA25" s="40"/>
    </row>
    <row r="26" spans="1:27" s="2" customFormat="1" x14ac:dyDescent="0.2">
      <c r="A26" s="16" t="s">
        <v>96</v>
      </c>
      <c r="B26" s="17">
        <v>44585</v>
      </c>
      <c r="C26" s="19">
        <v>22746.44</v>
      </c>
      <c r="D26" s="52">
        <v>22746.44</v>
      </c>
      <c r="E26" s="52">
        <v>0</v>
      </c>
      <c r="F26" s="157">
        <v>85</v>
      </c>
      <c r="G26" s="157">
        <v>101</v>
      </c>
      <c r="H26" s="35">
        <v>267.60517647058822</v>
      </c>
      <c r="I26" s="19">
        <v>1199.4629032258063</v>
      </c>
      <c r="J26" s="111">
        <v>18.96385452090788</v>
      </c>
      <c r="K26" s="53">
        <v>4190</v>
      </c>
      <c r="L26" s="54">
        <v>2.028639618138425E-2</v>
      </c>
      <c r="M26" s="59"/>
      <c r="N26" s="69">
        <v>368.09</v>
      </c>
      <c r="O26" s="70">
        <f>SUMIF(Facebook!A:A,'Compilado 2023'!B:B,Facebook!B:B)</f>
        <v>389.88</v>
      </c>
      <c r="P26" s="70">
        <v>0</v>
      </c>
      <c r="Q26" s="70">
        <v>51.612903225806448</v>
      </c>
      <c r="R26" s="202">
        <f>IFERROR(VLOOKUP($B:$B,Tabela_Linkedin[],2,),0)</f>
        <v>0</v>
      </c>
      <c r="S26" s="70">
        <f>SUMIF(TikTok!A:A,'Compilado 2023'!B:B,TikTok!B:B)</f>
        <v>0</v>
      </c>
      <c r="T26" s="70">
        <v>0</v>
      </c>
      <c r="U26" s="70">
        <v>0</v>
      </c>
      <c r="V26" s="59"/>
      <c r="W26" s="70">
        <v>0</v>
      </c>
      <c r="X26" s="70">
        <v>0</v>
      </c>
      <c r="Y26" s="70">
        <v>0</v>
      </c>
      <c r="Z26" s="38"/>
      <c r="AA26" s="40"/>
    </row>
    <row r="27" spans="1:27" s="2" customFormat="1" x14ac:dyDescent="0.2">
      <c r="A27" s="16" t="s">
        <v>97</v>
      </c>
      <c r="B27" s="17">
        <v>44586</v>
      </c>
      <c r="C27" s="19">
        <v>22863.53</v>
      </c>
      <c r="D27" s="52">
        <v>22863.53</v>
      </c>
      <c r="E27" s="52">
        <v>0</v>
      </c>
      <c r="F27" s="157">
        <v>81</v>
      </c>
      <c r="G27" s="157">
        <v>96</v>
      </c>
      <c r="H27" s="35">
        <v>282.26580246913579</v>
      </c>
      <c r="I27" s="19">
        <v>1261.3729032258063</v>
      </c>
      <c r="J27" s="111">
        <v>18.125908636160908</v>
      </c>
      <c r="K27" s="53">
        <v>3729</v>
      </c>
      <c r="L27" s="54">
        <v>2.1721641190667738E-2</v>
      </c>
      <c r="M27" s="59"/>
      <c r="N27" s="69">
        <v>350.74</v>
      </c>
      <c r="O27" s="70">
        <f>SUMIF(Facebook!A:A,'Compilado 2023'!B:B,Facebook!B:B)</f>
        <v>429.51</v>
      </c>
      <c r="P27" s="70">
        <v>0</v>
      </c>
      <c r="Q27" s="70">
        <v>51.612903225806448</v>
      </c>
      <c r="R27" s="202">
        <f>IFERROR(VLOOKUP($B:$B,Tabela_Linkedin[],2,),0)</f>
        <v>0</v>
      </c>
      <c r="S27" s="70">
        <f>SUMIF(TikTok!A:A,'Compilado 2023'!B:B,TikTok!B:B)</f>
        <v>0</v>
      </c>
      <c r="T27" s="70">
        <v>0</v>
      </c>
      <c r="U27" s="70">
        <v>0</v>
      </c>
      <c r="V27" s="59"/>
      <c r="W27" s="70">
        <v>0</v>
      </c>
      <c r="X27" s="70">
        <v>0</v>
      </c>
      <c r="Y27" s="70">
        <v>0</v>
      </c>
      <c r="Z27" s="38"/>
      <c r="AA27" s="40"/>
    </row>
    <row r="28" spans="1:27" s="2" customFormat="1" x14ac:dyDescent="0.2">
      <c r="A28" s="16" t="s">
        <v>98</v>
      </c>
      <c r="B28" s="17">
        <v>44587</v>
      </c>
      <c r="C28" s="19">
        <v>31040.799999999999</v>
      </c>
      <c r="D28" s="52">
        <v>31040.799999999999</v>
      </c>
      <c r="E28" s="52">
        <v>0</v>
      </c>
      <c r="F28" s="157">
        <v>98</v>
      </c>
      <c r="G28" s="157">
        <v>118</v>
      </c>
      <c r="H28" s="35">
        <v>316.74285714285713</v>
      </c>
      <c r="I28" s="19">
        <v>1113.3129032258064</v>
      </c>
      <c r="J28" s="111">
        <v>27.881469719842261</v>
      </c>
      <c r="K28" s="53">
        <v>3595</v>
      </c>
      <c r="L28" s="54">
        <v>2.7260083449235049E-2</v>
      </c>
      <c r="M28" s="59"/>
      <c r="N28" s="69">
        <v>412.58</v>
      </c>
      <c r="O28" s="70">
        <f>SUMIF(Facebook!A:A,'Compilado 2023'!B:B,Facebook!B:B)</f>
        <v>324.56</v>
      </c>
      <c r="P28" s="70">
        <v>0</v>
      </c>
      <c r="Q28" s="70">
        <v>51.612903225806448</v>
      </c>
      <c r="R28" s="202">
        <f>IFERROR(VLOOKUP($B:$B,Tabela_Linkedin[],2,),0)</f>
        <v>0</v>
      </c>
      <c r="S28" s="70">
        <f>SUMIF(TikTok!A:A,'Compilado 2023'!B:B,TikTok!B:B)</f>
        <v>0</v>
      </c>
      <c r="T28" s="70">
        <v>0</v>
      </c>
      <c r="U28" s="70">
        <v>0</v>
      </c>
      <c r="V28" s="59"/>
      <c r="W28" s="70">
        <v>0</v>
      </c>
      <c r="X28" s="70">
        <v>0</v>
      </c>
      <c r="Y28" s="70">
        <v>0</v>
      </c>
      <c r="Z28" s="38"/>
      <c r="AA28" s="40"/>
    </row>
    <row r="29" spans="1:27" s="2" customFormat="1" x14ac:dyDescent="0.2">
      <c r="A29" s="16" t="s">
        <v>99</v>
      </c>
      <c r="B29" s="17">
        <v>44588</v>
      </c>
      <c r="C29" s="19">
        <v>27183.93</v>
      </c>
      <c r="D29" s="52">
        <v>27183.93</v>
      </c>
      <c r="E29" s="52">
        <v>0</v>
      </c>
      <c r="F29" s="157">
        <v>94</v>
      </c>
      <c r="G29" s="157">
        <v>114</v>
      </c>
      <c r="H29" s="35">
        <v>289.19074468085108</v>
      </c>
      <c r="I29" s="19">
        <v>1178.6829032258063</v>
      </c>
      <c r="J29" s="111">
        <v>23.062971326387547</v>
      </c>
      <c r="K29" s="53">
        <v>3755</v>
      </c>
      <c r="L29" s="54">
        <v>2.5033288948069242E-2</v>
      </c>
      <c r="M29" s="59"/>
      <c r="N29" s="69">
        <v>483.31</v>
      </c>
      <c r="O29" s="70">
        <f>SUMIF(Facebook!A:A,'Compilado 2023'!B:B,Facebook!B:B)</f>
        <v>321.88</v>
      </c>
      <c r="P29" s="70">
        <v>0</v>
      </c>
      <c r="Q29" s="70">
        <v>51.612903225806448</v>
      </c>
      <c r="R29" s="202">
        <f>IFERROR(VLOOKUP($B:$B,Tabela_Linkedin[],2,),0)</f>
        <v>0</v>
      </c>
      <c r="S29" s="70">
        <f>SUMIF(TikTok!A:A,'Compilado 2023'!B:B,TikTok!B:B)</f>
        <v>0</v>
      </c>
      <c r="T29" s="70">
        <v>0</v>
      </c>
      <c r="U29" s="70">
        <v>0</v>
      </c>
      <c r="V29" s="59"/>
      <c r="W29" s="70">
        <v>0</v>
      </c>
      <c r="X29" s="70">
        <v>0</v>
      </c>
      <c r="Y29" s="70">
        <v>0</v>
      </c>
      <c r="Z29" s="38"/>
      <c r="AA29" s="40"/>
    </row>
    <row r="30" spans="1:27" s="2" customFormat="1" x14ac:dyDescent="0.2">
      <c r="A30" s="16" t="s">
        <v>100</v>
      </c>
      <c r="B30" s="17">
        <v>44589</v>
      </c>
      <c r="C30" s="19">
        <v>34283.760000000002</v>
      </c>
      <c r="D30" s="52">
        <v>34248.76</v>
      </c>
      <c r="E30" s="52">
        <v>35</v>
      </c>
      <c r="F30" s="157">
        <v>120</v>
      </c>
      <c r="G30" s="157">
        <v>143</v>
      </c>
      <c r="H30" s="35">
        <v>285.69800000000004</v>
      </c>
      <c r="I30" s="19">
        <v>1093.2329032258065</v>
      </c>
      <c r="J30" s="111">
        <v>31.359978188397715</v>
      </c>
      <c r="K30" s="53">
        <v>3664</v>
      </c>
      <c r="L30" s="54">
        <v>3.2751091703056769E-2</v>
      </c>
      <c r="M30" s="59"/>
      <c r="N30" s="69">
        <v>463.92</v>
      </c>
      <c r="O30" s="70">
        <f>SUMIF(Facebook!A:A,'Compilado 2023'!B:B,Facebook!B:B)</f>
        <v>288.85000000000002</v>
      </c>
      <c r="P30" s="70">
        <v>0</v>
      </c>
      <c r="Q30" s="70">
        <v>51.612903225806448</v>
      </c>
      <c r="R30" s="202">
        <f>IFERROR(VLOOKUP($B:$B,Tabela_Linkedin[],2,),0)</f>
        <v>0</v>
      </c>
      <c r="S30" s="70">
        <f>SUMIF(TikTok!A:A,'Compilado 2023'!B:B,TikTok!B:B)</f>
        <v>0</v>
      </c>
      <c r="T30" s="70">
        <v>0</v>
      </c>
      <c r="U30" s="70">
        <v>0</v>
      </c>
      <c r="V30" s="59"/>
      <c r="W30" s="70">
        <v>0</v>
      </c>
      <c r="X30" s="70">
        <v>0</v>
      </c>
      <c r="Y30" s="70">
        <v>0</v>
      </c>
      <c r="Z30" s="38"/>
      <c r="AA30" s="40"/>
    </row>
    <row r="31" spans="1:27" s="2" customFormat="1" x14ac:dyDescent="0.2">
      <c r="A31" s="16" t="s">
        <v>94</v>
      </c>
      <c r="B31" s="17">
        <v>44590</v>
      </c>
      <c r="C31" s="19">
        <v>20013.039999999997</v>
      </c>
      <c r="D31" s="52">
        <v>19991.099999999999</v>
      </c>
      <c r="E31" s="52">
        <v>21.94</v>
      </c>
      <c r="F31" s="157">
        <v>64</v>
      </c>
      <c r="G31" s="157">
        <v>81</v>
      </c>
      <c r="H31" s="35">
        <v>312.70374999999996</v>
      </c>
      <c r="I31" s="19">
        <v>965.64290322580644</v>
      </c>
      <c r="J31" s="111">
        <v>20.725094062354579</v>
      </c>
      <c r="K31" s="53">
        <v>3019</v>
      </c>
      <c r="L31" s="54">
        <v>2.119907254057635E-2</v>
      </c>
      <c r="M31" s="59"/>
      <c r="N31" s="69">
        <v>338.09</v>
      </c>
      <c r="O31" s="70">
        <f>SUMIF(Facebook!A:A,'Compilado 2023'!B:B,Facebook!B:B)</f>
        <v>287.97000000000003</v>
      </c>
      <c r="P31" s="70">
        <v>0</v>
      </c>
      <c r="Q31" s="70">
        <v>51.612903225806448</v>
      </c>
      <c r="R31" s="202">
        <f>IFERROR(VLOOKUP($B:$B,Tabela_Linkedin[],2,),0)</f>
        <v>0</v>
      </c>
      <c r="S31" s="70">
        <f>SUMIF(TikTok!A:A,'Compilado 2023'!B:B,TikTok!B:B)</f>
        <v>0</v>
      </c>
      <c r="T31" s="70">
        <v>0</v>
      </c>
      <c r="U31" s="70">
        <v>0</v>
      </c>
      <c r="V31" s="59"/>
      <c r="W31" s="70">
        <v>0</v>
      </c>
      <c r="X31" s="70">
        <v>0</v>
      </c>
      <c r="Y31" s="70">
        <v>0</v>
      </c>
      <c r="Z31" s="38"/>
      <c r="AA31" s="40"/>
    </row>
    <row r="32" spans="1:27" s="2" customFormat="1" x14ac:dyDescent="0.2">
      <c r="A32" s="16" t="s">
        <v>95</v>
      </c>
      <c r="B32" s="17">
        <v>44591</v>
      </c>
      <c r="C32" s="19">
        <v>12825.9</v>
      </c>
      <c r="D32" s="52">
        <v>12825.9</v>
      </c>
      <c r="E32" s="52">
        <v>0</v>
      </c>
      <c r="F32" s="157">
        <v>50</v>
      </c>
      <c r="G32" s="157">
        <v>56</v>
      </c>
      <c r="H32" s="35">
        <v>256.51799999999997</v>
      </c>
      <c r="I32" s="19">
        <v>904.70290322580638</v>
      </c>
      <c r="J32" s="111">
        <v>14.1769192452771</v>
      </c>
      <c r="K32" s="53">
        <v>2728</v>
      </c>
      <c r="L32" s="54">
        <v>1.8328445747800588E-2</v>
      </c>
      <c r="M32" s="59"/>
      <c r="N32" s="69">
        <v>259.91000000000003</v>
      </c>
      <c r="O32" s="70">
        <f>SUMIF(Facebook!A:A,'Compilado 2023'!B:B,Facebook!B:B)</f>
        <v>296.58999999999997</v>
      </c>
      <c r="P32" s="70">
        <v>0</v>
      </c>
      <c r="Q32" s="70">
        <v>51.612903225806448</v>
      </c>
      <c r="R32" s="202">
        <f>IFERROR(VLOOKUP($B:$B,Tabela_Linkedin[],2,),0)</f>
        <v>0</v>
      </c>
      <c r="S32" s="70">
        <f>SUMIF(TikTok!A:A,'Compilado 2023'!B:B,TikTok!B:B)</f>
        <v>0</v>
      </c>
      <c r="T32" s="70">
        <v>0</v>
      </c>
      <c r="U32" s="70">
        <v>0</v>
      </c>
      <c r="V32" s="59"/>
      <c r="W32" s="70">
        <v>0</v>
      </c>
      <c r="X32" s="70">
        <v>0</v>
      </c>
      <c r="Y32" s="70">
        <v>0</v>
      </c>
      <c r="Z32" s="38"/>
      <c r="AA32" s="40"/>
    </row>
    <row r="33" spans="1:27" s="2" customFormat="1" x14ac:dyDescent="0.2">
      <c r="A33" s="16" t="s">
        <v>96</v>
      </c>
      <c r="B33" s="17">
        <v>44592</v>
      </c>
      <c r="C33" s="19">
        <v>32690.98</v>
      </c>
      <c r="D33" s="52">
        <v>32667</v>
      </c>
      <c r="E33" s="52">
        <v>23.98</v>
      </c>
      <c r="F33" s="157">
        <v>112</v>
      </c>
      <c r="G33" s="157">
        <v>135</v>
      </c>
      <c r="H33" s="35">
        <v>291.88375000000002</v>
      </c>
      <c r="I33" s="19">
        <v>1302.7129032258063</v>
      </c>
      <c r="J33" s="111">
        <v>25.09453918745249</v>
      </c>
      <c r="K33" s="53">
        <v>3843</v>
      </c>
      <c r="L33" s="54">
        <v>2.9143897996357013E-2</v>
      </c>
      <c r="M33" s="59"/>
      <c r="N33" s="69">
        <v>557.44000000000005</v>
      </c>
      <c r="O33" s="70">
        <f>SUMIF(Facebook!A:A,'Compilado 2023'!B:B,Facebook!B:B)</f>
        <v>346.83</v>
      </c>
      <c r="P33" s="70">
        <v>0</v>
      </c>
      <c r="Q33" s="70">
        <v>51.612903225806448</v>
      </c>
      <c r="R33" s="202">
        <f>IFERROR(VLOOKUP($B:$B,Tabela_Linkedin[],2,),0)</f>
        <v>0</v>
      </c>
      <c r="S33" s="70">
        <f>SUMIF(TikTok!A:A,'Compilado 2023'!B:B,TikTok!B:B)</f>
        <v>0</v>
      </c>
      <c r="T33" s="70">
        <v>0</v>
      </c>
      <c r="U33" s="70">
        <v>0</v>
      </c>
      <c r="V33" s="59"/>
      <c r="W33" s="70">
        <v>0</v>
      </c>
      <c r="X33" s="70">
        <v>0</v>
      </c>
      <c r="Y33" s="70">
        <v>0</v>
      </c>
      <c r="Z33" s="38"/>
      <c r="AA33" s="40"/>
    </row>
    <row r="34" spans="1:27" s="2" customFormat="1" x14ac:dyDescent="0.2">
      <c r="A34" s="16" t="s">
        <v>97</v>
      </c>
      <c r="B34" s="17">
        <v>44593</v>
      </c>
      <c r="C34" s="19">
        <v>34727.58</v>
      </c>
      <c r="D34" s="52">
        <v>34692.58</v>
      </c>
      <c r="E34" s="52">
        <v>35</v>
      </c>
      <c r="F34" s="157">
        <v>120</v>
      </c>
      <c r="G34" s="157">
        <v>150</v>
      </c>
      <c r="H34" s="35">
        <v>289.3965</v>
      </c>
      <c r="I34" s="19">
        <v>1482.3328571428572</v>
      </c>
      <c r="J34" s="111">
        <v>23.427653129767464</v>
      </c>
      <c r="K34" s="53">
        <v>4432</v>
      </c>
      <c r="L34" s="54">
        <v>2.7075812274368231E-2</v>
      </c>
      <c r="M34" s="59"/>
      <c r="N34" s="69">
        <v>588.03</v>
      </c>
      <c r="O34" s="70">
        <f>SUMIF(Facebook!A:A,'Compilado 2023'!B:B,Facebook!B:B)</f>
        <v>418.58</v>
      </c>
      <c r="P34" s="70">
        <v>0</v>
      </c>
      <c r="Q34" s="70">
        <v>57.142857142857146</v>
      </c>
      <c r="R34" s="202">
        <f>IFERROR(VLOOKUP($B:$B,Tabela_Linkedin[],2,),0)</f>
        <v>0</v>
      </c>
      <c r="S34" s="70">
        <f>SUMIF(TikTok!A:A,'Compilado 2023'!B:B,TikTok!B:B)</f>
        <v>0</v>
      </c>
      <c r="T34" s="70">
        <v>0</v>
      </c>
      <c r="U34" s="70">
        <v>0</v>
      </c>
      <c r="V34" s="59"/>
      <c r="W34" s="70">
        <v>0</v>
      </c>
      <c r="X34" s="70">
        <v>0</v>
      </c>
      <c r="Y34" s="70">
        <v>0</v>
      </c>
      <c r="Z34" s="38"/>
      <c r="AA34" s="40"/>
    </row>
    <row r="35" spans="1:27" s="2" customFormat="1" x14ac:dyDescent="0.2">
      <c r="A35" s="16" t="s">
        <v>98</v>
      </c>
      <c r="B35" s="17">
        <v>44594</v>
      </c>
      <c r="C35" s="19">
        <v>34513.9</v>
      </c>
      <c r="D35" s="52">
        <v>34513.9</v>
      </c>
      <c r="E35" s="52">
        <v>0</v>
      </c>
      <c r="F35" s="157">
        <v>114</v>
      </c>
      <c r="G35" s="157">
        <v>130</v>
      </c>
      <c r="H35" s="35">
        <v>302.75350877192983</v>
      </c>
      <c r="I35" s="19">
        <v>1266.7028571428571</v>
      </c>
      <c r="J35" s="111">
        <v>27.247037302693609</v>
      </c>
      <c r="K35" s="53">
        <v>4313</v>
      </c>
      <c r="L35" s="54">
        <v>2.643171806167401E-2</v>
      </c>
      <c r="M35" s="59"/>
      <c r="N35" s="69">
        <v>566.9</v>
      </c>
      <c r="O35" s="70">
        <f>SUMIF(Facebook!A:A,'Compilado 2023'!B:B,Facebook!B:B)</f>
        <v>321.33</v>
      </c>
      <c r="P35" s="70">
        <v>0</v>
      </c>
      <c r="Q35" s="70">
        <v>57.142857142857146</v>
      </c>
      <c r="R35" s="202">
        <f>IFERROR(VLOOKUP($B:$B,Tabela_Linkedin[],2,),0)</f>
        <v>0</v>
      </c>
      <c r="S35" s="70">
        <f>SUMIF(TikTok!A:A,'Compilado 2023'!B:B,TikTok!B:B)</f>
        <v>0</v>
      </c>
      <c r="T35" s="70">
        <v>0</v>
      </c>
      <c r="U35" s="70">
        <v>0</v>
      </c>
      <c r="V35" s="59"/>
      <c r="W35" s="70">
        <v>0</v>
      </c>
      <c r="X35" s="70">
        <v>0</v>
      </c>
      <c r="Y35" s="70">
        <v>0</v>
      </c>
      <c r="Z35" s="38"/>
      <c r="AA35" s="40"/>
    </row>
    <row r="36" spans="1:27" s="2" customFormat="1" x14ac:dyDescent="0.2">
      <c r="A36" s="16" t="s">
        <v>99</v>
      </c>
      <c r="B36" s="17">
        <v>44595</v>
      </c>
      <c r="C36" s="19">
        <v>34177.800000000003</v>
      </c>
      <c r="D36" s="52">
        <v>34177.800000000003</v>
      </c>
      <c r="E36" s="52">
        <v>0</v>
      </c>
      <c r="F36" s="157">
        <v>113</v>
      </c>
      <c r="G36" s="157">
        <v>144</v>
      </c>
      <c r="H36" s="35">
        <v>302.45840707964607</v>
      </c>
      <c r="I36" s="19">
        <v>1090.242857142857</v>
      </c>
      <c r="J36" s="111">
        <v>31.348795157042343</v>
      </c>
      <c r="K36" s="53">
        <v>3709</v>
      </c>
      <c r="L36" s="54">
        <v>3.0466433000808844E-2</v>
      </c>
      <c r="M36" s="59"/>
      <c r="N36" s="69">
        <v>568.38</v>
      </c>
      <c r="O36" s="70">
        <f>SUMIF(Facebook!A:A,'Compilado 2023'!B:B,Facebook!B:B)</f>
        <v>232.36</v>
      </c>
      <c r="P36" s="70">
        <v>0</v>
      </c>
      <c r="Q36" s="70">
        <v>57.142857142857146</v>
      </c>
      <c r="R36" s="202">
        <f>IFERROR(VLOOKUP($B:$B,Tabela_Linkedin[],2,),0)</f>
        <v>0</v>
      </c>
      <c r="S36" s="70">
        <f>SUMIF(TikTok!A:A,'Compilado 2023'!B:B,TikTok!B:B)</f>
        <v>0</v>
      </c>
      <c r="T36" s="70">
        <v>0</v>
      </c>
      <c r="U36" s="70">
        <v>0</v>
      </c>
      <c r="V36" s="59"/>
      <c r="W36" s="70">
        <v>0</v>
      </c>
      <c r="X36" s="70">
        <v>0</v>
      </c>
      <c r="Y36" s="70">
        <v>0</v>
      </c>
      <c r="Z36" s="38"/>
      <c r="AA36" s="40"/>
    </row>
    <row r="37" spans="1:27" s="2" customFormat="1" x14ac:dyDescent="0.2">
      <c r="A37" s="16" t="s">
        <v>100</v>
      </c>
      <c r="B37" s="17">
        <v>44596</v>
      </c>
      <c r="C37" s="19">
        <v>43437.4</v>
      </c>
      <c r="D37" s="52">
        <v>43437.4</v>
      </c>
      <c r="E37" s="52">
        <v>0</v>
      </c>
      <c r="F37" s="157">
        <v>137</v>
      </c>
      <c r="G37" s="157">
        <v>200</v>
      </c>
      <c r="H37" s="35">
        <v>317.06131386861313</v>
      </c>
      <c r="I37" s="19">
        <v>1040.0128571428572</v>
      </c>
      <c r="J37" s="111">
        <v>41.766214428667773</v>
      </c>
      <c r="K37" s="53">
        <v>3739</v>
      </c>
      <c r="L37" s="54">
        <v>3.6640813051618079E-2</v>
      </c>
      <c r="M37" s="59"/>
      <c r="N37" s="69">
        <v>469.63</v>
      </c>
      <c r="O37" s="70">
        <f>SUMIF(Facebook!A:A,'Compilado 2023'!B:B,Facebook!B:B)</f>
        <v>256.62</v>
      </c>
      <c r="P37" s="70">
        <v>0</v>
      </c>
      <c r="Q37" s="70">
        <v>57.142857142857146</v>
      </c>
      <c r="R37" s="202">
        <f>IFERROR(VLOOKUP($B:$B,Tabela_Linkedin[],2,),0)</f>
        <v>0</v>
      </c>
      <c r="S37" s="70">
        <f>SUMIF(TikTok!A:A,'Compilado 2023'!B:B,TikTok!B:B)</f>
        <v>0</v>
      </c>
      <c r="T37" s="70">
        <v>0</v>
      </c>
      <c r="U37" s="70">
        <v>0</v>
      </c>
      <c r="V37" s="59"/>
      <c r="W37" s="70">
        <v>0</v>
      </c>
      <c r="X37" s="70">
        <v>0</v>
      </c>
      <c r="Y37" s="70">
        <v>0</v>
      </c>
      <c r="Z37" s="38"/>
      <c r="AA37" s="40"/>
    </row>
    <row r="38" spans="1:27" s="2" customFormat="1" x14ac:dyDescent="0.2">
      <c r="A38" s="16" t="s">
        <v>94</v>
      </c>
      <c r="B38" s="17">
        <v>44597</v>
      </c>
      <c r="C38" s="19">
        <v>19563.78</v>
      </c>
      <c r="D38" s="52">
        <v>19563.78</v>
      </c>
      <c r="E38" s="52">
        <v>0</v>
      </c>
      <c r="F38" s="157">
        <v>74</v>
      </c>
      <c r="G38" s="157">
        <v>82</v>
      </c>
      <c r="H38" s="35">
        <v>264.37540540540539</v>
      </c>
      <c r="I38" s="19">
        <v>981.06285714285707</v>
      </c>
      <c r="J38" s="111">
        <v>19.94141339421968</v>
      </c>
      <c r="K38" s="53">
        <v>2990</v>
      </c>
      <c r="L38" s="54">
        <v>2.4749163879598662E-2</v>
      </c>
      <c r="M38" s="59"/>
      <c r="N38" s="69">
        <v>384.26</v>
      </c>
      <c r="O38" s="70">
        <f>SUMIF(Facebook!A:A,'Compilado 2023'!B:B,Facebook!B:B)</f>
        <v>269.83</v>
      </c>
      <c r="P38" s="70">
        <v>0</v>
      </c>
      <c r="Q38" s="70">
        <v>57.142857142857146</v>
      </c>
      <c r="R38" s="202">
        <f>IFERROR(VLOOKUP($B:$B,Tabela_Linkedin[],2,),0)</f>
        <v>0</v>
      </c>
      <c r="S38" s="70">
        <f>SUMIF(TikTok!A:A,'Compilado 2023'!B:B,TikTok!B:B)</f>
        <v>0</v>
      </c>
      <c r="T38" s="70">
        <v>0</v>
      </c>
      <c r="U38" s="70">
        <v>0</v>
      </c>
      <c r="V38" s="59"/>
      <c r="W38" s="70">
        <v>0</v>
      </c>
      <c r="X38" s="70">
        <v>0</v>
      </c>
      <c r="Y38" s="70">
        <v>0</v>
      </c>
      <c r="Z38" s="38"/>
      <c r="AA38" s="40"/>
    </row>
    <row r="39" spans="1:27" s="2" customFormat="1" x14ac:dyDescent="0.2">
      <c r="A39" s="16" t="s">
        <v>95</v>
      </c>
      <c r="B39" s="17">
        <v>44598</v>
      </c>
      <c r="C39" s="19">
        <v>16604.64</v>
      </c>
      <c r="D39" s="52">
        <v>16604.64</v>
      </c>
      <c r="E39" s="52">
        <v>0</v>
      </c>
      <c r="F39" s="157">
        <v>67</v>
      </c>
      <c r="G39" s="157">
        <v>73</v>
      </c>
      <c r="H39" s="35">
        <v>247.83044776119402</v>
      </c>
      <c r="I39" s="19">
        <v>915.63285714285712</v>
      </c>
      <c r="J39" s="111">
        <v>18.134604793249945</v>
      </c>
      <c r="K39" s="53">
        <v>2653</v>
      </c>
      <c r="L39" s="54">
        <v>2.5254428948360347E-2</v>
      </c>
      <c r="M39" s="59"/>
      <c r="N39" s="69">
        <v>325.14999999999998</v>
      </c>
      <c r="O39" s="70">
        <f>SUMIF(Facebook!A:A,'Compilado 2023'!B:B,Facebook!B:B)</f>
        <v>266.67</v>
      </c>
      <c r="P39" s="70">
        <v>0</v>
      </c>
      <c r="Q39" s="70">
        <v>57.142857142857146</v>
      </c>
      <c r="R39" s="202">
        <f>IFERROR(VLOOKUP($B:$B,Tabela_Linkedin[],2,),0)</f>
        <v>0</v>
      </c>
      <c r="S39" s="70">
        <f>SUMIF(TikTok!A:A,'Compilado 2023'!B:B,TikTok!B:B)</f>
        <v>0</v>
      </c>
      <c r="T39" s="70">
        <v>0</v>
      </c>
      <c r="U39" s="70">
        <v>0</v>
      </c>
      <c r="V39" s="59"/>
      <c r="W39" s="70">
        <v>0</v>
      </c>
      <c r="X39" s="70">
        <v>0</v>
      </c>
      <c r="Y39" s="70">
        <v>0</v>
      </c>
      <c r="Z39" s="38"/>
      <c r="AA39" s="40"/>
    </row>
    <row r="40" spans="1:27" s="2" customFormat="1" x14ac:dyDescent="0.2">
      <c r="A40" s="16" t="s">
        <v>96</v>
      </c>
      <c r="B40" s="17">
        <v>44599</v>
      </c>
      <c r="C40" s="19">
        <v>33095.360000000001</v>
      </c>
      <c r="D40" s="52">
        <v>33000.32</v>
      </c>
      <c r="E40" s="52">
        <v>95.04</v>
      </c>
      <c r="F40" s="157">
        <v>133</v>
      </c>
      <c r="G40" s="157">
        <v>141</v>
      </c>
      <c r="H40" s="35">
        <v>248.8372932330827</v>
      </c>
      <c r="I40" s="19">
        <v>1212.0428571428572</v>
      </c>
      <c r="J40" s="111">
        <v>27.305437101469774</v>
      </c>
      <c r="K40" s="53">
        <v>3855</v>
      </c>
      <c r="L40" s="54">
        <v>3.4500648508430612E-2</v>
      </c>
      <c r="M40" s="59"/>
      <c r="N40" s="69">
        <v>629.72</v>
      </c>
      <c r="O40" s="70">
        <f>SUMIF(Facebook!A:A,'Compilado 2023'!B:B,Facebook!B:B)</f>
        <v>262.58999999999997</v>
      </c>
      <c r="P40" s="70">
        <v>0</v>
      </c>
      <c r="Q40" s="70">
        <v>57.142857142857146</v>
      </c>
      <c r="R40" s="202">
        <f>IFERROR(VLOOKUP($B:$B,Tabela_Linkedin[],2,),0)</f>
        <v>0</v>
      </c>
      <c r="S40" s="70">
        <f>SUMIF(TikTok!A:A,'Compilado 2023'!B:B,TikTok!B:B)</f>
        <v>0</v>
      </c>
      <c r="T40" s="70">
        <v>0</v>
      </c>
      <c r="U40" s="70">
        <v>0</v>
      </c>
      <c r="V40" s="59"/>
      <c r="W40" s="70">
        <v>0</v>
      </c>
      <c r="X40" s="70">
        <v>0</v>
      </c>
      <c r="Y40" s="70">
        <v>0</v>
      </c>
      <c r="Z40" s="38"/>
      <c r="AA40" s="40"/>
    </row>
    <row r="41" spans="1:27" s="2" customFormat="1" x14ac:dyDescent="0.2">
      <c r="A41" s="16" t="s">
        <v>97</v>
      </c>
      <c r="B41" s="17">
        <v>44600</v>
      </c>
      <c r="C41" s="19">
        <v>44882.03</v>
      </c>
      <c r="D41" s="52">
        <v>44882.03</v>
      </c>
      <c r="E41" s="52">
        <v>0</v>
      </c>
      <c r="F41" s="157">
        <v>141</v>
      </c>
      <c r="G41" s="157">
        <v>163</v>
      </c>
      <c r="H41" s="35">
        <v>318.31226950354608</v>
      </c>
      <c r="I41" s="19">
        <v>1171.222857142857</v>
      </c>
      <c r="J41" s="111">
        <v>38.320657530102849</v>
      </c>
      <c r="K41" s="53">
        <v>3847</v>
      </c>
      <c r="L41" s="54">
        <v>3.6651936573953728E-2</v>
      </c>
      <c r="M41" s="59"/>
      <c r="N41" s="69">
        <v>571.84</v>
      </c>
      <c r="O41" s="70">
        <f>SUMIF(Facebook!A:A,'Compilado 2023'!B:B,Facebook!B:B)</f>
        <v>271.12</v>
      </c>
      <c r="P41" s="70">
        <v>0</v>
      </c>
      <c r="Q41" s="70">
        <v>57.142857142857146</v>
      </c>
      <c r="R41" s="202">
        <f>IFERROR(VLOOKUP($B:$B,Tabela_Linkedin[],2,),0)</f>
        <v>0</v>
      </c>
      <c r="S41" s="70">
        <f>SUMIF(TikTok!A:A,'Compilado 2023'!B:B,TikTok!B:B)</f>
        <v>0</v>
      </c>
      <c r="T41" s="70">
        <v>0</v>
      </c>
      <c r="U41" s="70">
        <v>0</v>
      </c>
      <c r="V41" s="59"/>
      <c r="W41" s="70">
        <v>0</v>
      </c>
      <c r="X41" s="70">
        <v>0</v>
      </c>
      <c r="Y41" s="70">
        <v>0</v>
      </c>
      <c r="Z41" s="38"/>
      <c r="AA41" s="40"/>
    </row>
    <row r="42" spans="1:27" s="2" customFormat="1" x14ac:dyDescent="0.2">
      <c r="A42" s="16" t="s">
        <v>98</v>
      </c>
      <c r="B42" s="17">
        <v>44601</v>
      </c>
      <c r="C42" s="19">
        <v>35537.760000000002</v>
      </c>
      <c r="D42" s="52">
        <v>35475.599999999999</v>
      </c>
      <c r="E42" s="52">
        <v>62.16</v>
      </c>
      <c r="F42" s="157">
        <v>122</v>
      </c>
      <c r="G42" s="157">
        <v>149</v>
      </c>
      <c r="H42" s="35">
        <v>291.29311475409838</v>
      </c>
      <c r="I42" s="19">
        <v>2027.722857142857</v>
      </c>
      <c r="J42" s="111">
        <v>17.525945360242243</v>
      </c>
      <c r="K42" s="53">
        <v>3829</v>
      </c>
      <c r="L42" s="54">
        <v>3.1862104988247583E-2</v>
      </c>
      <c r="M42" s="59"/>
      <c r="N42" s="69">
        <v>566.54</v>
      </c>
      <c r="O42" s="70">
        <f>SUMIF(Facebook!A:A,'Compilado 2023'!B:B,Facebook!B:B)</f>
        <v>702.02</v>
      </c>
      <c r="P42" s="70">
        <v>0</v>
      </c>
      <c r="Q42" s="70">
        <v>57.142857142857146</v>
      </c>
      <c r="R42" s="202">
        <f>IFERROR(VLOOKUP($B:$B,Tabela_Linkedin[],2,),0)</f>
        <v>0</v>
      </c>
      <c r="S42" s="70">
        <f>SUMIF(TikTok!A:A,'Compilado 2023'!B:B,TikTok!B:B)</f>
        <v>0</v>
      </c>
      <c r="T42" s="70">
        <v>0</v>
      </c>
      <c r="U42" s="70">
        <v>0</v>
      </c>
      <c r="V42" s="59"/>
      <c r="W42" s="70">
        <v>0</v>
      </c>
      <c r="X42" s="70">
        <v>0</v>
      </c>
      <c r="Y42" s="70">
        <v>0</v>
      </c>
      <c r="Z42" s="38"/>
      <c r="AA42" s="40"/>
    </row>
    <row r="43" spans="1:27" s="2" customFormat="1" x14ac:dyDescent="0.2">
      <c r="A43" s="16" t="s">
        <v>99</v>
      </c>
      <c r="B43" s="17">
        <v>44602</v>
      </c>
      <c r="C43" s="19">
        <v>32915.71</v>
      </c>
      <c r="D43" s="52">
        <v>32915.71</v>
      </c>
      <c r="E43" s="52">
        <v>0</v>
      </c>
      <c r="F43" s="157">
        <v>111</v>
      </c>
      <c r="G43" s="157">
        <v>127</v>
      </c>
      <c r="H43" s="35">
        <v>296.53792792792791</v>
      </c>
      <c r="I43" s="19">
        <v>1496.9328571428571</v>
      </c>
      <c r="J43" s="111">
        <v>21.988768462751931</v>
      </c>
      <c r="K43" s="53">
        <v>3713</v>
      </c>
      <c r="L43" s="54">
        <v>2.9894963641260437E-2</v>
      </c>
      <c r="M43" s="59"/>
      <c r="N43" s="69">
        <v>588.33000000000004</v>
      </c>
      <c r="O43" s="70">
        <f>SUMIF(Facebook!A:A,'Compilado 2023'!B:B,Facebook!B:B)</f>
        <v>425.73</v>
      </c>
      <c r="P43" s="70">
        <v>0</v>
      </c>
      <c r="Q43" s="70">
        <v>57.142857142857146</v>
      </c>
      <c r="R43" s="202">
        <f>IFERROR(VLOOKUP($B:$B,Tabela_Linkedin[],2,),0)</f>
        <v>0</v>
      </c>
      <c r="S43" s="70">
        <f>SUMIF(TikTok!A:A,'Compilado 2023'!B:B,TikTok!B:B)</f>
        <v>0</v>
      </c>
      <c r="T43" s="70">
        <v>0</v>
      </c>
      <c r="U43" s="70">
        <v>0</v>
      </c>
      <c r="V43" s="59"/>
      <c r="W43" s="70">
        <v>0</v>
      </c>
      <c r="X43" s="70">
        <v>0</v>
      </c>
      <c r="Y43" s="70">
        <v>0</v>
      </c>
      <c r="Z43" s="38"/>
      <c r="AA43" s="40"/>
    </row>
    <row r="44" spans="1:27" s="2" customFormat="1" x14ac:dyDescent="0.2">
      <c r="A44" s="16" t="s">
        <v>100</v>
      </c>
      <c r="B44" s="17">
        <v>44603</v>
      </c>
      <c r="C44" s="19">
        <v>35620.560000000005</v>
      </c>
      <c r="D44" s="52">
        <v>35576.080000000002</v>
      </c>
      <c r="E44" s="52">
        <v>44.48</v>
      </c>
      <c r="F44" s="157">
        <v>128</v>
      </c>
      <c r="G44" s="157">
        <v>149</v>
      </c>
      <c r="H44" s="35">
        <v>278.28562500000004</v>
      </c>
      <c r="I44" s="19">
        <v>1248.712857142857</v>
      </c>
      <c r="J44" s="111">
        <v>28.525821445854536</v>
      </c>
      <c r="K44" s="53">
        <v>3532</v>
      </c>
      <c r="L44" s="54">
        <v>3.6240090600226503E-2</v>
      </c>
      <c r="M44" s="59"/>
      <c r="N44" s="69">
        <v>437.91</v>
      </c>
      <c r="O44" s="70">
        <f>SUMIF(Facebook!A:A,'Compilado 2023'!B:B,Facebook!B:B)</f>
        <v>376.83</v>
      </c>
      <c r="P44" s="70">
        <v>0</v>
      </c>
      <c r="Q44" s="70">
        <v>57.142857142857146</v>
      </c>
      <c r="R44" s="202">
        <f>IFERROR(VLOOKUP($B:$B,Tabela_Linkedin[],2,),0)</f>
        <v>0</v>
      </c>
      <c r="S44" s="70">
        <f>SUMIF(TikTok!A:A,'Compilado 2023'!B:B,TikTok!B:B)</f>
        <v>0</v>
      </c>
      <c r="T44" s="70">
        <v>0</v>
      </c>
      <c r="U44" s="70">
        <v>0</v>
      </c>
      <c r="V44" s="59"/>
      <c r="W44" s="70">
        <v>0</v>
      </c>
      <c r="X44" s="70">
        <v>0</v>
      </c>
      <c r="Y44" s="70">
        <v>0</v>
      </c>
      <c r="Z44" s="38"/>
      <c r="AA44" s="40"/>
    </row>
    <row r="45" spans="1:27" s="2" customFormat="1" x14ac:dyDescent="0.2">
      <c r="A45" s="16" t="s">
        <v>94</v>
      </c>
      <c r="B45" s="17">
        <v>44604</v>
      </c>
      <c r="C45" s="19">
        <v>24216.17</v>
      </c>
      <c r="D45" s="52">
        <v>24216.17</v>
      </c>
      <c r="E45" s="52">
        <v>0</v>
      </c>
      <c r="F45" s="157">
        <v>86</v>
      </c>
      <c r="G45" s="157">
        <v>94</v>
      </c>
      <c r="H45" s="35">
        <v>281.58337209302323</v>
      </c>
      <c r="I45" s="19">
        <v>1201.6728571428571</v>
      </c>
      <c r="J45" s="111">
        <v>20.152048751086284</v>
      </c>
      <c r="K45" s="53">
        <v>2792</v>
      </c>
      <c r="L45" s="54">
        <v>3.0802292263610316E-2</v>
      </c>
      <c r="M45" s="59"/>
      <c r="N45" s="69">
        <v>362.67</v>
      </c>
      <c r="O45" s="70">
        <f>SUMIF(Facebook!A:A,'Compilado 2023'!B:B,Facebook!B:B)</f>
        <v>390.93</v>
      </c>
      <c r="P45" s="70">
        <v>0</v>
      </c>
      <c r="Q45" s="70">
        <v>57.142857142857146</v>
      </c>
      <c r="R45" s="202">
        <f>IFERROR(VLOOKUP($B:$B,Tabela_Linkedin[],2,),0)</f>
        <v>0</v>
      </c>
      <c r="S45" s="70">
        <f>SUMIF(TikTok!A:A,'Compilado 2023'!B:B,TikTok!B:B)</f>
        <v>0</v>
      </c>
      <c r="T45" s="70">
        <v>0</v>
      </c>
      <c r="U45" s="70">
        <v>0</v>
      </c>
      <c r="V45" s="59"/>
      <c r="W45" s="70">
        <v>0</v>
      </c>
      <c r="X45" s="70">
        <v>0</v>
      </c>
      <c r="Y45" s="70">
        <v>0</v>
      </c>
      <c r="Z45" s="38"/>
      <c r="AA45" s="40"/>
    </row>
    <row r="46" spans="1:27" s="2" customFormat="1" x14ac:dyDescent="0.2">
      <c r="A46" s="16" t="s">
        <v>95</v>
      </c>
      <c r="B46" s="17">
        <v>44605</v>
      </c>
      <c r="C46" s="19">
        <v>17251.7</v>
      </c>
      <c r="D46" s="52">
        <v>17251.7</v>
      </c>
      <c r="E46" s="52">
        <v>0</v>
      </c>
      <c r="F46" s="157">
        <v>56</v>
      </c>
      <c r="G46" s="157">
        <v>71</v>
      </c>
      <c r="H46" s="35">
        <v>308.06607142857143</v>
      </c>
      <c r="I46" s="19">
        <v>1223.6928571428571</v>
      </c>
      <c r="J46" s="111">
        <v>14.098063823204937</v>
      </c>
      <c r="K46" s="53">
        <v>2610</v>
      </c>
      <c r="L46" s="54">
        <v>2.1455938697318006E-2</v>
      </c>
      <c r="M46" s="59"/>
      <c r="N46" s="69">
        <v>394.01</v>
      </c>
      <c r="O46" s="70">
        <f>SUMIF(Facebook!A:A,'Compilado 2023'!B:B,Facebook!B:B)</f>
        <v>386.27</v>
      </c>
      <c r="P46" s="70">
        <v>0</v>
      </c>
      <c r="Q46" s="70">
        <v>57.142857142857146</v>
      </c>
      <c r="R46" s="202">
        <f>IFERROR(VLOOKUP($B:$B,Tabela_Linkedin[],2,),0)</f>
        <v>0</v>
      </c>
      <c r="S46" s="70">
        <f>SUMIF(TikTok!A:A,'Compilado 2023'!B:B,TikTok!B:B)</f>
        <v>0</v>
      </c>
      <c r="T46" s="70">
        <v>0</v>
      </c>
      <c r="U46" s="70">
        <v>0</v>
      </c>
      <c r="V46" s="59"/>
      <c r="W46" s="70">
        <v>0</v>
      </c>
      <c r="X46" s="70">
        <v>0</v>
      </c>
      <c r="Y46" s="70">
        <v>0</v>
      </c>
      <c r="Z46" s="38"/>
      <c r="AA46" s="40"/>
    </row>
    <row r="47" spans="1:27" s="2" customFormat="1" x14ac:dyDescent="0.2">
      <c r="A47" s="16" t="s">
        <v>96</v>
      </c>
      <c r="B47" s="17">
        <v>44606</v>
      </c>
      <c r="C47" s="19">
        <v>49152.92</v>
      </c>
      <c r="D47" s="52">
        <v>49152.92</v>
      </c>
      <c r="E47" s="52">
        <v>0</v>
      </c>
      <c r="F47" s="157">
        <v>161</v>
      </c>
      <c r="G47" s="157">
        <v>195</v>
      </c>
      <c r="H47" s="35">
        <v>305.29763975155277</v>
      </c>
      <c r="I47" s="19">
        <v>1221.3928571428571</v>
      </c>
      <c r="J47" s="111">
        <v>40.243333430802068</v>
      </c>
      <c r="K47" s="53">
        <v>3802</v>
      </c>
      <c r="L47" s="54">
        <v>4.2346133613887428E-2</v>
      </c>
      <c r="M47" s="59"/>
      <c r="N47" s="69">
        <v>206.89</v>
      </c>
      <c r="O47" s="70">
        <f>SUMIF(Facebook!A:A,'Compilado 2023'!B:B,Facebook!B:B)</f>
        <v>478.68</v>
      </c>
      <c r="P47" s="70">
        <v>0</v>
      </c>
      <c r="Q47" s="70">
        <v>57.142857142857146</v>
      </c>
      <c r="R47" s="202">
        <f>IFERROR(VLOOKUP($B:$B,Tabela_Linkedin[],2,),0)</f>
        <v>0</v>
      </c>
      <c r="S47" s="70">
        <f>SUMIF(TikTok!A:A,'Compilado 2023'!B:B,TikTok!B:B)</f>
        <v>0</v>
      </c>
      <c r="T47" s="70">
        <v>0</v>
      </c>
      <c r="U47" s="70">
        <v>0</v>
      </c>
      <c r="V47" s="59"/>
      <c r="W47" s="70">
        <v>0</v>
      </c>
      <c r="X47" s="70">
        <v>0</v>
      </c>
      <c r="Y47" s="70">
        <v>0</v>
      </c>
      <c r="Z47" s="38"/>
      <c r="AA47" s="40"/>
    </row>
    <row r="48" spans="1:27" s="2" customFormat="1" x14ac:dyDescent="0.2">
      <c r="A48" s="16" t="s">
        <v>97</v>
      </c>
      <c r="B48" s="17">
        <v>44607</v>
      </c>
      <c r="C48" s="19">
        <v>37487.620000000003</v>
      </c>
      <c r="D48" s="52">
        <v>37487.620000000003</v>
      </c>
      <c r="E48" s="52">
        <v>0</v>
      </c>
      <c r="F48" s="157">
        <v>118</v>
      </c>
      <c r="G48" s="157">
        <v>150</v>
      </c>
      <c r="H48" s="35">
        <v>317.69169491525423</v>
      </c>
      <c r="I48" s="19">
        <v>1015.7828571428571</v>
      </c>
      <c r="J48" s="111">
        <v>36.905151269675187</v>
      </c>
      <c r="K48" s="53">
        <v>3685</v>
      </c>
      <c r="L48" s="54">
        <v>3.2021709633649934E-2</v>
      </c>
      <c r="M48" s="59"/>
      <c r="N48" s="69">
        <v>0</v>
      </c>
      <c r="O48" s="70">
        <f>SUMIF(Facebook!A:A,'Compilado 2023'!B:B,Facebook!B:B)</f>
        <v>479.32</v>
      </c>
      <c r="P48" s="70">
        <v>0</v>
      </c>
      <c r="Q48" s="70">
        <v>57.142857142857146</v>
      </c>
      <c r="R48" s="202">
        <f>IFERROR(VLOOKUP($B:$B,Tabela_Linkedin[],2,),0)</f>
        <v>0</v>
      </c>
      <c r="S48" s="70">
        <f>SUMIF(TikTok!A:A,'Compilado 2023'!B:B,TikTok!B:B)</f>
        <v>0</v>
      </c>
      <c r="T48" s="70">
        <v>0</v>
      </c>
      <c r="U48" s="70">
        <v>0</v>
      </c>
      <c r="V48" s="59"/>
      <c r="W48" s="70">
        <v>0</v>
      </c>
      <c r="X48" s="70">
        <v>0</v>
      </c>
      <c r="Y48" s="70">
        <v>0</v>
      </c>
      <c r="Z48" s="38"/>
      <c r="AA48" s="40"/>
    </row>
    <row r="49" spans="1:27" s="2" customFormat="1" x14ac:dyDescent="0.2">
      <c r="A49" s="16" t="s">
        <v>98</v>
      </c>
      <c r="B49" s="17">
        <v>44608</v>
      </c>
      <c r="C49" s="19">
        <v>34466.01</v>
      </c>
      <c r="D49" s="52">
        <v>34466.01</v>
      </c>
      <c r="E49" s="52">
        <v>0</v>
      </c>
      <c r="F49" s="157">
        <v>119</v>
      </c>
      <c r="G49" s="157">
        <v>131</v>
      </c>
      <c r="H49" s="35">
        <v>289.63033613445378</v>
      </c>
      <c r="I49" s="19">
        <v>1524.242857142857</v>
      </c>
      <c r="J49" s="111">
        <v>22.61188880662062</v>
      </c>
      <c r="K49" s="53">
        <v>3950</v>
      </c>
      <c r="L49" s="54">
        <v>3.0126582278481012E-2</v>
      </c>
      <c r="M49" s="59"/>
      <c r="N49" s="69">
        <v>462.14</v>
      </c>
      <c r="O49" s="70">
        <f>SUMIF(Facebook!A:A,'Compilado 2023'!B:B,Facebook!B:B)</f>
        <v>502.48</v>
      </c>
      <c r="P49" s="70">
        <v>0</v>
      </c>
      <c r="Q49" s="70">
        <v>57.142857142857146</v>
      </c>
      <c r="R49" s="202">
        <f>IFERROR(VLOOKUP($B:$B,Tabela_Linkedin[],2,),0)</f>
        <v>0</v>
      </c>
      <c r="S49" s="70">
        <f>SUMIF(TikTok!A:A,'Compilado 2023'!B:B,TikTok!B:B)</f>
        <v>0</v>
      </c>
      <c r="T49" s="70">
        <v>0</v>
      </c>
      <c r="U49" s="70">
        <v>0</v>
      </c>
      <c r="V49" s="59"/>
      <c r="W49" s="70">
        <v>0</v>
      </c>
      <c r="X49" s="70">
        <v>0</v>
      </c>
      <c r="Y49" s="70">
        <v>0</v>
      </c>
      <c r="Z49" s="38"/>
      <c r="AA49" s="40"/>
    </row>
    <row r="50" spans="1:27" s="2" customFormat="1" x14ac:dyDescent="0.2">
      <c r="A50" s="16" t="s">
        <v>99</v>
      </c>
      <c r="B50" s="17">
        <v>44609</v>
      </c>
      <c r="C50" s="19">
        <v>48035.64</v>
      </c>
      <c r="D50" s="52">
        <v>48035.64</v>
      </c>
      <c r="E50" s="52">
        <v>0</v>
      </c>
      <c r="F50" s="157">
        <v>146</v>
      </c>
      <c r="G50" s="157">
        <v>200</v>
      </c>
      <c r="H50" s="35">
        <v>329.01123287671231</v>
      </c>
      <c r="I50" s="19">
        <v>1830.972857142857</v>
      </c>
      <c r="J50" s="111">
        <v>26.235036643283316</v>
      </c>
      <c r="K50" s="53">
        <v>3982</v>
      </c>
      <c r="L50" s="54">
        <v>3.6664992466097439E-2</v>
      </c>
      <c r="M50" s="59"/>
      <c r="N50" s="69">
        <v>757.83</v>
      </c>
      <c r="O50" s="70">
        <f>SUMIF(Facebook!A:A,'Compilado 2023'!B:B,Facebook!B:B)</f>
        <v>508</v>
      </c>
      <c r="P50" s="70">
        <v>0</v>
      </c>
      <c r="Q50" s="70">
        <v>57.142857142857146</v>
      </c>
      <c r="R50" s="202">
        <f>IFERROR(VLOOKUP($B:$B,Tabela_Linkedin[],2,),0)</f>
        <v>0</v>
      </c>
      <c r="S50" s="70">
        <f>SUMIF(TikTok!A:A,'Compilado 2023'!B:B,TikTok!B:B)</f>
        <v>0</v>
      </c>
      <c r="T50" s="70">
        <v>0</v>
      </c>
      <c r="U50" s="70">
        <v>0</v>
      </c>
      <c r="V50" s="59"/>
      <c r="W50" s="70">
        <v>0</v>
      </c>
      <c r="X50" s="70">
        <v>0</v>
      </c>
      <c r="Y50" s="70">
        <v>0</v>
      </c>
      <c r="Z50" s="38"/>
      <c r="AA50" s="40"/>
    </row>
    <row r="51" spans="1:27" s="2" customFormat="1" x14ac:dyDescent="0.2">
      <c r="A51" s="16" t="s">
        <v>100</v>
      </c>
      <c r="B51" s="17">
        <v>44610</v>
      </c>
      <c r="C51" s="19">
        <v>48224.450000000004</v>
      </c>
      <c r="D51" s="52">
        <v>48202.37</v>
      </c>
      <c r="E51" s="52">
        <v>22.08</v>
      </c>
      <c r="F51" s="157">
        <v>163</v>
      </c>
      <c r="G51" s="157">
        <v>194</v>
      </c>
      <c r="H51" s="35">
        <v>295.85552147239264</v>
      </c>
      <c r="I51" s="19">
        <v>1511.992857142857</v>
      </c>
      <c r="J51" s="111">
        <v>31.89462818701903</v>
      </c>
      <c r="K51" s="53">
        <v>3717</v>
      </c>
      <c r="L51" s="54">
        <v>4.385256927629809E-2</v>
      </c>
      <c r="M51" s="59"/>
      <c r="N51" s="69">
        <v>606.80999999999995</v>
      </c>
      <c r="O51" s="70">
        <f>SUMIF(Facebook!A:A,'Compilado 2023'!B:B,Facebook!B:B)</f>
        <v>424.02</v>
      </c>
      <c r="P51" s="70">
        <v>0</v>
      </c>
      <c r="Q51" s="70">
        <v>57.142857142857146</v>
      </c>
      <c r="R51" s="202">
        <f>IFERROR(VLOOKUP($B:$B,Tabela_Linkedin[],2,),0)</f>
        <v>0</v>
      </c>
      <c r="S51" s="70">
        <f>SUMIF(TikTok!A:A,'Compilado 2023'!B:B,TikTok!B:B)</f>
        <v>0</v>
      </c>
      <c r="T51" s="70">
        <v>0</v>
      </c>
      <c r="U51" s="70">
        <v>0</v>
      </c>
      <c r="V51" s="59"/>
      <c r="W51" s="70">
        <v>0</v>
      </c>
      <c r="X51" s="70">
        <v>0</v>
      </c>
      <c r="Y51" s="70">
        <v>0</v>
      </c>
      <c r="Z51" s="38"/>
      <c r="AA51" s="40"/>
    </row>
    <row r="52" spans="1:27" s="2" customFormat="1" x14ac:dyDescent="0.2">
      <c r="A52" s="16" t="s">
        <v>94</v>
      </c>
      <c r="B52" s="17">
        <v>44611</v>
      </c>
      <c r="C52" s="19">
        <v>22149.7</v>
      </c>
      <c r="D52" s="52">
        <v>22149.7</v>
      </c>
      <c r="E52" s="52">
        <v>0</v>
      </c>
      <c r="F52" s="157">
        <v>77</v>
      </c>
      <c r="G52" s="157">
        <v>93</v>
      </c>
      <c r="H52" s="35">
        <v>287.65844155844155</v>
      </c>
      <c r="I52" s="19">
        <v>1368.7728571428572</v>
      </c>
      <c r="J52" s="111">
        <v>16.182158993300568</v>
      </c>
      <c r="K52" s="53">
        <v>2874</v>
      </c>
      <c r="L52" s="54">
        <v>2.6791927627000695E-2</v>
      </c>
      <c r="M52" s="59"/>
      <c r="N52" s="69">
        <v>444.23</v>
      </c>
      <c r="O52" s="70">
        <f>SUMIF(Facebook!A:A,'Compilado 2023'!B:B,Facebook!B:B)</f>
        <v>433.7</v>
      </c>
      <c r="P52" s="70">
        <v>0</v>
      </c>
      <c r="Q52" s="70">
        <v>57.142857142857146</v>
      </c>
      <c r="R52" s="202">
        <f>IFERROR(VLOOKUP($B:$B,Tabela_Linkedin[],2,),0)</f>
        <v>0</v>
      </c>
      <c r="S52" s="70">
        <f>SUMIF(TikTok!A:A,'Compilado 2023'!B:B,TikTok!B:B)</f>
        <v>0</v>
      </c>
      <c r="T52" s="70">
        <v>0</v>
      </c>
      <c r="U52" s="70">
        <v>0</v>
      </c>
      <c r="V52" s="59"/>
      <c r="W52" s="70">
        <v>0</v>
      </c>
      <c r="X52" s="70">
        <v>0</v>
      </c>
      <c r="Y52" s="70">
        <v>0</v>
      </c>
      <c r="Z52" s="38"/>
      <c r="AA52" s="40"/>
    </row>
    <row r="53" spans="1:27" s="2" customFormat="1" x14ac:dyDescent="0.2">
      <c r="A53" s="16" t="s">
        <v>95</v>
      </c>
      <c r="B53" s="17">
        <v>44612</v>
      </c>
      <c r="C53" s="19">
        <v>18486.900000000001</v>
      </c>
      <c r="D53" s="52">
        <v>18486.900000000001</v>
      </c>
      <c r="E53" s="52">
        <v>0</v>
      </c>
      <c r="F53" s="157">
        <v>67</v>
      </c>
      <c r="G53" s="157">
        <v>76</v>
      </c>
      <c r="H53" s="35">
        <v>275.92388059701494</v>
      </c>
      <c r="I53" s="19">
        <v>1394.272857142857</v>
      </c>
      <c r="J53" s="111">
        <v>13.259169398078468</v>
      </c>
      <c r="K53" s="53">
        <v>2702</v>
      </c>
      <c r="L53" s="54">
        <v>2.4796447076239823E-2</v>
      </c>
      <c r="M53" s="59"/>
      <c r="N53" s="69">
        <v>458.07</v>
      </c>
      <c r="O53" s="70">
        <f>SUMIF(Facebook!A:A,'Compilado 2023'!B:B,Facebook!B:B)</f>
        <v>439.53</v>
      </c>
      <c r="P53" s="70">
        <v>0</v>
      </c>
      <c r="Q53" s="70">
        <v>57.142857142857146</v>
      </c>
      <c r="R53" s="202">
        <f>IFERROR(VLOOKUP($B:$B,Tabela_Linkedin[],2,),0)</f>
        <v>0</v>
      </c>
      <c r="S53" s="70">
        <f>SUMIF(TikTok!A:A,'Compilado 2023'!B:B,TikTok!B:B)</f>
        <v>0</v>
      </c>
      <c r="T53" s="70">
        <v>0</v>
      </c>
      <c r="U53" s="70">
        <v>0</v>
      </c>
      <c r="V53" s="59"/>
      <c r="W53" s="70">
        <v>0</v>
      </c>
      <c r="X53" s="70">
        <v>0</v>
      </c>
      <c r="Y53" s="70">
        <v>0</v>
      </c>
      <c r="Z53" s="38"/>
      <c r="AA53" s="40"/>
    </row>
    <row r="54" spans="1:27" s="2" customFormat="1" x14ac:dyDescent="0.2">
      <c r="A54" s="16" t="s">
        <v>96</v>
      </c>
      <c r="B54" s="17">
        <v>44613</v>
      </c>
      <c r="C54" s="19">
        <v>29771.11</v>
      </c>
      <c r="D54" s="52">
        <v>29736.11</v>
      </c>
      <c r="E54" s="52">
        <v>35</v>
      </c>
      <c r="F54" s="157">
        <v>115</v>
      </c>
      <c r="G54" s="157">
        <v>130</v>
      </c>
      <c r="H54" s="35">
        <v>258.87921739130434</v>
      </c>
      <c r="I54" s="19">
        <v>1619.6828571428571</v>
      </c>
      <c r="J54" s="111">
        <v>18.38082675797202</v>
      </c>
      <c r="K54" s="53">
        <v>3943</v>
      </c>
      <c r="L54" s="54">
        <v>2.916560994166878E-2</v>
      </c>
      <c r="M54" s="59"/>
      <c r="N54" s="69">
        <v>616.54</v>
      </c>
      <c r="O54" s="70">
        <f>SUMIF(Facebook!A:A,'Compilado 2023'!B:B,Facebook!B:B)</f>
        <v>473</v>
      </c>
      <c r="P54" s="70">
        <v>0</v>
      </c>
      <c r="Q54" s="70">
        <v>57.142857142857146</v>
      </c>
      <c r="R54" s="202">
        <f>IFERROR(VLOOKUP($B:$B,Tabela_Linkedin[],2,),0)</f>
        <v>0</v>
      </c>
      <c r="S54" s="70">
        <f>SUMIF(TikTok!A:A,'Compilado 2023'!B:B,TikTok!B:B)</f>
        <v>0</v>
      </c>
      <c r="T54" s="70">
        <v>0</v>
      </c>
      <c r="U54" s="70">
        <v>0</v>
      </c>
      <c r="V54" s="59"/>
      <c r="W54" s="70">
        <v>0</v>
      </c>
      <c r="X54" s="70">
        <v>0</v>
      </c>
      <c r="Y54" s="70">
        <v>0</v>
      </c>
      <c r="Z54" s="38"/>
      <c r="AA54" s="40"/>
    </row>
    <row r="55" spans="1:27" s="2" customFormat="1" x14ac:dyDescent="0.2">
      <c r="A55" s="16" t="s">
        <v>97</v>
      </c>
      <c r="B55" s="17">
        <v>44614</v>
      </c>
      <c r="C55" s="19">
        <v>41774.85</v>
      </c>
      <c r="D55" s="52">
        <v>41774.85</v>
      </c>
      <c r="E55" s="52">
        <v>0</v>
      </c>
      <c r="F55" s="157">
        <v>135</v>
      </c>
      <c r="G55" s="157">
        <v>153</v>
      </c>
      <c r="H55" s="35">
        <v>309.44333333333333</v>
      </c>
      <c r="I55" s="19">
        <v>1709.5928571428569</v>
      </c>
      <c r="J55" s="111">
        <v>24.435554831350824</v>
      </c>
      <c r="K55" s="53">
        <v>4392</v>
      </c>
      <c r="L55" s="54">
        <v>3.0737704918032786E-2</v>
      </c>
      <c r="M55" s="59"/>
      <c r="N55" s="69">
        <v>563.65</v>
      </c>
      <c r="O55" s="70">
        <f>SUMIF(Facebook!A:A,'Compilado 2023'!B:B,Facebook!B:B)</f>
        <v>544.4</v>
      </c>
      <c r="P55" s="70">
        <v>0</v>
      </c>
      <c r="Q55" s="70">
        <v>57.142857142857146</v>
      </c>
      <c r="R55" s="202">
        <f>IFERROR(VLOOKUP($B:$B,Tabela_Linkedin[],2,),0)</f>
        <v>0</v>
      </c>
      <c r="S55" s="70">
        <f>SUMIF(TikTok!A:A,'Compilado 2023'!B:B,TikTok!B:B)</f>
        <v>0</v>
      </c>
      <c r="T55" s="70">
        <v>0</v>
      </c>
      <c r="U55" s="70">
        <v>0</v>
      </c>
      <c r="V55" s="59"/>
      <c r="W55" s="70">
        <v>0</v>
      </c>
      <c r="X55" s="70">
        <v>0</v>
      </c>
      <c r="Y55" s="70">
        <v>0</v>
      </c>
      <c r="Z55" s="38"/>
      <c r="AA55" s="40"/>
    </row>
    <row r="56" spans="1:27" s="2" customFormat="1" x14ac:dyDescent="0.2">
      <c r="A56" s="16" t="s">
        <v>98</v>
      </c>
      <c r="B56" s="17">
        <v>44615</v>
      </c>
      <c r="C56" s="19">
        <v>36378.120000000003</v>
      </c>
      <c r="D56" s="52">
        <v>36378.120000000003</v>
      </c>
      <c r="E56" s="52">
        <v>0</v>
      </c>
      <c r="F56" s="157">
        <v>133</v>
      </c>
      <c r="G56" s="157">
        <v>156</v>
      </c>
      <c r="H56" s="35">
        <v>273.51969924812033</v>
      </c>
      <c r="I56" s="19">
        <v>1567.6728571428571</v>
      </c>
      <c r="J56" s="111">
        <v>23.205173090960123</v>
      </c>
      <c r="K56" s="53">
        <v>4046</v>
      </c>
      <c r="L56" s="54">
        <v>3.2871972318339097E-2</v>
      </c>
      <c r="M56" s="59"/>
      <c r="N56" s="69">
        <v>500.55</v>
      </c>
      <c r="O56" s="70">
        <f>SUMIF(Facebook!A:A,'Compilado 2023'!B:B,Facebook!B:B)</f>
        <v>504.99</v>
      </c>
      <c r="P56" s="70">
        <v>0</v>
      </c>
      <c r="Q56" s="70">
        <v>57.142857142857146</v>
      </c>
      <c r="R56" s="202">
        <f>IFERROR(VLOOKUP($B:$B,Tabela_Linkedin[],2,),0)</f>
        <v>0</v>
      </c>
      <c r="S56" s="70">
        <f>SUMIF(TikTok!A:A,'Compilado 2023'!B:B,TikTok!B:B)</f>
        <v>0</v>
      </c>
      <c r="T56" s="70">
        <v>0</v>
      </c>
      <c r="U56" s="70">
        <v>0</v>
      </c>
      <c r="V56" s="59"/>
      <c r="W56" s="70">
        <v>0</v>
      </c>
      <c r="X56" s="70">
        <v>0</v>
      </c>
      <c r="Y56" s="70">
        <v>0</v>
      </c>
      <c r="Z56" s="38"/>
      <c r="AA56" s="40"/>
    </row>
    <row r="57" spans="1:27" s="2" customFormat="1" x14ac:dyDescent="0.2">
      <c r="A57" s="16" t="s">
        <v>99</v>
      </c>
      <c r="B57" s="17">
        <v>44616</v>
      </c>
      <c r="C57" s="19">
        <v>47748.09</v>
      </c>
      <c r="D57" s="52">
        <v>47748.09</v>
      </c>
      <c r="E57" s="52">
        <v>0</v>
      </c>
      <c r="F57" s="157">
        <v>135</v>
      </c>
      <c r="G57" s="157">
        <v>253</v>
      </c>
      <c r="H57" s="35">
        <v>353.68955555555556</v>
      </c>
      <c r="I57" s="19">
        <v>1731.9528571428571</v>
      </c>
      <c r="J57" s="111">
        <v>27.568931684877597</v>
      </c>
      <c r="K57" s="53">
        <v>3927</v>
      </c>
      <c r="L57" s="54">
        <v>3.4377387318563789E-2</v>
      </c>
      <c r="M57" s="59"/>
      <c r="N57" s="69">
        <v>547.71</v>
      </c>
      <c r="O57" s="70">
        <f>SUMIF(Facebook!A:A,'Compilado 2023'!B:B,Facebook!B:B)</f>
        <v>563.54999999999995</v>
      </c>
      <c r="P57" s="70">
        <v>0</v>
      </c>
      <c r="Q57" s="70">
        <v>57.142857142857146</v>
      </c>
      <c r="R57" s="202">
        <f>IFERROR(VLOOKUP($B:$B,Tabela_Linkedin[],2,),0)</f>
        <v>0</v>
      </c>
      <c r="S57" s="70">
        <f>SUMIF(TikTok!A:A,'Compilado 2023'!B:B,TikTok!B:B)</f>
        <v>0</v>
      </c>
      <c r="T57" s="70">
        <v>0</v>
      </c>
      <c r="U57" s="70">
        <v>0</v>
      </c>
      <c r="V57" s="59"/>
      <c r="W57" s="70">
        <v>0</v>
      </c>
      <c r="X57" s="70">
        <v>0</v>
      </c>
      <c r="Y57" s="70">
        <v>0</v>
      </c>
      <c r="Z57" s="38"/>
      <c r="AA57" s="40"/>
    </row>
    <row r="58" spans="1:27" s="2" customFormat="1" x14ac:dyDescent="0.2">
      <c r="A58" s="16" t="s">
        <v>100</v>
      </c>
      <c r="B58" s="17">
        <v>44617</v>
      </c>
      <c r="C58" s="19">
        <v>52562</v>
      </c>
      <c r="D58" s="52">
        <v>52533.82</v>
      </c>
      <c r="E58" s="52">
        <v>28.18</v>
      </c>
      <c r="F58" s="157">
        <v>147</v>
      </c>
      <c r="G58" s="157">
        <v>192</v>
      </c>
      <c r="H58" s="35">
        <v>357.56462585034012</v>
      </c>
      <c r="I58" s="19">
        <v>1647.3928571428571</v>
      </c>
      <c r="J58" s="111">
        <v>31.906172090099076</v>
      </c>
      <c r="K58" s="53">
        <v>3688</v>
      </c>
      <c r="L58" s="54">
        <v>3.9859002169197397E-2</v>
      </c>
      <c r="M58" s="59"/>
      <c r="N58" s="69">
        <v>407.17</v>
      </c>
      <c r="O58" s="70">
        <f>SUMIF(Facebook!A:A,'Compilado 2023'!B:B,Facebook!B:B)</f>
        <v>591.54</v>
      </c>
      <c r="P58" s="70">
        <v>0</v>
      </c>
      <c r="Q58" s="70">
        <v>57.142857142857146</v>
      </c>
      <c r="R58" s="202">
        <f>IFERROR(VLOOKUP($B:$B,Tabela_Linkedin[],2,),0)</f>
        <v>0</v>
      </c>
      <c r="S58" s="70">
        <f>SUMIF(TikTok!A:A,'Compilado 2023'!B:B,TikTok!B:B)</f>
        <v>0</v>
      </c>
      <c r="T58" s="70">
        <v>0</v>
      </c>
      <c r="U58" s="70">
        <v>0</v>
      </c>
      <c r="V58" s="59"/>
      <c r="W58" s="70">
        <v>0</v>
      </c>
      <c r="X58" s="70">
        <v>0</v>
      </c>
      <c r="Y58" s="70">
        <v>0</v>
      </c>
      <c r="Z58" s="38"/>
      <c r="AA58" s="40"/>
    </row>
    <row r="59" spans="1:27" s="2" customFormat="1" x14ac:dyDescent="0.2">
      <c r="A59" s="16" t="s">
        <v>94</v>
      </c>
      <c r="B59" s="17">
        <v>44618</v>
      </c>
      <c r="C59" s="19">
        <v>24624.39</v>
      </c>
      <c r="D59" s="52">
        <v>24602.11</v>
      </c>
      <c r="E59" s="52">
        <v>22.28</v>
      </c>
      <c r="F59" s="157">
        <v>75</v>
      </c>
      <c r="G59" s="157">
        <v>86</v>
      </c>
      <c r="H59" s="35">
        <v>328.3252</v>
      </c>
      <c r="I59" s="19">
        <v>1520.972857142857</v>
      </c>
      <c r="J59" s="111">
        <v>16.189894437864488</v>
      </c>
      <c r="K59" s="53">
        <v>2721</v>
      </c>
      <c r="L59" s="54">
        <v>2.7563395810363836E-2</v>
      </c>
      <c r="M59" s="59"/>
      <c r="N59" s="69">
        <v>391.77</v>
      </c>
      <c r="O59" s="70">
        <f>SUMIF(Facebook!A:A,'Compilado 2023'!B:B,Facebook!B:B)</f>
        <v>536.03</v>
      </c>
      <c r="P59" s="70">
        <v>0</v>
      </c>
      <c r="Q59" s="70">
        <v>57.142857142857146</v>
      </c>
      <c r="R59" s="202">
        <f>IFERROR(VLOOKUP($B:$B,Tabela_Linkedin[],2,),0)</f>
        <v>0</v>
      </c>
      <c r="S59" s="70">
        <f>SUMIF(TikTok!A:A,'Compilado 2023'!B:B,TikTok!B:B)</f>
        <v>0</v>
      </c>
      <c r="T59" s="70">
        <v>0</v>
      </c>
      <c r="U59" s="70">
        <v>0</v>
      </c>
      <c r="V59" s="59"/>
      <c r="W59" s="70">
        <v>0</v>
      </c>
      <c r="X59" s="70">
        <v>0</v>
      </c>
      <c r="Y59" s="70">
        <v>0</v>
      </c>
      <c r="Z59" s="38"/>
      <c r="AA59" s="40"/>
    </row>
    <row r="60" spans="1:27" s="2" customFormat="1" x14ac:dyDescent="0.2">
      <c r="A60" s="16" t="s">
        <v>95</v>
      </c>
      <c r="B60" s="17">
        <v>44619</v>
      </c>
      <c r="C60" s="19">
        <v>14697.45</v>
      </c>
      <c r="D60" s="52">
        <v>14697.45</v>
      </c>
      <c r="E60" s="52">
        <v>0</v>
      </c>
      <c r="F60" s="157">
        <v>50</v>
      </c>
      <c r="G60" s="157">
        <v>55</v>
      </c>
      <c r="H60" s="35">
        <v>293.94900000000001</v>
      </c>
      <c r="I60" s="19">
        <v>1307.1528571428571</v>
      </c>
      <c r="J60" s="111">
        <v>11.243864801034309</v>
      </c>
      <c r="K60" s="53">
        <v>2157</v>
      </c>
      <c r="L60" s="54">
        <v>2.3180343069077423E-2</v>
      </c>
      <c r="M60" s="59"/>
      <c r="N60" s="69">
        <v>308.87</v>
      </c>
      <c r="O60" s="70">
        <f>SUMIF(Facebook!A:A,'Compilado 2023'!B:B,Facebook!B:B)</f>
        <v>470.57</v>
      </c>
      <c r="P60" s="70">
        <v>0</v>
      </c>
      <c r="Q60" s="70">
        <v>57.142857142857146</v>
      </c>
      <c r="R60" s="202">
        <f>IFERROR(VLOOKUP($B:$B,Tabela_Linkedin[],2,),0)</f>
        <v>0</v>
      </c>
      <c r="S60" s="70">
        <f>SUMIF(TikTok!A:A,'Compilado 2023'!B:B,TikTok!B:B)</f>
        <v>0</v>
      </c>
      <c r="T60" s="70">
        <v>0</v>
      </c>
      <c r="U60" s="70">
        <v>0</v>
      </c>
      <c r="V60" s="59"/>
      <c r="W60" s="70">
        <v>0</v>
      </c>
      <c r="X60" s="70">
        <v>0</v>
      </c>
      <c r="Y60" s="70">
        <v>0</v>
      </c>
      <c r="Z60" s="38"/>
      <c r="AA60" s="40"/>
    </row>
    <row r="61" spans="1:27" s="2" customFormat="1" x14ac:dyDescent="0.2">
      <c r="A61" s="16" t="s">
        <v>96</v>
      </c>
      <c r="B61" s="17">
        <v>44620</v>
      </c>
      <c r="C61" s="19">
        <v>20827.53</v>
      </c>
      <c r="D61" s="52">
        <v>20827.53</v>
      </c>
      <c r="E61" s="52">
        <v>0</v>
      </c>
      <c r="F61" s="157">
        <v>67</v>
      </c>
      <c r="G61" s="157">
        <v>82</v>
      </c>
      <c r="H61" s="35">
        <v>310.8586567164179</v>
      </c>
      <c r="I61" s="19">
        <v>1123.2528571428572</v>
      </c>
      <c r="J61" s="111">
        <v>18.542156262996372</v>
      </c>
      <c r="K61" s="53">
        <v>3593</v>
      </c>
      <c r="L61" s="54">
        <v>1.864736988588923E-2</v>
      </c>
      <c r="M61" s="59"/>
      <c r="N61" s="69">
        <v>411.65</v>
      </c>
      <c r="O61" s="70">
        <f>SUMIF(Facebook!A:A,'Compilado 2023'!B:B,Facebook!B:B)</f>
        <v>327.23</v>
      </c>
      <c r="P61" s="70">
        <v>0</v>
      </c>
      <c r="Q61" s="70">
        <v>57.142857142857146</v>
      </c>
      <c r="R61" s="202">
        <f>IFERROR(VLOOKUP($B:$B,Tabela_Linkedin[],2,),0)</f>
        <v>0</v>
      </c>
      <c r="S61" s="70">
        <f>SUMIF(TikTok!A:A,'Compilado 2023'!B:B,TikTok!B:B)</f>
        <v>0</v>
      </c>
      <c r="T61" s="70">
        <v>0</v>
      </c>
      <c r="U61" s="70">
        <v>0</v>
      </c>
      <c r="V61" s="59"/>
      <c r="W61" s="70">
        <v>0</v>
      </c>
      <c r="X61" s="70">
        <v>0</v>
      </c>
      <c r="Y61" s="70">
        <v>0</v>
      </c>
      <c r="Z61" s="38"/>
      <c r="AA61" s="40"/>
    </row>
    <row r="62" spans="1:27" s="2" customFormat="1" x14ac:dyDescent="0.2">
      <c r="A62" s="16" t="s">
        <v>97</v>
      </c>
      <c r="B62" s="17">
        <v>44621</v>
      </c>
      <c r="C62" s="19">
        <v>26424.45</v>
      </c>
      <c r="D62" s="52">
        <v>26424.45</v>
      </c>
      <c r="E62" s="52">
        <v>0</v>
      </c>
      <c r="F62" s="157">
        <v>79</v>
      </c>
      <c r="G62" s="157">
        <v>106</v>
      </c>
      <c r="H62" s="35">
        <v>334.48670886075951</v>
      </c>
      <c r="I62" s="19">
        <v>650.75290322580645</v>
      </c>
      <c r="J62" s="111">
        <v>40.605965596177924</v>
      </c>
      <c r="K62" s="53">
        <v>2798</v>
      </c>
      <c r="L62" s="54">
        <v>2.8234453180843458E-2</v>
      </c>
      <c r="M62" s="59"/>
      <c r="N62" s="69">
        <v>435.4</v>
      </c>
      <c r="O62" s="70">
        <f>SUMIF(Facebook!A:A,'Compilado 2023'!B:B,Facebook!B:B)</f>
        <v>81.87</v>
      </c>
      <c r="P62" s="70">
        <v>0</v>
      </c>
      <c r="Q62" s="70">
        <v>51.612903225806448</v>
      </c>
      <c r="R62" s="202">
        <f>IFERROR(VLOOKUP($B:$B,Tabela_Linkedin[],2,),0)</f>
        <v>0</v>
      </c>
      <c r="S62" s="70">
        <f>SUMIF(TikTok!A:A,'Compilado 2023'!B:B,TikTok!B:B)</f>
        <v>0</v>
      </c>
      <c r="T62" s="70">
        <v>0</v>
      </c>
      <c r="U62" s="70">
        <v>0</v>
      </c>
      <c r="V62" s="59"/>
      <c r="W62" s="70">
        <v>0</v>
      </c>
      <c r="X62" s="70">
        <v>0</v>
      </c>
      <c r="Y62" s="70">
        <v>0</v>
      </c>
      <c r="Z62" s="38"/>
      <c r="AA62" s="40"/>
    </row>
    <row r="63" spans="1:27" s="2" customFormat="1" x14ac:dyDescent="0.2">
      <c r="A63" s="16" t="s">
        <v>98</v>
      </c>
      <c r="B63" s="17">
        <v>44622</v>
      </c>
      <c r="C63" s="19">
        <v>33508.92</v>
      </c>
      <c r="D63" s="52">
        <v>33508.92</v>
      </c>
      <c r="E63" s="52">
        <v>0</v>
      </c>
      <c r="F63" s="157">
        <v>115</v>
      </c>
      <c r="G63" s="157">
        <v>135</v>
      </c>
      <c r="H63" s="35">
        <v>291.38191304347822</v>
      </c>
      <c r="I63" s="19">
        <v>678.90290322580643</v>
      </c>
      <c r="J63" s="111">
        <v>49.357455743350634</v>
      </c>
      <c r="K63" s="53">
        <v>4040</v>
      </c>
      <c r="L63" s="54">
        <v>2.8465346534653466E-2</v>
      </c>
      <c r="M63" s="59"/>
      <c r="N63" s="69">
        <v>466.11</v>
      </c>
      <c r="O63" s="70">
        <f>SUMIF(Facebook!A:A,'Compilado 2023'!B:B,Facebook!B:B)</f>
        <v>80.59</v>
      </c>
      <c r="P63" s="70">
        <v>0</v>
      </c>
      <c r="Q63" s="70">
        <v>51.612903225806448</v>
      </c>
      <c r="R63" s="202">
        <f>IFERROR(VLOOKUP($B:$B,Tabela_Linkedin[],2,),0)</f>
        <v>0</v>
      </c>
      <c r="S63" s="70">
        <f>SUMIF(TikTok!A:A,'Compilado 2023'!B:B,TikTok!B:B)</f>
        <v>0</v>
      </c>
      <c r="T63" s="70">
        <v>0</v>
      </c>
      <c r="U63" s="70">
        <v>0</v>
      </c>
      <c r="V63" s="59"/>
      <c r="W63" s="70">
        <v>0</v>
      </c>
      <c r="X63" s="70">
        <v>0</v>
      </c>
      <c r="Y63" s="70">
        <v>0</v>
      </c>
      <c r="Z63" s="38"/>
      <c r="AA63" s="40"/>
    </row>
    <row r="64" spans="1:27" s="2" customFormat="1" x14ac:dyDescent="0.2">
      <c r="A64" s="16" t="s">
        <v>99</v>
      </c>
      <c r="B64" s="17">
        <v>44623</v>
      </c>
      <c r="C64" s="19">
        <v>38636.53</v>
      </c>
      <c r="D64" s="52">
        <v>38636.53</v>
      </c>
      <c r="E64" s="52">
        <v>0</v>
      </c>
      <c r="F64" s="157">
        <v>131</v>
      </c>
      <c r="G64" s="157">
        <v>185</v>
      </c>
      <c r="H64" s="35">
        <v>294.93534351145036</v>
      </c>
      <c r="I64" s="19">
        <v>795.14290322580644</v>
      </c>
      <c r="J64" s="111">
        <v>48.590674510526206</v>
      </c>
      <c r="K64" s="53">
        <v>3937</v>
      </c>
      <c r="L64" s="54">
        <v>3.3274066548133099E-2</v>
      </c>
      <c r="M64" s="59"/>
      <c r="N64" s="69">
        <v>506.61</v>
      </c>
      <c r="O64" s="70">
        <f>SUMIF(Facebook!A:A,'Compilado 2023'!B:B,Facebook!B:B)</f>
        <v>118.46</v>
      </c>
      <c r="P64" s="70">
        <v>0</v>
      </c>
      <c r="Q64" s="70">
        <v>51.612903225806448</v>
      </c>
      <c r="R64" s="202">
        <f>IFERROR(VLOOKUP($B:$B,Tabela_Linkedin[],2,),0)</f>
        <v>0</v>
      </c>
      <c r="S64" s="70">
        <f>SUMIF(TikTok!A:A,'Compilado 2023'!B:B,TikTok!B:B)</f>
        <v>0</v>
      </c>
      <c r="T64" s="70">
        <v>0</v>
      </c>
      <c r="U64" s="70">
        <v>0</v>
      </c>
      <c r="V64" s="59"/>
      <c r="W64" s="70">
        <v>0</v>
      </c>
      <c r="X64" s="70">
        <v>0</v>
      </c>
      <c r="Y64" s="70">
        <v>0</v>
      </c>
      <c r="Z64" s="38"/>
      <c r="AA64" s="40"/>
    </row>
    <row r="65" spans="1:27" s="2" customFormat="1" x14ac:dyDescent="0.2">
      <c r="A65" s="16" t="s">
        <v>100</v>
      </c>
      <c r="B65" s="17">
        <v>44624</v>
      </c>
      <c r="C65" s="19">
        <v>34604.03</v>
      </c>
      <c r="D65" s="52">
        <v>34579.99</v>
      </c>
      <c r="E65" s="52">
        <v>24.04</v>
      </c>
      <c r="F65" s="157">
        <v>111</v>
      </c>
      <c r="G65" s="157">
        <v>172</v>
      </c>
      <c r="H65" s="35">
        <v>311.748018018018</v>
      </c>
      <c r="I65" s="19">
        <v>842.60290322580647</v>
      </c>
      <c r="J65" s="111">
        <v>41.068016579960172</v>
      </c>
      <c r="K65" s="53">
        <v>3680</v>
      </c>
      <c r="L65" s="54">
        <v>3.0163043478260869E-2</v>
      </c>
      <c r="M65" s="59"/>
      <c r="N65" s="69">
        <v>519.73</v>
      </c>
      <c r="O65" s="70">
        <f>SUMIF(Facebook!A:A,'Compilado 2023'!B:B,Facebook!B:B)</f>
        <v>135.63</v>
      </c>
      <c r="P65" s="70">
        <v>0</v>
      </c>
      <c r="Q65" s="70">
        <v>51.612903225806448</v>
      </c>
      <c r="R65" s="202">
        <f>IFERROR(VLOOKUP($B:$B,Tabela_Linkedin[],2,),0)</f>
        <v>0</v>
      </c>
      <c r="S65" s="70">
        <f>SUMIF(TikTok!A:A,'Compilado 2023'!B:B,TikTok!B:B)</f>
        <v>0</v>
      </c>
      <c r="T65" s="70">
        <v>0</v>
      </c>
      <c r="U65" s="70">
        <v>0</v>
      </c>
      <c r="V65" s="59"/>
      <c r="W65" s="70">
        <v>0</v>
      </c>
      <c r="X65" s="70">
        <v>0</v>
      </c>
      <c r="Y65" s="70">
        <v>0</v>
      </c>
      <c r="Z65" s="38"/>
      <c r="AA65" s="40"/>
    </row>
    <row r="66" spans="1:27" s="2" customFormat="1" x14ac:dyDescent="0.2">
      <c r="A66" s="16" t="s">
        <v>94</v>
      </c>
      <c r="B66" s="17">
        <v>44625</v>
      </c>
      <c r="C66" s="19">
        <v>20933.25</v>
      </c>
      <c r="D66" s="52">
        <v>20933.25</v>
      </c>
      <c r="E66" s="52">
        <v>0</v>
      </c>
      <c r="F66" s="157">
        <v>71</v>
      </c>
      <c r="G66" s="157">
        <v>87</v>
      </c>
      <c r="H66" s="35">
        <v>294.83450704225351</v>
      </c>
      <c r="I66" s="19">
        <v>735.20290322580649</v>
      </c>
      <c r="J66" s="111">
        <v>28.472752090820659</v>
      </c>
      <c r="K66" s="53">
        <v>2905</v>
      </c>
      <c r="L66" s="54">
        <v>2.4440619621342512E-2</v>
      </c>
      <c r="M66" s="59"/>
      <c r="N66" s="69">
        <v>407.41</v>
      </c>
      <c r="O66" s="70">
        <f>SUMIF(Facebook!A:A,'Compilado 2023'!B:B,Facebook!B:B)</f>
        <v>138.09</v>
      </c>
      <c r="P66" s="70">
        <v>0</v>
      </c>
      <c r="Q66" s="70">
        <v>51.612903225806448</v>
      </c>
      <c r="R66" s="202">
        <f>IFERROR(VLOOKUP($B:$B,Tabela_Linkedin[],2,),0)</f>
        <v>0</v>
      </c>
      <c r="S66" s="70">
        <f>SUMIF(TikTok!A:A,'Compilado 2023'!B:B,TikTok!B:B)</f>
        <v>0</v>
      </c>
      <c r="T66" s="70">
        <v>0</v>
      </c>
      <c r="U66" s="70">
        <v>0</v>
      </c>
      <c r="V66" s="59"/>
      <c r="W66" s="70">
        <v>0</v>
      </c>
      <c r="X66" s="70">
        <v>0</v>
      </c>
      <c r="Y66" s="70">
        <v>0</v>
      </c>
      <c r="Z66" s="38"/>
      <c r="AA66" s="40"/>
    </row>
    <row r="67" spans="1:27" s="2" customFormat="1" x14ac:dyDescent="0.2">
      <c r="A67" s="16" t="s">
        <v>95</v>
      </c>
      <c r="B67" s="17">
        <v>44626</v>
      </c>
      <c r="C67" s="19">
        <v>20185.640000000003</v>
      </c>
      <c r="D67" s="52">
        <v>20161.580000000002</v>
      </c>
      <c r="E67" s="52">
        <v>24.06</v>
      </c>
      <c r="F67" s="157">
        <v>57</v>
      </c>
      <c r="G67" s="157">
        <v>83</v>
      </c>
      <c r="H67" s="35">
        <v>354.13403508771933</v>
      </c>
      <c r="I67" s="19">
        <v>738.91290322580642</v>
      </c>
      <c r="J67" s="111">
        <v>27.318023425869743</v>
      </c>
      <c r="K67" s="53">
        <v>2521</v>
      </c>
      <c r="L67" s="54">
        <v>2.2610075366917889E-2</v>
      </c>
      <c r="M67" s="59"/>
      <c r="N67" s="69">
        <v>406.66</v>
      </c>
      <c r="O67" s="70">
        <f>SUMIF(Facebook!A:A,'Compilado 2023'!B:B,Facebook!B:B)</f>
        <v>140.32</v>
      </c>
      <c r="P67" s="70">
        <v>0</v>
      </c>
      <c r="Q67" s="70">
        <v>51.612903225806448</v>
      </c>
      <c r="R67" s="202">
        <f>IFERROR(VLOOKUP($B:$B,Tabela_Linkedin[],2,),0)</f>
        <v>0</v>
      </c>
      <c r="S67" s="70">
        <f>SUMIF(TikTok!A:A,'Compilado 2023'!B:B,TikTok!B:B)</f>
        <v>0</v>
      </c>
      <c r="T67" s="70">
        <v>0</v>
      </c>
      <c r="U67" s="70">
        <v>0</v>
      </c>
      <c r="V67" s="59"/>
      <c r="W67" s="70">
        <v>0</v>
      </c>
      <c r="X67" s="70">
        <v>0</v>
      </c>
      <c r="Y67" s="70">
        <v>0</v>
      </c>
      <c r="Z67" s="38"/>
      <c r="AA67" s="40"/>
    </row>
    <row r="68" spans="1:27" s="2" customFormat="1" x14ac:dyDescent="0.2">
      <c r="A68" s="16" t="s">
        <v>96</v>
      </c>
      <c r="B68" s="17">
        <v>44627</v>
      </c>
      <c r="C68" s="19">
        <v>53461.25</v>
      </c>
      <c r="D68" s="52">
        <v>53461.25</v>
      </c>
      <c r="E68" s="52">
        <v>0</v>
      </c>
      <c r="F68" s="157">
        <v>165</v>
      </c>
      <c r="G68" s="157">
        <v>273</v>
      </c>
      <c r="H68" s="35">
        <v>324.00757575757575</v>
      </c>
      <c r="I68" s="19">
        <v>954.45290322580638</v>
      </c>
      <c r="J68" s="111">
        <v>56.012454694531982</v>
      </c>
      <c r="K68" s="53">
        <v>4558</v>
      </c>
      <c r="L68" s="54">
        <v>3.6200087757788504E-2</v>
      </c>
      <c r="M68" s="59"/>
      <c r="N68" s="69">
        <v>557.52</v>
      </c>
      <c r="O68" s="70">
        <f>SUMIF(Facebook!A:A,'Compilado 2023'!B:B,Facebook!B:B)</f>
        <v>172.66</v>
      </c>
      <c r="P68" s="70">
        <v>0</v>
      </c>
      <c r="Q68" s="70">
        <v>51.612903225806448</v>
      </c>
      <c r="R68" s="202">
        <f>IFERROR(VLOOKUP($B:$B,Tabela_Linkedin[],2,),0)</f>
        <v>0</v>
      </c>
      <c r="S68" s="70">
        <f>SUMIF(TikTok!A:A,'Compilado 2023'!B:B,TikTok!B:B)</f>
        <v>0</v>
      </c>
      <c r="T68" s="70">
        <v>0</v>
      </c>
      <c r="U68" s="70">
        <v>0</v>
      </c>
      <c r="V68" s="59"/>
      <c r="W68" s="70">
        <v>0</v>
      </c>
      <c r="X68" s="70">
        <v>0</v>
      </c>
      <c r="Y68" s="70">
        <v>0</v>
      </c>
      <c r="Z68" s="38"/>
      <c r="AA68" s="40"/>
    </row>
    <row r="69" spans="1:27" s="2" customFormat="1" x14ac:dyDescent="0.2">
      <c r="A69" s="16" t="s">
        <v>97</v>
      </c>
      <c r="B69" s="17">
        <v>44628</v>
      </c>
      <c r="C69" s="19">
        <v>69122.89</v>
      </c>
      <c r="D69" s="52">
        <v>69122.89</v>
      </c>
      <c r="E69" s="52">
        <v>0</v>
      </c>
      <c r="F69" s="157">
        <v>227</v>
      </c>
      <c r="G69" s="157">
        <v>341</v>
      </c>
      <c r="H69" s="35">
        <v>304.50612334801764</v>
      </c>
      <c r="I69" s="19">
        <v>925.34290322580648</v>
      </c>
      <c r="J69" s="111">
        <v>74.699756986337761</v>
      </c>
      <c r="K69" s="53">
        <v>4622</v>
      </c>
      <c r="L69" s="54">
        <v>4.91129381220251E-2</v>
      </c>
      <c r="M69" s="59"/>
      <c r="N69" s="69">
        <v>507.35</v>
      </c>
      <c r="O69" s="70">
        <f>SUMIF(Facebook!A:A,'Compilado 2023'!B:B,Facebook!B:B)</f>
        <v>183.19</v>
      </c>
      <c r="P69" s="70">
        <v>0</v>
      </c>
      <c r="Q69" s="70">
        <v>51.612903225806448</v>
      </c>
      <c r="R69" s="202">
        <f>IFERROR(VLOOKUP($B:$B,Tabela_Linkedin[],2,),0)</f>
        <v>0</v>
      </c>
      <c r="S69" s="70">
        <f>SUMIF(TikTok!A:A,'Compilado 2023'!B:B,TikTok!B:B)</f>
        <v>0</v>
      </c>
      <c r="T69" s="70">
        <v>0</v>
      </c>
      <c r="U69" s="70">
        <v>0</v>
      </c>
      <c r="V69" s="59"/>
      <c r="W69" s="70">
        <v>0</v>
      </c>
      <c r="X69" s="70">
        <v>0</v>
      </c>
      <c r="Y69" s="70">
        <v>0</v>
      </c>
      <c r="Z69" s="38"/>
      <c r="AA69" s="40"/>
    </row>
    <row r="70" spans="1:27" s="2" customFormat="1" x14ac:dyDescent="0.2">
      <c r="A70" s="16" t="s">
        <v>98</v>
      </c>
      <c r="B70" s="17">
        <v>44629</v>
      </c>
      <c r="C70" s="19">
        <v>39587.160000000003</v>
      </c>
      <c r="D70" s="52">
        <v>39587.160000000003</v>
      </c>
      <c r="E70" s="52">
        <v>0</v>
      </c>
      <c r="F70" s="157">
        <v>124</v>
      </c>
      <c r="G70" s="157">
        <v>167</v>
      </c>
      <c r="H70" s="35">
        <v>319.2512903225807</v>
      </c>
      <c r="I70" s="19">
        <v>865.85290322580647</v>
      </c>
      <c r="J70" s="111">
        <v>45.720421855161277</v>
      </c>
      <c r="K70" s="53">
        <v>4144</v>
      </c>
      <c r="L70" s="54">
        <v>2.9922779922779922E-2</v>
      </c>
      <c r="M70" s="59"/>
      <c r="N70" s="69">
        <v>483.98</v>
      </c>
      <c r="O70" s="70">
        <f>SUMIF(Facebook!A:A,'Compilado 2023'!B:B,Facebook!B:B)</f>
        <v>165.13</v>
      </c>
      <c r="P70" s="70">
        <v>0</v>
      </c>
      <c r="Q70" s="70">
        <v>51.612903225806448</v>
      </c>
      <c r="R70" s="202">
        <f>IFERROR(VLOOKUP($B:$B,Tabela_Linkedin[],2,),0)</f>
        <v>0</v>
      </c>
      <c r="S70" s="70">
        <f>SUMIF(TikTok!A:A,'Compilado 2023'!B:B,TikTok!B:B)</f>
        <v>0</v>
      </c>
      <c r="T70" s="70">
        <v>0</v>
      </c>
      <c r="U70" s="70">
        <v>0</v>
      </c>
      <c r="V70" s="59"/>
      <c r="W70" s="70">
        <v>0</v>
      </c>
      <c r="X70" s="70">
        <v>0</v>
      </c>
      <c r="Y70" s="70">
        <v>0</v>
      </c>
      <c r="Z70" s="38"/>
      <c r="AA70" s="40"/>
    </row>
    <row r="71" spans="1:27" s="2" customFormat="1" x14ac:dyDescent="0.2">
      <c r="A71" s="16" t="s">
        <v>99</v>
      </c>
      <c r="B71" s="17">
        <v>44630</v>
      </c>
      <c r="C71" s="19">
        <v>28431.84</v>
      </c>
      <c r="D71" s="52">
        <v>28431.84</v>
      </c>
      <c r="E71" s="52">
        <v>0</v>
      </c>
      <c r="F71" s="157">
        <v>105</v>
      </c>
      <c r="G71" s="157">
        <v>126</v>
      </c>
      <c r="H71" s="35">
        <v>270.77942857142858</v>
      </c>
      <c r="I71" s="19">
        <v>951.53290322580654</v>
      </c>
      <c r="J71" s="111">
        <v>29.880038728679562</v>
      </c>
      <c r="K71" s="53">
        <v>3802</v>
      </c>
      <c r="L71" s="54">
        <v>2.7617043661230932E-2</v>
      </c>
      <c r="M71" s="59"/>
      <c r="N71" s="69">
        <v>460.88</v>
      </c>
      <c r="O71" s="70">
        <f>SUMIF(Facebook!A:A,'Compilado 2023'!B:B,Facebook!B:B)</f>
        <v>219.52</v>
      </c>
      <c r="P71" s="70">
        <v>0</v>
      </c>
      <c r="Q71" s="70">
        <v>51.612903225806448</v>
      </c>
      <c r="R71" s="202">
        <f>IFERROR(VLOOKUP($B:$B,Tabela_Linkedin[],2,),0)</f>
        <v>0</v>
      </c>
      <c r="S71" s="70">
        <f>SUMIF(TikTok!A:A,'Compilado 2023'!B:B,TikTok!B:B)</f>
        <v>0</v>
      </c>
      <c r="T71" s="70">
        <v>0</v>
      </c>
      <c r="U71" s="70">
        <v>0</v>
      </c>
      <c r="V71" s="59"/>
      <c r="W71" s="70">
        <v>0</v>
      </c>
      <c r="X71" s="70">
        <v>0</v>
      </c>
      <c r="Y71" s="70">
        <v>0</v>
      </c>
      <c r="Z71" s="38"/>
      <c r="AA71" s="40"/>
    </row>
    <row r="72" spans="1:27" s="2" customFormat="1" x14ac:dyDescent="0.2">
      <c r="A72" s="16" t="s">
        <v>100</v>
      </c>
      <c r="B72" s="17">
        <v>44631</v>
      </c>
      <c r="C72" s="19">
        <v>31452.85</v>
      </c>
      <c r="D72" s="52">
        <v>31452.85</v>
      </c>
      <c r="E72" s="52">
        <v>0</v>
      </c>
      <c r="F72" s="157">
        <v>109</v>
      </c>
      <c r="G72" s="157">
        <v>123</v>
      </c>
      <c r="H72" s="35">
        <v>288.55825688073395</v>
      </c>
      <c r="I72" s="19">
        <v>1050.2929032258064</v>
      </c>
      <c r="J72" s="111">
        <v>29.946741431268944</v>
      </c>
      <c r="K72" s="53">
        <v>3694</v>
      </c>
      <c r="L72" s="54">
        <v>2.9507309149972929E-2</v>
      </c>
      <c r="M72" s="59"/>
      <c r="N72" s="69">
        <v>454.94</v>
      </c>
      <c r="O72" s="70">
        <f>SUMIF(Facebook!A:A,'Compilado 2023'!B:B,Facebook!B:B)</f>
        <v>271.87</v>
      </c>
      <c r="P72" s="70">
        <v>0</v>
      </c>
      <c r="Q72" s="70">
        <v>51.612903225806448</v>
      </c>
      <c r="R72" s="202">
        <f>IFERROR(VLOOKUP($B:$B,Tabela_Linkedin[],2,),0)</f>
        <v>0</v>
      </c>
      <c r="S72" s="70">
        <f>SUMIF(TikTok!A:A,'Compilado 2023'!B:B,TikTok!B:B)</f>
        <v>0</v>
      </c>
      <c r="T72" s="70">
        <v>0</v>
      </c>
      <c r="U72" s="70">
        <v>0</v>
      </c>
      <c r="V72" s="59"/>
      <c r="W72" s="70">
        <v>0</v>
      </c>
      <c r="X72" s="70">
        <v>0</v>
      </c>
      <c r="Y72" s="70">
        <v>0</v>
      </c>
      <c r="Z72" s="38"/>
      <c r="AA72" s="40"/>
    </row>
    <row r="73" spans="1:27" s="2" customFormat="1" x14ac:dyDescent="0.2">
      <c r="A73" s="16" t="s">
        <v>94</v>
      </c>
      <c r="B73" s="17">
        <v>44632</v>
      </c>
      <c r="C73" s="19">
        <v>20817.13</v>
      </c>
      <c r="D73" s="52">
        <v>20794.89</v>
      </c>
      <c r="E73" s="52">
        <v>22.24</v>
      </c>
      <c r="F73" s="157">
        <v>70</v>
      </c>
      <c r="G73" s="157">
        <v>84</v>
      </c>
      <c r="H73" s="35">
        <v>297.38757142857145</v>
      </c>
      <c r="I73" s="19">
        <v>897.20290322580649</v>
      </c>
      <c r="J73" s="111">
        <v>23.202254389897778</v>
      </c>
      <c r="K73" s="53">
        <v>2890</v>
      </c>
      <c r="L73" s="54">
        <v>2.4221453287197232E-2</v>
      </c>
      <c r="M73" s="59"/>
      <c r="N73" s="69">
        <v>277.64999999999998</v>
      </c>
      <c r="O73" s="70">
        <f>SUMIF(Facebook!A:A,'Compilado 2023'!B:B,Facebook!B:B)</f>
        <v>283.97000000000003</v>
      </c>
      <c r="P73" s="70">
        <v>0</v>
      </c>
      <c r="Q73" s="70">
        <v>51.612903225806448</v>
      </c>
      <c r="R73" s="202">
        <f>IFERROR(VLOOKUP($B:$B,Tabela_Linkedin[],2,),0)</f>
        <v>0</v>
      </c>
      <c r="S73" s="70">
        <f>SUMIF(TikTok!A:A,'Compilado 2023'!B:B,TikTok!B:B)</f>
        <v>0</v>
      </c>
      <c r="T73" s="70">
        <v>0</v>
      </c>
      <c r="U73" s="70">
        <v>0</v>
      </c>
      <c r="V73" s="59"/>
      <c r="W73" s="70">
        <v>0</v>
      </c>
      <c r="X73" s="70">
        <v>0</v>
      </c>
      <c r="Y73" s="70">
        <v>0</v>
      </c>
      <c r="Z73" s="38"/>
      <c r="AA73" s="40"/>
    </row>
    <row r="74" spans="1:27" s="2" customFormat="1" x14ac:dyDescent="0.2">
      <c r="A74" s="16" t="s">
        <v>95</v>
      </c>
      <c r="B74" s="17">
        <v>44633</v>
      </c>
      <c r="C74" s="19">
        <v>21368.78</v>
      </c>
      <c r="D74" s="52">
        <v>21368.78</v>
      </c>
      <c r="E74" s="52">
        <v>0</v>
      </c>
      <c r="F74" s="157">
        <v>73</v>
      </c>
      <c r="G74" s="157">
        <v>83</v>
      </c>
      <c r="H74" s="35">
        <v>292.7230136986301</v>
      </c>
      <c r="I74" s="19">
        <v>641.05290322580652</v>
      </c>
      <c r="J74" s="111">
        <v>33.333879142378663</v>
      </c>
      <c r="K74" s="53">
        <v>2377</v>
      </c>
      <c r="L74" s="54">
        <v>3.0710980227177113E-2</v>
      </c>
      <c r="M74" s="59"/>
      <c r="N74" s="69">
        <v>0</v>
      </c>
      <c r="O74" s="70">
        <f>SUMIF(Facebook!A:A,'Compilado 2023'!B:B,Facebook!B:B)</f>
        <v>294.72000000000003</v>
      </c>
      <c r="P74" s="70">
        <v>0</v>
      </c>
      <c r="Q74" s="70">
        <v>51.612903225806448</v>
      </c>
      <c r="R74" s="202">
        <f>IFERROR(VLOOKUP($B:$B,Tabela_Linkedin[],2,),0)</f>
        <v>0</v>
      </c>
      <c r="S74" s="70">
        <f>SUMIF(TikTok!A:A,'Compilado 2023'!B:B,TikTok!B:B)</f>
        <v>0</v>
      </c>
      <c r="T74" s="70">
        <v>0</v>
      </c>
      <c r="U74" s="70">
        <v>0</v>
      </c>
      <c r="V74" s="59"/>
      <c r="W74" s="70">
        <v>0</v>
      </c>
      <c r="X74" s="70">
        <v>0</v>
      </c>
      <c r="Y74" s="70">
        <v>0</v>
      </c>
      <c r="Z74" s="38"/>
      <c r="AA74" s="40"/>
    </row>
    <row r="75" spans="1:27" s="2" customFormat="1" x14ac:dyDescent="0.2">
      <c r="A75" s="16" t="s">
        <v>96</v>
      </c>
      <c r="B75" s="17">
        <v>44634</v>
      </c>
      <c r="C75" s="19">
        <v>55459.98</v>
      </c>
      <c r="D75" s="52">
        <v>55459.98</v>
      </c>
      <c r="E75" s="52">
        <v>0</v>
      </c>
      <c r="F75" s="157">
        <v>260</v>
      </c>
      <c r="G75" s="157">
        <v>378</v>
      </c>
      <c r="H75" s="35">
        <v>213.30761538461539</v>
      </c>
      <c r="I75" s="19">
        <v>752.03290322580642</v>
      </c>
      <c r="J75" s="111">
        <v>73.746746667741903</v>
      </c>
      <c r="K75" s="53">
        <v>4381</v>
      </c>
      <c r="L75" s="54">
        <v>5.9347181008902079E-2</v>
      </c>
      <c r="M75" s="59"/>
      <c r="N75" s="69">
        <v>0</v>
      </c>
      <c r="O75" s="70">
        <f>SUMIF(Facebook!A:A,'Compilado 2023'!B:B,Facebook!B:B)</f>
        <v>350.21</v>
      </c>
      <c r="P75" s="70">
        <v>0</v>
      </c>
      <c r="Q75" s="70">
        <v>51.612903225806448</v>
      </c>
      <c r="R75" s="202">
        <f>IFERROR(VLOOKUP($B:$B,Tabela_Linkedin[],2,),0)</f>
        <v>0</v>
      </c>
      <c r="S75" s="70">
        <f>SUMIF(TikTok!A:A,'Compilado 2023'!B:B,TikTok!B:B)</f>
        <v>0</v>
      </c>
      <c r="T75" s="70">
        <v>0</v>
      </c>
      <c r="U75" s="70">
        <v>0</v>
      </c>
      <c r="V75" s="59"/>
      <c r="W75" s="70">
        <v>0</v>
      </c>
      <c r="X75" s="70">
        <v>0</v>
      </c>
      <c r="Y75" s="70">
        <v>0</v>
      </c>
      <c r="Z75" s="38"/>
      <c r="AA75" s="40"/>
    </row>
    <row r="76" spans="1:27" s="2" customFormat="1" x14ac:dyDescent="0.2">
      <c r="A76" s="16" t="s">
        <v>97</v>
      </c>
      <c r="B76" s="17">
        <v>44635</v>
      </c>
      <c r="C76" s="19">
        <v>40873.85</v>
      </c>
      <c r="D76" s="52">
        <v>40873.85</v>
      </c>
      <c r="E76" s="52">
        <v>0</v>
      </c>
      <c r="F76" s="157">
        <v>170</v>
      </c>
      <c r="G76" s="157">
        <v>244</v>
      </c>
      <c r="H76" s="35">
        <v>240.43441176470589</v>
      </c>
      <c r="I76" s="19">
        <v>853.47290322580648</v>
      </c>
      <c r="J76" s="111">
        <v>47.891209955831314</v>
      </c>
      <c r="K76" s="53">
        <v>4105</v>
      </c>
      <c r="L76" s="54">
        <v>4.1412911084043852E-2</v>
      </c>
      <c r="M76" s="59"/>
      <c r="N76" s="69">
        <v>0</v>
      </c>
      <c r="O76" s="70">
        <f>SUMIF(Facebook!A:A,'Compilado 2023'!B:B,Facebook!B:B)</f>
        <v>400.93</v>
      </c>
      <c r="P76" s="70">
        <v>0</v>
      </c>
      <c r="Q76" s="70">
        <v>51.612903225806448</v>
      </c>
      <c r="R76" s="202">
        <f>IFERROR(VLOOKUP($B:$B,Tabela_Linkedin[],2,),0)</f>
        <v>0</v>
      </c>
      <c r="S76" s="70">
        <f>SUMIF(TikTok!A:A,'Compilado 2023'!B:B,TikTok!B:B)</f>
        <v>0</v>
      </c>
      <c r="T76" s="70">
        <v>0</v>
      </c>
      <c r="U76" s="70">
        <v>0</v>
      </c>
      <c r="V76" s="59"/>
      <c r="W76" s="70">
        <v>0</v>
      </c>
      <c r="X76" s="70">
        <v>0</v>
      </c>
      <c r="Y76" s="70">
        <v>0</v>
      </c>
      <c r="Z76" s="38"/>
      <c r="AA76" s="40"/>
    </row>
    <row r="77" spans="1:27" s="2" customFormat="1" x14ac:dyDescent="0.2">
      <c r="A77" s="16" t="s">
        <v>98</v>
      </c>
      <c r="B77" s="17">
        <v>44636</v>
      </c>
      <c r="C77" s="19">
        <v>46762.31</v>
      </c>
      <c r="D77" s="52">
        <v>46762.31</v>
      </c>
      <c r="E77" s="52">
        <v>0</v>
      </c>
      <c r="F77" s="157">
        <v>181</v>
      </c>
      <c r="G77" s="157">
        <v>238</v>
      </c>
      <c r="H77" s="35">
        <v>258.35530386740328</v>
      </c>
      <c r="I77" s="19">
        <v>801.81290322580651</v>
      </c>
      <c r="J77" s="111">
        <v>58.320725211416061</v>
      </c>
      <c r="K77" s="53">
        <v>3955</v>
      </c>
      <c r="L77" s="54">
        <v>4.576485461441214E-2</v>
      </c>
      <c r="M77" s="59"/>
      <c r="N77" s="69">
        <v>0</v>
      </c>
      <c r="O77" s="70">
        <f>SUMIF(Facebook!A:A,'Compilado 2023'!B:B,Facebook!B:B)</f>
        <v>375.1</v>
      </c>
      <c r="P77" s="70">
        <v>0</v>
      </c>
      <c r="Q77" s="70">
        <v>51.612903225806448</v>
      </c>
      <c r="R77" s="202">
        <f>IFERROR(VLOOKUP($B:$B,Tabela_Linkedin[],2,),0)</f>
        <v>0</v>
      </c>
      <c r="S77" s="70">
        <f>SUMIF(TikTok!A:A,'Compilado 2023'!B:B,TikTok!B:B)</f>
        <v>0</v>
      </c>
      <c r="T77" s="70">
        <v>0</v>
      </c>
      <c r="U77" s="70">
        <v>0</v>
      </c>
      <c r="V77" s="59"/>
      <c r="W77" s="70">
        <v>0</v>
      </c>
      <c r="X77" s="70">
        <v>0</v>
      </c>
      <c r="Y77" s="70">
        <v>0</v>
      </c>
      <c r="Z77" s="38"/>
      <c r="AA77" s="40"/>
    </row>
    <row r="78" spans="1:27" s="2" customFormat="1" x14ac:dyDescent="0.2">
      <c r="A78" s="16" t="s">
        <v>99</v>
      </c>
      <c r="B78" s="17">
        <v>44637</v>
      </c>
      <c r="C78" s="19">
        <v>37319.58</v>
      </c>
      <c r="D78" s="52">
        <v>37297.300000000003</v>
      </c>
      <c r="E78" s="52">
        <v>22.28</v>
      </c>
      <c r="F78" s="157">
        <v>151</v>
      </c>
      <c r="G78" s="157">
        <v>194</v>
      </c>
      <c r="H78" s="35">
        <v>247.14953642384108</v>
      </c>
      <c r="I78" s="19">
        <v>786.75290322580645</v>
      </c>
      <c r="J78" s="111">
        <v>47.434944119029055</v>
      </c>
      <c r="K78" s="53">
        <v>3631</v>
      </c>
      <c r="L78" s="54">
        <v>4.1586339851280636E-2</v>
      </c>
      <c r="M78" s="59"/>
      <c r="N78" s="69">
        <v>0</v>
      </c>
      <c r="O78" s="70">
        <f>SUMIF(Facebook!A:A,'Compilado 2023'!B:B,Facebook!B:B)</f>
        <v>367.57</v>
      </c>
      <c r="P78" s="70">
        <v>0</v>
      </c>
      <c r="Q78" s="70">
        <v>51.612903225806448</v>
      </c>
      <c r="R78" s="202">
        <f>IFERROR(VLOOKUP($B:$B,Tabela_Linkedin[],2,),0)</f>
        <v>0</v>
      </c>
      <c r="S78" s="70">
        <f>SUMIF(TikTok!A:A,'Compilado 2023'!B:B,TikTok!B:B)</f>
        <v>0</v>
      </c>
      <c r="T78" s="70">
        <v>0</v>
      </c>
      <c r="U78" s="70">
        <v>0</v>
      </c>
      <c r="V78" s="59"/>
      <c r="W78" s="70">
        <v>0</v>
      </c>
      <c r="X78" s="70">
        <v>0</v>
      </c>
      <c r="Y78" s="70">
        <v>0</v>
      </c>
      <c r="Z78" s="38"/>
      <c r="AA78" s="40"/>
    </row>
    <row r="79" spans="1:27" s="2" customFormat="1" x14ac:dyDescent="0.2">
      <c r="A79" s="16" t="s">
        <v>100</v>
      </c>
      <c r="B79" s="17">
        <v>44638</v>
      </c>
      <c r="C79" s="19">
        <v>38156.839999999997</v>
      </c>
      <c r="D79" s="52">
        <v>38120.74</v>
      </c>
      <c r="E79" s="52">
        <v>36.1</v>
      </c>
      <c r="F79" s="157">
        <v>119</v>
      </c>
      <c r="G79" s="157">
        <v>171</v>
      </c>
      <c r="H79" s="35">
        <v>320.64571428571423</v>
      </c>
      <c r="I79" s="19">
        <v>694.99290322580646</v>
      </c>
      <c r="J79" s="111">
        <v>54.902488677071659</v>
      </c>
      <c r="K79" s="53">
        <v>3478</v>
      </c>
      <c r="L79" s="54">
        <v>3.4215066129959747E-2</v>
      </c>
      <c r="M79" s="59"/>
      <c r="N79" s="69">
        <v>0</v>
      </c>
      <c r="O79" s="70">
        <f>SUMIF(Facebook!A:A,'Compilado 2023'!B:B,Facebook!B:B)</f>
        <v>321.69</v>
      </c>
      <c r="P79" s="70">
        <v>0</v>
      </c>
      <c r="Q79" s="70">
        <v>51.612903225806448</v>
      </c>
      <c r="R79" s="202">
        <f>IFERROR(VLOOKUP($B:$B,Tabela_Linkedin[],2,),0)</f>
        <v>0</v>
      </c>
      <c r="S79" s="70">
        <f>SUMIF(TikTok!A:A,'Compilado 2023'!B:B,TikTok!B:B)</f>
        <v>0</v>
      </c>
      <c r="T79" s="70">
        <v>0</v>
      </c>
      <c r="U79" s="70">
        <v>0</v>
      </c>
      <c r="V79" s="59"/>
      <c r="W79" s="70">
        <v>0</v>
      </c>
      <c r="X79" s="70">
        <v>0</v>
      </c>
      <c r="Y79" s="70">
        <v>0</v>
      </c>
      <c r="Z79" s="38"/>
      <c r="AA79" s="40"/>
    </row>
    <row r="80" spans="1:27" s="2" customFormat="1" x14ac:dyDescent="0.2">
      <c r="A80" s="16" t="s">
        <v>94</v>
      </c>
      <c r="B80" s="17">
        <v>44639</v>
      </c>
      <c r="C80" s="19">
        <v>21362.15</v>
      </c>
      <c r="D80" s="52">
        <v>21362.15</v>
      </c>
      <c r="E80" s="52">
        <v>0</v>
      </c>
      <c r="F80" s="157">
        <v>79</v>
      </c>
      <c r="G80" s="157">
        <v>89</v>
      </c>
      <c r="H80" s="35">
        <v>270.40696202531649</v>
      </c>
      <c r="I80" s="19">
        <v>698.27290322580643</v>
      </c>
      <c r="J80" s="111">
        <v>30.592838274710971</v>
      </c>
      <c r="K80" s="53">
        <v>2741</v>
      </c>
      <c r="L80" s="54">
        <v>2.8821597956950017E-2</v>
      </c>
      <c r="M80" s="59"/>
      <c r="N80" s="69">
        <v>0</v>
      </c>
      <c r="O80" s="70">
        <f>SUMIF(Facebook!A:A,'Compilado 2023'!B:B,Facebook!B:B)</f>
        <v>323.33</v>
      </c>
      <c r="P80" s="70">
        <v>0</v>
      </c>
      <c r="Q80" s="70">
        <v>51.612903225806448</v>
      </c>
      <c r="R80" s="202">
        <f>IFERROR(VLOOKUP($B:$B,Tabela_Linkedin[],2,),0)</f>
        <v>0</v>
      </c>
      <c r="S80" s="70">
        <f>SUMIF(TikTok!A:A,'Compilado 2023'!B:B,TikTok!B:B)</f>
        <v>0</v>
      </c>
      <c r="T80" s="70">
        <v>0</v>
      </c>
      <c r="U80" s="70">
        <v>0</v>
      </c>
      <c r="V80" s="59"/>
      <c r="W80" s="70">
        <v>0</v>
      </c>
      <c r="X80" s="70">
        <v>0</v>
      </c>
      <c r="Y80" s="70">
        <v>0</v>
      </c>
      <c r="Z80" s="38"/>
      <c r="AA80" s="40"/>
    </row>
    <row r="81" spans="1:27" s="2" customFormat="1" x14ac:dyDescent="0.2">
      <c r="A81" s="16" t="s">
        <v>95</v>
      </c>
      <c r="B81" s="17">
        <v>44640</v>
      </c>
      <c r="C81" s="19">
        <v>18377.780000000002</v>
      </c>
      <c r="D81" s="52">
        <v>18319.2</v>
      </c>
      <c r="E81" s="52">
        <v>58.58</v>
      </c>
      <c r="F81" s="157">
        <v>68</v>
      </c>
      <c r="G81" s="157">
        <v>80</v>
      </c>
      <c r="H81" s="35">
        <v>270.26147058823534</v>
      </c>
      <c r="I81" s="19">
        <v>715.1929032258065</v>
      </c>
      <c r="J81" s="111">
        <v>25.696256096933922</v>
      </c>
      <c r="K81" s="53">
        <v>2348</v>
      </c>
      <c r="L81" s="54">
        <v>2.8960817717206135E-2</v>
      </c>
      <c r="M81" s="59"/>
      <c r="N81" s="69">
        <v>0</v>
      </c>
      <c r="O81" s="70">
        <f>SUMIF(Facebook!A:A,'Compilado 2023'!B:B,Facebook!B:B)</f>
        <v>331.79</v>
      </c>
      <c r="P81" s="70">
        <v>0</v>
      </c>
      <c r="Q81" s="70">
        <v>51.612903225806448</v>
      </c>
      <c r="R81" s="202">
        <f>IFERROR(VLOOKUP($B:$B,Tabela_Linkedin[],2,),0)</f>
        <v>0</v>
      </c>
      <c r="S81" s="70">
        <f>SUMIF(TikTok!A:A,'Compilado 2023'!B:B,TikTok!B:B)</f>
        <v>0</v>
      </c>
      <c r="T81" s="70">
        <v>0</v>
      </c>
      <c r="U81" s="70">
        <v>0</v>
      </c>
      <c r="V81" s="59"/>
      <c r="W81" s="70">
        <v>0</v>
      </c>
      <c r="X81" s="70">
        <v>0</v>
      </c>
      <c r="Y81" s="70">
        <v>0</v>
      </c>
      <c r="Z81" s="38"/>
      <c r="AA81" s="40"/>
    </row>
    <row r="82" spans="1:27" s="2" customFormat="1" x14ac:dyDescent="0.2">
      <c r="A82" s="16" t="s">
        <v>96</v>
      </c>
      <c r="B82" s="17">
        <v>44641</v>
      </c>
      <c r="C82" s="19">
        <v>34908.94</v>
      </c>
      <c r="D82" s="52">
        <v>34908.94</v>
      </c>
      <c r="E82" s="52">
        <v>0</v>
      </c>
      <c r="F82" s="157">
        <v>126</v>
      </c>
      <c r="G82" s="157">
        <v>155</v>
      </c>
      <c r="H82" s="35">
        <v>277.05507936507939</v>
      </c>
      <c r="I82" s="19">
        <v>712.09290322580648</v>
      </c>
      <c r="J82" s="111">
        <v>49.023013488635044</v>
      </c>
      <c r="K82" s="53">
        <v>3663</v>
      </c>
      <c r="L82" s="54">
        <v>3.4398034398034398E-2</v>
      </c>
      <c r="M82" s="59"/>
      <c r="N82" s="69">
        <v>0</v>
      </c>
      <c r="O82" s="70">
        <f>SUMIF(Facebook!A:A,'Compilado 2023'!B:B,Facebook!B:B)</f>
        <v>330.24</v>
      </c>
      <c r="P82" s="70">
        <v>0</v>
      </c>
      <c r="Q82" s="70">
        <v>51.612903225806448</v>
      </c>
      <c r="R82" s="202">
        <f>IFERROR(VLOOKUP($B:$B,Tabela_Linkedin[],2,),0)</f>
        <v>0</v>
      </c>
      <c r="S82" s="70">
        <f>SUMIF(TikTok!A:A,'Compilado 2023'!B:B,TikTok!B:B)</f>
        <v>0</v>
      </c>
      <c r="T82" s="70">
        <v>0</v>
      </c>
      <c r="U82" s="70">
        <v>0</v>
      </c>
      <c r="V82" s="59"/>
      <c r="W82" s="70">
        <v>0</v>
      </c>
      <c r="X82" s="70">
        <v>0</v>
      </c>
      <c r="Y82" s="70">
        <v>0</v>
      </c>
      <c r="Z82" s="38"/>
      <c r="AA82" s="40"/>
    </row>
    <row r="83" spans="1:27" s="2" customFormat="1" x14ac:dyDescent="0.2">
      <c r="A83" s="16" t="s">
        <v>97</v>
      </c>
      <c r="B83" s="17">
        <v>44642</v>
      </c>
      <c r="C83" s="19">
        <v>32690.080000000002</v>
      </c>
      <c r="D83" s="52">
        <v>32690.080000000002</v>
      </c>
      <c r="E83" s="52">
        <v>0</v>
      </c>
      <c r="F83" s="157">
        <v>110</v>
      </c>
      <c r="G83" s="157">
        <v>130</v>
      </c>
      <c r="H83" s="35">
        <v>297.18254545454545</v>
      </c>
      <c r="I83" s="19">
        <v>792.1929032258065</v>
      </c>
      <c r="J83" s="111">
        <v>41.265302765129704</v>
      </c>
      <c r="K83" s="53">
        <v>3443</v>
      </c>
      <c r="L83" s="54">
        <v>3.1948881789137379E-2</v>
      </c>
      <c r="M83" s="59"/>
      <c r="N83" s="69">
        <v>0</v>
      </c>
      <c r="O83" s="70">
        <f>SUMIF(Facebook!A:A,'Compilado 2023'!B:B,Facebook!B:B)</f>
        <v>370.29</v>
      </c>
      <c r="P83" s="70">
        <v>0</v>
      </c>
      <c r="Q83" s="70">
        <v>51.612903225806448</v>
      </c>
      <c r="R83" s="202">
        <f>IFERROR(VLOOKUP($B:$B,Tabela_Linkedin[],2,),0)</f>
        <v>0</v>
      </c>
      <c r="S83" s="70">
        <f>SUMIF(TikTok!A:A,'Compilado 2023'!B:B,TikTok!B:B)</f>
        <v>0</v>
      </c>
      <c r="T83" s="70">
        <v>0</v>
      </c>
      <c r="U83" s="70">
        <v>0</v>
      </c>
      <c r="V83" s="59"/>
      <c r="W83" s="70">
        <v>0</v>
      </c>
      <c r="X83" s="70">
        <v>0</v>
      </c>
      <c r="Y83" s="70">
        <v>0</v>
      </c>
      <c r="Z83" s="38"/>
      <c r="AA83" s="40"/>
    </row>
    <row r="84" spans="1:27" s="2" customFormat="1" x14ac:dyDescent="0.2">
      <c r="A84" s="16" t="s">
        <v>98</v>
      </c>
      <c r="B84" s="17">
        <v>44643</v>
      </c>
      <c r="C84" s="19">
        <v>35630.86</v>
      </c>
      <c r="D84" s="52">
        <v>35608.58</v>
      </c>
      <c r="E84" s="52">
        <v>22.28</v>
      </c>
      <c r="F84" s="157">
        <v>143</v>
      </c>
      <c r="G84" s="157">
        <v>182</v>
      </c>
      <c r="H84" s="35">
        <v>249.16685314685316</v>
      </c>
      <c r="I84" s="19">
        <v>913.61290322580646</v>
      </c>
      <c r="J84" s="111">
        <v>38.999952686957137</v>
      </c>
      <c r="K84" s="53">
        <v>3796</v>
      </c>
      <c r="L84" s="54">
        <v>3.7671232876712327E-2</v>
      </c>
      <c r="M84" s="59"/>
      <c r="N84" s="69">
        <v>0</v>
      </c>
      <c r="O84" s="70">
        <f>SUMIF(Facebook!A:A,'Compilado 2023'!B:B,Facebook!B:B)</f>
        <v>431</v>
      </c>
      <c r="P84" s="70">
        <v>0</v>
      </c>
      <c r="Q84" s="70">
        <v>51.612903225806448</v>
      </c>
      <c r="R84" s="202">
        <f>IFERROR(VLOOKUP($B:$B,Tabela_Linkedin[],2,),0)</f>
        <v>0</v>
      </c>
      <c r="S84" s="70">
        <f>SUMIF(TikTok!A:A,'Compilado 2023'!B:B,TikTok!B:B)</f>
        <v>0</v>
      </c>
      <c r="T84" s="70">
        <v>0</v>
      </c>
      <c r="U84" s="70">
        <v>0</v>
      </c>
      <c r="V84" s="59"/>
      <c r="W84" s="70">
        <v>0</v>
      </c>
      <c r="X84" s="70">
        <v>0</v>
      </c>
      <c r="Y84" s="70">
        <v>0</v>
      </c>
      <c r="Z84" s="38"/>
      <c r="AA84" s="40"/>
    </row>
    <row r="85" spans="1:27" s="2" customFormat="1" x14ac:dyDescent="0.2">
      <c r="A85" s="16" t="s">
        <v>99</v>
      </c>
      <c r="B85" s="17">
        <v>44644</v>
      </c>
      <c r="C85" s="19">
        <v>29448.65</v>
      </c>
      <c r="D85" s="52">
        <v>29448.65</v>
      </c>
      <c r="E85" s="52">
        <v>0</v>
      </c>
      <c r="F85" s="157">
        <v>119</v>
      </c>
      <c r="G85" s="157">
        <v>141</v>
      </c>
      <c r="H85" s="35">
        <v>247.46764705882353</v>
      </c>
      <c r="I85" s="19">
        <v>1035.2929032258064</v>
      </c>
      <c r="J85" s="111">
        <v>28.444752116278146</v>
      </c>
      <c r="K85" s="53">
        <v>3537</v>
      </c>
      <c r="L85" s="54">
        <v>3.3644331354255021E-2</v>
      </c>
      <c r="M85" s="59"/>
      <c r="N85" s="69">
        <v>0</v>
      </c>
      <c r="O85" s="70">
        <f>SUMIF(Facebook!A:A,'Compilado 2023'!B:B,Facebook!B:B)</f>
        <v>491.84</v>
      </c>
      <c r="P85" s="70">
        <v>0</v>
      </c>
      <c r="Q85" s="70">
        <v>51.612903225806448</v>
      </c>
      <c r="R85" s="202">
        <f>IFERROR(VLOOKUP($B:$B,Tabela_Linkedin[],2,),0)</f>
        <v>0</v>
      </c>
      <c r="S85" s="70">
        <f>SUMIF(TikTok!A:A,'Compilado 2023'!B:B,TikTok!B:B)</f>
        <v>0</v>
      </c>
      <c r="T85" s="70">
        <v>0</v>
      </c>
      <c r="U85" s="70">
        <v>0</v>
      </c>
      <c r="V85" s="59"/>
      <c r="W85" s="70">
        <v>0</v>
      </c>
      <c r="X85" s="70">
        <v>0</v>
      </c>
      <c r="Y85" s="70">
        <v>0</v>
      </c>
      <c r="Z85" s="38"/>
      <c r="AA85" s="40"/>
    </row>
    <row r="86" spans="1:27" s="2" customFormat="1" x14ac:dyDescent="0.2">
      <c r="A86" s="16" t="s">
        <v>100</v>
      </c>
      <c r="B86" s="17">
        <v>44645</v>
      </c>
      <c r="C86" s="19">
        <v>31942.809999999998</v>
      </c>
      <c r="D86" s="52">
        <v>31899.01</v>
      </c>
      <c r="E86" s="52">
        <v>43.8</v>
      </c>
      <c r="F86" s="157">
        <v>125</v>
      </c>
      <c r="G86" s="157">
        <v>154</v>
      </c>
      <c r="H86" s="35">
        <v>255.54247999999998</v>
      </c>
      <c r="I86" s="19">
        <v>1064.6929032258065</v>
      </c>
      <c r="J86" s="111">
        <v>30.00189998751722</v>
      </c>
      <c r="K86" s="53">
        <v>3335</v>
      </c>
      <c r="L86" s="54">
        <v>3.7481259370314844E-2</v>
      </c>
      <c r="M86" s="59"/>
      <c r="N86" s="69">
        <v>0</v>
      </c>
      <c r="O86" s="70">
        <f>SUMIF(Facebook!A:A,'Compilado 2023'!B:B,Facebook!B:B)</f>
        <v>506.54</v>
      </c>
      <c r="P86" s="70">
        <v>0</v>
      </c>
      <c r="Q86" s="70">
        <v>51.612903225806448</v>
      </c>
      <c r="R86" s="202">
        <f>IFERROR(VLOOKUP($B:$B,Tabela_Linkedin[],2,),0)</f>
        <v>0</v>
      </c>
      <c r="S86" s="70">
        <f>SUMIF(TikTok!A:A,'Compilado 2023'!B:B,TikTok!B:B)</f>
        <v>0</v>
      </c>
      <c r="T86" s="70">
        <v>0</v>
      </c>
      <c r="U86" s="70">
        <v>0</v>
      </c>
      <c r="V86" s="59"/>
      <c r="W86" s="70">
        <v>0</v>
      </c>
      <c r="X86" s="70">
        <v>0</v>
      </c>
      <c r="Y86" s="70">
        <v>0</v>
      </c>
      <c r="Z86" s="38"/>
      <c r="AA86" s="40"/>
    </row>
    <row r="87" spans="1:27" s="2" customFormat="1" x14ac:dyDescent="0.2">
      <c r="A87" s="16" t="s">
        <v>94</v>
      </c>
      <c r="B87" s="17">
        <v>44646</v>
      </c>
      <c r="C87" s="19">
        <v>23258.31</v>
      </c>
      <c r="D87" s="52">
        <v>23258.31</v>
      </c>
      <c r="E87" s="52">
        <v>0</v>
      </c>
      <c r="F87" s="157">
        <v>81</v>
      </c>
      <c r="G87" s="157">
        <v>103</v>
      </c>
      <c r="H87" s="35">
        <v>287.13962962962967</v>
      </c>
      <c r="I87" s="19">
        <v>992.71290322580649</v>
      </c>
      <c r="J87" s="111">
        <v>23.429039679470723</v>
      </c>
      <c r="K87" s="53">
        <v>2637</v>
      </c>
      <c r="L87" s="54">
        <v>3.0716723549488054E-2</v>
      </c>
      <c r="M87" s="59"/>
      <c r="N87" s="69">
        <v>0</v>
      </c>
      <c r="O87" s="70">
        <f>SUMIF(Facebook!A:A,'Compilado 2023'!B:B,Facebook!B:B)</f>
        <v>470.55</v>
      </c>
      <c r="P87" s="70">
        <v>0</v>
      </c>
      <c r="Q87" s="70">
        <v>51.612903225806448</v>
      </c>
      <c r="R87" s="202">
        <f>IFERROR(VLOOKUP($B:$B,Tabela_Linkedin[],2,),0)</f>
        <v>0</v>
      </c>
      <c r="S87" s="70">
        <f>SUMIF(TikTok!A:A,'Compilado 2023'!B:B,TikTok!B:B)</f>
        <v>0</v>
      </c>
      <c r="T87" s="70">
        <v>0</v>
      </c>
      <c r="U87" s="70">
        <v>0</v>
      </c>
      <c r="V87" s="59"/>
      <c r="W87" s="70">
        <v>0</v>
      </c>
      <c r="X87" s="70">
        <v>0</v>
      </c>
      <c r="Y87" s="70">
        <v>0</v>
      </c>
      <c r="Z87" s="38"/>
      <c r="AA87" s="40"/>
    </row>
    <row r="88" spans="1:27" s="2" customFormat="1" x14ac:dyDescent="0.2">
      <c r="A88" s="16" t="s">
        <v>95</v>
      </c>
      <c r="B88" s="17">
        <v>44647</v>
      </c>
      <c r="C88" s="19">
        <v>15994.4</v>
      </c>
      <c r="D88" s="52">
        <v>15994.4</v>
      </c>
      <c r="E88" s="52">
        <v>0</v>
      </c>
      <c r="F88" s="157">
        <v>57</v>
      </c>
      <c r="G88" s="157">
        <v>73</v>
      </c>
      <c r="H88" s="35">
        <v>280.6035087719298</v>
      </c>
      <c r="I88" s="19">
        <v>697.6929032258065</v>
      </c>
      <c r="J88" s="111">
        <v>22.924699285386673</v>
      </c>
      <c r="K88" s="53">
        <v>2203</v>
      </c>
      <c r="L88" s="54">
        <v>2.5873808443032227E-2</v>
      </c>
      <c r="M88" s="59"/>
      <c r="N88" s="69">
        <v>0</v>
      </c>
      <c r="O88" s="70">
        <f>SUMIF(Facebook!A:A,'Compilado 2023'!B:B,Facebook!B:B)</f>
        <v>323.04000000000002</v>
      </c>
      <c r="P88" s="70">
        <v>0</v>
      </c>
      <c r="Q88" s="70">
        <v>51.612903225806448</v>
      </c>
      <c r="R88" s="202">
        <f>IFERROR(VLOOKUP($B:$B,Tabela_Linkedin[],2,),0)</f>
        <v>0</v>
      </c>
      <c r="S88" s="70">
        <f>SUMIF(TikTok!A:A,'Compilado 2023'!B:B,TikTok!B:B)</f>
        <v>0</v>
      </c>
      <c r="T88" s="70">
        <v>0</v>
      </c>
      <c r="U88" s="70">
        <v>0</v>
      </c>
      <c r="V88" s="59"/>
      <c r="W88" s="70">
        <v>0</v>
      </c>
      <c r="X88" s="70">
        <v>0</v>
      </c>
      <c r="Y88" s="70">
        <v>0</v>
      </c>
      <c r="Z88" s="38"/>
      <c r="AA88" s="40"/>
    </row>
    <row r="89" spans="1:27" s="2" customFormat="1" x14ac:dyDescent="0.2">
      <c r="A89" s="16" t="s">
        <v>96</v>
      </c>
      <c r="B89" s="17">
        <v>44648</v>
      </c>
      <c r="C89" s="19">
        <v>31252.33</v>
      </c>
      <c r="D89" s="52">
        <v>31252.33</v>
      </c>
      <c r="E89" s="52">
        <v>0</v>
      </c>
      <c r="F89" s="157">
        <v>125</v>
      </c>
      <c r="G89" s="157">
        <v>141</v>
      </c>
      <c r="H89" s="35">
        <v>250.01864</v>
      </c>
      <c r="I89" s="19">
        <v>452.57290322580644</v>
      </c>
      <c r="J89" s="111">
        <v>69.054797088474785</v>
      </c>
      <c r="K89" s="53">
        <v>3477</v>
      </c>
      <c r="L89" s="54">
        <v>3.5950532067874602E-2</v>
      </c>
      <c r="M89" s="59"/>
      <c r="N89" s="69">
        <v>0</v>
      </c>
      <c r="O89" s="70">
        <f>SUMIF(Facebook!A:A,'Compilado 2023'!B:B,Facebook!B:B)</f>
        <v>200.48</v>
      </c>
      <c r="P89" s="70">
        <v>0</v>
      </c>
      <c r="Q89" s="70">
        <v>51.612903225806448</v>
      </c>
      <c r="R89" s="202">
        <f>IFERROR(VLOOKUP($B:$B,Tabela_Linkedin[],2,),0)</f>
        <v>0</v>
      </c>
      <c r="S89" s="70">
        <f>SUMIF(TikTok!A:A,'Compilado 2023'!B:B,TikTok!B:B)</f>
        <v>0</v>
      </c>
      <c r="T89" s="70">
        <v>0</v>
      </c>
      <c r="U89" s="70">
        <v>0</v>
      </c>
      <c r="V89" s="59"/>
      <c r="W89" s="70">
        <v>0</v>
      </c>
      <c r="X89" s="70">
        <v>0</v>
      </c>
      <c r="Y89" s="70">
        <v>0</v>
      </c>
      <c r="Z89" s="38"/>
      <c r="AA89" s="40"/>
    </row>
    <row r="90" spans="1:27" s="2" customFormat="1" x14ac:dyDescent="0.2">
      <c r="A90" s="16" t="s">
        <v>97</v>
      </c>
      <c r="B90" s="17">
        <v>44649</v>
      </c>
      <c r="C90" s="19">
        <v>52253.94</v>
      </c>
      <c r="D90" s="52">
        <v>52253.94</v>
      </c>
      <c r="E90" s="52">
        <v>0</v>
      </c>
      <c r="F90" s="157">
        <v>201</v>
      </c>
      <c r="G90" s="157">
        <v>282</v>
      </c>
      <c r="H90" s="35">
        <v>259.96985074626866</v>
      </c>
      <c r="I90" s="19">
        <v>574.33290322580649</v>
      </c>
      <c r="J90" s="111">
        <v>90.981971791115868</v>
      </c>
      <c r="K90" s="53">
        <v>5253</v>
      </c>
      <c r="L90" s="54">
        <v>3.8263849229011992E-2</v>
      </c>
      <c r="M90" s="59"/>
      <c r="N90" s="69">
        <v>0</v>
      </c>
      <c r="O90" s="70">
        <f>SUMIF(Facebook!A:A,'Compilado 2023'!B:B,Facebook!B:B)</f>
        <v>261.36</v>
      </c>
      <c r="P90" s="70">
        <v>0</v>
      </c>
      <c r="Q90" s="70">
        <v>51.612903225806448</v>
      </c>
      <c r="R90" s="202">
        <f>IFERROR(VLOOKUP($B:$B,Tabela_Linkedin[],2,),0)</f>
        <v>0</v>
      </c>
      <c r="S90" s="70">
        <f>SUMIF(TikTok!A:A,'Compilado 2023'!B:B,TikTok!B:B)</f>
        <v>0</v>
      </c>
      <c r="T90" s="70">
        <v>0</v>
      </c>
      <c r="U90" s="70">
        <v>0</v>
      </c>
      <c r="V90" s="59"/>
      <c r="W90" s="70">
        <v>0</v>
      </c>
      <c r="X90" s="70">
        <v>0</v>
      </c>
      <c r="Y90" s="70">
        <v>0</v>
      </c>
      <c r="Z90" s="38"/>
      <c r="AA90" s="40"/>
    </row>
    <row r="91" spans="1:27" s="2" customFormat="1" x14ac:dyDescent="0.2">
      <c r="A91" s="16" t="s">
        <v>98</v>
      </c>
      <c r="B91" s="17">
        <v>44650</v>
      </c>
      <c r="C91" s="19">
        <v>47794.42</v>
      </c>
      <c r="D91" s="52">
        <v>47794.42</v>
      </c>
      <c r="E91" s="52">
        <v>0</v>
      </c>
      <c r="F91" s="157">
        <v>175</v>
      </c>
      <c r="G91" s="157">
        <v>231</v>
      </c>
      <c r="H91" s="35">
        <v>273.11097142857142</v>
      </c>
      <c r="I91" s="19">
        <v>825.62290322580645</v>
      </c>
      <c r="J91" s="111">
        <v>57.888922186220292</v>
      </c>
      <c r="K91" s="53">
        <v>4377</v>
      </c>
      <c r="L91" s="54">
        <v>3.9981722641078361E-2</v>
      </c>
      <c r="M91" s="59"/>
      <c r="N91" s="69">
        <v>334.93</v>
      </c>
      <c r="O91" s="70">
        <f>SUMIF(Facebook!A:A,'Compilado 2023'!B:B,Facebook!B:B)</f>
        <v>219.54</v>
      </c>
      <c r="P91" s="70">
        <v>0</v>
      </c>
      <c r="Q91" s="70">
        <v>51.612903225806448</v>
      </c>
      <c r="R91" s="202">
        <f>IFERROR(VLOOKUP($B:$B,Tabela_Linkedin[],2,),0)</f>
        <v>0</v>
      </c>
      <c r="S91" s="70">
        <f>SUMIF(TikTok!A:A,'Compilado 2023'!B:B,TikTok!B:B)</f>
        <v>0</v>
      </c>
      <c r="T91" s="70">
        <v>0</v>
      </c>
      <c r="U91" s="70">
        <v>0</v>
      </c>
      <c r="V91" s="59"/>
      <c r="W91" s="70">
        <v>0</v>
      </c>
      <c r="X91" s="70">
        <v>0</v>
      </c>
      <c r="Y91" s="70">
        <v>0</v>
      </c>
      <c r="Z91" s="38"/>
      <c r="AA91" s="40"/>
    </row>
    <row r="92" spans="1:27" s="2" customFormat="1" x14ac:dyDescent="0.2">
      <c r="A92" s="16" t="s">
        <v>99</v>
      </c>
      <c r="B92" s="17">
        <v>44651</v>
      </c>
      <c r="C92" s="19">
        <v>45492.77</v>
      </c>
      <c r="D92" s="52">
        <v>45492.77</v>
      </c>
      <c r="E92" s="52">
        <v>0</v>
      </c>
      <c r="F92" s="157">
        <v>174</v>
      </c>
      <c r="G92" s="157">
        <v>210</v>
      </c>
      <c r="H92" s="35">
        <v>261.45270114942525</v>
      </c>
      <c r="I92" s="19">
        <v>1246.5229032258062</v>
      </c>
      <c r="J92" s="111">
        <v>36.495735362961909</v>
      </c>
      <c r="K92" s="53">
        <v>4754</v>
      </c>
      <c r="L92" s="54">
        <v>3.6600757257046694E-2</v>
      </c>
      <c r="M92" s="59"/>
      <c r="N92" s="69">
        <v>762.77</v>
      </c>
      <c r="O92" s="70">
        <f>SUMIF(Facebook!A:A,'Compilado 2023'!B:B,Facebook!B:B)</f>
        <v>216.07</v>
      </c>
      <c r="P92" s="70">
        <v>0</v>
      </c>
      <c r="Q92" s="70">
        <v>51.612903225806448</v>
      </c>
      <c r="R92" s="202">
        <f>IFERROR(VLOOKUP($B:$B,Tabela_Linkedin[],2,),0)</f>
        <v>0</v>
      </c>
      <c r="S92" s="70">
        <f>SUMIF(TikTok!A:A,'Compilado 2023'!B:B,TikTok!B:B)</f>
        <v>0</v>
      </c>
      <c r="T92" s="70">
        <v>0</v>
      </c>
      <c r="U92" s="70">
        <v>0</v>
      </c>
      <c r="V92" s="59"/>
      <c r="W92" s="70">
        <v>0</v>
      </c>
      <c r="X92" s="70">
        <v>0</v>
      </c>
      <c r="Y92" s="70">
        <v>0</v>
      </c>
      <c r="Z92" s="38"/>
      <c r="AA92" s="40"/>
    </row>
    <row r="93" spans="1:27" s="2" customFormat="1" ht="13.5" thickBot="1" x14ac:dyDescent="0.25">
      <c r="A93" s="16" t="s">
        <v>100</v>
      </c>
      <c r="B93" s="17">
        <v>44652</v>
      </c>
      <c r="C93" s="19">
        <v>48264.800000000003</v>
      </c>
      <c r="D93" s="52">
        <v>48264.800000000003</v>
      </c>
      <c r="E93" s="52">
        <v>0</v>
      </c>
      <c r="F93" s="157">
        <v>164</v>
      </c>
      <c r="G93" s="157">
        <v>211</v>
      </c>
      <c r="H93" s="35">
        <v>294.29756097560977</v>
      </c>
      <c r="I93" s="19">
        <v>859.78333333333342</v>
      </c>
      <c r="J93" s="111">
        <v>56.136003256634424</v>
      </c>
      <c r="K93" s="53">
        <v>3829</v>
      </c>
      <c r="L93" s="54">
        <v>4.2831026377644292E-2</v>
      </c>
      <c r="M93" s="59"/>
      <c r="N93" s="69">
        <v>462.83</v>
      </c>
      <c r="O93" s="70">
        <f>SUMIF(Facebook!A:A,'Compilado 2023'!B:B,Facebook!B:B)</f>
        <v>171.81</v>
      </c>
      <c r="P93" s="70">
        <v>0</v>
      </c>
      <c r="Q93" s="70">
        <v>53.333333333333336</v>
      </c>
      <c r="R93" s="202">
        <f>IFERROR(VLOOKUP($B:$B,Tabela_Linkedin[],2,),0)</f>
        <v>0</v>
      </c>
      <c r="S93" s="70">
        <f>SUMIF(TikTok!A:A,'Compilado 2023'!B:B,TikTok!B:B)</f>
        <v>0</v>
      </c>
      <c r="T93" s="70">
        <v>0</v>
      </c>
      <c r="U93" s="70">
        <v>0</v>
      </c>
      <c r="V93" s="59"/>
      <c r="W93" s="70">
        <v>0</v>
      </c>
      <c r="X93" s="70">
        <v>0</v>
      </c>
      <c r="Y93" s="70">
        <v>0</v>
      </c>
      <c r="Z93" s="38"/>
      <c r="AA93" s="40"/>
    </row>
    <row r="94" spans="1:27" s="2" customFormat="1" x14ac:dyDescent="0.2">
      <c r="A94" s="16" t="s">
        <v>94</v>
      </c>
      <c r="B94" s="17">
        <v>44653</v>
      </c>
      <c r="C94" s="19">
        <v>34612.26</v>
      </c>
      <c r="D94" s="52">
        <v>34589.9</v>
      </c>
      <c r="E94" s="52">
        <v>22.36</v>
      </c>
      <c r="F94" s="157">
        <v>124</v>
      </c>
      <c r="G94" s="157">
        <v>173</v>
      </c>
      <c r="H94" s="35">
        <v>279.13112903225806</v>
      </c>
      <c r="I94" s="19">
        <v>697.12333333333333</v>
      </c>
      <c r="J94" s="111">
        <v>49.650124081343812</v>
      </c>
      <c r="K94" s="53">
        <v>2847</v>
      </c>
      <c r="L94" s="54">
        <v>4.3554618897084653E-2</v>
      </c>
      <c r="M94" s="72"/>
      <c r="N94" s="69">
        <v>460.43</v>
      </c>
      <c r="O94" s="70">
        <f>SUMIF(Facebook!A:A,'Compilado 2023'!B:B,Facebook!B:B)</f>
        <v>91.68</v>
      </c>
      <c r="P94" s="70">
        <v>0</v>
      </c>
      <c r="Q94" s="70">
        <v>53.333333333333336</v>
      </c>
      <c r="R94" s="202">
        <f>IFERROR(VLOOKUP($B:$B,Tabela_Linkedin[],2,),0)</f>
        <v>0</v>
      </c>
      <c r="S94" s="70">
        <f>SUMIF(TikTok!A:A,'Compilado 2023'!B:B,TikTok!B:B)</f>
        <v>0</v>
      </c>
      <c r="T94" s="70">
        <v>0</v>
      </c>
      <c r="U94" s="70">
        <v>0</v>
      </c>
      <c r="V94" s="59"/>
      <c r="W94" s="70">
        <v>0</v>
      </c>
      <c r="X94" s="70">
        <v>0</v>
      </c>
      <c r="Y94" s="70">
        <v>0</v>
      </c>
      <c r="Z94" s="38"/>
      <c r="AA94" s="40"/>
    </row>
    <row r="95" spans="1:27" s="2" customFormat="1" x14ac:dyDescent="0.2">
      <c r="A95" s="16" t="s">
        <v>95</v>
      </c>
      <c r="B95" s="17">
        <v>44654</v>
      </c>
      <c r="C95" s="19">
        <v>19526.830000000002</v>
      </c>
      <c r="D95" s="52">
        <v>19526.830000000002</v>
      </c>
      <c r="E95" s="52">
        <v>0</v>
      </c>
      <c r="F95" s="157">
        <v>75</v>
      </c>
      <c r="G95" s="157">
        <v>85</v>
      </c>
      <c r="H95" s="35">
        <v>260.35773333333333</v>
      </c>
      <c r="I95" s="19">
        <v>680.63333333333333</v>
      </c>
      <c r="J95" s="111">
        <v>28.689206131544154</v>
      </c>
      <c r="K95" s="53">
        <v>2385</v>
      </c>
      <c r="L95" s="54">
        <v>3.1446540880503145E-2</v>
      </c>
      <c r="M95" s="59"/>
      <c r="N95" s="69">
        <v>437.7</v>
      </c>
      <c r="O95" s="70">
        <f>SUMIF(Facebook!A:A,'Compilado 2023'!B:B,Facebook!B:B)</f>
        <v>94.8</v>
      </c>
      <c r="P95" s="70">
        <v>0</v>
      </c>
      <c r="Q95" s="70">
        <v>53.333333333333336</v>
      </c>
      <c r="R95" s="202">
        <f>IFERROR(VLOOKUP($B:$B,Tabela_Linkedin[],2,),0)</f>
        <v>0</v>
      </c>
      <c r="S95" s="70">
        <f>SUMIF(TikTok!A:A,'Compilado 2023'!B:B,TikTok!B:B)</f>
        <v>0</v>
      </c>
      <c r="T95" s="70">
        <v>0</v>
      </c>
      <c r="U95" s="70">
        <v>0</v>
      </c>
      <c r="V95" s="59"/>
      <c r="W95" s="70">
        <v>0</v>
      </c>
      <c r="X95" s="70">
        <v>0</v>
      </c>
      <c r="Y95" s="70">
        <v>0</v>
      </c>
      <c r="Z95" s="38"/>
      <c r="AA95" s="40"/>
    </row>
    <row r="96" spans="1:27" s="2" customFormat="1" x14ac:dyDescent="0.2">
      <c r="A96" s="16" t="s">
        <v>96</v>
      </c>
      <c r="B96" s="17">
        <v>44655</v>
      </c>
      <c r="C96" s="19">
        <v>55338.26</v>
      </c>
      <c r="D96" s="52">
        <v>55338.26</v>
      </c>
      <c r="E96" s="52">
        <v>0</v>
      </c>
      <c r="F96" s="157">
        <v>232</v>
      </c>
      <c r="G96" s="157">
        <v>327</v>
      </c>
      <c r="H96" s="35">
        <v>238.5269827586207</v>
      </c>
      <c r="I96" s="19">
        <v>971.1633333333333</v>
      </c>
      <c r="J96" s="111">
        <v>56.981414042951926</v>
      </c>
      <c r="K96" s="53">
        <v>4984</v>
      </c>
      <c r="L96" s="54">
        <v>4.6548956661316213E-2</v>
      </c>
      <c r="M96" s="59"/>
      <c r="N96" s="69">
        <v>622.75</v>
      </c>
      <c r="O96" s="70">
        <f>SUMIF(Facebook!A:A,'Compilado 2023'!B:B,Facebook!B:B)</f>
        <v>147.54</v>
      </c>
      <c r="P96" s="70">
        <v>0</v>
      </c>
      <c r="Q96" s="70">
        <v>53.333333333333336</v>
      </c>
      <c r="R96" s="202">
        <f>IFERROR(VLOOKUP($B:$B,Tabela_Linkedin[],2,),0)</f>
        <v>0</v>
      </c>
      <c r="S96" s="70">
        <f>SUMIF(TikTok!A:A,'Compilado 2023'!B:B,TikTok!B:B)</f>
        <v>0</v>
      </c>
      <c r="T96" s="70">
        <v>0</v>
      </c>
      <c r="U96" s="70">
        <v>0</v>
      </c>
      <c r="V96" s="59"/>
      <c r="W96" s="70">
        <v>0</v>
      </c>
      <c r="X96" s="70">
        <v>0</v>
      </c>
      <c r="Y96" s="70">
        <v>0</v>
      </c>
      <c r="Z96" s="38"/>
      <c r="AA96" s="40"/>
    </row>
    <row r="97" spans="1:27" s="2" customFormat="1" x14ac:dyDescent="0.2">
      <c r="A97" s="16" t="s">
        <v>97</v>
      </c>
      <c r="B97" s="17">
        <v>44656</v>
      </c>
      <c r="C97" s="19">
        <v>37150.1</v>
      </c>
      <c r="D97" s="52">
        <v>37100.36</v>
      </c>
      <c r="E97" s="52">
        <v>49.74</v>
      </c>
      <c r="F97" s="157">
        <v>157</v>
      </c>
      <c r="G97" s="157">
        <v>206</v>
      </c>
      <c r="H97" s="35">
        <v>236.6248407643312</v>
      </c>
      <c r="I97" s="19">
        <v>1093.8333333333333</v>
      </c>
      <c r="J97" s="111">
        <v>33.963218040530244</v>
      </c>
      <c r="K97" s="53">
        <v>4064</v>
      </c>
      <c r="L97" s="54">
        <v>3.8631889763779528E-2</v>
      </c>
      <c r="M97" s="59"/>
      <c r="N97" s="69">
        <v>568.38</v>
      </c>
      <c r="O97" s="70">
        <f>SUMIF(Facebook!A:A,'Compilado 2023'!B:B,Facebook!B:B)</f>
        <v>236.06</v>
      </c>
      <c r="P97" s="70">
        <v>0</v>
      </c>
      <c r="Q97" s="70">
        <v>53.333333333333336</v>
      </c>
      <c r="R97" s="202">
        <f>IFERROR(VLOOKUP($B:$B,Tabela_Linkedin[],2,),0)</f>
        <v>0</v>
      </c>
      <c r="S97" s="70">
        <f>SUMIF(TikTok!A:A,'Compilado 2023'!B:B,TikTok!B:B)</f>
        <v>0</v>
      </c>
      <c r="T97" s="70">
        <v>0</v>
      </c>
      <c r="U97" s="70">
        <v>0</v>
      </c>
      <c r="V97" s="59"/>
      <c r="W97" s="70">
        <v>0</v>
      </c>
      <c r="X97" s="70">
        <v>0</v>
      </c>
      <c r="Y97" s="70">
        <v>0</v>
      </c>
      <c r="Z97" s="38"/>
      <c r="AA97" s="40"/>
    </row>
    <row r="98" spans="1:27" s="2" customFormat="1" x14ac:dyDescent="0.2">
      <c r="A98" s="16" t="s">
        <v>98</v>
      </c>
      <c r="B98" s="17">
        <v>44657</v>
      </c>
      <c r="C98" s="19">
        <v>48005.71</v>
      </c>
      <c r="D98" s="52">
        <v>48005.71</v>
      </c>
      <c r="E98" s="52">
        <v>0</v>
      </c>
      <c r="F98" s="157">
        <v>201</v>
      </c>
      <c r="G98" s="157">
        <v>256</v>
      </c>
      <c r="H98" s="35">
        <v>238.83437810945273</v>
      </c>
      <c r="I98" s="19">
        <v>1166.5433333333333</v>
      </c>
      <c r="J98" s="111">
        <v>41.152101793618186</v>
      </c>
      <c r="K98" s="53">
        <v>4203</v>
      </c>
      <c r="L98" s="54">
        <v>4.7822983583154892E-2</v>
      </c>
      <c r="M98" s="59"/>
      <c r="N98" s="69">
        <v>592.04999999999995</v>
      </c>
      <c r="O98" s="70">
        <f>SUMIF(Facebook!A:A,'Compilado 2023'!B:B,Facebook!B:B)</f>
        <v>260.58</v>
      </c>
      <c r="P98" s="70">
        <v>0</v>
      </c>
      <c r="Q98" s="70">
        <v>53.333333333333336</v>
      </c>
      <c r="R98" s="202">
        <f>IFERROR(VLOOKUP($B:$B,Tabela_Linkedin[],2,),0)</f>
        <v>0</v>
      </c>
      <c r="S98" s="70">
        <f>SUMIF(TikTok!A:A,'Compilado 2023'!B:B,TikTok!B:B)</f>
        <v>0</v>
      </c>
      <c r="T98" s="70">
        <v>0</v>
      </c>
      <c r="U98" s="70">
        <v>0</v>
      </c>
      <c r="V98" s="59"/>
      <c r="W98" s="70">
        <v>0</v>
      </c>
      <c r="X98" s="70">
        <v>0</v>
      </c>
      <c r="Y98" s="70">
        <v>0</v>
      </c>
      <c r="Z98" s="38"/>
      <c r="AA98" s="40"/>
    </row>
    <row r="99" spans="1:27" s="2" customFormat="1" x14ac:dyDescent="0.2">
      <c r="A99" s="16" t="s">
        <v>99</v>
      </c>
      <c r="B99" s="17">
        <v>44658</v>
      </c>
      <c r="C99" s="19">
        <v>48798.1</v>
      </c>
      <c r="D99" s="52">
        <v>48798.1</v>
      </c>
      <c r="E99" s="52">
        <v>0</v>
      </c>
      <c r="F99" s="157">
        <v>203</v>
      </c>
      <c r="G99" s="157">
        <v>259</v>
      </c>
      <c r="H99" s="35">
        <v>240.38472906403939</v>
      </c>
      <c r="I99" s="19">
        <v>1205.7633333333333</v>
      </c>
      <c r="J99" s="111">
        <v>40.470711499492715</v>
      </c>
      <c r="K99" s="53">
        <v>3938</v>
      </c>
      <c r="L99" s="54">
        <v>5.1549009649568309E-2</v>
      </c>
      <c r="M99" s="59"/>
      <c r="N99" s="69">
        <v>578.59</v>
      </c>
      <c r="O99" s="70">
        <f>SUMIF(Facebook!A:A,'Compilado 2023'!B:B,Facebook!B:B)</f>
        <v>286.92</v>
      </c>
      <c r="P99" s="70">
        <v>0</v>
      </c>
      <c r="Q99" s="70">
        <v>53.333333333333336</v>
      </c>
      <c r="R99" s="202">
        <f>IFERROR(VLOOKUP($B:$B,Tabela_Linkedin[],2,),0)</f>
        <v>0</v>
      </c>
      <c r="S99" s="70">
        <f>SUMIF(TikTok!A:A,'Compilado 2023'!B:B,TikTok!B:B)</f>
        <v>0</v>
      </c>
      <c r="T99" s="70">
        <v>0</v>
      </c>
      <c r="U99" s="70">
        <v>0</v>
      </c>
      <c r="V99" s="59"/>
      <c r="W99" s="70">
        <v>0</v>
      </c>
      <c r="X99" s="70">
        <v>0</v>
      </c>
      <c r="Y99" s="70">
        <v>0</v>
      </c>
      <c r="Z99" s="38"/>
      <c r="AA99" s="40"/>
    </row>
    <row r="100" spans="1:27" s="2" customFormat="1" x14ac:dyDescent="0.2">
      <c r="A100" s="16" t="s">
        <v>100</v>
      </c>
      <c r="B100" s="17">
        <v>44659</v>
      </c>
      <c r="C100" s="19">
        <v>48386.76</v>
      </c>
      <c r="D100" s="52">
        <v>48386.76</v>
      </c>
      <c r="E100" s="52">
        <v>0</v>
      </c>
      <c r="F100" s="157">
        <v>197</v>
      </c>
      <c r="G100" s="157">
        <v>263</v>
      </c>
      <c r="H100" s="35">
        <v>245.61807106598985</v>
      </c>
      <c r="I100" s="19">
        <v>939.97333333333336</v>
      </c>
      <c r="J100" s="111">
        <v>51.476736928707197</v>
      </c>
      <c r="K100" s="53">
        <v>3874</v>
      </c>
      <c r="L100" s="54">
        <v>5.0851832731027363E-2</v>
      </c>
      <c r="M100" s="59"/>
      <c r="N100" s="69">
        <v>482.64</v>
      </c>
      <c r="O100" s="70">
        <f>SUMIF(Facebook!A:A,'Compilado 2023'!B:B,Facebook!B:B)</f>
        <v>202</v>
      </c>
      <c r="P100" s="70">
        <v>0</v>
      </c>
      <c r="Q100" s="70">
        <v>53.333333333333336</v>
      </c>
      <c r="R100" s="202">
        <f>IFERROR(VLOOKUP($B:$B,Tabela_Linkedin[],2,),0)</f>
        <v>0</v>
      </c>
      <c r="S100" s="70">
        <f>SUMIF(TikTok!A:A,'Compilado 2023'!B:B,TikTok!B:B)</f>
        <v>0</v>
      </c>
      <c r="T100" s="70">
        <v>0</v>
      </c>
      <c r="U100" s="70">
        <v>0</v>
      </c>
      <c r="V100" s="59"/>
      <c r="W100" s="70">
        <v>0</v>
      </c>
      <c r="X100" s="70">
        <v>0</v>
      </c>
      <c r="Y100" s="70">
        <v>0</v>
      </c>
      <c r="Z100" s="38"/>
      <c r="AA100" s="40"/>
    </row>
    <row r="101" spans="1:27" s="2" customFormat="1" x14ac:dyDescent="0.2">
      <c r="A101" s="16" t="s">
        <v>94</v>
      </c>
      <c r="B101" s="17">
        <v>44660</v>
      </c>
      <c r="C101" s="19">
        <v>30618.080000000002</v>
      </c>
      <c r="D101" s="52">
        <v>30586.2</v>
      </c>
      <c r="E101" s="52">
        <v>31.88</v>
      </c>
      <c r="F101" s="157">
        <v>130</v>
      </c>
      <c r="G101" s="157">
        <v>168</v>
      </c>
      <c r="H101" s="35">
        <v>235.52369230769233</v>
      </c>
      <c r="I101" s="19">
        <v>867.92333333333329</v>
      </c>
      <c r="J101" s="111">
        <v>35.277401613813822</v>
      </c>
      <c r="K101" s="53">
        <v>3047</v>
      </c>
      <c r="L101" s="54">
        <v>4.2664916311125699E-2</v>
      </c>
      <c r="M101" s="59"/>
      <c r="N101" s="69">
        <v>408.89</v>
      </c>
      <c r="O101" s="70">
        <f>SUMIF(Facebook!A:A,'Compilado 2023'!B:B,Facebook!B:B)</f>
        <v>202.85</v>
      </c>
      <c r="P101" s="70">
        <v>0</v>
      </c>
      <c r="Q101" s="70">
        <v>53.333333333333336</v>
      </c>
      <c r="R101" s="202">
        <f>IFERROR(VLOOKUP($B:$B,Tabela_Linkedin[],2,),0)</f>
        <v>0</v>
      </c>
      <c r="S101" s="70">
        <f>SUMIF(TikTok!A:A,'Compilado 2023'!B:B,TikTok!B:B)</f>
        <v>0</v>
      </c>
      <c r="T101" s="70">
        <v>0</v>
      </c>
      <c r="U101" s="70">
        <v>0</v>
      </c>
      <c r="V101" s="59"/>
      <c r="W101" s="70">
        <v>0</v>
      </c>
      <c r="X101" s="70">
        <v>0</v>
      </c>
      <c r="Y101" s="70">
        <v>0</v>
      </c>
      <c r="Z101" s="38"/>
      <c r="AA101" s="40"/>
    </row>
    <row r="102" spans="1:27" s="2" customFormat="1" x14ac:dyDescent="0.2">
      <c r="A102" s="16" t="s">
        <v>95</v>
      </c>
      <c r="B102" s="17">
        <v>44661</v>
      </c>
      <c r="C102" s="19">
        <v>24846.03</v>
      </c>
      <c r="D102" s="52">
        <v>24846.03</v>
      </c>
      <c r="E102" s="52">
        <v>0</v>
      </c>
      <c r="F102" s="157">
        <v>109</v>
      </c>
      <c r="G102" s="157">
        <v>140</v>
      </c>
      <c r="H102" s="35">
        <v>227.94522935779815</v>
      </c>
      <c r="I102" s="19">
        <v>743.36333333333334</v>
      </c>
      <c r="J102" s="111">
        <v>33.423803523624606</v>
      </c>
      <c r="K102" s="53">
        <v>2670</v>
      </c>
      <c r="L102" s="54">
        <v>4.0823970037453181E-2</v>
      </c>
      <c r="M102" s="59"/>
      <c r="N102" s="69">
        <v>421.13</v>
      </c>
      <c r="O102" s="70">
        <f>SUMIF(Facebook!A:A,'Compilado 2023'!B:B,Facebook!B:B)</f>
        <v>134.44999999999999</v>
      </c>
      <c r="P102" s="70">
        <v>0</v>
      </c>
      <c r="Q102" s="70">
        <v>53.333333333333336</v>
      </c>
      <c r="R102" s="202">
        <f>IFERROR(VLOOKUP($B:$B,Tabela_Linkedin[],2,),0)</f>
        <v>0</v>
      </c>
      <c r="S102" s="70">
        <f>SUMIF(TikTok!A:A,'Compilado 2023'!B:B,TikTok!B:B)</f>
        <v>0</v>
      </c>
      <c r="T102" s="70">
        <v>0</v>
      </c>
      <c r="U102" s="70">
        <v>0</v>
      </c>
      <c r="V102" s="59"/>
      <c r="W102" s="70">
        <v>0</v>
      </c>
      <c r="X102" s="70">
        <v>0</v>
      </c>
      <c r="Y102" s="70">
        <v>0</v>
      </c>
      <c r="Z102" s="38"/>
      <c r="AA102" s="40"/>
    </row>
    <row r="103" spans="1:27" s="2" customFormat="1" x14ac:dyDescent="0.2">
      <c r="A103" s="16" t="s">
        <v>96</v>
      </c>
      <c r="B103" s="17">
        <v>44662</v>
      </c>
      <c r="C103" s="19">
        <v>40179.22</v>
      </c>
      <c r="D103" s="52">
        <v>40179.22</v>
      </c>
      <c r="E103" s="52">
        <v>0</v>
      </c>
      <c r="F103" s="157">
        <v>152</v>
      </c>
      <c r="G103" s="157">
        <v>190</v>
      </c>
      <c r="H103" s="35">
        <v>264.33697368421053</v>
      </c>
      <c r="I103" s="19">
        <v>947.3033333333334</v>
      </c>
      <c r="J103" s="111">
        <v>42.4143129092758</v>
      </c>
      <c r="K103" s="53">
        <v>3983</v>
      </c>
      <c r="L103" s="54">
        <v>3.8162189304544313E-2</v>
      </c>
      <c r="M103" s="59"/>
      <c r="N103" s="69">
        <v>502.41</v>
      </c>
      <c r="O103" s="70">
        <f>SUMIF(Facebook!A:A,'Compilado 2023'!B:B,Facebook!B:B)</f>
        <v>195.78</v>
      </c>
      <c r="P103" s="70">
        <v>0</v>
      </c>
      <c r="Q103" s="70">
        <v>53.333333333333336</v>
      </c>
      <c r="R103" s="202">
        <f>IFERROR(VLOOKUP($B:$B,Tabela_Linkedin[],2,),0)</f>
        <v>0</v>
      </c>
      <c r="S103" s="70">
        <f>SUMIF(TikTok!A:A,'Compilado 2023'!B:B,TikTok!B:B)</f>
        <v>0</v>
      </c>
      <c r="T103" s="70">
        <v>0</v>
      </c>
      <c r="U103" s="70">
        <v>0</v>
      </c>
      <c r="V103" s="59"/>
      <c r="W103" s="70">
        <v>0</v>
      </c>
      <c r="X103" s="70">
        <v>0</v>
      </c>
      <c r="Y103" s="70">
        <v>0</v>
      </c>
      <c r="Z103" s="38"/>
      <c r="AA103" s="40"/>
    </row>
    <row r="104" spans="1:27" s="2" customFormat="1" x14ac:dyDescent="0.2">
      <c r="A104" s="16" t="s">
        <v>97</v>
      </c>
      <c r="B104" s="17">
        <v>44663</v>
      </c>
      <c r="C104" s="19">
        <v>50744.22</v>
      </c>
      <c r="D104" s="52">
        <v>50744.22</v>
      </c>
      <c r="E104" s="52">
        <v>0</v>
      </c>
      <c r="F104" s="157">
        <v>177</v>
      </c>
      <c r="G104" s="157">
        <v>238</v>
      </c>
      <c r="H104" s="35">
        <v>286.69050847457629</v>
      </c>
      <c r="I104" s="19">
        <v>901.37333333333333</v>
      </c>
      <c r="J104" s="111">
        <v>56.296562282738932</v>
      </c>
      <c r="K104" s="53">
        <v>3978</v>
      </c>
      <c r="L104" s="54">
        <v>4.4494720965309202E-2</v>
      </c>
      <c r="M104" s="59"/>
      <c r="N104" s="69">
        <v>474.42</v>
      </c>
      <c r="O104" s="70">
        <f>SUMIF(Facebook!A:A,'Compilado 2023'!B:B,Facebook!B:B)</f>
        <v>186.81</v>
      </c>
      <c r="P104" s="70">
        <v>0</v>
      </c>
      <c r="Q104" s="70">
        <v>53.333333333333336</v>
      </c>
      <c r="R104" s="202">
        <f>IFERROR(VLOOKUP($B:$B,Tabela_Linkedin[],2,),0)</f>
        <v>0</v>
      </c>
      <c r="S104" s="70">
        <f>SUMIF(TikTok!A:A,'Compilado 2023'!B:B,TikTok!B:B)</f>
        <v>0</v>
      </c>
      <c r="T104" s="70">
        <v>0</v>
      </c>
      <c r="U104" s="70">
        <v>0</v>
      </c>
      <c r="V104" s="59"/>
      <c r="W104" s="70">
        <v>0</v>
      </c>
      <c r="X104" s="70">
        <v>0</v>
      </c>
      <c r="Y104" s="70">
        <v>0</v>
      </c>
      <c r="Z104" s="38"/>
      <c r="AA104" s="40"/>
    </row>
    <row r="105" spans="1:27" s="2" customFormat="1" x14ac:dyDescent="0.2">
      <c r="A105" s="16" t="s">
        <v>98</v>
      </c>
      <c r="B105" s="17">
        <v>44664</v>
      </c>
      <c r="C105" s="19">
        <v>39104.629999999997</v>
      </c>
      <c r="D105" s="52">
        <v>39082.35</v>
      </c>
      <c r="E105" s="52">
        <v>22.28</v>
      </c>
      <c r="F105" s="157">
        <v>152</v>
      </c>
      <c r="G105" s="157">
        <v>184</v>
      </c>
      <c r="H105" s="35">
        <v>257.26730263157896</v>
      </c>
      <c r="I105" s="19">
        <v>795.81333333333339</v>
      </c>
      <c r="J105" s="111">
        <v>49.13794273363937</v>
      </c>
      <c r="K105" s="53">
        <v>3557</v>
      </c>
      <c r="L105" s="54">
        <v>4.2732639865054822E-2</v>
      </c>
      <c r="M105" s="59"/>
      <c r="N105" s="69">
        <v>460.7</v>
      </c>
      <c r="O105" s="70">
        <f>SUMIF(Facebook!A:A,'Compilado 2023'!B:B,Facebook!B:B)</f>
        <v>140.88999999999999</v>
      </c>
      <c r="P105" s="70">
        <v>0</v>
      </c>
      <c r="Q105" s="70">
        <v>53.333333333333336</v>
      </c>
      <c r="R105" s="202">
        <f>IFERROR(VLOOKUP($B:$B,Tabela_Linkedin[],2,),0)</f>
        <v>0</v>
      </c>
      <c r="S105" s="70">
        <f>SUMIF(TikTok!A:A,'Compilado 2023'!B:B,TikTok!B:B)</f>
        <v>0</v>
      </c>
      <c r="T105" s="70">
        <v>0</v>
      </c>
      <c r="U105" s="70">
        <v>0</v>
      </c>
      <c r="V105" s="59"/>
      <c r="W105" s="70">
        <v>0</v>
      </c>
      <c r="X105" s="70">
        <v>0</v>
      </c>
      <c r="Y105" s="70">
        <v>0</v>
      </c>
      <c r="Z105" s="38"/>
      <c r="AA105" s="40"/>
    </row>
    <row r="106" spans="1:27" s="2" customFormat="1" x14ac:dyDescent="0.2">
      <c r="A106" s="16" t="s">
        <v>99</v>
      </c>
      <c r="B106" s="17">
        <v>44665</v>
      </c>
      <c r="C106" s="19">
        <v>52367.01</v>
      </c>
      <c r="D106" s="52">
        <v>52344.65</v>
      </c>
      <c r="E106" s="52">
        <v>22.36</v>
      </c>
      <c r="F106" s="157">
        <v>195</v>
      </c>
      <c r="G106" s="157">
        <v>255</v>
      </c>
      <c r="H106" s="35">
        <v>268.54876923076927</v>
      </c>
      <c r="I106" s="19">
        <v>906.87333333333333</v>
      </c>
      <c r="J106" s="111">
        <v>57.74456925259684</v>
      </c>
      <c r="K106" s="53">
        <v>3916</v>
      </c>
      <c r="L106" s="54">
        <v>4.979570990806946E-2</v>
      </c>
      <c r="M106" s="59"/>
      <c r="N106" s="69">
        <v>413.14</v>
      </c>
      <c r="O106" s="70">
        <f>SUMIF(Facebook!A:A,'Compilado 2023'!B:B,Facebook!B:B)</f>
        <v>220.2</v>
      </c>
      <c r="P106" s="70">
        <v>0</v>
      </c>
      <c r="Q106" s="70">
        <v>53.333333333333336</v>
      </c>
      <c r="R106" s="202">
        <f>IFERROR(VLOOKUP($B:$B,Tabela_Linkedin[],2,),0)</f>
        <v>0</v>
      </c>
      <c r="S106" s="70">
        <f>SUMIF(TikTok!A:A,'Compilado 2023'!B:B,TikTok!B:B)</f>
        <v>0</v>
      </c>
      <c r="T106" s="70">
        <v>0</v>
      </c>
      <c r="U106" s="70">
        <v>0</v>
      </c>
      <c r="V106" s="59"/>
      <c r="W106" s="70">
        <v>0</v>
      </c>
      <c r="X106" s="70">
        <v>0</v>
      </c>
      <c r="Y106" s="70">
        <v>0</v>
      </c>
      <c r="Z106" s="38"/>
      <c r="AA106" s="40"/>
    </row>
    <row r="107" spans="1:27" s="2" customFormat="1" x14ac:dyDescent="0.2">
      <c r="A107" s="16" t="s">
        <v>100</v>
      </c>
      <c r="B107" s="17">
        <v>44666</v>
      </c>
      <c r="C107" s="19">
        <v>20921.53</v>
      </c>
      <c r="D107" s="52">
        <v>20921.53</v>
      </c>
      <c r="E107" s="52">
        <v>0</v>
      </c>
      <c r="F107" s="157">
        <v>78</v>
      </c>
      <c r="G107" s="157">
        <v>106</v>
      </c>
      <c r="H107" s="35">
        <v>268.22474358974358</v>
      </c>
      <c r="I107" s="19">
        <v>760.18333333333339</v>
      </c>
      <c r="J107" s="111">
        <v>27.521689943215449</v>
      </c>
      <c r="K107" s="53">
        <v>2384</v>
      </c>
      <c r="L107" s="54">
        <v>3.2718120805369129E-2</v>
      </c>
      <c r="M107" s="59"/>
      <c r="N107" s="69">
        <v>395.37</v>
      </c>
      <c r="O107" s="70">
        <f>SUMIF(Facebook!A:A,'Compilado 2023'!B:B,Facebook!B:B)</f>
        <v>155.74</v>
      </c>
      <c r="P107" s="70">
        <v>0</v>
      </c>
      <c r="Q107" s="70">
        <v>53.333333333333336</v>
      </c>
      <c r="R107" s="202">
        <f>IFERROR(VLOOKUP($B:$B,Tabela_Linkedin[],2,),0)</f>
        <v>0</v>
      </c>
      <c r="S107" s="70">
        <f>SUMIF(TikTok!A:A,'Compilado 2023'!B:B,TikTok!B:B)</f>
        <v>0</v>
      </c>
      <c r="T107" s="70">
        <v>0</v>
      </c>
      <c r="U107" s="70">
        <v>0</v>
      </c>
      <c r="V107" s="59"/>
      <c r="W107" s="70">
        <v>0</v>
      </c>
      <c r="X107" s="70">
        <v>0</v>
      </c>
      <c r="Y107" s="70">
        <v>0</v>
      </c>
      <c r="Z107" s="38"/>
      <c r="AA107" s="40"/>
    </row>
    <row r="108" spans="1:27" s="2" customFormat="1" x14ac:dyDescent="0.2">
      <c r="A108" s="16" t="s">
        <v>94</v>
      </c>
      <c r="B108" s="17">
        <v>44667</v>
      </c>
      <c r="C108" s="19">
        <v>27300.05</v>
      </c>
      <c r="D108" s="52">
        <v>27300.05</v>
      </c>
      <c r="E108" s="52">
        <v>0</v>
      </c>
      <c r="F108" s="157">
        <v>114</v>
      </c>
      <c r="G108" s="157">
        <v>165</v>
      </c>
      <c r="H108" s="35">
        <v>239.47412280701755</v>
      </c>
      <c r="I108" s="19">
        <v>622.76333333333343</v>
      </c>
      <c r="J108" s="111">
        <v>43.836957859861151</v>
      </c>
      <c r="K108" s="53">
        <v>2545</v>
      </c>
      <c r="L108" s="54">
        <v>4.4793713163064831E-2</v>
      </c>
      <c r="M108" s="59"/>
      <c r="N108" s="69">
        <v>440.05</v>
      </c>
      <c r="O108" s="70">
        <f>SUMIF(Facebook!A:A,'Compilado 2023'!B:B,Facebook!B:B)</f>
        <v>64.69</v>
      </c>
      <c r="P108" s="70">
        <v>0</v>
      </c>
      <c r="Q108" s="70">
        <v>53.333333333333336</v>
      </c>
      <c r="R108" s="202">
        <f>IFERROR(VLOOKUP($B:$B,Tabela_Linkedin[],2,),0)</f>
        <v>0</v>
      </c>
      <c r="S108" s="70">
        <f>SUMIF(TikTok!A:A,'Compilado 2023'!B:B,TikTok!B:B)</f>
        <v>0</v>
      </c>
      <c r="T108" s="70">
        <v>0</v>
      </c>
      <c r="U108" s="70">
        <v>0</v>
      </c>
      <c r="V108" s="59"/>
      <c r="W108" s="70">
        <v>0</v>
      </c>
      <c r="X108" s="70">
        <v>0</v>
      </c>
      <c r="Y108" s="70">
        <v>0</v>
      </c>
      <c r="Z108" s="38"/>
      <c r="AA108" s="40"/>
    </row>
    <row r="109" spans="1:27" s="2" customFormat="1" x14ac:dyDescent="0.2">
      <c r="A109" s="16" t="s">
        <v>95</v>
      </c>
      <c r="B109" s="17">
        <v>44668</v>
      </c>
      <c r="C109" s="19">
        <v>16434.91</v>
      </c>
      <c r="D109" s="52">
        <v>16409.150000000001</v>
      </c>
      <c r="E109" s="52">
        <v>25.76</v>
      </c>
      <c r="F109" s="157">
        <v>68</v>
      </c>
      <c r="G109" s="157">
        <v>91</v>
      </c>
      <c r="H109" s="35">
        <v>241.68985294117647</v>
      </c>
      <c r="I109" s="19">
        <v>594.66333333333341</v>
      </c>
      <c r="J109" s="111">
        <v>27.637335411072929</v>
      </c>
      <c r="K109" s="53">
        <v>2089</v>
      </c>
      <c r="L109" s="54">
        <v>3.2551460028721876E-2</v>
      </c>
      <c r="M109" s="59"/>
      <c r="N109" s="69">
        <v>401.75</v>
      </c>
      <c r="O109" s="70">
        <f>SUMIF(Facebook!A:A,'Compilado 2023'!B:B,Facebook!B:B)</f>
        <v>69.790000000000006</v>
      </c>
      <c r="P109" s="70">
        <v>0</v>
      </c>
      <c r="Q109" s="70">
        <v>53.333333333333336</v>
      </c>
      <c r="R109" s="202">
        <f>IFERROR(VLOOKUP($B:$B,Tabela_Linkedin[],2,),0)</f>
        <v>0</v>
      </c>
      <c r="S109" s="70">
        <f>SUMIF(TikTok!A:A,'Compilado 2023'!B:B,TikTok!B:B)</f>
        <v>0</v>
      </c>
      <c r="T109" s="70">
        <v>0</v>
      </c>
      <c r="U109" s="70">
        <v>0</v>
      </c>
      <c r="V109" s="59"/>
      <c r="W109" s="70">
        <v>0</v>
      </c>
      <c r="X109" s="70">
        <v>0</v>
      </c>
      <c r="Y109" s="70">
        <v>0</v>
      </c>
      <c r="Z109" s="38"/>
      <c r="AA109" s="40"/>
    </row>
    <row r="110" spans="1:27" s="2" customFormat="1" x14ac:dyDescent="0.2">
      <c r="A110" s="16" t="s">
        <v>96</v>
      </c>
      <c r="B110" s="17">
        <v>44669</v>
      </c>
      <c r="C110" s="19">
        <v>33019.06</v>
      </c>
      <c r="D110" s="52">
        <v>33019.06</v>
      </c>
      <c r="E110" s="52">
        <v>0</v>
      </c>
      <c r="F110" s="157">
        <v>117</v>
      </c>
      <c r="G110" s="157">
        <v>141</v>
      </c>
      <c r="H110" s="35">
        <v>282.214188034188</v>
      </c>
      <c r="I110" s="19">
        <v>842.70333333333338</v>
      </c>
      <c r="J110" s="111">
        <v>39.182306149653293</v>
      </c>
      <c r="K110" s="53">
        <v>4088</v>
      </c>
      <c r="L110" s="54">
        <v>2.8620352250489235E-2</v>
      </c>
      <c r="M110" s="59"/>
      <c r="N110" s="69">
        <v>491.95</v>
      </c>
      <c r="O110" s="70">
        <f>SUMIF(Facebook!A:A,'Compilado 2023'!B:B,Facebook!B:B)</f>
        <v>148.71</v>
      </c>
      <c r="P110" s="70">
        <v>0</v>
      </c>
      <c r="Q110" s="70">
        <v>53.333333333333336</v>
      </c>
      <c r="R110" s="202">
        <f>IFERROR(VLOOKUP($B:$B,Tabela_Linkedin[],2,),0)</f>
        <v>0</v>
      </c>
      <c r="S110" s="70">
        <f>SUMIF(TikTok!A:A,'Compilado 2023'!B:B,TikTok!B:B)</f>
        <v>0</v>
      </c>
      <c r="T110" s="70">
        <v>0</v>
      </c>
      <c r="U110" s="70">
        <v>0</v>
      </c>
      <c r="V110" s="59"/>
      <c r="W110" s="70">
        <v>0</v>
      </c>
      <c r="X110" s="70">
        <v>0</v>
      </c>
      <c r="Y110" s="70">
        <v>0</v>
      </c>
      <c r="Z110" s="38"/>
      <c r="AA110" s="40"/>
    </row>
    <row r="111" spans="1:27" s="2" customFormat="1" x14ac:dyDescent="0.2">
      <c r="A111" s="16" t="s">
        <v>97</v>
      </c>
      <c r="B111" s="17">
        <v>44670</v>
      </c>
      <c r="C111" s="19">
        <v>48457.27</v>
      </c>
      <c r="D111" s="52">
        <v>48457.27</v>
      </c>
      <c r="E111" s="52">
        <v>0</v>
      </c>
      <c r="F111" s="157">
        <v>166</v>
      </c>
      <c r="G111" s="157">
        <v>259</v>
      </c>
      <c r="H111" s="35">
        <v>291.91126506024096</v>
      </c>
      <c r="I111" s="19">
        <v>1114.1233333333332</v>
      </c>
      <c r="J111" s="111">
        <v>43.493631764287016</v>
      </c>
      <c r="K111" s="53">
        <v>4263</v>
      </c>
      <c r="L111" s="54">
        <v>3.8939713816561104E-2</v>
      </c>
      <c r="M111" s="59"/>
      <c r="N111" s="69">
        <v>500.47</v>
      </c>
      <c r="O111" s="70">
        <f>SUMIF(Facebook!A:A,'Compilado 2023'!B:B,Facebook!B:B)</f>
        <v>280.16000000000003</v>
      </c>
      <c r="P111" s="70">
        <v>0</v>
      </c>
      <c r="Q111" s="70">
        <v>53.333333333333336</v>
      </c>
      <c r="R111" s="202">
        <f>IFERROR(VLOOKUP($B:$B,Tabela_Linkedin[],2,),0)</f>
        <v>0</v>
      </c>
      <c r="S111" s="70">
        <f>SUMIF(TikTok!A:A,'Compilado 2023'!B:B,TikTok!B:B)</f>
        <v>0</v>
      </c>
      <c r="T111" s="70">
        <v>0</v>
      </c>
      <c r="U111" s="70">
        <v>0</v>
      </c>
      <c r="V111" s="59"/>
      <c r="W111" s="70">
        <v>0</v>
      </c>
      <c r="X111" s="70">
        <v>0</v>
      </c>
      <c r="Y111" s="70">
        <v>0</v>
      </c>
      <c r="Z111" s="38"/>
      <c r="AA111" s="40"/>
    </row>
    <row r="112" spans="1:27" s="2" customFormat="1" x14ac:dyDescent="0.2">
      <c r="A112" s="16" t="s">
        <v>98</v>
      </c>
      <c r="B112" s="17">
        <v>44671</v>
      </c>
      <c r="C112" s="19">
        <v>34555.19</v>
      </c>
      <c r="D112" s="52">
        <v>34555.19</v>
      </c>
      <c r="E112" s="52">
        <v>0</v>
      </c>
      <c r="F112" s="157">
        <v>130</v>
      </c>
      <c r="G112" s="157">
        <v>163</v>
      </c>
      <c r="H112" s="35">
        <v>265.80915384615389</v>
      </c>
      <c r="I112" s="19">
        <v>915.60333333333335</v>
      </c>
      <c r="J112" s="111">
        <v>37.740349714760029</v>
      </c>
      <c r="K112" s="53">
        <v>3810</v>
      </c>
      <c r="L112" s="54">
        <v>3.4120734908136482E-2</v>
      </c>
      <c r="M112" s="59"/>
      <c r="N112" s="69">
        <v>467.95</v>
      </c>
      <c r="O112" s="70">
        <f>SUMIF(Facebook!A:A,'Compilado 2023'!B:B,Facebook!B:B)</f>
        <v>197.16</v>
      </c>
      <c r="P112" s="70">
        <v>0</v>
      </c>
      <c r="Q112" s="70">
        <v>53.333333333333336</v>
      </c>
      <c r="R112" s="202">
        <f>IFERROR(VLOOKUP($B:$B,Tabela_Linkedin[],2,),0)</f>
        <v>0</v>
      </c>
      <c r="S112" s="70">
        <f>SUMIF(TikTok!A:A,'Compilado 2023'!B:B,TikTok!B:B)</f>
        <v>0</v>
      </c>
      <c r="T112" s="70">
        <v>0</v>
      </c>
      <c r="U112" s="70">
        <v>0</v>
      </c>
      <c r="V112" s="59"/>
      <c r="W112" s="70">
        <v>0</v>
      </c>
      <c r="X112" s="70">
        <v>0</v>
      </c>
      <c r="Y112" s="70">
        <v>0</v>
      </c>
      <c r="Z112" s="38"/>
      <c r="AA112" s="40"/>
    </row>
    <row r="113" spans="1:27" s="2" customFormat="1" x14ac:dyDescent="0.2">
      <c r="A113" s="16" t="s">
        <v>99</v>
      </c>
      <c r="B113" s="17">
        <v>44672</v>
      </c>
      <c r="C113" s="19">
        <v>23262.320000000003</v>
      </c>
      <c r="D113" s="52">
        <v>23240.240000000002</v>
      </c>
      <c r="E113" s="52">
        <v>22.08</v>
      </c>
      <c r="F113" s="157">
        <v>83</v>
      </c>
      <c r="G113" s="157">
        <v>103</v>
      </c>
      <c r="H113" s="35">
        <v>280.26891566265067</v>
      </c>
      <c r="I113" s="19">
        <v>1025.7433333333333</v>
      </c>
      <c r="J113" s="111">
        <v>22.678499819642994</v>
      </c>
      <c r="K113" s="53">
        <v>2858</v>
      </c>
      <c r="L113" s="54">
        <v>2.9041287613715886E-2</v>
      </c>
      <c r="M113" s="59"/>
      <c r="N113" s="69">
        <v>411.67</v>
      </c>
      <c r="O113" s="70">
        <f>SUMIF(Facebook!A:A,'Compilado 2023'!B:B,Facebook!B:B)</f>
        <v>280.37</v>
      </c>
      <c r="P113" s="70">
        <v>0</v>
      </c>
      <c r="Q113" s="70">
        <v>53.333333333333336</v>
      </c>
      <c r="R113" s="202">
        <f>IFERROR(VLOOKUP($B:$B,Tabela_Linkedin[],2,),0)</f>
        <v>0</v>
      </c>
      <c r="S113" s="70">
        <f>SUMIF(TikTok!A:A,'Compilado 2023'!B:B,TikTok!B:B)</f>
        <v>0</v>
      </c>
      <c r="T113" s="70">
        <v>0</v>
      </c>
      <c r="U113" s="70">
        <v>0</v>
      </c>
      <c r="V113" s="59"/>
      <c r="W113" s="70">
        <v>0</v>
      </c>
      <c r="X113" s="70">
        <v>0</v>
      </c>
      <c r="Y113" s="70">
        <v>0</v>
      </c>
      <c r="Z113" s="38"/>
      <c r="AA113" s="40"/>
    </row>
    <row r="114" spans="1:27" s="2" customFormat="1" x14ac:dyDescent="0.2">
      <c r="A114" s="16" t="s">
        <v>100</v>
      </c>
      <c r="B114" s="17">
        <v>44673</v>
      </c>
      <c r="C114" s="19">
        <v>34228.5</v>
      </c>
      <c r="D114" s="52">
        <v>34228.5</v>
      </c>
      <c r="E114" s="52">
        <v>0</v>
      </c>
      <c r="F114" s="157">
        <v>133</v>
      </c>
      <c r="G114" s="157">
        <v>175</v>
      </c>
      <c r="H114" s="35">
        <v>257.35714285714283</v>
      </c>
      <c r="I114" s="19">
        <v>1046.3733333333332</v>
      </c>
      <c r="J114" s="111">
        <v>32.711556104895642</v>
      </c>
      <c r="K114" s="53">
        <v>3489</v>
      </c>
      <c r="L114" s="54">
        <v>3.8119805101748352E-2</v>
      </c>
      <c r="M114" s="59"/>
      <c r="N114" s="69">
        <v>438.18</v>
      </c>
      <c r="O114" s="70">
        <f>SUMIF(Facebook!A:A,'Compilado 2023'!B:B,Facebook!B:B)</f>
        <v>277.43</v>
      </c>
      <c r="P114" s="70">
        <v>0</v>
      </c>
      <c r="Q114" s="70">
        <v>53.333333333333336</v>
      </c>
      <c r="R114" s="202">
        <f>IFERROR(VLOOKUP($B:$B,Tabela_Linkedin[],2,),0)</f>
        <v>0</v>
      </c>
      <c r="S114" s="70">
        <f>SUMIF(TikTok!A:A,'Compilado 2023'!B:B,TikTok!B:B)</f>
        <v>0</v>
      </c>
      <c r="T114" s="70">
        <v>0</v>
      </c>
      <c r="U114" s="70">
        <v>0</v>
      </c>
      <c r="V114" s="59"/>
      <c r="W114" s="70">
        <v>0</v>
      </c>
      <c r="X114" s="70">
        <v>0</v>
      </c>
      <c r="Y114" s="70">
        <v>0</v>
      </c>
      <c r="Z114" s="38"/>
      <c r="AA114" s="40"/>
    </row>
    <row r="115" spans="1:27" s="2" customFormat="1" x14ac:dyDescent="0.2">
      <c r="A115" s="16" t="s">
        <v>94</v>
      </c>
      <c r="B115" s="17">
        <v>44674</v>
      </c>
      <c r="C115" s="19">
        <v>14434.7</v>
      </c>
      <c r="D115" s="52">
        <v>14434.7</v>
      </c>
      <c r="E115" s="52">
        <v>0</v>
      </c>
      <c r="F115" s="157">
        <v>55</v>
      </c>
      <c r="G115" s="157">
        <v>75</v>
      </c>
      <c r="H115" s="35">
        <v>262.4490909090909</v>
      </c>
      <c r="I115" s="19">
        <v>1043.5133333333333</v>
      </c>
      <c r="J115" s="111">
        <v>13.832789231250839</v>
      </c>
      <c r="K115" s="53">
        <v>2872</v>
      </c>
      <c r="L115" s="54">
        <v>1.9150417827298049E-2</v>
      </c>
      <c r="M115" s="59"/>
      <c r="N115" s="69">
        <v>424.52</v>
      </c>
      <c r="O115" s="70">
        <f>SUMIF(Facebook!A:A,'Compilado 2023'!B:B,Facebook!B:B)</f>
        <v>282.83</v>
      </c>
      <c r="P115" s="70">
        <v>0</v>
      </c>
      <c r="Q115" s="70">
        <v>53.333333333333336</v>
      </c>
      <c r="R115" s="202">
        <f>IFERROR(VLOOKUP($B:$B,Tabela_Linkedin[],2,),0)</f>
        <v>0</v>
      </c>
      <c r="S115" s="70">
        <f>SUMIF(TikTok!A:A,'Compilado 2023'!B:B,TikTok!B:B)</f>
        <v>0</v>
      </c>
      <c r="T115" s="70">
        <v>0</v>
      </c>
      <c r="U115" s="70">
        <v>0</v>
      </c>
      <c r="V115" s="59"/>
      <c r="W115" s="70">
        <v>0</v>
      </c>
      <c r="X115" s="70">
        <v>0</v>
      </c>
      <c r="Y115" s="70">
        <v>0</v>
      </c>
      <c r="Z115" s="38"/>
      <c r="AA115" s="40"/>
    </row>
    <row r="116" spans="1:27" s="2" customFormat="1" x14ac:dyDescent="0.2">
      <c r="A116" s="16" t="s">
        <v>95</v>
      </c>
      <c r="B116" s="17">
        <v>44675</v>
      </c>
      <c r="C116" s="19">
        <v>22858.3</v>
      </c>
      <c r="D116" s="52">
        <v>22858.3</v>
      </c>
      <c r="E116" s="52">
        <v>0</v>
      </c>
      <c r="F116" s="157">
        <v>87</v>
      </c>
      <c r="G116" s="157">
        <v>107</v>
      </c>
      <c r="H116" s="35">
        <v>262.73908045977009</v>
      </c>
      <c r="I116" s="19">
        <v>825.72333333333336</v>
      </c>
      <c r="J116" s="111">
        <v>27.682758954775004</v>
      </c>
      <c r="K116" s="53">
        <v>2756</v>
      </c>
      <c r="L116" s="54">
        <v>3.1567489114658925E-2</v>
      </c>
      <c r="M116" s="59"/>
      <c r="N116" s="69">
        <v>330.33</v>
      </c>
      <c r="O116" s="70">
        <f>SUMIF(Facebook!A:A,'Compilado 2023'!B:B,Facebook!B:B)</f>
        <v>221.03</v>
      </c>
      <c r="P116" s="70">
        <v>0</v>
      </c>
      <c r="Q116" s="70">
        <v>53.333333333333336</v>
      </c>
      <c r="R116" s="202">
        <f>IFERROR(VLOOKUP($B:$B,Tabela_Linkedin[],2,),0)</f>
        <v>0</v>
      </c>
      <c r="S116" s="70">
        <f>SUMIF(TikTok!A:A,'Compilado 2023'!B:B,TikTok!B:B)</f>
        <v>0</v>
      </c>
      <c r="T116" s="70">
        <v>0</v>
      </c>
      <c r="U116" s="70">
        <v>0</v>
      </c>
      <c r="V116" s="59"/>
      <c r="W116" s="70">
        <v>0</v>
      </c>
      <c r="X116" s="70">
        <v>0</v>
      </c>
      <c r="Y116" s="70">
        <v>0</v>
      </c>
      <c r="Z116" s="38"/>
      <c r="AA116" s="40"/>
    </row>
    <row r="117" spans="1:27" s="2" customFormat="1" x14ac:dyDescent="0.2">
      <c r="A117" s="16" t="s">
        <v>96</v>
      </c>
      <c r="B117" s="17">
        <v>44676</v>
      </c>
      <c r="C117" s="19">
        <v>60267.72</v>
      </c>
      <c r="D117" s="52">
        <v>60245.74</v>
      </c>
      <c r="E117" s="52">
        <v>21.98</v>
      </c>
      <c r="F117" s="157">
        <v>209</v>
      </c>
      <c r="G117" s="157">
        <v>316</v>
      </c>
      <c r="H117" s="35">
        <v>288.36229665071772</v>
      </c>
      <c r="I117" s="19">
        <v>748.65333333333331</v>
      </c>
      <c r="J117" s="111">
        <v>80.501504924397594</v>
      </c>
      <c r="K117" s="53">
        <v>4527</v>
      </c>
      <c r="L117" s="54">
        <v>4.6167439805610777E-2</v>
      </c>
      <c r="M117" s="59"/>
      <c r="N117" s="69">
        <v>467.18</v>
      </c>
      <c r="O117" s="70">
        <f>SUMIF(Facebook!A:A,'Compilado 2023'!B:B,Facebook!B:B)</f>
        <v>114.07</v>
      </c>
      <c r="P117" s="70">
        <v>0</v>
      </c>
      <c r="Q117" s="70">
        <v>53.333333333333336</v>
      </c>
      <c r="R117" s="202">
        <f>IFERROR(VLOOKUP($B:$B,Tabela_Linkedin[],2,),0)</f>
        <v>0</v>
      </c>
      <c r="S117" s="70">
        <f>SUMIF(TikTok!A:A,'Compilado 2023'!B:B,TikTok!B:B)</f>
        <v>0</v>
      </c>
      <c r="T117" s="70">
        <v>0</v>
      </c>
      <c r="U117" s="70">
        <v>0</v>
      </c>
      <c r="V117" s="59"/>
      <c r="W117" s="70">
        <v>0</v>
      </c>
      <c r="X117" s="70">
        <v>0</v>
      </c>
      <c r="Y117" s="70">
        <v>0</v>
      </c>
      <c r="Z117" s="38"/>
      <c r="AA117" s="40"/>
    </row>
    <row r="118" spans="1:27" s="2" customFormat="1" x14ac:dyDescent="0.2">
      <c r="A118" s="16" t="s">
        <v>97</v>
      </c>
      <c r="B118" s="17">
        <v>44677</v>
      </c>
      <c r="C118" s="19">
        <v>43606.53</v>
      </c>
      <c r="D118" s="52">
        <v>43606.53</v>
      </c>
      <c r="E118" s="52">
        <v>0</v>
      </c>
      <c r="F118" s="157">
        <v>132</v>
      </c>
      <c r="G118" s="157">
        <v>173</v>
      </c>
      <c r="H118" s="35">
        <v>330.35249999999996</v>
      </c>
      <c r="I118" s="19">
        <v>700.3033333333334</v>
      </c>
      <c r="J118" s="111">
        <v>62.268060031129359</v>
      </c>
      <c r="K118" s="53">
        <v>4594</v>
      </c>
      <c r="L118" s="54">
        <v>2.8733130169786677E-2</v>
      </c>
      <c r="M118" s="59"/>
      <c r="N118" s="69">
        <v>430.53</v>
      </c>
      <c r="O118" s="70">
        <f>SUMIF(Facebook!A:A,'Compilado 2023'!B:B,Facebook!B:B)</f>
        <v>108.22</v>
      </c>
      <c r="P118" s="70">
        <v>0</v>
      </c>
      <c r="Q118" s="70">
        <v>53.333333333333336</v>
      </c>
      <c r="R118" s="202">
        <f>IFERROR(VLOOKUP($B:$B,Tabela_Linkedin[],2,),0)</f>
        <v>0</v>
      </c>
      <c r="S118" s="70">
        <f>SUMIF(TikTok!A:A,'Compilado 2023'!B:B,TikTok!B:B)</f>
        <v>0</v>
      </c>
      <c r="T118" s="70">
        <v>0</v>
      </c>
      <c r="U118" s="70">
        <v>0</v>
      </c>
      <c r="V118" s="59"/>
      <c r="W118" s="70">
        <v>0</v>
      </c>
      <c r="X118" s="70">
        <v>0</v>
      </c>
      <c r="Y118" s="70">
        <v>0</v>
      </c>
      <c r="Z118" s="38"/>
      <c r="AA118" s="40"/>
    </row>
    <row r="119" spans="1:27" s="2" customFormat="1" x14ac:dyDescent="0.2">
      <c r="A119" s="16" t="s">
        <v>98</v>
      </c>
      <c r="B119" s="17">
        <v>44678</v>
      </c>
      <c r="C119" s="19">
        <v>62249.99</v>
      </c>
      <c r="D119" s="52">
        <v>62249.99</v>
      </c>
      <c r="E119" s="52">
        <v>0</v>
      </c>
      <c r="F119" s="157">
        <v>175</v>
      </c>
      <c r="G119" s="157">
        <v>265</v>
      </c>
      <c r="H119" s="35">
        <v>355.71422857142858</v>
      </c>
      <c r="I119" s="19">
        <v>748.68333333333339</v>
      </c>
      <c r="J119" s="111">
        <v>83.145954008147626</v>
      </c>
      <c r="K119" s="53">
        <v>5394</v>
      </c>
      <c r="L119" s="54">
        <v>3.2443455691509082E-2</v>
      </c>
      <c r="M119" s="59"/>
      <c r="N119" s="69">
        <v>451.69</v>
      </c>
      <c r="O119" s="70">
        <f>SUMIF(Facebook!A:A,'Compilado 2023'!B:B,Facebook!B:B)</f>
        <v>121.83</v>
      </c>
      <c r="P119" s="70">
        <v>0</v>
      </c>
      <c r="Q119" s="70">
        <v>53.333333333333336</v>
      </c>
      <c r="R119" s="202">
        <f>IFERROR(VLOOKUP($B:$B,Tabela_Linkedin[],2,),0)</f>
        <v>0</v>
      </c>
      <c r="S119" s="70">
        <f>SUMIF(TikTok!A:A,'Compilado 2023'!B:B,TikTok!B:B)</f>
        <v>0</v>
      </c>
      <c r="T119" s="70">
        <v>0</v>
      </c>
      <c r="U119" s="70">
        <v>0</v>
      </c>
      <c r="V119" s="59"/>
      <c r="W119" s="70">
        <v>0</v>
      </c>
      <c r="X119" s="70">
        <v>0</v>
      </c>
      <c r="Y119" s="70">
        <v>0</v>
      </c>
      <c r="Z119" s="38"/>
      <c r="AA119" s="40"/>
    </row>
    <row r="120" spans="1:27" s="2" customFormat="1" x14ac:dyDescent="0.2">
      <c r="A120" s="16" t="s">
        <v>99</v>
      </c>
      <c r="B120" s="17">
        <v>44679</v>
      </c>
      <c r="C120" s="19">
        <v>68461.149999999994</v>
      </c>
      <c r="D120" s="52">
        <v>68393.11</v>
      </c>
      <c r="E120" s="52">
        <v>68.040000000000006</v>
      </c>
      <c r="F120" s="157">
        <v>187</v>
      </c>
      <c r="G120" s="157">
        <v>314</v>
      </c>
      <c r="H120" s="35">
        <v>366.10240641711226</v>
      </c>
      <c r="I120" s="19">
        <v>830.93333333333339</v>
      </c>
      <c r="J120" s="111">
        <v>82.390665115532727</v>
      </c>
      <c r="K120" s="53">
        <v>5106</v>
      </c>
      <c r="L120" s="54">
        <v>3.6623580101840969E-2</v>
      </c>
      <c r="M120" s="59"/>
      <c r="N120" s="69">
        <v>474.62</v>
      </c>
      <c r="O120" s="70">
        <f>SUMIF(Facebook!A:A,'Compilado 2023'!B:B,Facebook!B:B)</f>
        <v>151.49</v>
      </c>
      <c r="P120" s="70">
        <v>0</v>
      </c>
      <c r="Q120" s="70">
        <v>53.333333333333336</v>
      </c>
      <c r="R120" s="202">
        <f>IFERROR(VLOOKUP($B:$B,Tabela_Linkedin[],2,),0)</f>
        <v>0</v>
      </c>
      <c r="S120" s="70">
        <f>SUMIF(TikTok!A:A,'Compilado 2023'!B:B,TikTok!B:B)</f>
        <v>0</v>
      </c>
      <c r="T120" s="70">
        <v>0</v>
      </c>
      <c r="U120" s="70">
        <v>0</v>
      </c>
      <c r="V120" s="59"/>
      <c r="W120" s="70">
        <v>0</v>
      </c>
      <c r="X120" s="70">
        <v>0</v>
      </c>
      <c r="Y120" s="70">
        <v>0</v>
      </c>
      <c r="Z120" s="38"/>
      <c r="AA120" s="40"/>
    </row>
    <row r="121" spans="1:27" s="2" customFormat="1" x14ac:dyDescent="0.2">
      <c r="A121" s="16" t="s">
        <v>100</v>
      </c>
      <c r="B121" s="17">
        <v>44680</v>
      </c>
      <c r="C121" s="19">
        <v>65289.740000000005</v>
      </c>
      <c r="D121" s="52">
        <v>65264.76</v>
      </c>
      <c r="E121" s="52">
        <v>24.98</v>
      </c>
      <c r="F121" s="157">
        <v>203</v>
      </c>
      <c r="G121" s="157">
        <v>294</v>
      </c>
      <c r="H121" s="35">
        <v>321.62433497536949</v>
      </c>
      <c r="I121" s="19">
        <v>830.36333333333334</v>
      </c>
      <c r="J121" s="111">
        <v>78.627917899393438</v>
      </c>
      <c r="K121" s="53">
        <v>4967</v>
      </c>
      <c r="L121" s="54">
        <v>4.0869740285886851E-2</v>
      </c>
      <c r="M121" s="59"/>
      <c r="N121" s="69">
        <v>464.01</v>
      </c>
      <c r="O121" s="70">
        <f>SUMIF(Facebook!A:A,'Compilado 2023'!B:B,Facebook!B:B)</f>
        <v>156.51</v>
      </c>
      <c r="P121" s="70">
        <v>0</v>
      </c>
      <c r="Q121" s="70">
        <v>53.333333333333336</v>
      </c>
      <c r="R121" s="202">
        <f>IFERROR(VLOOKUP($B:$B,Tabela_Linkedin[],2,),0)</f>
        <v>0</v>
      </c>
      <c r="S121" s="70">
        <f>SUMIF(TikTok!A:A,'Compilado 2023'!B:B,TikTok!B:B)</f>
        <v>0</v>
      </c>
      <c r="T121" s="70">
        <v>0</v>
      </c>
      <c r="U121" s="70">
        <v>0</v>
      </c>
      <c r="V121" s="59"/>
      <c r="W121" s="70">
        <v>0</v>
      </c>
      <c r="X121" s="70">
        <v>0</v>
      </c>
      <c r="Y121" s="70">
        <v>0</v>
      </c>
      <c r="Z121" s="38"/>
      <c r="AA121" s="40"/>
    </row>
    <row r="122" spans="1:27" s="2" customFormat="1" x14ac:dyDescent="0.2">
      <c r="A122" s="16" t="s">
        <v>94</v>
      </c>
      <c r="B122" s="17">
        <v>44681</v>
      </c>
      <c r="C122" s="19">
        <v>39173.85</v>
      </c>
      <c r="D122" s="52">
        <v>39173.85</v>
      </c>
      <c r="E122" s="52">
        <v>0</v>
      </c>
      <c r="F122" s="157">
        <v>141</v>
      </c>
      <c r="G122" s="157">
        <v>159</v>
      </c>
      <c r="H122" s="35">
        <v>277.8287234042553</v>
      </c>
      <c r="I122" s="19">
        <v>641.33333333333337</v>
      </c>
      <c r="J122" s="111">
        <v>61.081886694386689</v>
      </c>
      <c r="K122" s="53">
        <v>4101</v>
      </c>
      <c r="L122" s="54">
        <v>3.4381858083394293E-2</v>
      </c>
      <c r="M122" s="59"/>
      <c r="N122" s="69">
        <v>350.24</v>
      </c>
      <c r="O122" s="70">
        <f>SUMIF(Facebook!A:A,'Compilado 2023'!B:B,Facebook!B:B)</f>
        <v>118.88</v>
      </c>
      <c r="P122" s="70">
        <v>0</v>
      </c>
      <c r="Q122" s="70">
        <v>53.333333333333336</v>
      </c>
      <c r="R122" s="202">
        <f>IFERROR(VLOOKUP($B:$B,Tabela_Linkedin[],2,),0)</f>
        <v>0</v>
      </c>
      <c r="S122" s="70">
        <f>SUMIF(TikTok!A:A,'Compilado 2023'!B:B,TikTok!B:B)</f>
        <v>0</v>
      </c>
      <c r="T122" s="70">
        <v>0</v>
      </c>
      <c r="U122" s="70">
        <v>0</v>
      </c>
      <c r="V122" s="59"/>
      <c r="W122" s="70">
        <v>0</v>
      </c>
      <c r="X122" s="70">
        <v>0</v>
      </c>
      <c r="Y122" s="70">
        <v>0</v>
      </c>
      <c r="Z122" s="38"/>
      <c r="AA122" s="40"/>
    </row>
    <row r="123" spans="1:27" s="2" customFormat="1" x14ac:dyDescent="0.2">
      <c r="A123" s="16" t="s">
        <v>95</v>
      </c>
      <c r="B123" s="17">
        <v>44682</v>
      </c>
      <c r="C123" s="19">
        <v>42443.15</v>
      </c>
      <c r="D123" s="52">
        <v>42378.51</v>
      </c>
      <c r="E123" s="52">
        <v>64.64</v>
      </c>
      <c r="F123" s="157">
        <v>129</v>
      </c>
      <c r="G123" s="157">
        <v>151</v>
      </c>
      <c r="H123" s="35">
        <v>329.01666666666665</v>
      </c>
      <c r="I123" s="19">
        <v>767.46290322580649</v>
      </c>
      <c r="J123" s="111">
        <v>55.303194228154346</v>
      </c>
      <c r="K123" s="53">
        <v>3994</v>
      </c>
      <c r="L123" s="54">
        <v>3.229844767150726E-2</v>
      </c>
      <c r="M123" s="59"/>
      <c r="N123" s="69">
        <v>453.69</v>
      </c>
      <c r="O123" s="70">
        <f>SUMIF(Facebook!A:A,'Compilado 2023'!B:B,Facebook!B:B)</f>
        <v>131.08000000000001</v>
      </c>
      <c r="P123" s="70">
        <v>0</v>
      </c>
      <c r="Q123" s="70">
        <v>51.612903225806448</v>
      </c>
      <c r="R123" s="202">
        <f>IFERROR(VLOOKUP($B:$B,Tabela_Linkedin[],2,),0)</f>
        <v>0</v>
      </c>
      <c r="S123" s="70">
        <f>SUMIF(TikTok!A:A,'Compilado 2023'!B:B,TikTok!B:B)</f>
        <v>0</v>
      </c>
      <c r="T123" s="70">
        <v>0</v>
      </c>
      <c r="U123" s="70">
        <v>0</v>
      </c>
      <c r="V123" s="59"/>
      <c r="W123" s="70">
        <v>0</v>
      </c>
      <c r="X123" s="70">
        <v>0</v>
      </c>
      <c r="Y123" s="70">
        <v>0</v>
      </c>
      <c r="Z123" s="38"/>
      <c r="AA123" s="40"/>
    </row>
    <row r="124" spans="1:27" s="2" customFormat="1" x14ac:dyDescent="0.2">
      <c r="A124" s="16" t="s">
        <v>96</v>
      </c>
      <c r="B124" s="17">
        <v>44683</v>
      </c>
      <c r="C124" s="19">
        <v>154579.30000000002</v>
      </c>
      <c r="D124" s="52">
        <v>154554.23000000001</v>
      </c>
      <c r="E124" s="52">
        <v>25.07</v>
      </c>
      <c r="F124" s="157">
        <v>408</v>
      </c>
      <c r="G124" s="157">
        <v>625</v>
      </c>
      <c r="H124" s="35">
        <v>378.87083333333339</v>
      </c>
      <c r="I124" s="19">
        <v>912.31290322580651</v>
      </c>
      <c r="J124" s="111">
        <v>169.43671349317756</v>
      </c>
      <c r="K124" s="53">
        <v>8254</v>
      </c>
      <c r="L124" s="54">
        <v>4.9430579113157257E-2</v>
      </c>
      <c r="M124" s="59"/>
      <c r="N124" s="69">
        <v>482.9</v>
      </c>
      <c r="O124" s="70">
        <f>SUMIF(Facebook!A:A,'Compilado 2023'!B:B,Facebook!B:B)</f>
        <v>188.9</v>
      </c>
      <c r="P124" s="70">
        <v>0</v>
      </c>
      <c r="Q124" s="70">
        <v>51.612903225806448</v>
      </c>
      <c r="R124" s="202">
        <f>IFERROR(VLOOKUP($B:$B,Tabela_Linkedin[],2,),0)</f>
        <v>0</v>
      </c>
      <c r="S124" s="70">
        <f>SUMIF(TikTok!A:A,'Compilado 2023'!B:B,TikTok!B:B)</f>
        <v>0</v>
      </c>
      <c r="T124" s="70">
        <v>0</v>
      </c>
      <c r="U124" s="70">
        <v>0</v>
      </c>
      <c r="V124" s="59"/>
      <c r="W124" s="70">
        <v>0</v>
      </c>
      <c r="X124" s="70">
        <v>0</v>
      </c>
      <c r="Y124" s="70">
        <v>0</v>
      </c>
      <c r="Z124" s="38"/>
      <c r="AA124" s="40"/>
    </row>
    <row r="125" spans="1:27" s="2" customFormat="1" x14ac:dyDescent="0.2">
      <c r="A125" s="16" t="s">
        <v>97</v>
      </c>
      <c r="B125" s="17">
        <v>44684</v>
      </c>
      <c r="C125" s="19">
        <v>149914.43</v>
      </c>
      <c r="D125" s="52">
        <v>149914.43</v>
      </c>
      <c r="E125" s="52">
        <v>0</v>
      </c>
      <c r="F125" s="157">
        <v>452</v>
      </c>
      <c r="G125" s="157">
        <v>553</v>
      </c>
      <c r="H125" s="35">
        <v>331.66909292035399</v>
      </c>
      <c r="I125" s="19">
        <v>963.65290322580643</v>
      </c>
      <c r="J125" s="111">
        <v>155.56890815994515</v>
      </c>
      <c r="K125" s="53">
        <v>8428</v>
      </c>
      <c r="L125" s="54">
        <v>5.3630754627432366E-2</v>
      </c>
      <c r="M125" s="59"/>
      <c r="N125" s="69">
        <v>517.55999999999995</v>
      </c>
      <c r="O125" s="70">
        <f>SUMIF(Facebook!A:A,'Compilado 2023'!B:B,Facebook!B:B)</f>
        <v>197.24</v>
      </c>
      <c r="P125" s="70">
        <v>0</v>
      </c>
      <c r="Q125" s="70">
        <v>51.612903225806448</v>
      </c>
      <c r="R125" s="202">
        <f>IFERROR(VLOOKUP($B:$B,Tabela_Linkedin[],2,),0)</f>
        <v>0</v>
      </c>
      <c r="S125" s="70">
        <f>SUMIF(TikTok!A:A,'Compilado 2023'!B:B,TikTok!B:B)</f>
        <v>0</v>
      </c>
      <c r="T125" s="70">
        <v>0</v>
      </c>
      <c r="U125" s="70">
        <v>0</v>
      </c>
      <c r="V125" s="59"/>
      <c r="W125" s="70">
        <v>0</v>
      </c>
      <c r="X125" s="70">
        <v>0</v>
      </c>
      <c r="Y125" s="70">
        <v>0</v>
      </c>
      <c r="Z125" s="38"/>
      <c r="AA125" s="40"/>
    </row>
    <row r="126" spans="1:27" s="2" customFormat="1" x14ac:dyDescent="0.2">
      <c r="A126" s="16" t="s">
        <v>98</v>
      </c>
      <c r="B126" s="17">
        <v>44685</v>
      </c>
      <c r="C126" s="19">
        <v>164851.48000000001</v>
      </c>
      <c r="D126" s="52">
        <v>164851.48000000001</v>
      </c>
      <c r="E126" s="52">
        <v>0</v>
      </c>
      <c r="F126" s="157">
        <v>483</v>
      </c>
      <c r="G126" s="157">
        <v>688</v>
      </c>
      <c r="H126" s="35">
        <v>341.30741200828157</v>
      </c>
      <c r="I126" s="19">
        <v>1079.9129032258063</v>
      </c>
      <c r="J126" s="111">
        <v>152.65256995038433</v>
      </c>
      <c r="K126" s="53">
        <v>7985</v>
      </c>
      <c r="L126" s="54">
        <v>6.0488415779586725E-2</v>
      </c>
      <c r="M126" s="59"/>
      <c r="N126" s="69">
        <v>537.1</v>
      </c>
      <c r="O126" s="70">
        <f>SUMIF(Facebook!A:A,'Compilado 2023'!B:B,Facebook!B:B)</f>
        <v>245.6</v>
      </c>
      <c r="P126" s="70">
        <v>0</v>
      </c>
      <c r="Q126" s="70">
        <v>51.612903225806448</v>
      </c>
      <c r="R126" s="202">
        <f>IFERROR(VLOOKUP($B:$B,Tabela_Linkedin[],2,),0)</f>
        <v>0</v>
      </c>
      <c r="S126" s="70">
        <f>SUMIF(TikTok!A:A,'Compilado 2023'!B:B,TikTok!B:B)</f>
        <v>0</v>
      </c>
      <c r="T126" s="70">
        <v>0</v>
      </c>
      <c r="U126" s="70">
        <v>0</v>
      </c>
      <c r="V126" s="59"/>
      <c r="W126" s="70">
        <v>0</v>
      </c>
      <c r="X126" s="70">
        <v>0</v>
      </c>
      <c r="Y126" s="70">
        <v>0</v>
      </c>
      <c r="Z126" s="38"/>
      <c r="AA126" s="40"/>
    </row>
    <row r="127" spans="1:27" s="2" customFormat="1" x14ac:dyDescent="0.2">
      <c r="A127" s="16" t="s">
        <v>99</v>
      </c>
      <c r="B127" s="17">
        <v>44686</v>
      </c>
      <c r="C127" s="19">
        <v>187138.48</v>
      </c>
      <c r="D127" s="52">
        <v>187103.48</v>
      </c>
      <c r="E127" s="52">
        <v>35</v>
      </c>
      <c r="F127" s="157">
        <v>569</v>
      </c>
      <c r="G127" s="157">
        <v>731</v>
      </c>
      <c r="H127" s="35">
        <v>328.89012302284709</v>
      </c>
      <c r="I127" s="19">
        <v>1176.5729032258064</v>
      </c>
      <c r="J127" s="111">
        <v>159.05387544360659</v>
      </c>
      <c r="K127" s="53">
        <v>7952</v>
      </c>
      <c r="L127" s="54">
        <v>7.155432595573441E-2</v>
      </c>
      <c r="M127" s="59"/>
      <c r="N127" s="69">
        <v>512.34</v>
      </c>
      <c r="O127" s="70">
        <f>SUMIF(Facebook!A:A,'Compilado 2023'!B:B,Facebook!B:B)</f>
        <v>306.31</v>
      </c>
      <c r="P127" s="70">
        <v>0</v>
      </c>
      <c r="Q127" s="70">
        <v>51.612903225806448</v>
      </c>
      <c r="R127" s="202">
        <f>IFERROR(VLOOKUP($B:$B,Tabela_Linkedin[],2,),0)</f>
        <v>0</v>
      </c>
      <c r="S127" s="70">
        <f>SUMIF(TikTok!A:A,'Compilado 2023'!B:B,TikTok!B:B)</f>
        <v>0</v>
      </c>
      <c r="T127" s="70">
        <v>0</v>
      </c>
      <c r="U127" s="70">
        <v>0</v>
      </c>
      <c r="V127" s="59"/>
      <c r="W127" s="70">
        <v>0</v>
      </c>
      <c r="X127" s="70">
        <v>0</v>
      </c>
      <c r="Y127" s="70">
        <v>0</v>
      </c>
      <c r="Z127" s="38"/>
      <c r="AA127" s="40"/>
    </row>
    <row r="128" spans="1:27" s="2" customFormat="1" x14ac:dyDescent="0.2">
      <c r="A128" s="16" t="s">
        <v>100</v>
      </c>
      <c r="B128" s="17">
        <v>44687</v>
      </c>
      <c r="C128" s="19">
        <v>283599.35999999999</v>
      </c>
      <c r="D128" s="52">
        <v>283599.35999999999</v>
      </c>
      <c r="E128" s="52">
        <v>0</v>
      </c>
      <c r="F128" s="157">
        <v>857</v>
      </c>
      <c r="G128" s="157">
        <v>1034</v>
      </c>
      <c r="H128" s="35">
        <v>330.92107351225201</v>
      </c>
      <c r="I128" s="19">
        <v>1224.5729032258064</v>
      </c>
      <c r="J128" s="111">
        <v>231.59042573368569</v>
      </c>
      <c r="K128" s="53">
        <v>8598</v>
      </c>
      <c r="L128" s="54">
        <v>9.9674342870434987E-2</v>
      </c>
      <c r="M128" s="59"/>
      <c r="N128" s="69">
        <v>479.24</v>
      </c>
      <c r="O128" s="70">
        <f>SUMIF(Facebook!A:A,'Compilado 2023'!B:B,Facebook!B:B)</f>
        <v>346.86</v>
      </c>
      <c r="P128" s="70">
        <v>0</v>
      </c>
      <c r="Q128" s="70">
        <v>51.612903225806448</v>
      </c>
      <c r="R128" s="202">
        <f>IFERROR(VLOOKUP($B:$B,Tabela_Linkedin[],2,),0)</f>
        <v>0</v>
      </c>
      <c r="S128" s="70">
        <f>SUMIF(TikTok!A:A,'Compilado 2023'!B:B,TikTok!B:B)</f>
        <v>0</v>
      </c>
      <c r="T128" s="70">
        <v>0</v>
      </c>
      <c r="U128" s="70">
        <v>0</v>
      </c>
      <c r="V128" s="59"/>
      <c r="W128" s="70">
        <v>0</v>
      </c>
      <c r="X128" s="70">
        <v>0</v>
      </c>
      <c r="Y128" s="70">
        <v>0</v>
      </c>
      <c r="Z128" s="38"/>
      <c r="AA128" s="40"/>
    </row>
    <row r="129" spans="1:27" s="2" customFormat="1" x14ac:dyDescent="0.2">
      <c r="A129" s="16" t="s">
        <v>94</v>
      </c>
      <c r="B129" s="17">
        <v>44688</v>
      </c>
      <c r="C129" s="19">
        <v>328478.06</v>
      </c>
      <c r="D129" s="52">
        <v>328478.06</v>
      </c>
      <c r="E129" s="52">
        <v>0</v>
      </c>
      <c r="F129" s="157">
        <v>1048</v>
      </c>
      <c r="G129" s="157">
        <v>1168</v>
      </c>
      <c r="H129" s="35">
        <v>313.43326335877862</v>
      </c>
      <c r="I129" s="19">
        <v>1274.0029032258062</v>
      </c>
      <c r="J129" s="111">
        <v>257.83148466010994</v>
      </c>
      <c r="K129" s="53">
        <v>7301</v>
      </c>
      <c r="L129" s="54">
        <v>0.14354198055060952</v>
      </c>
      <c r="M129" s="59"/>
      <c r="N129" s="69">
        <v>506.33</v>
      </c>
      <c r="O129" s="70">
        <f>SUMIF(Facebook!A:A,'Compilado 2023'!B:B,Facebook!B:B)</f>
        <v>358.03</v>
      </c>
      <c r="P129" s="70">
        <v>0</v>
      </c>
      <c r="Q129" s="70">
        <v>51.612903225806448</v>
      </c>
      <c r="R129" s="202">
        <f>IFERROR(VLOOKUP($B:$B,Tabela_Linkedin[],2,),0)</f>
        <v>0</v>
      </c>
      <c r="S129" s="70">
        <f>SUMIF(TikTok!A:A,'Compilado 2023'!B:B,TikTok!B:B)</f>
        <v>0</v>
      </c>
      <c r="T129" s="70">
        <v>0</v>
      </c>
      <c r="U129" s="70">
        <v>0</v>
      </c>
      <c r="V129" s="59"/>
      <c r="W129" s="70">
        <v>0</v>
      </c>
      <c r="X129" s="70">
        <v>0</v>
      </c>
      <c r="Y129" s="70">
        <v>0</v>
      </c>
      <c r="Z129" s="38"/>
      <c r="AA129" s="40"/>
    </row>
    <row r="130" spans="1:27" s="2" customFormat="1" x14ac:dyDescent="0.2">
      <c r="A130" s="16" t="s">
        <v>95</v>
      </c>
      <c r="B130" s="17">
        <v>44689</v>
      </c>
      <c r="C130" s="19">
        <v>304478.12</v>
      </c>
      <c r="D130" s="52">
        <v>304478.12</v>
      </c>
      <c r="E130" s="52">
        <v>0</v>
      </c>
      <c r="F130" s="157">
        <v>976</v>
      </c>
      <c r="G130" s="157">
        <v>1101</v>
      </c>
      <c r="H130" s="35">
        <v>311.96528688524592</v>
      </c>
      <c r="I130" s="19">
        <v>1367.8629032258063</v>
      </c>
      <c r="J130" s="111">
        <v>222.59403283907673</v>
      </c>
      <c r="K130" s="53">
        <v>6222</v>
      </c>
      <c r="L130" s="54">
        <v>0.15686274509803921</v>
      </c>
      <c r="M130" s="59"/>
      <c r="N130" s="69">
        <v>423.19</v>
      </c>
      <c r="O130" s="70">
        <f>SUMIF(Facebook!A:A,'Compilado 2023'!B:B,Facebook!B:B)</f>
        <v>446.53</v>
      </c>
      <c r="P130" s="70">
        <v>0</v>
      </c>
      <c r="Q130" s="70">
        <v>51.612903225806448</v>
      </c>
      <c r="R130" s="202">
        <f>IFERROR(VLOOKUP($B:$B,Tabela_Linkedin[],2,),0)</f>
        <v>0</v>
      </c>
      <c r="S130" s="70">
        <f>SUMIF(TikTok!A:A,'Compilado 2023'!B:B,TikTok!B:B)</f>
        <v>0</v>
      </c>
      <c r="T130" s="70">
        <v>0</v>
      </c>
      <c r="U130" s="70">
        <v>0</v>
      </c>
      <c r="V130" s="59"/>
      <c r="W130" s="70">
        <v>0</v>
      </c>
      <c r="X130" s="70">
        <v>0</v>
      </c>
      <c r="Y130" s="70">
        <v>0</v>
      </c>
      <c r="Z130" s="38"/>
      <c r="AA130" s="40"/>
    </row>
    <row r="131" spans="1:27" s="2" customFormat="1" x14ac:dyDescent="0.2">
      <c r="A131" s="16" t="s">
        <v>96</v>
      </c>
      <c r="B131" s="17">
        <v>44690</v>
      </c>
      <c r="C131" s="19">
        <v>69381.47</v>
      </c>
      <c r="D131" s="52">
        <v>69381.47</v>
      </c>
      <c r="E131" s="52">
        <v>0</v>
      </c>
      <c r="F131" s="157">
        <v>281</v>
      </c>
      <c r="G131" s="157">
        <v>355</v>
      </c>
      <c r="H131" s="35">
        <v>246.90914590747332</v>
      </c>
      <c r="I131" s="19">
        <v>966.75290322580656</v>
      </c>
      <c r="J131" s="111">
        <v>71.767532084456974</v>
      </c>
      <c r="K131" s="53">
        <v>6002</v>
      </c>
      <c r="L131" s="54">
        <v>4.6817727424191935E-2</v>
      </c>
      <c r="M131" s="59"/>
      <c r="N131" s="69">
        <v>592.94000000000005</v>
      </c>
      <c r="O131" s="70">
        <f>SUMIF(Facebook!A:A,'Compilado 2023'!B:B,Facebook!B:B)</f>
        <v>161.1</v>
      </c>
      <c r="P131" s="70">
        <v>0</v>
      </c>
      <c r="Q131" s="70">
        <v>51.612903225806448</v>
      </c>
      <c r="R131" s="202">
        <f>IFERROR(VLOOKUP($B:$B,Tabela_Linkedin[],2,),0)</f>
        <v>0</v>
      </c>
      <c r="S131" s="70">
        <f>SUMIF(TikTok!A:A,'Compilado 2023'!B:B,TikTok!B:B)</f>
        <v>0</v>
      </c>
      <c r="T131" s="70">
        <v>0</v>
      </c>
      <c r="U131" s="70">
        <v>0</v>
      </c>
      <c r="V131" s="59"/>
      <c r="W131" s="70">
        <v>0</v>
      </c>
      <c r="X131" s="70">
        <v>0</v>
      </c>
      <c r="Y131" s="70">
        <v>0</v>
      </c>
      <c r="Z131" s="38"/>
      <c r="AA131" s="40"/>
    </row>
    <row r="132" spans="1:27" s="2" customFormat="1" x14ac:dyDescent="0.2">
      <c r="A132" s="16" t="s">
        <v>97</v>
      </c>
      <c r="B132" s="17">
        <v>44691</v>
      </c>
      <c r="C132" s="19">
        <v>53879.05</v>
      </c>
      <c r="D132" s="52">
        <v>53879.05</v>
      </c>
      <c r="E132" s="52">
        <v>0</v>
      </c>
      <c r="F132" s="157">
        <v>185</v>
      </c>
      <c r="G132" s="157">
        <v>246</v>
      </c>
      <c r="H132" s="35">
        <v>291.23810810810812</v>
      </c>
      <c r="I132" s="19">
        <v>932.44290322580639</v>
      </c>
      <c r="J132" s="111">
        <v>57.78268011221305</v>
      </c>
      <c r="K132" s="53">
        <v>5562</v>
      </c>
      <c r="L132" s="54">
        <v>3.3261416756562384E-2</v>
      </c>
      <c r="M132" s="59"/>
      <c r="N132" s="69">
        <v>593.99</v>
      </c>
      <c r="O132" s="70">
        <f>SUMIF(Facebook!A:A,'Compilado 2023'!B:B,Facebook!B:B)</f>
        <v>143.41999999999999</v>
      </c>
      <c r="P132" s="70">
        <v>0</v>
      </c>
      <c r="Q132" s="70">
        <v>51.612903225806448</v>
      </c>
      <c r="R132" s="202">
        <f>IFERROR(VLOOKUP($B:$B,Tabela_Linkedin[],2,),0)</f>
        <v>0</v>
      </c>
      <c r="S132" s="70">
        <f>SUMIF(TikTok!A:A,'Compilado 2023'!B:B,TikTok!B:B)</f>
        <v>0</v>
      </c>
      <c r="T132" s="70">
        <v>0</v>
      </c>
      <c r="U132" s="70">
        <v>0</v>
      </c>
      <c r="V132" s="59"/>
      <c r="W132" s="70">
        <v>0</v>
      </c>
      <c r="X132" s="70">
        <v>0</v>
      </c>
      <c r="Y132" s="70">
        <v>0</v>
      </c>
      <c r="Z132" s="38"/>
      <c r="AA132" s="40"/>
    </row>
    <row r="133" spans="1:27" s="2" customFormat="1" x14ac:dyDescent="0.2">
      <c r="A133" s="16" t="s">
        <v>98</v>
      </c>
      <c r="B133" s="17">
        <v>44692</v>
      </c>
      <c r="C133" s="19">
        <v>56363.07</v>
      </c>
      <c r="D133" s="52">
        <v>56363.07</v>
      </c>
      <c r="E133" s="52">
        <v>0</v>
      </c>
      <c r="F133" s="157">
        <v>184</v>
      </c>
      <c r="G133" s="157">
        <v>280</v>
      </c>
      <c r="H133" s="35">
        <v>306.32103260869565</v>
      </c>
      <c r="I133" s="19">
        <v>944.63290322580644</v>
      </c>
      <c r="J133" s="111">
        <v>59.666638550834904</v>
      </c>
      <c r="K133" s="53">
        <v>4786</v>
      </c>
      <c r="L133" s="54">
        <v>3.8445465942331801E-2</v>
      </c>
      <c r="M133" s="59"/>
      <c r="N133" s="69">
        <v>580.54</v>
      </c>
      <c r="O133" s="70">
        <f>SUMIF(Facebook!A:A,'Compilado 2023'!B:B,Facebook!B:B)</f>
        <v>156.24</v>
      </c>
      <c r="P133" s="70">
        <v>0</v>
      </c>
      <c r="Q133" s="70">
        <v>51.612903225806448</v>
      </c>
      <c r="R133" s="202">
        <f>IFERROR(VLOOKUP($B:$B,Tabela_Linkedin[],2,),0)</f>
        <v>0</v>
      </c>
      <c r="S133" s="70">
        <f>SUMIF(TikTok!A:A,'Compilado 2023'!B:B,TikTok!B:B)</f>
        <v>0</v>
      </c>
      <c r="T133" s="70">
        <v>0</v>
      </c>
      <c r="U133" s="70">
        <v>0</v>
      </c>
      <c r="V133" s="59"/>
      <c r="W133" s="70">
        <v>0</v>
      </c>
      <c r="X133" s="70">
        <v>0</v>
      </c>
      <c r="Y133" s="70">
        <v>0</v>
      </c>
      <c r="Z133" s="38"/>
      <c r="AA133" s="40"/>
    </row>
    <row r="134" spans="1:27" s="2" customFormat="1" x14ac:dyDescent="0.2">
      <c r="A134" s="16" t="s">
        <v>99</v>
      </c>
      <c r="B134" s="17">
        <v>44693</v>
      </c>
      <c r="C134" s="19">
        <v>51690.61</v>
      </c>
      <c r="D134" s="52">
        <v>51690.61</v>
      </c>
      <c r="E134" s="52">
        <v>0</v>
      </c>
      <c r="F134" s="157">
        <v>193</v>
      </c>
      <c r="G134" s="157">
        <v>246</v>
      </c>
      <c r="H134" s="35">
        <v>267.82699481865285</v>
      </c>
      <c r="I134" s="19">
        <v>941.34290322580648</v>
      </c>
      <c r="J134" s="111">
        <v>54.911562856495678</v>
      </c>
      <c r="K134" s="53">
        <v>4449</v>
      </c>
      <c r="L134" s="54">
        <v>4.3380534951674536E-2</v>
      </c>
      <c r="M134" s="59"/>
      <c r="N134" s="69">
        <v>517.47</v>
      </c>
      <c r="O134" s="70">
        <f>SUMIF(Facebook!A:A,'Compilado 2023'!B:B,Facebook!B:B)</f>
        <v>186.13</v>
      </c>
      <c r="P134" s="70">
        <v>0</v>
      </c>
      <c r="Q134" s="70">
        <v>51.612903225806448</v>
      </c>
      <c r="R134" s="202">
        <f>IFERROR(VLOOKUP($B:$B,Tabela_Linkedin[],2,),0)</f>
        <v>0</v>
      </c>
      <c r="S134" s="70">
        <f>SUMIF(TikTok!A:A,'Compilado 2023'!B:B,TikTok!B:B)</f>
        <v>0</v>
      </c>
      <c r="T134" s="70">
        <v>0</v>
      </c>
      <c r="U134" s="70">
        <v>0</v>
      </c>
      <c r="V134" s="59"/>
      <c r="W134" s="70">
        <v>0</v>
      </c>
      <c r="X134" s="70">
        <v>0</v>
      </c>
      <c r="Y134" s="70">
        <v>0</v>
      </c>
      <c r="Z134" s="38"/>
      <c r="AA134" s="40"/>
    </row>
    <row r="135" spans="1:27" s="2" customFormat="1" x14ac:dyDescent="0.2">
      <c r="A135" s="16" t="s">
        <v>100</v>
      </c>
      <c r="B135" s="17">
        <v>44694</v>
      </c>
      <c r="C135" s="19">
        <v>41311.440000000002</v>
      </c>
      <c r="D135" s="52">
        <v>41311.440000000002</v>
      </c>
      <c r="E135" s="52">
        <v>0</v>
      </c>
      <c r="F135" s="157">
        <v>164</v>
      </c>
      <c r="G135" s="157">
        <v>196</v>
      </c>
      <c r="H135" s="35">
        <v>251.89902439024391</v>
      </c>
      <c r="I135" s="19">
        <v>928.90290322580643</v>
      </c>
      <c r="J135" s="111">
        <v>44.473367298710691</v>
      </c>
      <c r="K135" s="53">
        <v>4162</v>
      </c>
      <c r="L135" s="54">
        <v>3.9404132628543968E-2</v>
      </c>
      <c r="M135" s="59"/>
      <c r="N135" s="69">
        <v>440.31</v>
      </c>
      <c r="O135" s="70">
        <f>SUMIF(Facebook!A:A,'Compilado 2023'!B:B,Facebook!B:B)</f>
        <v>218.49</v>
      </c>
      <c r="P135" s="70">
        <v>0</v>
      </c>
      <c r="Q135" s="70">
        <v>51.612903225806448</v>
      </c>
      <c r="R135" s="202">
        <f>IFERROR(VLOOKUP($B:$B,Tabela_Linkedin[],2,),0)</f>
        <v>0</v>
      </c>
      <c r="S135" s="70">
        <f>SUMIF(TikTok!A:A,'Compilado 2023'!B:B,TikTok!B:B)</f>
        <v>0</v>
      </c>
      <c r="T135" s="70">
        <v>0</v>
      </c>
      <c r="U135" s="70">
        <v>0</v>
      </c>
      <c r="V135" s="59"/>
      <c r="W135" s="70">
        <v>0</v>
      </c>
      <c r="X135" s="70">
        <v>0</v>
      </c>
      <c r="Y135" s="70">
        <v>0</v>
      </c>
      <c r="Z135" s="38"/>
      <c r="AA135" s="40"/>
    </row>
    <row r="136" spans="1:27" s="2" customFormat="1" x14ac:dyDescent="0.2">
      <c r="A136" s="16" t="s">
        <v>94</v>
      </c>
      <c r="B136" s="17">
        <v>44695</v>
      </c>
      <c r="C136" s="19">
        <v>33446.58</v>
      </c>
      <c r="D136" s="52">
        <v>33446.58</v>
      </c>
      <c r="E136" s="52">
        <v>0</v>
      </c>
      <c r="F136" s="157">
        <v>137</v>
      </c>
      <c r="G136" s="157">
        <v>180</v>
      </c>
      <c r="H136" s="35">
        <v>244.13562043795622</v>
      </c>
      <c r="I136" s="19">
        <v>1036.1029032258064</v>
      </c>
      <c r="J136" s="111">
        <v>32.281137226685985</v>
      </c>
      <c r="K136" s="53">
        <v>3136</v>
      </c>
      <c r="L136" s="54">
        <v>4.3686224489795922E-2</v>
      </c>
      <c r="M136" s="59"/>
      <c r="N136" s="69">
        <v>488.81</v>
      </c>
      <c r="O136" s="70">
        <f>SUMIF(Facebook!A:A,'Compilado 2023'!B:B,Facebook!B:B)</f>
        <v>247.84</v>
      </c>
      <c r="P136" s="70">
        <v>0</v>
      </c>
      <c r="Q136" s="70">
        <v>51.612903225806448</v>
      </c>
      <c r="R136" s="202">
        <f>IFERROR(VLOOKUP($B:$B,Tabela_Linkedin[],2,),0)</f>
        <v>0</v>
      </c>
      <c r="S136" s="70">
        <f>SUMIF(TikTok!A:A,'Compilado 2023'!B:B,TikTok!B:B)</f>
        <v>0</v>
      </c>
      <c r="T136" s="70">
        <v>0</v>
      </c>
      <c r="U136" s="70">
        <v>0</v>
      </c>
      <c r="V136" s="59"/>
      <c r="W136" s="70">
        <v>0</v>
      </c>
      <c r="X136" s="70">
        <v>0</v>
      </c>
      <c r="Y136" s="70">
        <v>0</v>
      </c>
      <c r="Z136" s="38"/>
      <c r="AA136" s="40"/>
    </row>
    <row r="137" spans="1:27" s="2" customFormat="1" x14ac:dyDescent="0.2">
      <c r="A137" s="16" t="s">
        <v>95</v>
      </c>
      <c r="B137" s="17">
        <v>44696</v>
      </c>
      <c r="C137" s="19">
        <v>36932.65</v>
      </c>
      <c r="D137" s="52">
        <v>36932.65</v>
      </c>
      <c r="E137" s="52">
        <v>0</v>
      </c>
      <c r="F137" s="157">
        <v>186</v>
      </c>
      <c r="G137" s="157">
        <v>252</v>
      </c>
      <c r="H137" s="35">
        <v>198.56263440860215</v>
      </c>
      <c r="I137" s="19">
        <v>1523.5929032258064</v>
      </c>
      <c r="J137" s="111">
        <v>24.240497525162301</v>
      </c>
      <c r="K137" s="53">
        <v>3385</v>
      </c>
      <c r="L137" s="54">
        <v>5.4948301329394385E-2</v>
      </c>
      <c r="M137" s="59"/>
      <c r="N137" s="69">
        <v>439.76</v>
      </c>
      <c r="O137" s="70">
        <f>SUMIF(Facebook!A:A,'Compilado 2023'!B:B,Facebook!B:B)</f>
        <v>516.11</v>
      </c>
      <c r="P137" s="70">
        <v>0</v>
      </c>
      <c r="Q137" s="70">
        <v>51.612903225806448</v>
      </c>
      <c r="R137" s="202">
        <f>IFERROR(VLOOKUP($B:$B,Tabela_Linkedin[],2,),0)</f>
        <v>0</v>
      </c>
      <c r="S137" s="70">
        <f>SUMIF(TikTok!A:A,'Compilado 2023'!B:B,TikTok!B:B)</f>
        <v>0</v>
      </c>
      <c r="T137" s="70">
        <v>0</v>
      </c>
      <c r="U137" s="70">
        <v>0</v>
      </c>
      <c r="V137" s="59"/>
      <c r="W137" s="70">
        <v>0</v>
      </c>
      <c r="X137" s="70">
        <v>0</v>
      </c>
      <c r="Y137" s="70">
        <v>0</v>
      </c>
      <c r="Z137" s="38"/>
      <c r="AA137" s="40"/>
    </row>
    <row r="138" spans="1:27" s="2" customFormat="1" x14ac:dyDescent="0.2">
      <c r="A138" s="16" t="s">
        <v>96</v>
      </c>
      <c r="B138" s="17">
        <v>44697</v>
      </c>
      <c r="C138" s="19">
        <v>46064.13</v>
      </c>
      <c r="D138" s="52">
        <v>46064.13</v>
      </c>
      <c r="E138" s="52">
        <v>0</v>
      </c>
      <c r="F138" s="157">
        <v>169</v>
      </c>
      <c r="G138" s="157">
        <v>190</v>
      </c>
      <c r="H138" s="35">
        <v>272.56881656804734</v>
      </c>
      <c r="I138" s="19">
        <v>805.12290322580645</v>
      </c>
      <c r="J138" s="111">
        <v>57.213786634859588</v>
      </c>
      <c r="K138" s="53">
        <v>4326</v>
      </c>
      <c r="L138" s="54">
        <v>3.9066111881645861E-2</v>
      </c>
      <c r="M138" s="59"/>
      <c r="N138" s="69">
        <v>482.47</v>
      </c>
      <c r="O138" s="70">
        <f>SUMIF(Facebook!A:A,'Compilado 2023'!B:B,Facebook!B:B)</f>
        <v>135.52000000000001</v>
      </c>
      <c r="P138" s="70">
        <v>0</v>
      </c>
      <c r="Q138" s="70">
        <v>51.612903225806448</v>
      </c>
      <c r="R138" s="202">
        <f>IFERROR(VLOOKUP($B:$B,Tabela_Linkedin[],2,),0)</f>
        <v>0</v>
      </c>
      <c r="S138" s="70">
        <f>SUMIF(TikTok!A:A,'Compilado 2023'!B:B,TikTok!B:B)</f>
        <v>0</v>
      </c>
      <c r="T138" s="70">
        <v>0</v>
      </c>
      <c r="U138" s="70">
        <v>0</v>
      </c>
      <c r="V138" s="59"/>
      <c r="W138" s="70">
        <v>0</v>
      </c>
      <c r="X138" s="70">
        <v>0</v>
      </c>
      <c r="Y138" s="70">
        <v>0</v>
      </c>
      <c r="Z138" s="38"/>
      <c r="AA138" s="40"/>
    </row>
    <row r="139" spans="1:27" s="2" customFormat="1" x14ac:dyDescent="0.2">
      <c r="A139" s="16" t="s">
        <v>97</v>
      </c>
      <c r="B139" s="17">
        <v>44698</v>
      </c>
      <c r="C139" s="19">
        <v>30920.560000000001</v>
      </c>
      <c r="D139" s="52">
        <v>30920.560000000001</v>
      </c>
      <c r="E139" s="52">
        <v>0</v>
      </c>
      <c r="F139" s="157">
        <v>124</v>
      </c>
      <c r="G139" s="157">
        <v>139</v>
      </c>
      <c r="H139" s="35">
        <v>249.35935483870969</v>
      </c>
      <c r="I139" s="19">
        <v>779.95290322580649</v>
      </c>
      <c r="J139" s="111">
        <v>39.644137321773769</v>
      </c>
      <c r="K139" s="53">
        <v>3961</v>
      </c>
      <c r="L139" s="54">
        <v>3.1305225953042158E-2</v>
      </c>
      <c r="M139" s="59"/>
      <c r="N139" s="69">
        <v>477.36</v>
      </c>
      <c r="O139" s="70">
        <f>SUMIF(Facebook!A:A,'Compilado 2023'!B:B,Facebook!B:B)</f>
        <v>125.49</v>
      </c>
      <c r="P139" s="70">
        <v>0</v>
      </c>
      <c r="Q139" s="70">
        <v>51.612903225806448</v>
      </c>
      <c r="R139" s="202">
        <f>IFERROR(VLOOKUP($B:$B,Tabela_Linkedin[],2,),0)</f>
        <v>0</v>
      </c>
      <c r="S139" s="70">
        <f>SUMIF(TikTok!A:A,'Compilado 2023'!B:B,TikTok!B:B)</f>
        <v>0</v>
      </c>
      <c r="T139" s="70">
        <v>0</v>
      </c>
      <c r="U139" s="70">
        <v>0</v>
      </c>
      <c r="V139" s="59"/>
      <c r="W139" s="70">
        <v>0</v>
      </c>
      <c r="X139" s="70">
        <v>0</v>
      </c>
      <c r="Y139" s="70">
        <v>0</v>
      </c>
      <c r="Z139" s="38"/>
      <c r="AA139" s="40"/>
    </row>
    <row r="140" spans="1:27" s="2" customFormat="1" x14ac:dyDescent="0.2">
      <c r="A140" s="16" t="s">
        <v>98</v>
      </c>
      <c r="B140" s="17">
        <v>44699</v>
      </c>
      <c r="C140" s="19">
        <v>33362.79</v>
      </c>
      <c r="D140" s="52">
        <v>33336.800000000003</v>
      </c>
      <c r="E140" s="52">
        <v>25.99</v>
      </c>
      <c r="F140" s="157">
        <v>142</v>
      </c>
      <c r="G140" s="157">
        <v>169</v>
      </c>
      <c r="H140" s="35">
        <v>234.94922535211268</v>
      </c>
      <c r="I140" s="19">
        <v>891.35290322580647</v>
      </c>
      <c r="J140" s="111">
        <v>37.429383894145687</v>
      </c>
      <c r="K140" s="53">
        <v>3461</v>
      </c>
      <c r="L140" s="54">
        <v>4.1028604449581049E-2</v>
      </c>
      <c r="M140" s="59"/>
      <c r="N140" s="69">
        <v>518.32000000000005</v>
      </c>
      <c r="O140" s="70">
        <f>SUMIF(Facebook!A:A,'Compilado 2023'!B:B,Facebook!B:B)</f>
        <v>160.71</v>
      </c>
      <c r="P140" s="70">
        <v>0</v>
      </c>
      <c r="Q140" s="70">
        <v>51.612903225806448</v>
      </c>
      <c r="R140" s="202">
        <f>IFERROR(VLOOKUP($B:$B,Tabela_Linkedin[],2,),0)</f>
        <v>0</v>
      </c>
      <c r="S140" s="70">
        <f>SUMIF(TikTok!A:A,'Compilado 2023'!B:B,TikTok!B:B)</f>
        <v>0</v>
      </c>
      <c r="T140" s="70">
        <v>0</v>
      </c>
      <c r="U140" s="70">
        <v>0</v>
      </c>
      <c r="V140" s="59"/>
      <c r="W140" s="70">
        <v>0</v>
      </c>
      <c r="X140" s="70">
        <v>0</v>
      </c>
      <c r="Y140" s="70">
        <v>0</v>
      </c>
      <c r="Z140" s="38"/>
      <c r="AA140" s="40"/>
    </row>
    <row r="141" spans="1:27" s="2" customFormat="1" x14ac:dyDescent="0.2">
      <c r="A141" s="16" t="s">
        <v>99</v>
      </c>
      <c r="B141" s="17">
        <v>44700</v>
      </c>
      <c r="C141" s="19">
        <v>39236.49</v>
      </c>
      <c r="D141" s="52">
        <v>39236.49</v>
      </c>
      <c r="E141" s="52">
        <v>0</v>
      </c>
      <c r="F141" s="157">
        <v>144</v>
      </c>
      <c r="G141" s="157">
        <v>172</v>
      </c>
      <c r="H141" s="35">
        <v>272.47562499999998</v>
      </c>
      <c r="I141" s="19">
        <v>1058.7429032258065</v>
      </c>
      <c r="J141" s="111">
        <v>37.059506968550345</v>
      </c>
      <c r="K141" s="53">
        <v>3307</v>
      </c>
      <c r="L141" s="54">
        <v>4.3543997580889025E-2</v>
      </c>
      <c r="M141" s="59"/>
      <c r="N141" s="69">
        <v>593.27</v>
      </c>
      <c r="O141" s="70">
        <f>SUMIF(Facebook!A:A,'Compilado 2023'!B:B,Facebook!B:B)</f>
        <v>206.93</v>
      </c>
      <c r="P141" s="70">
        <v>0</v>
      </c>
      <c r="Q141" s="70">
        <v>51.612903225806448</v>
      </c>
      <c r="R141" s="202">
        <f>IFERROR(VLOOKUP($B:$B,Tabela_Linkedin[],2,),0)</f>
        <v>0</v>
      </c>
      <c r="S141" s="70">
        <f>SUMIF(TikTok!A:A,'Compilado 2023'!B:B,TikTok!B:B)</f>
        <v>0</v>
      </c>
      <c r="T141" s="70">
        <v>0</v>
      </c>
      <c r="U141" s="70">
        <v>0</v>
      </c>
      <c r="V141" s="59"/>
      <c r="W141" s="70">
        <v>0</v>
      </c>
      <c r="X141" s="70">
        <v>0</v>
      </c>
      <c r="Y141" s="70">
        <v>0</v>
      </c>
      <c r="Z141" s="38"/>
      <c r="AA141" s="40"/>
    </row>
    <row r="142" spans="1:27" s="2" customFormat="1" x14ac:dyDescent="0.2">
      <c r="A142" s="16" t="s">
        <v>100</v>
      </c>
      <c r="B142" s="17">
        <v>44701</v>
      </c>
      <c r="C142" s="19">
        <v>37411.68</v>
      </c>
      <c r="D142" s="52">
        <v>37411.68</v>
      </c>
      <c r="E142" s="52">
        <v>0</v>
      </c>
      <c r="F142" s="157">
        <v>138</v>
      </c>
      <c r="G142" s="157">
        <v>162</v>
      </c>
      <c r="H142" s="35">
        <v>271.09913043478264</v>
      </c>
      <c r="I142" s="19">
        <v>856.8229032258065</v>
      </c>
      <c r="J142" s="111">
        <v>43.663258602391203</v>
      </c>
      <c r="K142" s="53">
        <v>3004</v>
      </c>
      <c r="L142" s="54">
        <v>4.5938748335552594E-2</v>
      </c>
      <c r="M142" s="59"/>
      <c r="N142" s="69">
        <v>346.19</v>
      </c>
      <c r="O142" s="70">
        <f>SUMIF(Facebook!A:A,'Compilado 2023'!B:B,Facebook!B:B)</f>
        <v>229.51</v>
      </c>
      <c r="P142" s="70">
        <v>0</v>
      </c>
      <c r="Q142" s="70">
        <v>51.612903225806448</v>
      </c>
      <c r="R142" s="202">
        <f>IFERROR(VLOOKUP($B:$B,Tabela_Linkedin[],2,),0)</f>
        <v>0</v>
      </c>
      <c r="S142" s="70">
        <f>SUMIF(TikTok!A:A,'Compilado 2023'!B:B,TikTok!B:B)</f>
        <v>0</v>
      </c>
      <c r="T142" s="70">
        <v>0</v>
      </c>
      <c r="U142" s="70">
        <v>0</v>
      </c>
      <c r="V142" s="59"/>
      <c r="W142" s="70">
        <v>0</v>
      </c>
      <c r="X142" s="70">
        <v>0</v>
      </c>
      <c r="Y142" s="70">
        <v>0</v>
      </c>
      <c r="Z142" s="38"/>
      <c r="AA142" s="40"/>
    </row>
    <row r="143" spans="1:27" s="2" customFormat="1" x14ac:dyDescent="0.2">
      <c r="A143" s="16" t="s">
        <v>94</v>
      </c>
      <c r="B143" s="17">
        <v>44702</v>
      </c>
      <c r="C143" s="19">
        <v>20893.580000000002</v>
      </c>
      <c r="D143" s="52">
        <v>20893.580000000002</v>
      </c>
      <c r="E143" s="52">
        <v>0</v>
      </c>
      <c r="F143" s="157">
        <v>84</v>
      </c>
      <c r="G143" s="157">
        <v>96</v>
      </c>
      <c r="H143" s="35">
        <v>248.73309523809525</v>
      </c>
      <c r="I143" s="19">
        <v>1100.5429032258064</v>
      </c>
      <c r="J143" s="111">
        <v>18.98479372204276</v>
      </c>
      <c r="K143" s="53">
        <v>2600</v>
      </c>
      <c r="L143" s="54">
        <v>3.2307692307692308E-2</v>
      </c>
      <c r="M143" s="59"/>
      <c r="N143" s="69">
        <v>383.35</v>
      </c>
      <c r="O143" s="70">
        <f>SUMIF(Facebook!A:A,'Compilado 2023'!B:B,Facebook!B:B)</f>
        <v>332.79</v>
      </c>
      <c r="P143" s="70">
        <v>0</v>
      </c>
      <c r="Q143" s="70">
        <v>51.612903225806448</v>
      </c>
      <c r="R143" s="202">
        <f>IFERROR(VLOOKUP($B:$B,Tabela_Linkedin[],2,),0)</f>
        <v>0</v>
      </c>
      <c r="S143" s="70">
        <f>SUMIF(TikTok!A:A,'Compilado 2023'!B:B,TikTok!B:B)</f>
        <v>0</v>
      </c>
      <c r="T143" s="70">
        <v>0</v>
      </c>
      <c r="U143" s="70">
        <v>0</v>
      </c>
      <c r="V143" s="59"/>
      <c r="W143" s="70">
        <v>0</v>
      </c>
      <c r="X143" s="70">
        <v>0</v>
      </c>
      <c r="Y143" s="70">
        <v>0</v>
      </c>
      <c r="Z143" s="38"/>
      <c r="AA143" s="40"/>
    </row>
    <row r="144" spans="1:27" s="2" customFormat="1" x14ac:dyDescent="0.2">
      <c r="A144" s="16" t="s">
        <v>95</v>
      </c>
      <c r="B144" s="17">
        <v>44703</v>
      </c>
      <c r="C144" s="19">
        <v>17382.490000000002</v>
      </c>
      <c r="D144" s="52">
        <v>17382.490000000002</v>
      </c>
      <c r="E144" s="52">
        <v>0</v>
      </c>
      <c r="F144" s="157">
        <v>66</v>
      </c>
      <c r="G144" s="157">
        <v>78</v>
      </c>
      <c r="H144" s="35">
        <v>263.37106060606061</v>
      </c>
      <c r="I144" s="19">
        <v>1187.2829032258064</v>
      </c>
      <c r="J144" s="111">
        <v>14.640562879135528</v>
      </c>
      <c r="K144" s="53">
        <v>2424</v>
      </c>
      <c r="L144" s="54">
        <v>2.7227722772277228E-2</v>
      </c>
      <c r="M144" s="59"/>
      <c r="N144" s="69">
        <v>423.01</v>
      </c>
      <c r="O144" s="70">
        <f>SUMIF(Facebook!A:A,'Compilado 2023'!B:B,Facebook!B:B)</f>
        <v>356.33</v>
      </c>
      <c r="P144" s="70">
        <v>0</v>
      </c>
      <c r="Q144" s="70">
        <v>51.612903225806448</v>
      </c>
      <c r="R144" s="202">
        <f>IFERROR(VLOOKUP($B:$B,Tabela_Linkedin[],2,),0)</f>
        <v>0</v>
      </c>
      <c r="S144" s="70">
        <f>SUMIF(TikTok!A:A,'Compilado 2023'!B:B,TikTok!B:B)</f>
        <v>0</v>
      </c>
      <c r="T144" s="70">
        <v>0</v>
      </c>
      <c r="U144" s="70">
        <v>0</v>
      </c>
      <c r="V144" s="59"/>
      <c r="W144" s="70">
        <v>0</v>
      </c>
      <c r="X144" s="70">
        <v>0</v>
      </c>
      <c r="Y144" s="70">
        <v>0</v>
      </c>
      <c r="Z144" s="38"/>
      <c r="AA144" s="40"/>
    </row>
    <row r="145" spans="1:27" s="2" customFormat="1" x14ac:dyDescent="0.2">
      <c r="A145" s="16" t="s">
        <v>96</v>
      </c>
      <c r="B145" s="17">
        <v>44704</v>
      </c>
      <c r="C145" s="19">
        <v>51145</v>
      </c>
      <c r="D145" s="52">
        <v>51145</v>
      </c>
      <c r="E145" s="52">
        <v>0</v>
      </c>
      <c r="F145" s="157">
        <v>177</v>
      </c>
      <c r="G145" s="157">
        <v>247</v>
      </c>
      <c r="H145" s="35">
        <v>288.954802259887</v>
      </c>
      <c r="I145" s="19">
        <v>991.8229032258065</v>
      </c>
      <c r="J145" s="111">
        <v>51.566665615056799</v>
      </c>
      <c r="K145" s="53">
        <v>3827</v>
      </c>
      <c r="L145" s="54">
        <v>4.6250326626600467E-2</v>
      </c>
      <c r="M145" s="59"/>
      <c r="N145" s="69">
        <v>474.63</v>
      </c>
      <c r="O145" s="70">
        <f>SUMIF(Facebook!A:A,'Compilado 2023'!B:B,Facebook!B:B)</f>
        <v>232.79</v>
      </c>
      <c r="P145" s="70">
        <v>0</v>
      </c>
      <c r="Q145" s="70">
        <v>51.612903225806448</v>
      </c>
      <c r="R145" s="202">
        <f>IFERROR(VLOOKUP($B:$B,Tabela_Linkedin[],2,),0)</f>
        <v>0</v>
      </c>
      <c r="S145" s="70">
        <f>SUMIF(TikTok!A:A,'Compilado 2023'!B:B,TikTok!B:B)</f>
        <v>0</v>
      </c>
      <c r="T145" s="70">
        <v>0</v>
      </c>
      <c r="U145" s="70">
        <v>0</v>
      </c>
      <c r="V145" s="59"/>
      <c r="W145" s="70">
        <v>0</v>
      </c>
      <c r="X145" s="70">
        <v>0</v>
      </c>
      <c r="Y145" s="70">
        <v>0</v>
      </c>
      <c r="Z145" s="38"/>
      <c r="AA145" s="40"/>
    </row>
    <row r="146" spans="1:27" s="2" customFormat="1" x14ac:dyDescent="0.2">
      <c r="A146" s="16" t="s">
        <v>97</v>
      </c>
      <c r="B146" s="17">
        <v>44705</v>
      </c>
      <c r="C146" s="19">
        <v>33726.129999999997</v>
      </c>
      <c r="D146" s="52">
        <v>33726.129999999997</v>
      </c>
      <c r="E146" s="52">
        <v>0</v>
      </c>
      <c r="F146" s="157">
        <v>118</v>
      </c>
      <c r="G146" s="157">
        <v>135</v>
      </c>
      <c r="H146" s="35">
        <v>285.81466101694912</v>
      </c>
      <c r="I146" s="19">
        <v>798.02290322580654</v>
      </c>
      <c r="J146" s="111">
        <v>42.26210784636708</v>
      </c>
      <c r="K146" s="53">
        <v>3743</v>
      </c>
      <c r="L146" s="54">
        <v>3.152551429334758E-2</v>
      </c>
      <c r="M146" s="59"/>
      <c r="N146" s="69">
        <v>434.55</v>
      </c>
      <c r="O146" s="70">
        <f>SUMIF(Facebook!A:A,'Compilado 2023'!B:B,Facebook!B:B)</f>
        <v>155.93</v>
      </c>
      <c r="P146" s="70">
        <v>0</v>
      </c>
      <c r="Q146" s="70">
        <v>51.612903225806448</v>
      </c>
      <c r="R146" s="202">
        <f>IFERROR(VLOOKUP($B:$B,Tabela_Linkedin[],2,),0)</f>
        <v>0</v>
      </c>
      <c r="S146" s="70">
        <f>SUMIF(TikTok!A:A,'Compilado 2023'!B:B,TikTok!B:B)</f>
        <v>0</v>
      </c>
      <c r="T146" s="70">
        <v>0</v>
      </c>
      <c r="U146" s="70">
        <v>0</v>
      </c>
      <c r="V146" s="59"/>
      <c r="W146" s="70">
        <v>0</v>
      </c>
      <c r="X146" s="70">
        <v>0</v>
      </c>
      <c r="Y146" s="70">
        <v>0</v>
      </c>
      <c r="Z146" s="38"/>
      <c r="AA146" s="40"/>
    </row>
    <row r="147" spans="1:27" s="2" customFormat="1" x14ac:dyDescent="0.2">
      <c r="A147" s="16" t="s">
        <v>98</v>
      </c>
      <c r="B147" s="17">
        <v>44706</v>
      </c>
      <c r="C147" s="19">
        <v>38414.57</v>
      </c>
      <c r="D147" s="52">
        <v>38389.64</v>
      </c>
      <c r="E147" s="52">
        <v>24.93</v>
      </c>
      <c r="F147" s="157">
        <v>141</v>
      </c>
      <c r="G147" s="157">
        <v>158</v>
      </c>
      <c r="H147" s="35">
        <v>272.44375886524824</v>
      </c>
      <c r="I147" s="19">
        <v>839.49290322580646</v>
      </c>
      <c r="J147" s="111">
        <v>45.759255203217919</v>
      </c>
      <c r="K147" s="53">
        <v>3877</v>
      </c>
      <c r="L147" s="54">
        <v>3.636832602527728E-2</v>
      </c>
      <c r="M147" s="59"/>
      <c r="N147" s="69">
        <v>434.04</v>
      </c>
      <c r="O147" s="70">
        <f>SUMIF(Facebook!A:A,'Compilado 2023'!B:B,Facebook!B:B)</f>
        <v>176.92</v>
      </c>
      <c r="P147" s="70">
        <v>0</v>
      </c>
      <c r="Q147" s="70">
        <v>51.612903225806448</v>
      </c>
      <c r="R147" s="202">
        <f>IFERROR(VLOOKUP($B:$B,Tabela_Linkedin[],2,),0)</f>
        <v>0</v>
      </c>
      <c r="S147" s="70">
        <f>SUMIF(TikTok!A:A,'Compilado 2023'!B:B,TikTok!B:B)</f>
        <v>0</v>
      </c>
      <c r="T147" s="70">
        <v>0</v>
      </c>
      <c r="U147" s="70">
        <v>0</v>
      </c>
      <c r="V147" s="59"/>
      <c r="W147" s="70">
        <v>0</v>
      </c>
      <c r="X147" s="70">
        <v>0</v>
      </c>
      <c r="Y147" s="70">
        <v>0</v>
      </c>
      <c r="Z147" s="38"/>
      <c r="AA147" s="40"/>
    </row>
    <row r="148" spans="1:27" s="2" customFormat="1" x14ac:dyDescent="0.2">
      <c r="A148" s="16" t="s">
        <v>99</v>
      </c>
      <c r="B148" s="17">
        <v>44707</v>
      </c>
      <c r="C148" s="19">
        <v>37953.9</v>
      </c>
      <c r="D148" s="52">
        <v>37953.9</v>
      </c>
      <c r="E148" s="52">
        <v>0</v>
      </c>
      <c r="F148" s="157">
        <v>135</v>
      </c>
      <c r="G148" s="157">
        <v>149</v>
      </c>
      <c r="H148" s="35">
        <v>281.14</v>
      </c>
      <c r="I148" s="19">
        <v>1066.5229032258064</v>
      </c>
      <c r="J148" s="111">
        <v>35.586577545784145</v>
      </c>
      <c r="K148" s="53">
        <v>3656</v>
      </c>
      <c r="L148" s="54">
        <v>3.6925601750547044E-2</v>
      </c>
      <c r="M148" s="59"/>
      <c r="N148" s="69">
        <v>556.23</v>
      </c>
      <c r="O148" s="70">
        <f>SUMIF(Facebook!A:A,'Compilado 2023'!B:B,Facebook!B:B)</f>
        <v>229.34</v>
      </c>
      <c r="P148" s="70">
        <v>0</v>
      </c>
      <c r="Q148" s="70">
        <v>51.612903225806448</v>
      </c>
      <c r="R148" s="202">
        <f>IFERROR(VLOOKUP($B:$B,Tabela_Linkedin[],2,),0)</f>
        <v>0</v>
      </c>
      <c r="S148" s="70">
        <f>SUMIF(TikTok!A:A,'Compilado 2023'!B:B,TikTok!B:B)</f>
        <v>0</v>
      </c>
      <c r="T148" s="70">
        <v>0</v>
      </c>
      <c r="U148" s="70">
        <v>0</v>
      </c>
      <c r="V148" s="59"/>
      <c r="W148" s="70">
        <v>0</v>
      </c>
      <c r="X148" s="70">
        <v>0</v>
      </c>
      <c r="Y148" s="70">
        <v>0</v>
      </c>
      <c r="Z148" s="38"/>
      <c r="AA148" s="40"/>
    </row>
    <row r="149" spans="1:27" s="2" customFormat="1" x14ac:dyDescent="0.2">
      <c r="A149" s="16" t="s">
        <v>100</v>
      </c>
      <c r="B149" s="17">
        <v>44708</v>
      </c>
      <c r="C149" s="19">
        <v>39442.199999999997</v>
      </c>
      <c r="D149" s="52">
        <v>39442.199999999997</v>
      </c>
      <c r="E149" s="52">
        <v>0</v>
      </c>
      <c r="F149" s="157">
        <v>145</v>
      </c>
      <c r="G149" s="157">
        <v>170</v>
      </c>
      <c r="H149" s="35">
        <v>272.0151724137931</v>
      </c>
      <c r="I149" s="19">
        <v>803.70290322580649</v>
      </c>
      <c r="J149" s="111">
        <v>49.075597265720475</v>
      </c>
      <c r="K149" s="53">
        <v>3432</v>
      </c>
      <c r="L149" s="54">
        <v>4.2249417249417248E-2</v>
      </c>
      <c r="M149" s="59"/>
      <c r="N149" s="69">
        <v>393.99</v>
      </c>
      <c r="O149" s="70">
        <f>SUMIF(Facebook!A:A,'Compilado 2023'!B:B,Facebook!B:B)</f>
        <v>179.05</v>
      </c>
      <c r="P149" s="70">
        <v>0</v>
      </c>
      <c r="Q149" s="70">
        <v>51.612903225806448</v>
      </c>
      <c r="R149" s="202">
        <f>IFERROR(VLOOKUP($B:$B,Tabela_Linkedin[],2,),0)</f>
        <v>0</v>
      </c>
      <c r="S149" s="70">
        <f>SUMIF(TikTok!A:A,'Compilado 2023'!B:B,TikTok!B:B)</f>
        <v>0</v>
      </c>
      <c r="T149" s="70">
        <v>0</v>
      </c>
      <c r="U149" s="70">
        <v>0</v>
      </c>
      <c r="V149" s="59"/>
      <c r="W149" s="70">
        <v>0</v>
      </c>
      <c r="X149" s="70">
        <v>0</v>
      </c>
      <c r="Y149" s="70">
        <v>0</v>
      </c>
      <c r="Z149" s="38"/>
      <c r="AA149" s="40"/>
    </row>
    <row r="150" spans="1:27" s="2" customFormat="1" x14ac:dyDescent="0.2">
      <c r="A150" s="16" t="s">
        <v>94</v>
      </c>
      <c r="B150" s="17">
        <v>44709</v>
      </c>
      <c r="C150" s="19">
        <v>25814.95</v>
      </c>
      <c r="D150" s="52">
        <v>25814.95</v>
      </c>
      <c r="E150" s="52">
        <v>0</v>
      </c>
      <c r="F150" s="157">
        <v>90</v>
      </c>
      <c r="G150" s="157">
        <v>99</v>
      </c>
      <c r="H150" s="35">
        <v>286.83277777777778</v>
      </c>
      <c r="I150" s="19">
        <v>700.46290322580637</v>
      </c>
      <c r="J150" s="111">
        <v>36.854128721329445</v>
      </c>
      <c r="K150" s="53">
        <v>2620</v>
      </c>
      <c r="L150" s="54">
        <v>3.4351145038167941E-2</v>
      </c>
      <c r="M150" s="59"/>
      <c r="N150" s="69">
        <v>431.65</v>
      </c>
      <c r="O150" s="70">
        <f>SUMIF(Facebook!A:A,'Compilado 2023'!B:B,Facebook!B:B)</f>
        <v>108.6</v>
      </c>
      <c r="P150" s="70">
        <v>0</v>
      </c>
      <c r="Q150" s="70">
        <v>51.612903225806448</v>
      </c>
      <c r="R150" s="202">
        <f>IFERROR(VLOOKUP($B:$B,Tabela_Linkedin[],2,),0)</f>
        <v>0</v>
      </c>
      <c r="S150" s="70">
        <f>SUMIF(TikTok!A:A,'Compilado 2023'!B:B,TikTok!B:B)</f>
        <v>0</v>
      </c>
      <c r="T150" s="70">
        <v>0</v>
      </c>
      <c r="U150" s="70">
        <v>0</v>
      </c>
      <c r="V150" s="59"/>
      <c r="W150" s="70">
        <v>0</v>
      </c>
      <c r="X150" s="70">
        <v>0</v>
      </c>
      <c r="Y150" s="70">
        <v>0</v>
      </c>
      <c r="Z150" s="38"/>
      <c r="AA150" s="40"/>
    </row>
    <row r="151" spans="1:27" s="2" customFormat="1" x14ac:dyDescent="0.2">
      <c r="A151" s="16" t="s">
        <v>95</v>
      </c>
      <c r="B151" s="17">
        <v>44710</v>
      </c>
      <c r="C151" s="19">
        <v>15903.98</v>
      </c>
      <c r="D151" s="52">
        <v>15903.98</v>
      </c>
      <c r="E151" s="52">
        <v>0</v>
      </c>
      <c r="F151" s="157">
        <v>67</v>
      </c>
      <c r="G151" s="157">
        <v>74</v>
      </c>
      <c r="H151" s="35">
        <v>237.37283582089552</v>
      </c>
      <c r="I151" s="19">
        <v>667.4329032258064</v>
      </c>
      <c r="J151" s="111">
        <v>23.828582503400124</v>
      </c>
      <c r="K151" s="53">
        <v>2389</v>
      </c>
      <c r="L151" s="54">
        <v>2.8045207199665131E-2</v>
      </c>
      <c r="M151" s="59"/>
      <c r="N151" s="69">
        <v>418.64</v>
      </c>
      <c r="O151" s="70">
        <f>SUMIF(Facebook!A:A,'Compilado 2023'!B:B,Facebook!B:B)</f>
        <v>98.59</v>
      </c>
      <c r="P151" s="70">
        <v>0</v>
      </c>
      <c r="Q151" s="70">
        <v>51.612903225806448</v>
      </c>
      <c r="R151" s="202">
        <f>IFERROR(VLOOKUP($B:$B,Tabela_Linkedin[],2,),0)</f>
        <v>0</v>
      </c>
      <c r="S151" s="70">
        <f>SUMIF(TikTok!A:A,'Compilado 2023'!B:B,TikTok!B:B)</f>
        <v>0</v>
      </c>
      <c r="T151" s="70">
        <v>0</v>
      </c>
      <c r="U151" s="70">
        <v>0</v>
      </c>
      <c r="V151" s="59"/>
      <c r="W151" s="70">
        <v>0</v>
      </c>
      <c r="X151" s="70">
        <v>0</v>
      </c>
      <c r="Y151" s="70">
        <v>0</v>
      </c>
      <c r="Z151" s="38"/>
      <c r="AA151" s="40"/>
    </row>
    <row r="152" spans="1:27" s="2" customFormat="1" x14ac:dyDescent="0.2">
      <c r="A152" s="16" t="s">
        <v>96</v>
      </c>
      <c r="B152" s="17">
        <v>44711</v>
      </c>
      <c r="C152" s="19">
        <v>37897.050000000003</v>
      </c>
      <c r="D152" s="52">
        <v>37897.050000000003</v>
      </c>
      <c r="E152" s="52">
        <v>0</v>
      </c>
      <c r="F152" s="157">
        <v>138</v>
      </c>
      <c r="G152" s="157">
        <v>149</v>
      </c>
      <c r="H152" s="35">
        <v>274.61630434782609</v>
      </c>
      <c r="I152" s="19">
        <v>905.21290322580649</v>
      </c>
      <c r="J152" s="111">
        <v>41.865344456481459</v>
      </c>
      <c r="K152" s="53">
        <v>4355</v>
      </c>
      <c r="L152" s="54">
        <v>3.1687715269804823E-2</v>
      </c>
      <c r="M152" s="59"/>
      <c r="N152" s="69">
        <v>491.48</v>
      </c>
      <c r="O152" s="70">
        <f>SUMIF(Facebook!A:A,'Compilado 2023'!B:B,Facebook!B:B)</f>
        <v>181.06</v>
      </c>
      <c r="P152" s="70">
        <v>0</v>
      </c>
      <c r="Q152" s="70">
        <v>51.612903225806448</v>
      </c>
      <c r="R152" s="202">
        <f>IFERROR(VLOOKUP($B:$B,Tabela_Linkedin[],2,),0)</f>
        <v>0</v>
      </c>
      <c r="S152" s="70">
        <f>SUMIF(TikTok!A:A,'Compilado 2023'!B:B,TikTok!B:B)</f>
        <v>0</v>
      </c>
      <c r="T152" s="70">
        <v>0</v>
      </c>
      <c r="U152" s="70">
        <v>0</v>
      </c>
      <c r="V152" s="59"/>
      <c r="W152" s="70">
        <v>0</v>
      </c>
      <c r="X152" s="70">
        <v>0</v>
      </c>
      <c r="Y152" s="70">
        <v>0</v>
      </c>
      <c r="Z152" s="38"/>
      <c r="AA152" s="40"/>
    </row>
    <row r="153" spans="1:27" s="2" customFormat="1" x14ac:dyDescent="0.2">
      <c r="A153" s="16" t="s">
        <v>97</v>
      </c>
      <c r="B153" s="17">
        <v>44712</v>
      </c>
      <c r="C153" s="19">
        <v>40676.800000000003</v>
      </c>
      <c r="D153" s="52">
        <v>40676.800000000003</v>
      </c>
      <c r="E153" s="52">
        <v>0</v>
      </c>
      <c r="F153" s="157">
        <v>141</v>
      </c>
      <c r="G153" s="157">
        <v>156</v>
      </c>
      <c r="H153" s="35">
        <v>288.48794326241136</v>
      </c>
      <c r="I153" s="19">
        <v>864.87290322580645</v>
      </c>
      <c r="J153" s="111">
        <v>47.032112866854206</v>
      </c>
      <c r="K153" s="53">
        <v>3980</v>
      </c>
      <c r="L153" s="54">
        <v>3.5427135678391959E-2</v>
      </c>
      <c r="M153" s="59"/>
      <c r="N153" s="69">
        <v>459.78</v>
      </c>
      <c r="O153" s="70">
        <f>SUMIF(Facebook!A:A,'Compilado 2023'!B:B,Facebook!B:B)</f>
        <v>176.74</v>
      </c>
      <c r="P153" s="70">
        <v>0</v>
      </c>
      <c r="Q153" s="70">
        <v>51.612903225806448</v>
      </c>
      <c r="R153" s="202">
        <f>IFERROR(VLOOKUP($B:$B,Tabela_Linkedin[],2,),0)</f>
        <v>0</v>
      </c>
      <c r="S153" s="70">
        <f>SUMIF(TikTok!A:A,'Compilado 2023'!B:B,TikTok!B:B)</f>
        <v>0</v>
      </c>
      <c r="T153" s="70">
        <v>0</v>
      </c>
      <c r="U153" s="70">
        <v>0</v>
      </c>
      <c r="V153" s="59"/>
      <c r="W153" s="70">
        <v>0</v>
      </c>
      <c r="X153" s="70">
        <v>0</v>
      </c>
      <c r="Y153" s="70">
        <v>0</v>
      </c>
      <c r="Z153" s="38"/>
      <c r="AA153" s="40"/>
    </row>
    <row r="154" spans="1:27" s="2" customFormat="1" x14ac:dyDescent="0.2">
      <c r="A154" s="16" t="s">
        <v>98</v>
      </c>
      <c r="B154" s="17">
        <v>44713</v>
      </c>
      <c r="C154" s="19">
        <v>49373.24</v>
      </c>
      <c r="D154" s="52">
        <v>49373.24</v>
      </c>
      <c r="E154" s="52">
        <v>0</v>
      </c>
      <c r="F154" s="157">
        <v>152</v>
      </c>
      <c r="G154" s="157">
        <v>169</v>
      </c>
      <c r="H154" s="35">
        <v>324.82394736842105</v>
      </c>
      <c r="I154" s="19">
        <v>964.94333333333338</v>
      </c>
      <c r="J154" s="111">
        <v>51.166983898881796</v>
      </c>
      <c r="K154" s="53">
        <v>4342</v>
      </c>
      <c r="L154" s="54">
        <v>3.5006909258406264E-2</v>
      </c>
      <c r="M154" s="59"/>
      <c r="N154" s="69">
        <v>534.61</v>
      </c>
      <c r="O154" s="70">
        <f>SUMIF(Facebook!A:A,'Compilado 2023'!B:B,Facebook!B:B)</f>
        <v>188.5</v>
      </c>
      <c r="P154" s="70">
        <v>0</v>
      </c>
      <c r="Q154" s="70">
        <v>53.333333333333336</v>
      </c>
      <c r="R154" s="202">
        <f>IFERROR(VLOOKUP($B:$B,Tabela_Linkedin[],2,),0)</f>
        <v>0</v>
      </c>
      <c r="S154" s="70">
        <f>SUMIF(TikTok!A:A,'Compilado 2023'!B:B,TikTok!B:B)</f>
        <v>0</v>
      </c>
      <c r="T154" s="70">
        <v>0</v>
      </c>
      <c r="U154" s="70">
        <v>0</v>
      </c>
      <c r="V154" s="59"/>
      <c r="W154" s="70">
        <v>0</v>
      </c>
      <c r="X154" s="70">
        <v>0</v>
      </c>
      <c r="Y154" s="70">
        <v>0</v>
      </c>
      <c r="Z154" s="38"/>
      <c r="AA154" s="40"/>
    </row>
    <row r="155" spans="1:27" s="2" customFormat="1" x14ac:dyDescent="0.2">
      <c r="A155" s="16" t="s">
        <v>99</v>
      </c>
      <c r="B155" s="17">
        <v>44714</v>
      </c>
      <c r="C155" s="19">
        <v>51427.799999999996</v>
      </c>
      <c r="D155" s="52">
        <v>51405.49</v>
      </c>
      <c r="E155" s="52">
        <v>22.31</v>
      </c>
      <c r="F155" s="157">
        <v>164</v>
      </c>
      <c r="G155" s="157">
        <v>186</v>
      </c>
      <c r="H155" s="35">
        <v>313.58414634146339</v>
      </c>
      <c r="I155" s="19">
        <v>968.28333333333342</v>
      </c>
      <c r="J155" s="111">
        <v>53.11234659276726</v>
      </c>
      <c r="K155" s="53">
        <v>4311</v>
      </c>
      <c r="L155" s="54">
        <v>3.8042217582927397E-2</v>
      </c>
      <c r="M155" s="59"/>
      <c r="N155" s="69">
        <v>541.01</v>
      </c>
      <c r="O155" s="70">
        <f>SUMIF(Facebook!A:A,'Compilado 2023'!B:B,Facebook!B:B)</f>
        <v>186.97</v>
      </c>
      <c r="P155" s="70">
        <v>0</v>
      </c>
      <c r="Q155" s="70">
        <v>53.333333333333336</v>
      </c>
      <c r="R155" s="202">
        <f>IFERROR(VLOOKUP($B:$B,Tabela_Linkedin[],2,),0)</f>
        <v>0</v>
      </c>
      <c r="S155" s="70">
        <f>SUMIF(TikTok!A:A,'Compilado 2023'!B:B,TikTok!B:B)</f>
        <v>0</v>
      </c>
      <c r="T155" s="70">
        <v>0</v>
      </c>
      <c r="U155" s="70">
        <v>0</v>
      </c>
      <c r="V155" s="59"/>
      <c r="W155" s="70">
        <v>0</v>
      </c>
      <c r="X155" s="70">
        <v>0</v>
      </c>
      <c r="Y155" s="70">
        <v>0</v>
      </c>
      <c r="Z155" s="38"/>
      <c r="AA155" s="40"/>
    </row>
    <row r="156" spans="1:27" s="2" customFormat="1" x14ac:dyDescent="0.2">
      <c r="A156" s="16" t="s">
        <v>100</v>
      </c>
      <c r="B156" s="17">
        <v>44715</v>
      </c>
      <c r="C156" s="19">
        <v>50800.02</v>
      </c>
      <c r="D156" s="52">
        <v>50733.2</v>
      </c>
      <c r="E156" s="52">
        <v>66.819999999999993</v>
      </c>
      <c r="F156" s="157">
        <v>167</v>
      </c>
      <c r="G156" s="157">
        <v>201</v>
      </c>
      <c r="H156" s="35">
        <v>304.1917365269461</v>
      </c>
      <c r="I156" s="19">
        <v>1055.8633333333332</v>
      </c>
      <c r="J156" s="111">
        <v>48.112306201244479</v>
      </c>
      <c r="K156" s="53">
        <v>3998</v>
      </c>
      <c r="L156" s="54">
        <v>4.177088544272136E-2</v>
      </c>
      <c r="M156" s="59"/>
      <c r="N156" s="69">
        <v>609.19000000000005</v>
      </c>
      <c r="O156" s="70">
        <f>SUMIF(Facebook!A:A,'Compilado 2023'!B:B,Facebook!B:B)</f>
        <v>196.67</v>
      </c>
      <c r="P156" s="70">
        <v>0</v>
      </c>
      <c r="Q156" s="70">
        <v>53.333333333333336</v>
      </c>
      <c r="R156" s="202">
        <f>IFERROR(VLOOKUP($B:$B,Tabela_Linkedin[],2,),0)</f>
        <v>0</v>
      </c>
      <c r="S156" s="70">
        <f>SUMIF(TikTok!A:A,'Compilado 2023'!B:B,TikTok!B:B)</f>
        <v>0</v>
      </c>
      <c r="T156" s="70">
        <v>0</v>
      </c>
      <c r="U156" s="70">
        <v>0</v>
      </c>
      <c r="V156" s="59"/>
      <c r="W156" s="70">
        <v>0</v>
      </c>
      <c r="X156" s="70">
        <v>0</v>
      </c>
      <c r="Y156" s="70">
        <v>0</v>
      </c>
      <c r="Z156" s="38"/>
      <c r="AA156" s="40"/>
    </row>
    <row r="157" spans="1:27" s="2" customFormat="1" x14ac:dyDescent="0.2">
      <c r="A157" s="16" t="s">
        <v>94</v>
      </c>
      <c r="B157" s="17">
        <v>44716</v>
      </c>
      <c r="C157" s="19">
        <v>33834</v>
      </c>
      <c r="D157" s="52">
        <v>33834</v>
      </c>
      <c r="E157" s="52">
        <v>0</v>
      </c>
      <c r="F157" s="157">
        <v>113</v>
      </c>
      <c r="G157" s="157">
        <v>118</v>
      </c>
      <c r="H157" s="35">
        <v>299.4159292035398</v>
      </c>
      <c r="I157" s="19">
        <v>1010.4633333333335</v>
      </c>
      <c r="J157" s="111">
        <v>33.483649414954854</v>
      </c>
      <c r="K157" s="53">
        <v>3039</v>
      </c>
      <c r="L157" s="54">
        <v>3.7183283974991772E-2</v>
      </c>
      <c r="M157" s="59"/>
      <c r="N157" s="69">
        <v>557.59</v>
      </c>
      <c r="O157" s="70">
        <f>SUMIF(Facebook!A:A,'Compilado 2023'!B:B,Facebook!B:B)</f>
        <v>199.77</v>
      </c>
      <c r="P157" s="70">
        <v>0</v>
      </c>
      <c r="Q157" s="70">
        <v>53.333333333333336</v>
      </c>
      <c r="R157" s="202">
        <f>IFERROR(VLOOKUP($B:$B,Tabela_Linkedin[],2,),0)</f>
        <v>0</v>
      </c>
      <c r="S157" s="70">
        <f>SUMIF(TikTok!A:A,'Compilado 2023'!B:B,TikTok!B:B)</f>
        <v>0</v>
      </c>
      <c r="T157" s="70">
        <v>0</v>
      </c>
      <c r="U157" s="70">
        <v>0</v>
      </c>
      <c r="V157" s="59"/>
      <c r="W157" s="70">
        <v>0</v>
      </c>
      <c r="X157" s="70">
        <v>0</v>
      </c>
      <c r="Y157" s="70">
        <v>0</v>
      </c>
      <c r="Z157" s="38"/>
      <c r="AA157" s="40"/>
    </row>
    <row r="158" spans="1:27" s="2" customFormat="1" x14ac:dyDescent="0.2">
      <c r="A158" s="16" t="s">
        <v>95</v>
      </c>
      <c r="B158" s="17">
        <v>44717</v>
      </c>
      <c r="C158" s="19">
        <v>25679.15</v>
      </c>
      <c r="D158" s="52">
        <v>25679.15</v>
      </c>
      <c r="E158" s="52">
        <v>0</v>
      </c>
      <c r="F158" s="157">
        <v>89</v>
      </c>
      <c r="G158" s="157">
        <v>92</v>
      </c>
      <c r="H158" s="35">
        <v>288.52977528089889</v>
      </c>
      <c r="I158" s="19">
        <v>1017.9233333333333</v>
      </c>
      <c r="J158" s="111">
        <v>25.226998103982947</v>
      </c>
      <c r="K158" s="53">
        <v>2780</v>
      </c>
      <c r="L158" s="54">
        <v>3.201438848920863E-2</v>
      </c>
      <c r="M158" s="59"/>
      <c r="N158" s="69">
        <v>533.51</v>
      </c>
      <c r="O158" s="70">
        <f>SUMIF(Facebook!A:A,'Compilado 2023'!B:B,Facebook!B:B)</f>
        <v>215.54</v>
      </c>
      <c r="P158" s="70">
        <v>0</v>
      </c>
      <c r="Q158" s="70">
        <v>53.333333333333336</v>
      </c>
      <c r="R158" s="202">
        <f>IFERROR(VLOOKUP($B:$B,Tabela_Linkedin[],2,),0)</f>
        <v>0</v>
      </c>
      <c r="S158" s="70">
        <f>SUMIF(TikTok!A:A,'Compilado 2023'!B:B,TikTok!B:B)</f>
        <v>0</v>
      </c>
      <c r="T158" s="70">
        <v>0</v>
      </c>
      <c r="U158" s="70">
        <v>0</v>
      </c>
      <c r="V158" s="59"/>
      <c r="W158" s="70">
        <v>0</v>
      </c>
      <c r="X158" s="70">
        <v>0</v>
      </c>
      <c r="Y158" s="70">
        <v>0</v>
      </c>
      <c r="Z158" s="38"/>
      <c r="AA158" s="40"/>
    </row>
    <row r="159" spans="1:27" s="2" customFormat="1" x14ac:dyDescent="0.2">
      <c r="A159" s="16" t="s">
        <v>96</v>
      </c>
      <c r="B159" s="17">
        <v>44718</v>
      </c>
      <c r="C159" s="19">
        <v>69575.03</v>
      </c>
      <c r="D159" s="52">
        <v>69575.03</v>
      </c>
      <c r="E159" s="52">
        <v>0</v>
      </c>
      <c r="F159" s="157">
        <v>227</v>
      </c>
      <c r="G159" s="157">
        <v>259</v>
      </c>
      <c r="H159" s="35">
        <v>306.49792951541849</v>
      </c>
      <c r="I159" s="19">
        <v>1374.7833333333331</v>
      </c>
      <c r="J159" s="111">
        <v>50.607996411555767</v>
      </c>
      <c r="K159" s="53">
        <v>5228</v>
      </c>
      <c r="L159" s="54">
        <v>4.3420045906656463E-2</v>
      </c>
      <c r="M159" s="59"/>
      <c r="N159" s="69">
        <v>786.05</v>
      </c>
      <c r="O159" s="70">
        <f>SUMIF(Facebook!A:A,'Compilado 2023'!B:B,Facebook!B:B)</f>
        <v>267.7</v>
      </c>
      <c r="P159" s="70">
        <v>0</v>
      </c>
      <c r="Q159" s="70">
        <v>53.333333333333336</v>
      </c>
      <c r="R159" s="202">
        <f>IFERROR(VLOOKUP($B:$B,Tabela_Linkedin[],2,),0)</f>
        <v>0</v>
      </c>
      <c r="S159" s="70">
        <f>SUMIF(TikTok!A:A,'Compilado 2023'!B:B,TikTok!B:B)</f>
        <v>0</v>
      </c>
      <c r="T159" s="70">
        <v>0</v>
      </c>
      <c r="U159" s="70">
        <v>0</v>
      </c>
      <c r="V159" s="59"/>
      <c r="W159" s="70">
        <v>0</v>
      </c>
      <c r="X159" s="70">
        <v>0</v>
      </c>
      <c r="Y159" s="70">
        <v>0</v>
      </c>
      <c r="Z159" s="38"/>
      <c r="AA159" s="40"/>
    </row>
    <row r="160" spans="1:27" s="2" customFormat="1" x14ac:dyDescent="0.2">
      <c r="A160" s="16" t="s">
        <v>97</v>
      </c>
      <c r="B160" s="17">
        <v>44719</v>
      </c>
      <c r="C160" s="19">
        <v>75026.94</v>
      </c>
      <c r="D160" s="52">
        <v>75026.94</v>
      </c>
      <c r="E160" s="52">
        <v>0</v>
      </c>
      <c r="F160" s="157">
        <v>214</v>
      </c>
      <c r="G160" s="157">
        <v>298</v>
      </c>
      <c r="H160" s="35">
        <v>350.59317757009347</v>
      </c>
      <c r="I160" s="19">
        <v>1396.2533333333333</v>
      </c>
      <c r="J160" s="111">
        <v>53.734475119128334</v>
      </c>
      <c r="K160" s="53">
        <v>5142</v>
      </c>
      <c r="L160" s="54">
        <v>4.1618047452353167E-2</v>
      </c>
      <c r="M160" s="59"/>
      <c r="N160" s="69">
        <v>785.94</v>
      </c>
      <c r="O160" s="70">
        <f>SUMIF(Facebook!A:A,'Compilado 2023'!B:B,Facebook!B:B)</f>
        <v>278.49</v>
      </c>
      <c r="P160" s="70">
        <v>0</v>
      </c>
      <c r="Q160" s="70">
        <v>53.333333333333336</v>
      </c>
      <c r="R160" s="202">
        <f>IFERROR(VLOOKUP($B:$B,Tabela_Linkedin[],2,),0)</f>
        <v>0</v>
      </c>
      <c r="S160" s="70">
        <f>SUMIF(TikTok!A:A,'Compilado 2023'!B:B,TikTok!B:B)</f>
        <v>0</v>
      </c>
      <c r="T160" s="70">
        <v>0</v>
      </c>
      <c r="U160" s="70">
        <v>0</v>
      </c>
      <c r="V160" s="59"/>
      <c r="W160" s="70">
        <v>0</v>
      </c>
      <c r="X160" s="70">
        <v>0</v>
      </c>
      <c r="Y160" s="70">
        <v>0</v>
      </c>
      <c r="Z160" s="38"/>
      <c r="AA160" s="40"/>
    </row>
    <row r="161" spans="1:27" s="2" customFormat="1" x14ac:dyDescent="0.2">
      <c r="A161" s="16" t="s">
        <v>98</v>
      </c>
      <c r="B161" s="17">
        <v>44720</v>
      </c>
      <c r="C161" s="19">
        <v>86884.65</v>
      </c>
      <c r="D161" s="52">
        <v>86884.65</v>
      </c>
      <c r="E161" s="52">
        <v>0</v>
      </c>
      <c r="F161" s="157">
        <v>262</v>
      </c>
      <c r="G161" s="157">
        <v>304</v>
      </c>
      <c r="H161" s="35">
        <v>331.62080152671751</v>
      </c>
      <c r="I161" s="19">
        <v>1466.8933333333332</v>
      </c>
      <c r="J161" s="111">
        <v>59.230380304861974</v>
      </c>
      <c r="K161" s="53">
        <v>5370</v>
      </c>
      <c r="L161" s="54">
        <v>4.8789571694599625E-2</v>
      </c>
      <c r="M161" s="59"/>
      <c r="N161" s="69">
        <v>861.14</v>
      </c>
      <c r="O161" s="70">
        <f>SUMIF(Facebook!A:A,'Compilado 2023'!B:B,Facebook!B:B)</f>
        <v>276.20999999999998</v>
      </c>
      <c r="P161" s="70">
        <v>0</v>
      </c>
      <c r="Q161" s="70">
        <v>53.333333333333336</v>
      </c>
      <c r="R161" s="202">
        <f>IFERROR(VLOOKUP($B:$B,Tabela_Linkedin[],2,),0)</f>
        <v>0</v>
      </c>
      <c r="S161" s="70">
        <f>SUMIF(TikTok!A:A,'Compilado 2023'!B:B,TikTok!B:B)</f>
        <v>0</v>
      </c>
      <c r="T161" s="70">
        <v>0</v>
      </c>
      <c r="U161" s="70">
        <v>0</v>
      </c>
      <c r="V161" s="59"/>
      <c r="W161" s="70">
        <v>0</v>
      </c>
      <c r="X161" s="70">
        <v>0</v>
      </c>
      <c r="Y161" s="70">
        <v>0</v>
      </c>
      <c r="Z161" s="38"/>
      <c r="AA161" s="40"/>
    </row>
    <row r="162" spans="1:27" s="2" customFormat="1" x14ac:dyDescent="0.2">
      <c r="A162" s="16" t="s">
        <v>99</v>
      </c>
      <c r="B162" s="17">
        <v>44721</v>
      </c>
      <c r="C162" s="19">
        <v>98967.56</v>
      </c>
      <c r="D162" s="52">
        <v>98945.33</v>
      </c>
      <c r="E162" s="52">
        <v>22.23</v>
      </c>
      <c r="F162" s="157">
        <v>305</v>
      </c>
      <c r="G162" s="157">
        <v>337</v>
      </c>
      <c r="H162" s="35">
        <v>324.48380327868853</v>
      </c>
      <c r="I162" s="19">
        <v>1445.7933333333333</v>
      </c>
      <c r="J162" s="111">
        <v>68.452079365884472</v>
      </c>
      <c r="K162" s="53">
        <v>5422</v>
      </c>
      <c r="L162" s="54">
        <v>5.6252305422353377E-2</v>
      </c>
      <c r="M162" s="59"/>
      <c r="N162" s="69">
        <v>850.24</v>
      </c>
      <c r="O162" s="70">
        <f>SUMIF(Facebook!A:A,'Compilado 2023'!B:B,Facebook!B:B)</f>
        <v>271.11</v>
      </c>
      <c r="P162" s="70">
        <v>0</v>
      </c>
      <c r="Q162" s="70">
        <v>53.333333333333336</v>
      </c>
      <c r="R162" s="202">
        <f>IFERROR(VLOOKUP($B:$B,Tabela_Linkedin[],2,),0)</f>
        <v>0</v>
      </c>
      <c r="S162" s="70">
        <f>SUMIF(TikTok!A:A,'Compilado 2023'!B:B,TikTok!B:B)</f>
        <v>0</v>
      </c>
      <c r="T162" s="70">
        <v>0</v>
      </c>
      <c r="U162" s="70">
        <v>0</v>
      </c>
      <c r="V162" s="59"/>
      <c r="W162" s="70">
        <v>0</v>
      </c>
      <c r="X162" s="70">
        <v>0</v>
      </c>
      <c r="Y162" s="70">
        <v>0</v>
      </c>
      <c r="Z162" s="38"/>
      <c r="AA162" s="40"/>
    </row>
    <row r="163" spans="1:27" s="2" customFormat="1" x14ac:dyDescent="0.2">
      <c r="A163" s="16" t="s">
        <v>100</v>
      </c>
      <c r="B163" s="17">
        <v>44722</v>
      </c>
      <c r="C163" s="19">
        <v>131263.9</v>
      </c>
      <c r="D163" s="52">
        <v>131263.9</v>
      </c>
      <c r="E163" s="52">
        <v>0</v>
      </c>
      <c r="F163" s="157">
        <v>402</v>
      </c>
      <c r="G163" s="157">
        <v>441</v>
      </c>
      <c r="H163" s="35">
        <v>326.52711442786068</v>
      </c>
      <c r="I163" s="19">
        <v>1400.4633333333334</v>
      </c>
      <c r="J163" s="111">
        <v>93.728908765908415</v>
      </c>
      <c r="K163" s="53">
        <v>5312</v>
      </c>
      <c r="L163" s="54">
        <v>7.5677710843373491E-2</v>
      </c>
      <c r="M163" s="59"/>
      <c r="N163" s="69">
        <v>721.19</v>
      </c>
      <c r="O163" s="70">
        <f>SUMIF(Facebook!A:A,'Compilado 2023'!B:B,Facebook!B:B)</f>
        <v>312.97000000000003</v>
      </c>
      <c r="P163" s="70">
        <v>0</v>
      </c>
      <c r="Q163" s="70">
        <v>53.333333333333336</v>
      </c>
      <c r="R163" s="202">
        <f>IFERROR(VLOOKUP($B:$B,Tabela_Linkedin[],2,),0)</f>
        <v>0</v>
      </c>
      <c r="S163" s="70">
        <f>SUMIF(TikTok!A:A,'Compilado 2023'!B:B,TikTok!B:B)</f>
        <v>0</v>
      </c>
      <c r="T163" s="70">
        <v>0</v>
      </c>
      <c r="U163" s="70">
        <v>0</v>
      </c>
      <c r="V163" s="59"/>
      <c r="W163" s="70">
        <v>0</v>
      </c>
      <c r="X163" s="70">
        <v>0</v>
      </c>
      <c r="Y163" s="70">
        <v>0</v>
      </c>
      <c r="Z163" s="38"/>
      <c r="AA163" s="40"/>
    </row>
    <row r="164" spans="1:27" s="2" customFormat="1" x14ac:dyDescent="0.2">
      <c r="A164" s="16" t="s">
        <v>94</v>
      </c>
      <c r="B164" s="17">
        <v>44723</v>
      </c>
      <c r="C164" s="19">
        <v>107821.73</v>
      </c>
      <c r="D164" s="52">
        <v>107821.73</v>
      </c>
      <c r="E164" s="52">
        <v>0</v>
      </c>
      <c r="F164" s="157">
        <v>326</v>
      </c>
      <c r="G164" s="157">
        <v>359</v>
      </c>
      <c r="H164" s="35">
        <v>330.74150306748464</v>
      </c>
      <c r="I164" s="19">
        <v>1361.2033333333331</v>
      </c>
      <c r="J164" s="111">
        <v>79.210597975810629</v>
      </c>
      <c r="K164" s="53">
        <v>4014</v>
      </c>
      <c r="L164" s="54">
        <v>8.1215744892874933E-2</v>
      </c>
      <c r="M164" s="59"/>
      <c r="N164" s="69">
        <v>681.83</v>
      </c>
      <c r="O164" s="70">
        <f>SUMIF(Facebook!A:A,'Compilado 2023'!B:B,Facebook!B:B)</f>
        <v>313.02</v>
      </c>
      <c r="P164" s="70">
        <v>0</v>
      </c>
      <c r="Q164" s="70">
        <v>53.333333333333336</v>
      </c>
      <c r="R164" s="202">
        <f>IFERROR(VLOOKUP($B:$B,Tabela_Linkedin[],2,),0)</f>
        <v>0</v>
      </c>
      <c r="S164" s="70">
        <f>SUMIF(TikTok!A:A,'Compilado 2023'!B:B,TikTok!B:B)</f>
        <v>0</v>
      </c>
      <c r="T164" s="70">
        <v>0</v>
      </c>
      <c r="U164" s="70">
        <v>0</v>
      </c>
      <c r="V164" s="59"/>
      <c r="W164" s="70">
        <v>0</v>
      </c>
      <c r="X164" s="70">
        <v>0</v>
      </c>
      <c r="Y164" s="70">
        <v>0</v>
      </c>
      <c r="Z164" s="38"/>
      <c r="AA164" s="40"/>
    </row>
    <row r="165" spans="1:27" s="2" customFormat="1" x14ac:dyDescent="0.2">
      <c r="A165" s="16" t="s">
        <v>95</v>
      </c>
      <c r="B165" s="17">
        <v>44724</v>
      </c>
      <c r="C165" s="19">
        <v>74115.429999999993</v>
      </c>
      <c r="D165" s="52">
        <v>74115.429999999993</v>
      </c>
      <c r="E165" s="52">
        <v>0</v>
      </c>
      <c r="F165" s="157">
        <v>229</v>
      </c>
      <c r="G165" s="157">
        <v>254</v>
      </c>
      <c r="H165" s="35">
        <v>323.64816593886462</v>
      </c>
      <c r="I165" s="19">
        <v>1486.6733333333334</v>
      </c>
      <c r="J165" s="111">
        <v>49.853204694149348</v>
      </c>
      <c r="K165" s="53">
        <v>3132</v>
      </c>
      <c r="L165" s="54">
        <v>7.3116219667943808E-2</v>
      </c>
      <c r="M165" s="59"/>
      <c r="N165" s="69">
        <v>538</v>
      </c>
      <c r="O165" s="70">
        <f>SUMIF(Facebook!A:A,'Compilado 2023'!B:B,Facebook!B:B)</f>
        <v>447.67</v>
      </c>
      <c r="P165" s="70">
        <v>0</v>
      </c>
      <c r="Q165" s="70">
        <v>53.333333333333336</v>
      </c>
      <c r="R165" s="202">
        <f>IFERROR(VLOOKUP($B:$B,Tabela_Linkedin[],2,),0)</f>
        <v>0</v>
      </c>
      <c r="S165" s="70">
        <f>SUMIF(TikTok!A:A,'Compilado 2023'!B:B,TikTok!B:B)</f>
        <v>0</v>
      </c>
      <c r="T165" s="70">
        <v>0</v>
      </c>
      <c r="U165" s="70">
        <v>0</v>
      </c>
      <c r="V165" s="59"/>
      <c r="W165" s="70">
        <v>0</v>
      </c>
      <c r="X165" s="70">
        <v>0</v>
      </c>
      <c r="Y165" s="70">
        <v>0</v>
      </c>
      <c r="Z165" s="38"/>
      <c r="AA165" s="40"/>
    </row>
    <row r="166" spans="1:27" s="2" customFormat="1" x14ac:dyDescent="0.2">
      <c r="A166" s="16" t="s">
        <v>96</v>
      </c>
      <c r="B166" s="17">
        <v>44725</v>
      </c>
      <c r="C166" s="19">
        <v>56578.89</v>
      </c>
      <c r="D166" s="52">
        <v>56557</v>
      </c>
      <c r="E166" s="52">
        <v>21.89</v>
      </c>
      <c r="F166" s="157">
        <v>185</v>
      </c>
      <c r="G166" s="157">
        <v>240</v>
      </c>
      <c r="H166" s="35">
        <v>305.83183783783784</v>
      </c>
      <c r="I166" s="19">
        <v>1305.8433333333332</v>
      </c>
      <c r="J166" s="111">
        <v>43.327471646675328</v>
      </c>
      <c r="K166" s="53">
        <v>3845</v>
      </c>
      <c r="L166" s="54">
        <v>4.8114434330299091E-2</v>
      </c>
      <c r="M166" s="59"/>
      <c r="N166" s="69">
        <v>737.25</v>
      </c>
      <c r="O166" s="70">
        <f>SUMIF(Facebook!A:A,'Compilado 2023'!B:B,Facebook!B:B)</f>
        <v>257.63</v>
      </c>
      <c r="P166" s="70">
        <v>0</v>
      </c>
      <c r="Q166" s="70">
        <v>53.333333333333336</v>
      </c>
      <c r="R166" s="202">
        <f>IFERROR(VLOOKUP($B:$B,Tabela_Linkedin[],2,),0)</f>
        <v>0</v>
      </c>
      <c r="S166" s="70">
        <f>SUMIF(TikTok!A:A,'Compilado 2023'!B:B,TikTok!B:B)</f>
        <v>0</v>
      </c>
      <c r="T166" s="70">
        <v>0</v>
      </c>
      <c r="U166" s="70">
        <v>0</v>
      </c>
      <c r="V166" s="59"/>
      <c r="W166" s="70">
        <v>0</v>
      </c>
      <c r="X166" s="70">
        <v>0</v>
      </c>
      <c r="Y166" s="70">
        <v>0</v>
      </c>
      <c r="Z166" s="38"/>
      <c r="AA166" s="40"/>
    </row>
    <row r="167" spans="1:27" s="2" customFormat="1" x14ac:dyDescent="0.2">
      <c r="A167" s="16" t="s">
        <v>97</v>
      </c>
      <c r="B167" s="17">
        <v>44726</v>
      </c>
      <c r="C167" s="19">
        <v>34765.64</v>
      </c>
      <c r="D167" s="52">
        <v>34765.64</v>
      </c>
      <c r="E167" s="52">
        <v>0</v>
      </c>
      <c r="F167" s="157">
        <v>132</v>
      </c>
      <c r="G167" s="157">
        <v>154</v>
      </c>
      <c r="H167" s="35">
        <v>263.37606060606061</v>
      </c>
      <c r="I167" s="19">
        <v>1150.8433333333332</v>
      </c>
      <c r="J167" s="111">
        <v>30.208838156366493</v>
      </c>
      <c r="K167" s="53">
        <v>3477</v>
      </c>
      <c r="L167" s="54">
        <v>3.7963761863675581E-2</v>
      </c>
      <c r="M167" s="59"/>
      <c r="N167" s="69">
        <v>650.33000000000004</v>
      </c>
      <c r="O167" s="70">
        <f>SUMIF(Facebook!A:A,'Compilado 2023'!B:B,Facebook!B:B)</f>
        <v>223.59</v>
      </c>
      <c r="P167" s="70">
        <v>0</v>
      </c>
      <c r="Q167" s="70">
        <v>53.333333333333336</v>
      </c>
      <c r="R167" s="202">
        <f>IFERROR(VLOOKUP($B:$B,Tabela_Linkedin[],2,),0)</f>
        <v>0</v>
      </c>
      <c r="S167" s="70">
        <f>SUMIF(TikTok!A:A,'Compilado 2023'!B:B,TikTok!B:B)</f>
        <v>0</v>
      </c>
      <c r="T167" s="70">
        <v>0</v>
      </c>
      <c r="U167" s="70">
        <v>0</v>
      </c>
      <c r="V167" s="59"/>
      <c r="W167" s="70">
        <v>0</v>
      </c>
      <c r="X167" s="70">
        <v>0</v>
      </c>
      <c r="Y167" s="70">
        <v>0</v>
      </c>
      <c r="Z167" s="38"/>
      <c r="AA167" s="40"/>
    </row>
    <row r="168" spans="1:27" s="2" customFormat="1" x14ac:dyDescent="0.2">
      <c r="A168" s="16" t="s">
        <v>98</v>
      </c>
      <c r="B168" s="17">
        <v>44727</v>
      </c>
      <c r="C168" s="19">
        <v>41865.39</v>
      </c>
      <c r="D168" s="52">
        <v>41865.39</v>
      </c>
      <c r="E168" s="52">
        <v>0</v>
      </c>
      <c r="F168" s="157">
        <v>149</v>
      </c>
      <c r="G168" s="157">
        <v>165</v>
      </c>
      <c r="H168" s="35">
        <v>280.97577181208055</v>
      </c>
      <c r="I168" s="19">
        <v>1158.8233333333333</v>
      </c>
      <c r="J168" s="111">
        <v>36.12750002157361</v>
      </c>
      <c r="K168" s="53">
        <v>3289</v>
      </c>
      <c r="L168" s="54">
        <v>4.5302523563393128E-2</v>
      </c>
      <c r="M168" s="59"/>
      <c r="N168" s="69">
        <v>607.49</v>
      </c>
      <c r="O168" s="70">
        <f>SUMIF(Facebook!A:A,'Compilado 2023'!B:B,Facebook!B:B)</f>
        <v>249</v>
      </c>
      <c r="P168" s="70">
        <v>0</v>
      </c>
      <c r="Q168" s="70">
        <v>53.333333333333336</v>
      </c>
      <c r="R168" s="202">
        <f>IFERROR(VLOOKUP($B:$B,Tabela_Linkedin[],2,),0)</f>
        <v>0</v>
      </c>
      <c r="S168" s="70">
        <f>SUMIF(TikTok!A:A,'Compilado 2023'!B:B,TikTok!B:B)</f>
        <v>0</v>
      </c>
      <c r="T168" s="70">
        <v>0</v>
      </c>
      <c r="U168" s="70">
        <v>0</v>
      </c>
      <c r="V168" s="59"/>
      <c r="W168" s="70">
        <v>0</v>
      </c>
      <c r="X168" s="70">
        <v>0</v>
      </c>
      <c r="Y168" s="70">
        <v>0</v>
      </c>
      <c r="Z168" s="38"/>
      <c r="AA168" s="40"/>
    </row>
    <row r="169" spans="1:27" s="2" customFormat="1" x14ac:dyDescent="0.2">
      <c r="A169" s="16" t="s">
        <v>99</v>
      </c>
      <c r="B169" s="17">
        <v>44728</v>
      </c>
      <c r="C169" s="19">
        <v>25783</v>
      </c>
      <c r="D169" s="52">
        <v>25783</v>
      </c>
      <c r="E169" s="52">
        <v>0</v>
      </c>
      <c r="F169" s="157">
        <v>87</v>
      </c>
      <c r="G169" s="157">
        <v>96</v>
      </c>
      <c r="H169" s="35">
        <v>296.35632183908046</v>
      </c>
      <c r="I169" s="19">
        <v>1003.4333333333333</v>
      </c>
      <c r="J169" s="111">
        <v>25.694781251038105</v>
      </c>
      <c r="K169" s="53">
        <v>2616</v>
      </c>
      <c r="L169" s="54">
        <v>3.3256880733944956E-2</v>
      </c>
      <c r="M169" s="59"/>
      <c r="N169" s="69">
        <v>371.92</v>
      </c>
      <c r="O169" s="70">
        <f>SUMIF(Facebook!A:A,'Compilado 2023'!B:B,Facebook!B:B)</f>
        <v>289.08999999999997</v>
      </c>
      <c r="P169" s="70">
        <v>0</v>
      </c>
      <c r="Q169" s="70">
        <v>53.333333333333336</v>
      </c>
      <c r="R169" s="202">
        <f>IFERROR(VLOOKUP($B:$B,Tabela_Linkedin[],2,),0)</f>
        <v>0</v>
      </c>
      <c r="S169" s="70">
        <f>SUMIF(TikTok!A:A,'Compilado 2023'!B:B,TikTok!B:B)</f>
        <v>0</v>
      </c>
      <c r="T169" s="70">
        <v>0</v>
      </c>
      <c r="U169" s="70">
        <v>0</v>
      </c>
      <c r="V169" s="59"/>
      <c r="W169" s="70">
        <v>0</v>
      </c>
      <c r="X169" s="70">
        <v>0</v>
      </c>
      <c r="Y169" s="70">
        <v>0</v>
      </c>
      <c r="Z169" s="38"/>
      <c r="AA169" s="40"/>
    </row>
    <row r="170" spans="1:27" s="2" customFormat="1" x14ac:dyDescent="0.2">
      <c r="A170" s="16" t="s">
        <v>100</v>
      </c>
      <c r="B170" s="17">
        <v>44729</v>
      </c>
      <c r="C170" s="19">
        <v>28389.99</v>
      </c>
      <c r="D170" s="52">
        <v>28389.99</v>
      </c>
      <c r="E170" s="52">
        <v>0</v>
      </c>
      <c r="F170" s="157">
        <v>98</v>
      </c>
      <c r="G170" s="157">
        <v>118</v>
      </c>
      <c r="H170" s="35">
        <v>289.69377551020409</v>
      </c>
      <c r="I170" s="19">
        <v>692.87333333333333</v>
      </c>
      <c r="J170" s="111">
        <v>40.974285824248781</v>
      </c>
      <c r="K170" s="53">
        <v>2930</v>
      </c>
      <c r="L170" s="54">
        <v>3.3447098976109216E-2</v>
      </c>
      <c r="M170" s="59"/>
      <c r="N170" s="69">
        <v>0</v>
      </c>
      <c r="O170" s="70">
        <f>SUMIF(Facebook!A:A,'Compilado 2023'!B:B,Facebook!B:B)</f>
        <v>319.77</v>
      </c>
      <c r="P170" s="70">
        <v>0</v>
      </c>
      <c r="Q170" s="70">
        <v>53.333333333333336</v>
      </c>
      <c r="R170" s="202">
        <f>IFERROR(VLOOKUP($B:$B,Tabela_Linkedin[],2,),0)</f>
        <v>0</v>
      </c>
      <c r="S170" s="70">
        <f>SUMIF(TikTok!A:A,'Compilado 2023'!B:B,TikTok!B:B)</f>
        <v>0</v>
      </c>
      <c r="T170" s="70">
        <v>0</v>
      </c>
      <c r="U170" s="70">
        <v>0</v>
      </c>
      <c r="V170" s="59"/>
      <c r="W170" s="70">
        <v>0</v>
      </c>
      <c r="X170" s="70">
        <v>0</v>
      </c>
      <c r="Y170" s="70">
        <v>0</v>
      </c>
      <c r="Z170" s="38"/>
      <c r="AA170" s="40"/>
    </row>
    <row r="171" spans="1:27" s="2" customFormat="1" x14ac:dyDescent="0.2">
      <c r="A171" s="16" t="s">
        <v>94</v>
      </c>
      <c r="B171" s="17">
        <v>44730</v>
      </c>
      <c r="C171" s="19">
        <v>18816.2</v>
      </c>
      <c r="D171" s="52">
        <v>18816.2</v>
      </c>
      <c r="E171" s="52">
        <v>0</v>
      </c>
      <c r="F171" s="157">
        <v>68</v>
      </c>
      <c r="G171" s="157">
        <v>78</v>
      </c>
      <c r="H171" s="35">
        <v>276.7088235294118</v>
      </c>
      <c r="I171" s="19">
        <v>713.57333333333338</v>
      </c>
      <c r="J171" s="111">
        <v>26.368978661384954</v>
      </c>
      <c r="K171" s="53">
        <v>2173</v>
      </c>
      <c r="L171" s="54">
        <v>3.1293143120110445E-2</v>
      </c>
      <c r="M171" s="59"/>
      <c r="N171" s="69">
        <v>0</v>
      </c>
      <c r="O171" s="70">
        <f>SUMIF(Facebook!A:A,'Compilado 2023'!B:B,Facebook!B:B)</f>
        <v>330.12</v>
      </c>
      <c r="P171" s="70">
        <v>0</v>
      </c>
      <c r="Q171" s="70">
        <v>53.333333333333336</v>
      </c>
      <c r="R171" s="202">
        <f>IFERROR(VLOOKUP($B:$B,Tabela_Linkedin[],2,),0)</f>
        <v>0</v>
      </c>
      <c r="S171" s="70">
        <f>SUMIF(TikTok!A:A,'Compilado 2023'!B:B,TikTok!B:B)</f>
        <v>0</v>
      </c>
      <c r="T171" s="70">
        <v>0</v>
      </c>
      <c r="U171" s="70">
        <v>0</v>
      </c>
      <c r="V171" s="59"/>
      <c r="W171" s="70">
        <v>0</v>
      </c>
      <c r="X171" s="70">
        <v>0</v>
      </c>
      <c r="Y171" s="70">
        <v>0</v>
      </c>
      <c r="Z171" s="38"/>
      <c r="AA171" s="40"/>
    </row>
    <row r="172" spans="1:27" s="2" customFormat="1" x14ac:dyDescent="0.2">
      <c r="A172" s="16" t="s">
        <v>95</v>
      </c>
      <c r="B172" s="17">
        <v>44731</v>
      </c>
      <c r="C172" s="19">
        <v>14449.230000000001</v>
      </c>
      <c r="D172" s="52">
        <v>14410.2</v>
      </c>
      <c r="E172" s="52">
        <v>39.03</v>
      </c>
      <c r="F172" s="157">
        <v>55</v>
      </c>
      <c r="G172" s="157">
        <v>59</v>
      </c>
      <c r="H172" s="35">
        <v>262.71327272727274</v>
      </c>
      <c r="I172" s="19">
        <v>661.65333333333342</v>
      </c>
      <c r="J172" s="111">
        <v>21.838067265839108</v>
      </c>
      <c r="K172" s="53">
        <v>1993</v>
      </c>
      <c r="L172" s="54">
        <v>2.7596588058203714E-2</v>
      </c>
      <c r="M172" s="59"/>
      <c r="N172" s="69">
        <v>0</v>
      </c>
      <c r="O172" s="70">
        <f>SUMIF(Facebook!A:A,'Compilado 2023'!B:B,Facebook!B:B)</f>
        <v>304.16000000000003</v>
      </c>
      <c r="P172" s="70">
        <v>0</v>
      </c>
      <c r="Q172" s="70">
        <v>53.333333333333336</v>
      </c>
      <c r="R172" s="202">
        <f>IFERROR(VLOOKUP($B:$B,Tabela_Linkedin[],2,),0)</f>
        <v>0</v>
      </c>
      <c r="S172" s="70">
        <f>SUMIF(TikTok!A:A,'Compilado 2023'!B:B,TikTok!B:B)</f>
        <v>0</v>
      </c>
      <c r="T172" s="70">
        <v>0</v>
      </c>
      <c r="U172" s="70">
        <v>0</v>
      </c>
      <c r="V172" s="59"/>
      <c r="W172" s="70">
        <v>0</v>
      </c>
      <c r="X172" s="70">
        <v>0</v>
      </c>
      <c r="Y172" s="70">
        <v>0</v>
      </c>
      <c r="Z172" s="38"/>
      <c r="AA172" s="40"/>
    </row>
    <row r="173" spans="1:27" s="2" customFormat="1" x14ac:dyDescent="0.2">
      <c r="A173" s="16" t="s">
        <v>96</v>
      </c>
      <c r="B173" s="17">
        <v>44732</v>
      </c>
      <c r="C173" s="19">
        <v>44265.18</v>
      </c>
      <c r="D173" s="52">
        <v>44265.18</v>
      </c>
      <c r="E173" s="52">
        <v>0</v>
      </c>
      <c r="F173" s="157">
        <v>163</v>
      </c>
      <c r="G173" s="157">
        <v>187</v>
      </c>
      <c r="H173" s="35">
        <v>271.56552147239262</v>
      </c>
      <c r="I173" s="19">
        <v>819.79333333333341</v>
      </c>
      <c r="J173" s="111">
        <v>53.995535460156617</v>
      </c>
      <c r="K173" s="53">
        <v>213</v>
      </c>
      <c r="L173" s="54">
        <v>0.76525821596244137</v>
      </c>
      <c r="M173" s="59"/>
      <c r="N173" s="69">
        <v>0</v>
      </c>
      <c r="O173" s="70">
        <f>SUMIF(Facebook!A:A,'Compilado 2023'!B:B,Facebook!B:B)</f>
        <v>383.23</v>
      </c>
      <c r="P173" s="70">
        <v>0</v>
      </c>
      <c r="Q173" s="70">
        <v>53.333333333333336</v>
      </c>
      <c r="R173" s="202">
        <f>IFERROR(VLOOKUP($B:$B,Tabela_Linkedin[],2,),0)</f>
        <v>0</v>
      </c>
      <c r="S173" s="70">
        <f>SUMIF(TikTok!A:A,'Compilado 2023'!B:B,TikTok!B:B)</f>
        <v>0</v>
      </c>
      <c r="T173" s="70">
        <v>0</v>
      </c>
      <c r="U173" s="70">
        <v>0</v>
      </c>
      <c r="V173" s="59"/>
      <c r="W173" s="70">
        <v>0</v>
      </c>
      <c r="X173" s="70">
        <v>0</v>
      </c>
      <c r="Y173" s="70">
        <v>0</v>
      </c>
      <c r="Z173" s="38"/>
      <c r="AA173" s="40"/>
    </row>
    <row r="174" spans="1:27" s="2" customFormat="1" x14ac:dyDescent="0.2">
      <c r="A174" s="16" t="s">
        <v>97</v>
      </c>
      <c r="B174" s="17">
        <v>44733</v>
      </c>
      <c r="C174" s="19">
        <v>35675.360000000001</v>
      </c>
      <c r="D174" s="52">
        <v>35675.360000000001</v>
      </c>
      <c r="E174" s="52">
        <v>0</v>
      </c>
      <c r="F174" s="157">
        <v>140</v>
      </c>
      <c r="G174" s="157">
        <v>160</v>
      </c>
      <c r="H174" s="35">
        <v>254.82400000000001</v>
      </c>
      <c r="I174" s="19">
        <v>676.61333333333334</v>
      </c>
      <c r="J174" s="111">
        <v>52.726362668978837</v>
      </c>
      <c r="K174" s="53">
        <v>181</v>
      </c>
      <c r="L174" s="54">
        <v>0.77348066298342544</v>
      </c>
      <c r="M174" s="59"/>
      <c r="N174" s="69">
        <v>0</v>
      </c>
      <c r="O174" s="70">
        <f>SUMIF(Facebook!A:A,'Compilado 2023'!B:B,Facebook!B:B)</f>
        <v>311.64</v>
      </c>
      <c r="P174" s="70">
        <v>0</v>
      </c>
      <c r="Q174" s="70">
        <v>53.333333333333336</v>
      </c>
      <c r="R174" s="202">
        <f>IFERROR(VLOOKUP($B:$B,Tabela_Linkedin[],2,),0)</f>
        <v>0</v>
      </c>
      <c r="S174" s="70">
        <f>SUMIF(TikTok!A:A,'Compilado 2023'!B:B,TikTok!B:B)</f>
        <v>0</v>
      </c>
      <c r="T174" s="70">
        <v>0</v>
      </c>
      <c r="U174" s="70">
        <v>0</v>
      </c>
      <c r="V174" s="59"/>
      <c r="W174" s="70">
        <v>0</v>
      </c>
      <c r="X174" s="70">
        <v>0</v>
      </c>
      <c r="Y174" s="70">
        <v>0</v>
      </c>
      <c r="Z174" s="38"/>
      <c r="AA174" s="40"/>
    </row>
    <row r="175" spans="1:27" s="2" customFormat="1" x14ac:dyDescent="0.2">
      <c r="A175" s="16" t="s">
        <v>98</v>
      </c>
      <c r="B175" s="17">
        <v>44734</v>
      </c>
      <c r="C175" s="19">
        <v>42666.17</v>
      </c>
      <c r="D175" s="52">
        <v>42666.17</v>
      </c>
      <c r="E175" s="52">
        <v>0</v>
      </c>
      <c r="F175" s="157">
        <v>142</v>
      </c>
      <c r="G175" s="157">
        <v>183</v>
      </c>
      <c r="H175" s="35">
        <v>300.46598591549292</v>
      </c>
      <c r="I175" s="19">
        <v>1428.8833333333334</v>
      </c>
      <c r="J175" s="111">
        <v>29.859799610418388</v>
      </c>
      <c r="K175" s="53">
        <v>3613</v>
      </c>
      <c r="L175" s="54">
        <v>3.9302518682535287E-2</v>
      </c>
      <c r="M175" s="59"/>
      <c r="N175" s="69">
        <v>862.09</v>
      </c>
      <c r="O175" s="70">
        <f>SUMIF(Facebook!A:A,'Compilado 2023'!B:B,Facebook!B:B)</f>
        <v>256.73</v>
      </c>
      <c r="P175" s="70">
        <v>0</v>
      </c>
      <c r="Q175" s="70">
        <v>53.333333333333336</v>
      </c>
      <c r="R175" s="202">
        <f>IFERROR(VLOOKUP($B:$B,Tabela_Linkedin[],2,),0)</f>
        <v>0</v>
      </c>
      <c r="S175" s="70">
        <f>SUMIF(TikTok!A:A,'Compilado 2023'!B:B,TikTok!B:B)</f>
        <v>0</v>
      </c>
      <c r="T175" s="70">
        <v>0</v>
      </c>
      <c r="U175" s="70">
        <v>0</v>
      </c>
      <c r="V175" s="59"/>
      <c r="W175" s="70">
        <v>0</v>
      </c>
      <c r="X175" s="70">
        <v>0</v>
      </c>
      <c r="Y175" s="70">
        <v>0</v>
      </c>
      <c r="Z175" s="38"/>
      <c r="AA175" s="40"/>
    </row>
    <row r="176" spans="1:27" s="2" customFormat="1" x14ac:dyDescent="0.2">
      <c r="A176" s="16" t="s">
        <v>99</v>
      </c>
      <c r="B176" s="17">
        <v>44735</v>
      </c>
      <c r="C176" s="19">
        <v>44840.61</v>
      </c>
      <c r="D176" s="52">
        <v>44815.68</v>
      </c>
      <c r="E176" s="52">
        <v>24.93</v>
      </c>
      <c r="F176" s="157">
        <v>163</v>
      </c>
      <c r="G176" s="157">
        <v>187</v>
      </c>
      <c r="H176" s="35">
        <v>275.09576687116567</v>
      </c>
      <c r="I176" s="19">
        <v>1649.9533333333331</v>
      </c>
      <c r="J176" s="111">
        <v>27.17689591220762</v>
      </c>
      <c r="K176" s="53">
        <v>3691</v>
      </c>
      <c r="L176" s="54">
        <v>4.4161473855323763E-2</v>
      </c>
      <c r="M176" s="59"/>
      <c r="N176" s="69">
        <v>991.36</v>
      </c>
      <c r="O176" s="70">
        <f>SUMIF(Facebook!A:A,'Compilado 2023'!B:B,Facebook!B:B)</f>
        <v>302.63</v>
      </c>
      <c r="P176" s="70">
        <v>0</v>
      </c>
      <c r="Q176" s="70">
        <v>53.333333333333336</v>
      </c>
      <c r="R176" s="202">
        <f>IFERROR(VLOOKUP($B:$B,Tabela_Linkedin[],2,),0)</f>
        <v>0</v>
      </c>
      <c r="S176" s="70">
        <f>SUMIF(TikTok!A:A,'Compilado 2023'!B:B,TikTok!B:B)</f>
        <v>0</v>
      </c>
      <c r="T176" s="70">
        <v>0</v>
      </c>
      <c r="U176" s="70">
        <v>0</v>
      </c>
      <c r="V176" s="59"/>
      <c r="W176" s="70">
        <v>0</v>
      </c>
      <c r="X176" s="70">
        <v>0</v>
      </c>
      <c r="Y176" s="70">
        <v>0</v>
      </c>
      <c r="Z176" s="38"/>
      <c r="AA176" s="40"/>
    </row>
    <row r="177" spans="1:27" s="2" customFormat="1" x14ac:dyDescent="0.2">
      <c r="A177" s="16" t="s">
        <v>100</v>
      </c>
      <c r="B177" s="17">
        <v>44736</v>
      </c>
      <c r="C177" s="19">
        <v>30881</v>
      </c>
      <c r="D177" s="52">
        <v>30881</v>
      </c>
      <c r="E177" s="52">
        <v>0</v>
      </c>
      <c r="F177" s="157">
        <v>122</v>
      </c>
      <c r="G177" s="157">
        <v>148</v>
      </c>
      <c r="H177" s="35">
        <v>253.12295081967213</v>
      </c>
      <c r="I177" s="19">
        <v>1771.2133333333334</v>
      </c>
      <c r="J177" s="111">
        <v>17.4349410197153</v>
      </c>
      <c r="K177" s="53">
        <v>3476</v>
      </c>
      <c r="L177" s="54">
        <v>3.5097813578826235E-2</v>
      </c>
      <c r="M177" s="59"/>
      <c r="N177" s="69">
        <v>1041</v>
      </c>
      <c r="O177" s="70">
        <f>SUMIF(Facebook!A:A,'Compilado 2023'!B:B,Facebook!B:B)</f>
        <v>338.44</v>
      </c>
      <c r="P177" s="70">
        <v>0</v>
      </c>
      <c r="Q177" s="70">
        <v>53.333333333333336</v>
      </c>
      <c r="R177" s="202">
        <f>IFERROR(VLOOKUP($B:$B,Tabela_Linkedin[],2,),0)</f>
        <v>0</v>
      </c>
      <c r="S177" s="70">
        <f>SUMIF(TikTok!A:A,'Compilado 2023'!B:B,TikTok!B:B)</f>
        <v>0</v>
      </c>
      <c r="T177" s="70">
        <v>0</v>
      </c>
      <c r="U177" s="70">
        <v>0</v>
      </c>
      <c r="V177" s="59"/>
      <c r="W177" s="70">
        <v>0</v>
      </c>
      <c r="X177" s="70">
        <v>0</v>
      </c>
      <c r="Y177" s="70">
        <v>0</v>
      </c>
      <c r="Z177" s="38"/>
      <c r="AA177" s="40"/>
    </row>
    <row r="178" spans="1:27" s="2" customFormat="1" x14ac:dyDescent="0.2">
      <c r="A178" s="16" t="s">
        <v>94</v>
      </c>
      <c r="B178" s="17">
        <v>44737</v>
      </c>
      <c r="C178" s="19">
        <v>32339.3</v>
      </c>
      <c r="D178" s="52">
        <v>32339.3</v>
      </c>
      <c r="E178" s="52">
        <v>0</v>
      </c>
      <c r="F178" s="157">
        <v>116</v>
      </c>
      <c r="G178" s="157">
        <v>144</v>
      </c>
      <c r="H178" s="35">
        <v>278.78706896551722</v>
      </c>
      <c r="I178" s="19">
        <v>1562.3633333333335</v>
      </c>
      <c r="J178" s="111">
        <v>20.698962469250642</v>
      </c>
      <c r="K178" s="53">
        <v>2733</v>
      </c>
      <c r="L178" s="54">
        <v>4.2444200512257592E-2</v>
      </c>
      <c r="M178" s="59"/>
      <c r="N178" s="69">
        <v>859.09</v>
      </c>
      <c r="O178" s="70">
        <f>SUMIF(Facebook!A:A,'Compilado 2023'!B:B,Facebook!B:B)</f>
        <v>324.97000000000003</v>
      </c>
      <c r="P178" s="70">
        <v>0</v>
      </c>
      <c r="Q178" s="70">
        <v>53.333333333333336</v>
      </c>
      <c r="R178" s="202">
        <f>IFERROR(VLOOKUP($B:$B,Tabela_Linkedin[],2,),0)</f>
        <v>0</v>
      </c>
      <c r="S178" s="70">
        <f>SUMIF(TikTok!A:A,'Compilado 2023'!B:B,TikTok!B:B)</f>
        <v>0</v>
      </c>
      <c r="T178" s="70">
        <v>0</v>
      </c>
      <c r="U178" s="70">
        <v>0</v>
      </c>
      <c r="V178" s="59"/>
      <c r="W178" s="70">
        <v>0</v>
      </c>
      <c r="X178" s="70">
        <v>0</v>
      </c>
      <c r="Y178" s="70">
        <v>0</v>
      </c>
      <c r="Z178" s="38"/>
      <c r="AA178" s="40"/>
    </row>
    <row r="179" spans="1:27" s="2" customFormat="1" x14ac:dyDescent="0.2">
      <c r="A179" s="16" t="s">
        <v>95</v>
      </c>
      <c r="B179" s="17">
        <v>44738</v>
      </c>
      <c r="C179" s="19">
        <v>22976.75</v>
      </c>
      <c r="D179" s="52">
        <v>22976.75</v>
      </c>
      <c r="E179" s="52">
        <v>0</v>
      </c>
      <c r="F179" s="157">
        <v>82</v>
      </c>
      <c r="G179" s="157">
        <v>123</v>
      </c>
      <c r="H179" s="35">
        <v>280.20426829268291</v>
      </c>
      <c r="I179" s="19">
        <v>1435.0533333333333</v>
      </c>
      <c r="J179" s="111">
        <v>16.011077404788672</v>
      </c>
      <c r="K179" s="53">
        <v>2391</v>
      </c>
      <c r="L179" s="54">
        <v>3.4295273943956504E-2</v>
      </c>
      <c r="M179" s="59"/>
      <c r="N179" s="69">
        <v>720</v>
      </c>
      <c r="O179" s="70">
        <f>SUMIF(Facebook!A:A,'Compilado 2023'!B:B,Facebook!B:B)</f>
        <v>330.86</v>
      </c>
      <c r="P179" s="70">
        <v>0</v>
      </c>
      <c r="Q179" s="70">
        <v>53.333333333333336</v>
      </c>
      <c r="R179" s="202">
        <f>IFERROR(VLOOKUP($B:$B,Tabela_Linkedin[],2,),0)</f>
        <v>0</v>
      </c>
      <c r="S179" s="70">
        <f>SUMIF(TikTok!A:A,'Compilado 2023'!B:B,TikTok!B:B)</f>
        <v>0</v>
      </c>
      <c r="T179" s="70">
        <v>0</v>
      </c>
      <c r="U179" s="70">
        <v>0</v>
      </c>
      <c r="V179" s="59"/>
      <c r="W179" s="70">
        <v>0</v>
      </c>
      <c r="X179" s="70">
        <v>0</v>
      </c>
      <c r="Y179" s="70">
        <v>0</v>
      </c>
      <c r="Z179" s="38"/>
      <c r="AA179" s="40"/>
    </row>
    <row r="180" spans="1:27" s="2" customFormat="1" x14ac:dyDescent="0.2">
      <c r="A180" s="16" t="s">
        <v>96</v>
      </c>
      <c r="B180" s="17">
        <v>44739</v>
      </c>
      <c r="C180" s="19">
        <v>42091.839999999997</v>
      </c>
      <c r="D180" s="52">
        <v>42069.95</v>
      </c>
      <c r="E180" s="52">
        <v>21.89</v>
      </c>
      <c r="F180" s="157">
        <v>156</v>
      </c>
      <c r="G180" s="157">
        <v>200</v>
      </c>
      <c r="H180" s="35">
        <v>269.81948717948717</v>
      </c>
      <c r="I180" s="19">
        <v>1478.6433333333332</v>
      </c>
      <c r="J180" s="111">
        <v>28.466526748618666</v>
      </c>
      <c r="K180" s="53">
        <v>3714</v>
      </c>
      <c r="L180" s="54">
        <v>4.2003231017770599E-2</v>
      </c>
      <c r="M180" s="59"/>
      <c r="N180" s="69">
        <v>886.39</v>
      </c>
      <c r="O180" s="70">
        <f>SUMIF(Facebook!A:A,'Compilado 2023'!B:B,Facebook!B:B)</f>
        <v>269.45999999999998</v>
      </c>
      <c r="P180" s="70">
        <v>0</v>
      </c>
      <c r="Q180" s="70">
        <v>53.333333333333336</v>
      </c>
      <c r="R180" s="202">
        <f>IFERROR(VLOOKUP($B:$B,Tabela_Linkedin[],2,),0)</f>
        <v>0</v>
      </c>
      <c r="S180" s="70">
        <f>SUMIF(TikTok!A:A,'Compilado 2023'!B:B,TikTok!B:B)</f>
        <v>0</v>
      </c>
      <c r="T180" s="70">
        <v>0</v>
      </c>
      <c r="U180" s="70">
        <v>0</v>
      </c>
      <c r="V180" s="59"/>
      <c r="W180" s="70">
        <v>0</v>
      </c>
      <c r="X180" s="70">
        <v>0</v>
      </c>
      <c r="Y180" s="70">
        <v>0</v>
      </c>
      <c r="Z180" s="38"/>
      <c r="AA180" s="40"/>
    </row>
    <row r="181" spans="1:27" s="2" customFormat="1" x14ac:dyDescent="0.2">
      <c r="A181" s="16" t="s">
        <v>97</v>
      </c>
      <c r="B181" s="17">
        <v>44740</v>
      </c>
      <c r="C181" s="19">
        <v>35210.839999999997</v>
      </c>
      <c r="D181" s="52">
        <v>35154.35</v>
      </c>
      <c r="E181" s="52">
        <v>56.49</v>
      </c>
      <c r="F181" s="157">
        <v>117</v>
      </c>
      <c r="G181" s="157">
        <v>179</v>
      </c>
      <c r="H181" s="35">
        <v>300.94735042735039</v>
      </c>
      <c r="I181" s="19">
        <v>1561.2233333333331</v>
      </c>
      <c r="J181" s="111">
        <v>22.553365202928472</v>
      </c>
      <c r="K181" s="53">
        <v>3531</v>
      </c>
      <c r="L181" s="54">
        <v>3.3135089209855563E-2</v>
      </c>
      <c r="M181" s="59"/>
      <c r="N181" s="69">
        <v>816.87</v>
      </c>
      <c r="O181" s="70">
        <f>SUMIF(Facebook!A:A,'Compilado 2023'!B:B,Facebook!B:B)</f>
        <v>345.51</v>
      </c>
      <c r="P181" s="70">
        <v>0</v>
      </c>
      <c r="Q181" s="70">
        <v>53.333333333333336</v>
      </c>
      <c r="R181" s="202">
        <f>IFERROR(VLOOKUP($B:$B,Tabela_Linkedin[],2,),0)</f>
        <v>0</v>
      </c>
      <c r="S181" s="70">
        <f>SUMIF(TikTok!A:A,'Compilado 2023'!B:B,TikTok!B:B)</f>
        <v>0</v>
      </c>
      <c r="T181" s="70">
        <v>0</v>
      </c>
      <c r="U181" s="70">
        <v>0</v>
      </c>
      <c r="V181" s="59"/>
      <c r="W181" s="70">
        <v>0</v>
      </c>
      <c r="X181" s="70">
        <v>0</v>
      </c>
      <c r="Y181" s="70">
        <v>0</v>
      </c>
      <c r="Z181" s="38"/>
      <c r="AA181" s="40"/>
    </row>
    <row r="182" spans="1:27" s="2" customFormat="1" x14ac:dyDescent="0.2">
      <c r="A182" s="16" t="s">
        <v>98</v>
      </c>
      <c r="B182" s="17">
        <v>44741</v>
      </c>
      <c r="C182" s="19">
        <v>55177.34</v>
      </c>
      <c r="D182" s="52">
        <v>55177.34</v>
      </c>
      <c r="E182" s="52">
        <v>0</v>
      </c>
      <c r="F182" s="157">
        <v>155</v>
      </c>
      <c r="G182" s="157">
        <v>198</v>
      </c>
      <c r="H182" s="35">
        <v>355.98283870967742</v>
      </c>
      <c r="I182" s="19">
        <v>1469.6133333333335</v>
      </c>
      <c r="J182" s="111">
        <v>37.545481351103689</v>
      </c>
      <c r="K182" s="53">
        <v>4086</v>
      </c>
      <c r="L182" s="54">
        <v>3.7934410181106215E-2</v>
      </c>
      <c r="M182" s="59"/>
      <c r="N182" s="69">
        <v>771.46</v>
      </c>
      <c r="O182" s="70">
        <f>SUMIF(Facebook!A:A,'Compilado 2023'!B:B,Facebook!B:B)</f>
        <v>322.41000000000003</v>
      </c>
      <c r="P182" s="70">
        <v>0</v>
      </c>
      <c r="Q182" s="70">
        <v>53.333333333333336</v>
      </c>
      <c r="R182" s="202">
        <f>IFERROR(VLOOKUP($B:$B,Tabela_Linkedin[],2,),0)</f>
        <v>0</v>
      </c>
      <c r="S182" s="70">
        <f>SUMIF(TikTok!A:A,'Compilado 2023'!B:B,TikTok!B:B)</f>
        <v>0</v>
      </c>
      <c r="T182" s="70">
        <v>0</v>
      </c>
      <c r="U182" s="70">
        <v>0</v>
      </c>
      <c r="V182" s="59"/>
      <c r="W182" s="70">
        <v>0</v>
      </c>
      <c r="X182" s="70">
        <v>0</v>
      </c>
      <c r="Y182" s="70">
        <v>0</v>
      </c>
      <c r="Z182" s="38"/>
      <c r="AA182" s="40"/>
    </row>
    <row r="183" spans="1:27" s="2" customFormat="1" x14ac:dyDescent="0.2">
      <c r="A183" s="16" t="s">
        <v>99</v>
      </c>
      <c r="B183" s="17">
        <v>44742</v>
      </c>
      <c r="C183" s="19">
        <v>43925.25</v>
      </c>
      <c r="D183" s="52">
        <v>43925.25</v>
      </c>
      <c r="E183" s="52">
        <v>0</v>
      </c>
      <c r="F183" s="157">
        <v>160</v>
      </c>
      <c r="G183" s="157">
        <v>177</v>
      </c>
      <c r="H183" s="35">
        <v>274.53281249999998</v>
      </c>
      <c r="I183" s="19">
        <v>1218.4533333333331</v>
      </c>
      <c r="J183" s="111">
        <v>36.050006018559053</v>
      </c>
      <c r="K183" s="53">
        <v>3740</v>
      </c>
      <c r="L183" s="54">
        <v>4.2780748663101602E-2</v>
      </c>
      <c r="M183" s="59"/>
      <c r="N183" s="69">
        <v>591.4</v>
      </c>
      <c r="O183" s="70">
        <f>SUMIF(Facebook!A:A,'Compilado 2023'!B:B,Facebook!B:B)</f>
        <v>286.86</v>
      </c>
      <c r="P183" s="70">
        <v>0</v>
      </c>
      <c r="Q183" s="70">
        <v>53.333333333333336</v>
      </c>
      <c r="R183" s="202">
        <f>IFERROR(VLOOKUP($B:$B,Tabela_Linkedin[],2,),0)</f>
        <v>0</v>
      </c>
      <c r="S183" s="70">
        <f>SUMIF(TikTok!A:A,'Compilado 2023'!B:B,TikTok!B:B)</f>
        <v>0</v>
      </c>
      <c r="T183" s="70">
        <v>0</v>
      </c>
      <c r="U183" s="70">
        <v>0</v>
      </c>
      <c r="V183" s="59"/>
      <c r="W183" s="70">
        <v>0</v>
      </c>
      <c r="X183" s="70">
        <v>0</v>
      </c>
      <c r="Y183" s="70">
        <v>0</v>
      </c>
      <c r="Z183" s="38"/>
      <c r="AA183" s="40"/>
    </row>
    <row r="184" spans="1:27" s="2" customFormat="1" x14ac:dyDescent="0.2">
      <c r="A184" s="16" t="s">
        <v>100</v>
      </c>
      <c r="B184" s="17">
        <v>44743</v>
      </c>
      <c r="C184" s="19">
        <v>39442.19</v>
      </c>
      <c r="D184" s="52">
        <v>39442.19</v>
      </c>
      <c r="E184" s="52">
        <v>0</v>
      </c>
      <c r="F184" s="157">
        <v>134</v>
      </c>
      <c r="G184" s="157">
        <v>179</v>
      </c>
      <c r="H184" s="35">
        <v>294.34470149253735</v>
      </c>
      <c r="I184" s="19">
        <v>988.66290322580653</v>
      </c>
      <c r="J184" s="111">
        <v>39.894477552771662</v>
      </c>
      <c r="K184" s="53">
        <v>3383</v>
      </c>
      <c r="L184" s="54">
        <v>3.9609813774756135E-2</v>
      </c>
      <c r="M184" s="59"/>
      <c r="N184" s="69">
        <v>608.69000000000005</v>
      </c>
      <c r="O184" s="70">
        <f>SUMIF(Facebook!A:A,'Compilado 2023'!B:B,Facebook!B:B)</f>
        <v>164.18</v>
      </c>
      <c r="P184" s="70">
        <v>0</v>
      </c>
      <c r="Q184" s="70">
        <v>51.612903225806448</v>
      </c>
      <c r="R184" s="202">
        <f>IFERROR(VLOOKUP($B:$B,Tabela_Linkedin[],2,),0)</f>
        <v>0</v>
      </c>
      <c r="S184" s="70">
        <f>SUMIF(TikTok!A:A,'Compilado 2023'!B:B,TikTok!B:B)</f>
        <v>0</v>
      </c>
      <c r="T184" s="70">
        <v>0</v>
      </c>
      <c r="U184" s="70">
        <v>0</v>
      </c>
      <c r="V184" s="59"/>
      <c r="W184" s="70">
        <v>0</v>
      </c>
      <c r="X184" s="70">
        <v>0</v>
      </c>
      <c r="Y184" s="70">
        <v>0</v>
      </c>
      <c r="Z184" s="38"/>
      <c r="AA184" s="40"/>
    </row>
    <row r="185" spans="1:27" s="2" customFormat="1" x14ac:dyDescent="0.2">
      <c r="A185" s="16" t="s">
        <v>94</v>
      </c>
      <c r="B185" s="17">
        <v>44744</v>
      </c>
      <c r="C185" s="19">
        <v>26341.55</v>
      </c>
      <c r="D185" s="52">
        <v>26341.55</v>
      </c>
      <c r="E185" s="52">
        <v>0</v>
      </c>
      <c r="F185" s="157">
        <v>90</v>
      </c>
      <c r="G185" s="157">
        <v>115</v>
      </c>
      <c r="H185" s="35">
        <v>292.68388888888887</v>
      </c>
      <c r="I185" s="19">
        <v>821.45290322580649</v>
      </c>
      <c r="J185" s="111">
        <v>32.067024045514948</v>
      </c>
      <c r="K185" s="53">
        <v>2584</v>
      </c>
      <c r="L185" s="54">
        <v>3.4829721362229102E-2</v>
      </c>
      <c r="M185" s="59"/>
      <c r="N185" s="69">
        <v>505.8</v>
      </c>
      <c r="O185" s="70">
        <f>SUMIF(Facebook!A:A,'Compilado 2023'!B:B,Facebook!B:B)</f>
        <v>132.02000000000001</v>
      </c>
      <c r="P185" s="70">
        <v>0</v>
      </c>
      <c r="Q185" s="70">
        <v>51.612903225806448</v>
      </c>
      <c r="R185" s="202">
        <f>IFERROR(VLOOKUP($B:$B,Tabela_Linkedin[],2,),0)</f>
        <v>0</v>
      </c>
      <c r="S185" s="70">
        <f>SUMIF(TikTok!A:A,'Compilado 2023'!B:B,TikTok!B:B)</f>
        <v>0</v>
      </c>
      <c r="T185" s="70">
        <v>0</v>
      </c>
      <c r="U185" s="70">
        <v>0</v>
      </c>
      <c r="V185" s="59"/>
      <c r="W185" s="70">
        <v>0</v>
      </c>
      <c r="X185" s="70">
        <v>0</v>
      </c>
      <c r="Y185" s="70">
        <v>0</v>
      </c>
      <c r="Z185" s="38"/>
      <c r="AA185" s="40"/>
    </row>
    <row r="186" spans="1:27" s="2" customFormat="1" x14ac:dyDescent="0.2">
      <c r="A186" s="16" t="s">
        <v>95</v>
      </c>
      <c r="B186" s="17">
        <v>44745</v>
      </c>
      <c r="C186" s="19">
        <v>15608.35</v>
      </c>
      <c r="D186" s="52">
        <v>15608.35</v>
      </c>
      <c r="E186" s="52">
        <v>0</v>
      </c>
      <c r="F186" s="157">
        <v>59</v>
      </c>
      <c r="G186" s="157">
        <v>74</v>
      </c>
      <c r="H186" s="35">
        <v>264.54830508474578</v>
      </c>
      <c r="I186" s="19">
        <v>840.73290322580647</v>
      </c>
      <c r="J186" s="111">
        <v>18.56517086474474</v>
      </c>
      <c r="K186" s="53">
        <v>2372</v>
      </c>
      <c r="L186" s="54">
        <v>2.4873524451939293E-2</v>
      </c>
      <c r="M186" s="59"/>
      <c r="N186" s="69">
        <v>543.34</v>
      </c>
      <c r="O186" s="70">
        <f>SUMIF(Facebook!A:A,'Compilado 2023'!B:B,Facebook!B:B)</f>
        <v>122.89</v>
      </c>
      <c r="P186" s="70">
        <v>0</v>
      </c>
      <c r="Q186" s="70">
        <v>51.612903225806448</v>
      </c>
      <c r="R186" s="202">
        <f>IFERROR(VLOOKUP($B:$B,Tabela_Linkedin[],2,),0)</f>
        <v>0</v>
      </c>
      <c r="S186" s="70">
        <f>SUMIF(TikTok!A:A,'Compilado 2023'!B:B,TikTok!B:B)</f>
        <v>0</v>
      </c>
      <c r="T186" s="70">
        <v>0</v>
      </c>
      <c r="U186" s="70">
        <v>0</v>
      </c>
      <c r="V186" s="59"/>
      <c r="W186" s="70">
        <v>0</v>
      </c>
      <c r="X186" s="70">
        <v>0</v>
      </c>
      <c r="Y186" s="70">
        <v>0</v>
      </c>
      <c r="Z186" s="38"/>
      <c r="AA186" s="40"/>
    </row>
    <row r="187" spans="1:27" s="2" customFormat="1" x14ac:dyDescent="0.2">
      <c r="A187" s="16" t="s">
        <v>96</v>
      </c>
      <c r="B187" s="17">
        <v>44746</v>
      </c>
      <c r="C187" s="19">
        <v>29378.33</v>
      </c>
      <c r="D187" s="52">
        <v>29378.33</v>
      </c>
      <c r="E187" s="52">
        <v>0</v>
      </c>
      <c r="F187" s="157">
        <v>103</v>
      </c>
      <c r="G187" s="157">
        <v>132</v>
      </c>
      <c r="H187" s="35">
        <v>285.22650485436895</v>
      </c>
      <c r="I187" s="19">
        <v>935.93290322580651</v>
      </c>
      <c r="J187" s="111">
        <v>31.389354833817698</v>
      </c>
      <c r="K187" s="53">
        <v>3866</v>
      </c>
      <c r="L187" s="54">
        <v>2.6642524573202275E-2</v>
      </c>
      <c r="M187" s="59"/>
      <c r="N187" s="69">
        <v>662.2</v>
      </c>
      <c r="O187" s="70">
        <f>SUMIF(Facebook!A:A,'Compilado 2023'!B:B,Facebook!B:B)</f>
        <v>111.06</v>
      </c>
      <c r="P187" s="70">
        <v>0</v>
      </c>
      <c r="Q187" s="70">
        <v>51.612903225806448</v>
      </c>
      <c r="R187" s="202">
        <f>IFERROR(VLOOKUP($B:$B,Tabela_Linkedin[],2,),0)</f>
        <v>0</v>
      </c>
      <c r="S187" s="70">
        <f>SUMIF(TikTok!A:A,'Compilado 2023'!B:B,TikTok!B:B)</f>
        <v>0</v>
      </c>
      <c r="T187" s="70">
        <v>0</v>
      </c>
      <c r="U187" s="70">
        <v>0</v>
      </c>
      <c r="V187" s="59"/>
      <c r="W187" s="70">
        <v>0</v>
      </c>
      <c r="X187" s="70">
        <v>0</v>
      </c>
      <c r="Y187" s="70">
        <v>0</v>
      </c>
      <c r="Z187" s="38"/>
      <c r="AA187" s="40"/>
    </row>
    <row r="188" spans="1:27" s="2" customFormat="1" ht="13.5" thickBot="1" x14ac:dyDescent="0.25">
      <c r="A188" s="16" t="s">
        <v>97</v>
      </c>
      <c r="B188" s="17">
        <v>44747</v>
      </c>
      <c r="C188" s="19">
        <v>36634.06</v>
      </c>
      <c r="D188" s="52">
        <v>36634.06</v>
      </c>
      <c r="E188" s="52">
        <v>0</v>
      </c>
      <c r="F188" s="157">
        <v>128</v>
      </c>
      <c r="G188" s="157">
        <v>152</v>
      </c>
      <c r="H188" s="35">
        <v>286.20359374999998</v>
      </c>
      <c r="I188" s="19">
        <v>916.56290322580651</v>
      </c>
      <c r="J188" s="111">
        <v>39.968953435784805</v>
      </c>
      <c r="K188" s="53">
        <v>3732</v>
      </c>
      <c r="L188" s="54">
        <v>3.4297963558413719E-2</v>
      </c>
      <c r="M188" s="73"/>
      <c r="N188" s="69">
        <v>612.45000000000005</v>
      </c>
      <c r="O188" s="70">
        <f>SUMIF(Facebook!A:A,'Compilado 2023'!B:B,Facebook!B:B)</f>
        <v>126.25</v>
      </c>
      <c r="P188" s="70">
        <v>0</v>
      </c>
      <c r="Q188" s="70">
        <v>51.612903225806448</v>
      </c>
      <c r="R188" s="202">
        <f>IFERROR(VLOOKUP($B:$B,Tabela_Linkedin[],2,),0)</f>
        <v>0</v>
      </c>
      <c r="S188" s="70">
        <f>SUMIF(TikTok!A:A,'Compilado 2023'!B:B,TikTok!B:B)</f>
        <v>0</v>
      </c>
      <c r="T188" s="70">
        <v>0</v>
      </c>
      <c r="U188" s="70">
        <v>0</v>
      </c>
      <c r="V188" s="59"/>
      <c r="W188" s="70">
        <v>0</v>
      </c>
      <c r="X188" s="70">
        <v>0</v>
      </c>
      <c r="Y188" s="70">
        <v>0</v>
      </c>
      <c r="Z188" s="38"/>
      <c r="AA188" s="40"/>
    </row>
    <row r="189" spans="1:27" s="2" customFormat="1" x14ac:dyDescent="0.2">
      <c r="A189" s="16" t="s">
        <v>98</v>
      </c>
      <c r="B189" s="17">
        <v>44748</v>
      </c>
      <c r="C189" s="19">
        <v>42395.32</v>
      </c>
      <c r="D189" s="52">
        <v>42395.32</v>
      </c>
      <c r="E189" s="52">
        <v>0</v>
      </c>
      <c r="F189" s="157">
        <v>142</v>
      </c>
      <c r="G189" s="157">
        <v>182</v>
      </c>
      <c r="H189" s="35">
        <v>298.55859154929578</v>
      </c>
      <c r="I189" s="19">
        <v>379.60290322580647</v>
      </c>
      <c r="J189" s="111">
        <v>111.68333972087979</v>
      </c>
      <c r="K189" s="53">
        <v>3529</v>
      </c>
      <c r="L189" s="54">
        <v>4.0238027769906488E-2</v>
      </c>
      <c r="M189" s="59"/>
      <c r="N189" s="69">
        <v>70.27</v>
      </c>
      <c r="O189" s="70">
        <f>SUMIF(Facebook!A:A,'Compilado 2023'!B:B,Facebook!B:B)</f>
        <v>128.86000000000001</v>
      </c>
      <c r="P189" s="70">
        <v>0</v>
      </c>
      <c r="Q189" s="70">
        <v>51.612903225806448</v>
      </c>
      <c r="R189" s="202">
        <f>IFERROR(VLOOKUP($B:$B,Tabela_Linkedin[],2,),0)</f>
        <v>0</v>
      </c>
      <c r="S189" s="70">
        <f>SUMIF(TikTok!A:A,'Compilado 2023'!B:B,TikTok!B:B)</f>
        <v>0</v>
      </c>
      <c r="T189" s="70">
        <v>0</v>
      </c>
      <c r="U189" s="70">
        <v>0</v>
      </c>
      <c r="V189" s="59"/>
      <c r="W189" s="70">
        <v>0</v>
      </c>
      <c r="X189" s="70">
        <v>0</v>
      </c>
      <c r="Y189" s="70">
        <v>0</v>
      </c>
      <c r="Z189" s="38"/>
      <c r="AA189" s="40"/>
    </row>
    <row r="190" spans="1:27" s="2" customFormat="1" x14ac:dyDescent="0.2">
      <c r="A190" s="16" t="s">
        <v>99</v>
      </c>
      <c r="B190" s="17">
        <v>44749</v>
      </c>
      <c r="C190" s="19">
        <v>37505.440000000002</v>
      </c>
      <c r="D190" s="52">
        <v>37455.300000000003</v>
      </c>
      <c r="E190" s="52">
        <v>50.14</v>
      </c>
      <c r="F190" s="157">
        <v>127</v>
      </c>
      <c r="G190" s="157">
        <v>156</v>
      </c>
      <c r="H190" s="35">
        <v>295.3184251968504</v>
      </c>
      <c r="I190" s="19">
        <v>393.03290322580648</v>
      </c>
      <c r="J190" s="111">
        <v>95.425700220452697</v>
      </c>
      <c r="K190" s="53">
        <v>3390</v>
      </c>
      <c r="L190" s="54">
        <v>3.7463126843657817E-2</v>
      </c>
      <c r="M190" s="59"/>
      <c r="N190" s="69">
        <v>0</v>
      </c>
      <c r="O190" s="70">
        <f>SUMIF(Facebook!A:A,'Compilado 2023'!B:B,Facebook!B:B)</f>
        <v>170.71</v>
      </c>
      <c r="P190" s="70">
        <v>0</v>
      </c>
      <c r="Q190" s="70">
        <v>51.612903225806448</v>
      </c>
      <c r="R190" s="202">
        <f>IFERROR(VLOOKUP($B:$B,Tabela_Linkedin[],2,),0)</f>
        <v>0</v>
      </c>
      <c r="S190" s="70">
        <f>SUMIF(TikTok!A:A,'Compilado 2023'!B:B,TikTok!B:B)</f>
        <v>0</v>
      </c>
      <c r="T190" s="70">
        <v>0</v>
      </c>
      <c r="U190" s="70">
        <v>0</v>
      </c>
      <c r="V190" s="59"/>
      <c r="W190" s="70">
        <v>0</v>
      </c>
      <c r="X190" s="70">
        <v>0</v>
      </c>
      <c r="Y190" s="70">
        <v>0</v>
      </c>
      <c r="Z190" s="38"/>
      <c r="AA190" s="40"/>
    </row>
    <row r="191" spans="1:27" s="2" customFormat="1" x14ac:dyDescent="0.2">
      <c r="A191" s="16" t="s">
        <v>100</v>
      </c>
      <c r="B191" s="17">
        <v>44750</v>
      </c>
      <c r="C191" s="19">
        <v>50251.18</v>
      </c>
      <c r="D191" s="52">
        <v>50186.29</v>
      </c>
      <c r="E191" s="52">
        <v>64.89</v>
      </c>
      <c r="F191" s="157">
        <v>169</v>
      </c>
      <c r="G191" s="157">
        <v>196</v>
      </c>
      <c r="H191" s="35">
        <v>297.34426035502958</v>
      </c>
      <c r="I191" s="19">
        <v>599.97290322580648</v>
      </c>
      <c r="J191" s="111">
        <v>83.755749184371766</v>
      </c>
      <c r="K191" s="53">
        <v>3477</v>
      </c>
      <c r="L191" s="54">
        <v>4.8605119355766467E-2</v>
      </c>
      <c r="M191" s="59"/>
      <c r="N191" s="69">
        <v>0</v>
      </c>
      <c r="O191" s="70">
        <f>SUMIF(Facebook!A:A,'Compilado 2023'!B:B,Facebook!B:B)</f>
        <v>274.18</v>
      </c>
      <c r="P191" s="70">
        <v>0</v>
      </c>
      <c r="Q191" s="70">
        <v>51.612903225806448</v>
      </c>
      <c r="R191" s="202">
        <f>IFERROR(VLOOKUP($B:$B,Tabela_Linkedin[],2,),0)</f>
        <v>0</v>
      </c>
      <c r="S191" s="70">
        <f>SUMIF(TikTok!A:A,'Compilado 2023'!B:B,TikTok!B:B)</f>
        <v>0</v>
      </c>
      <c r="T191" s="70">
        <v>0</v>
      </c>
      <c r="U191" s="70">
        <v>0</v>
      </c>
      <c r="V191" s="59"/>
      <c r="W191" s="70">
        <v>0</v>
      </c>
      <c r="X191" s="70">
        <v>0</v>
      </c>
      <c r="Y191" s="70">
        <v>0</v>
      </c>
      <c r="Z191" s="38"/>
      <c r="AA191" s="40"/>
    </row>
    <row r="192" spans="1:27" s="2" customFormat="1" x14ac:dyDescent="0.2">
      <c r="A192" s="16" t="s">
        <v>94</v>
      </c>
      <c r="B192" s="17">
        <v>44751</v>
      </c>
      <c r="C192" s="19">
        <v>28220.48</v>
      </c>
      <c r="D192" s="52">
        <v>28220.48</v>
      </c>
      <c r="E192" s="52">
        <v>0</v>
      </c>
      <c r="F192" s="157">
        <v>95</v>
      </c>
      <c r="G192" s="157">
        <v>117</v>
      </c>
      <c r="H192" s="35">
        <v>297.0576842105263</v>
      </c>
      <c r="I192" s="19">
        <v>673.17290322580641</v>
      </c>
      <c r="J192" s="111">
        <v>41.921592305288968</v>
      </c>
      <c r="K192" s="53">
        <v>2534</v>
      </c>
      <c r="L192" s="54">
        <v>3.7490134175217051E-2</v>
      </c>
      <c r="M192" s="59"/>
      <c r="N192" s="69">
        <v>0</v>
      </c>
      <c r="O192" s="70">
        <f>SUMIF(Facebook!A:A,'Compilado 2023'!B:B,Facebook!B:B)</f>
        <v>310.77999999999997</v>
      </c>
      <c r="P192" s="70">
        <v>0</v>
      </c>
      <c r="Q192" s="70">
        <v>51.612903225806448</v>
      </c>
      <c r="R192" s="202">
        <f>IFERROR(VLOOKUP($B:$B,Tabela_Linkedin[],2,),0)</f>
        <v>0</v>
      </c>
      <c r="S192" s="70">
        <f>SUMIF(TikTok!A:A,'Compilado 2023'!B:B,TikTok!B:B)</f>
        <v>0</v>
      </c>
      <c r="T192" s="70">
        <v>0</v>
      </c>
      <c r="U192" s="70">
        <v>0</v>
      </c>
      <c r="V192" s="59"/>
      <c r="W192" s="70">
        <v>0</v>
      </c>
      <c r="X192" s="70">
        <v>0</v>
      </c>
      <c r="Y192" s="70">
        <v>0</v>
      </c>
      <c r="Z192" s="38"/>
      <c r="AA192" s="40"/>
    </row>
    <row r="193" spans="1:27" s="2" customFormat="1" x14ac:dyDescent="0.2">
      <c r="A193" s="16" t="s">
        <v>95</v>
      </c>
      <c r="B193" s="17">
        <v>44752</v>
      </c>
      <c r="C193" s="19">
        <v>17813.48</v>
      </c>
      <c r="D193" s="52">
        <v>17813.48</v>
      </c>
      <c r="E193" s="52">
        <v>0</v>
      </c>
      <c r="F193" s="157">
        <v>64</v>
      </c>
      <c r="G193" s="157">
        <v>79</v>
      </c>
      <c r="H193" s="35">
        <v>278.33562499999999</v>
      </c>
      <c r="I193" s="19">
        <v>673.83290322580649</v>
      </c>
      <c r="J193" s="111">
        <v>26.436049523142042</v>
      </c>
      <c r="K193" s="53">
        <v>2218</v>
      </c>
      <c r="L193" s="54">
        <v>2.8854824165915238E-2</v>
      </c>
      <c r="M193" s="59"/>
      <c r="N193" s="69">
        <v>0</v>
      </c>
      <c r="O193" s="70">
        <f>SUMIF(Facebook!A:A,'Compilado 2023'!B:B,Facebook!B:B)</f>
        <v>311.11</v>
      </c>
      <c r="P193" s="70">
        <v>0</v>
      </c>
      <c r="Q193" s="70">
        <v>51.612903225806448</v>
      </c>
      <c r="R193" s="202">
        <f>IFERROR(VLOOKUP($B:$B,Tabela_Linkedin[],2,),0)</f>
        <v>0</v>
      </c>
      <c r="S193" s="70">
        <f>SUMIF(TikTok!A:A,'Compilado 2023'!B:B,TikTok!B:B)</f>
        <v>0</v>
      </c>
      <c r="T193" s="70">
        <v>0</v>
      </c>
      <c r="U193" s="70">
        <v>0</v>
      </c>
      <c r="V193" s="59"/>
      <c r="W193" s="70">
        <v>0</v>
      </c>
      <c r="X193" s="70">
        <v>0</v>
      </c>
      <c r="Y193" s="70">
        <v>0</v>
      </c>
      <c r="Z193" s="38"/>
      <c r="AA193" s="40"/>
    </row>
    <row r="194" spans="1:27" s="2" customFormat="1" x14ac:dyDescent="0.2">
      <c r="A194" s="16" t="s">
        <v>96</v>
      </c>
      <c r="B194" s="17">
        <v>44753</v>
      </c>
      <c r="C194" s="19">
        <v>41088.559999999998</v>
      </c>
      <c r="D194" s="52">
        <v>41088.559999999998</v>
      </c>
      <c r="E194" s="52">
        <v>0</v>
      </c>
      <c r="F194" s="157">
        <v>135</v>
      </c>
      <c r="G194" s="157">
        <v>198</v>
      </c>
      <c r="H194" s="35">
        <v>304.3597037037037</v>
      </c>
      <c r="I194" s="19">
        <v>644.86290322580646</v>
      </c>
      <c r="J194" s="111">
        <v>63.716736990858266</v>
      </c>
      <c r="K194" s="53">
        <v>3435</v>
      </c>
      <c r="L194" s="54">
        <v>3.9301310043668124E-2</v>
      </c>
      <c r="M194" s="59"/>
      <c r="N194" s="69">
        <v>0</v>
      </c>
      <c r="O194" s="70">
        <f>SUMIF(Facebook!A:A,'Compilado 2023'!B:B,Facebook!B:B)</f>
        <v>197.75</v>
      </c>
      <c r="P194" s="70">
        <v>0</v>
      </c>
      <c r="Q194" s="70">
        <v>51.612903225806448</v>
      </c>
      <c r="R194" s="202">
        <f>IFERROR(VLOOKUP($B:$B,Tabela_Linkedin[],2,),0)</f>
        <v>0</v>
      </c>
      <c r="S194" s="70">
        <f>SUMIF(TikTok!A:A,'Compilado 2023'!B:B,TikTok!B:B)</f>
        <v>0</v>
      </c>
      <c r="T194" s="70">
        <v>0</v>
      </c>
      <c r="U194" s="70">
        <v>0</v>
      </c>
      <c r="V194" s="59"/>
      <c r="W194" s="70">
        <v>0</v>
      </c>
      <c r="X194" s="70">
        <v>0</v>
      </c>
      <c r="Y194" s="70">
        <v>0</v>
      </c>
      <c r="Z194" s="38"/>
      <c r="AA194" s="40"/>
    </row>
    <row r="195" spans="1:27" s="2" customFormat="1" x14ac:dyDescent="0.2">
      <c r="A195" s="16" t="s">
        <v>97</v>
      </c>
      <c r="B195" s="17">
        <v>44754</v>
      </c>
      <c r="C195" s="19">
        <v>39520.199999999997</v>
      </c>
      <c r="D195" s="52">
        <v>39520.199999999997</v>
      </c>
      <c r="E195" s="52">
        <v>0</v>
      </c>
      <c r="F195" s="157">
        <v>124</v>
      </c>
      <c r="G195" s="157">
        <v>138</v>
      </c>
      <c r="H195" s="35">
        <v>318.71129032258062</v>
      </c>
      <c r="I195" s="19">
        <v>1593.7629032258064</v>
      </c>
      <c r="J195" s="111">
        <v>24.796787476989433</v>
      </c>
      <c r="K195" s="53">
        <v>4038</v>
      </c>
      <c r="L195" s="54">
        <v>3.0708271421495788E-2</v>
      </c>
      <c r="M195" s="59"/>
      <c r="N195" s="69">
        <v>853.98</v>
      </c>
      <c r="O195" s="70">
        <f>SUMIF(Facebook!A:A,'Compilado 2023'!B:B,Facebook!B:B)</f>
        <v>229.39</v>
      </c>
      <c r="P195" s="70">
        <v>0</v>
      </c>
      <c r="Q195" s="70">
        <v>51.612903225806448</v>
      </c>
      <c r="R195" s="202">
        <f>IFERROR(VLOOKUP($B:$B,Tabela_Linkedin[],2,),0)</f>
        <v>0</v>
      </c>
      <c r="S195" s="70">
        <f>SUMIF(TikTok!A:A,'Compilado 2023'!B:B,TikTok!B:B)</f>
        <v>0</v>
      </c>
      <c r="T195" s="70">
        <v>0</v>
      </c>
      <c r="U195" s="70">
        <v>0</v>
      </c>
      <c r="V195" s="59"/>
      <c r="W195" s="70">
        <v>0</v>
      </c>
      <c r="X195" s="70">
        <v>0</v>
      </c>
      <c r="Y195" s="70">
        <v>0</v>
      </c>
      <c r="Z195" s="38"/>
      <c r="AA195" s="40"/>
    </row>
    <row r="196" spans="1:27" s="2" customFormat="1" x14ac:dyDescent="0.2">
      <c r="A196" s="16" t="s">
        <v>98</v>
      </c>
      <c r="B196" s="17">
        <v>44755</v>
      </c>
      <c r="C196" s="19">
        <v>29366.97</v>
      </c>
      <c r="D196" s="52">
        <v>29344.74</v>
      </c>
      <c r="E196" s="52">
        <v>22.23</v>
      </c>
      <c r="F196" s="157">
        <v>108</v>
      </c>
      <c r="G196" s="157">
        <v>132</v>
      </c>
      <c r="H196" s="35">
        <v>271.91638888888889</v>
      </c>
      <c r="I196" s="19">
        <v>1783.0229032258062</v>
      </c>
      <c r="J196" s="111">
        <v>16.470326851590027</v>
      </c>
      <c r="K196" s="53">
        <v>3921</v>
      </c>
      <c r="L196" s="54">
        <v>2.754399387911247E-2</v>
      </c>
      <c r="M196" s="59"/>
      <c r="N196" s="69">
        <v>788.24</v>
      </c>
      <c r="O196" s="70">
        <f>SUMIF(Facebook!A:A,'Compilado 2023'!B:B,Facebook!B:B)</f>
        <v>314.39</v>
      </c>
      <c r="P196" s="70">
        <v>0</v>
      </c>
      <c r="Q196" s="70">
        <v>51.612903225806448</v>
      </c>
      <c r="R196" s="202">
        <f>IFERROR(VLOOKUP($B:$B,Tabela_Linkedin[],2,),0)</f>
        <v>0</v>
      </c>
      <c r="S196" s="70">
        <f>SUMIF(TikTok!A:A,'Compilado 2023'!B:B,TikTok!B:B)</f>
        <v>0</v>
      </c>
      <c r="T196" s="70">
        <v>0</v>
      </c>
      <c r="U196" s="70">
        <v>0</v>
      </c>
      <c r="V196" s="59"/>
      <c r="W196" s="70">
        <v>0</v>
      </c>
      <c r="X196" s="70">
        <v>0</v>
      </c>
      <c r="Y196" s="70">
        <v>0</v>
      </c>
      <c r="Z196" s="38"/>
      <c r="AA196" s="40"/>
    </row>
    <row r="197" spans="1:27" s="2" customFormat="1" x14ac:dyDescent="0.2">
      <c r="A197" s="16" t="s">
        <v>99</v>
      </c>
      <c r="B197" s="17">
        <v>44756</v>
      </c>
      <c r="C197" s="19">
        <v>43354.31</v>
      </c>
      <c r="D197" s="52">
        <v>43354.31</v>
      </c>
      <c r="E197" s="52">
        <v>0</v>
      </c>
      <c r="F197" s="157">
        <v>150</v>
      </c>
      <c r="G197" s="157">
        <v>188</v>
      </c>
      <c r="H197" s="35">
        <v>289.02873333333332</v>
      </c>
      <c r="I197" s="19">
        <v>1391.9429032258063</v>
      </c>
      <c r="J197" s="111">
        <v>31.146615209235271</v>
      </c>
      <c r="K197" s="53">
        <v>3954</v>
      </c>
      <c r="L197" s="54">
        <v>3.7936267071320182E-2</v>
      </c>
      <c r="M197" s="59"/>
      <c r="N197" s="69">
        <v>644.99</v>
      </c>
      <c r="O197" s="70">
        <f>SUMIF(Facebook!A:A,'Compilado 2023'!B:B,Facebook!B:B)</f>
        <v>231.78</v>
      </c>
      <c r="P197" s="70">
        <v>0</v>
      </c>
      <c r="Q197" s="70">
        <v>51.612903225806448</v>
      </c>
      <c r="R197" s="202">
        <f>IFERROR(VLOOKUP($B:$B,Tabela_Linkedin[],2,),0)</f>
        <v>0</v>
      </c>
      <c r="S197" s="70">
        <f>SUMIF(TikTok!A:A,'Compilado 2023'!B:B,TikTok!B:B)</f>
        <v>0</v>
      </c>
      <c r="T197" s="70">
        <v>0</v>
      </c>
      <c r="U197" s="70">
        <v>0</v>
      </c>
      <c r="V197" s="59"/>
      <c r="W197" s="70">
        <v>0</v>
      </c>
      <c r="X197" s="70">
        <v>0</v>
      </c>
      <c r="Y197" s="70">
        <v>0</v>
      </c>
      <c r="Z197" s="38"/>
      <c r="AA197" s="40"/>
    </row>
    <row r="198" spans="1:27" s="2" customFormat="1" x14ac:dyDescent="0.2">
      <c r="A198" s="16" t="s">
        <v>100</v>
      </c>
      <c r="B198" s="17">
        <v>44757</v>
      </c>
      <c r="C198" s="19">
        <v>31410.61</v>
      </c>
      <c r="D198" s="52">
        <v>31410.61</v>
      </c>
      <c r="E198" s="52">
        <v>0</v>
      </c>
      <c r="F198" s="157">
        <v>123</v>
      </c>
      <c r="G198" s="157">
        <v>132</v>
      </c>
      <c r="H198" s="35">
        <v>255.37081300813009</v>
      </c>
      <c r="I198" s="19">
        <v>1209.6329032258063</v>
      </c>
      <c r="J198" s="111">
        <v>25.967059854469316</v>
      </c>
      <c r="K198" s="53">
        <v>3743</v>
      </c>
      <c r="L198" s="54">
        <v>3.2861341170184341E-2</v>
      </c>
      <c r="M198" s="59"/>
      <c r="N198" s="69">
        <v>566.66</v>
      </c>
      <c r="O198" s="70">
        <f>SUMIF(Facebook!A:A,'Compilado 2023'!B:B,Facebook!B:B)</f>
        <v>197.12</v>
      </c>
      <c r="P198" s="70">
        <v>0</v>
      </c>
      <c r="Q198" s="70">
        <v>51.612903225806448</v>
      </c>
      <c r="R198" s="202">
        <f>IFERROR(VLOOKUP($B:$B,Tabela_Linkedin[],2,),0)</f>
        <v>0</v>
      </c>
      <c r="S198" s="70">
        <f>SUMIF(TikTok!A:A,'Compilado 2023'!B:B,TikTok!B:B)</f>
        <v>0</v>
      </c>
      <c r="T198" s="70">
        <v>0</v>
      </c>
      <c r="U198" s="70">
        <v>0</v>
      </c>
      <c r="V198" s="59"/>
      <c r="W198" s="70">
        <v>0</v>
      </c>
      <c r="X198" s="70">
        <v>0</v>
      </c>
      <c r="Y198" s="70">
        <v>0</v>
      </c>
      <c r="Z198" s="38"/>
      <c r="AA198" s="40"/>
    </row>
    <row r="199" spans="1:27" s="2" customFormat="1" x14ac:dyDescent="0.2">
      <c r="A199" s="16" t="s">
        <v>94</v>
      </c>
      <c r="B199" s="17">
        <v>44758</v>
      </c>
      <c r="C199" s="19">
        <v>25911.83</v>
      </c>
      <c r="D199" s="52">
        <v>25911.83</v>
      </c>
      <c r="E199" s="52">
        <v>0</v>
      </c>
      <c r="F199" s="157">
        <v>93</v>
      </c>
      <c r="G199" s="157">
        <v>108</v>
      </c>
      <c r="H199" s="35">
        <v>278.62182795698925</v>
      </c>
      <c r="I199" s="19">
        <v>1127.8329032258064</v>
      </c>
      <c r="J199" s="111">
        <v>22.974883890944728</v>
      </c>
      <c r="K199" s="53">
        <v>2786</v>
      </c>
      <c r="L199" s="54">
        <v>3.3381191672648962E-2</v>
      </c>
      <c r="M199" s="59"/>
      <c r="N199" s="69">
        <v>463.59</v>
      </c>
      <c r="O199" s="70">
        <f>SUMIF(Facebook!A:A,'Compilado 2023'!B:B,Facebook!B:B)</f>
        <v>204.21</v>
      </c>
      <c r="P199" s="70">
        <v>0</v>
      </c>
      <c r="Q199" s="70">
        <v>51.612903225806448</v>
      </c>
      <c r="R199" s="202">
        <f>IFERROR(VLOOKUP($B:$B,Tabela_Linkedin[],2,),0)</f>
        <v>0</v>
      </c>
      <c r="S199" s="70">
        <f>SUMIF(TikTok!A:A,'Compilado 2023'!B:B,TikTok!B:B)</f>
        <v>0</v>
      </c>
      <c r="T199" s="70">
        <v>0</v>
      </c>
      <c r="U199" s="70">
        <v>0</v>
      </c>
      <c r="V199" s="59"/>
      <c r="W199" s="70">
        <v>0</v>
      </c>
      <c r="X199" s="70">
        <v>0</v>
      </c>
      <c r="Y199" s="70">
        <v>0</v>
      </c>
      <c r="Z199" s="38"/>
      <c r="AA199" s="40"/>
    </row>
    <row r="200" spans="1:27" s="2" customFormat="1" x14ac:dyDescent="0.2">
      <c r="A200" s="16" t="s">
        <v>95</v>
      </c>
      <c r="B200" s="17">
        <v>44759</v>
      </c>
      <c r="C200" s="19">
        <v>16770.150000000001</v>
      </c>
      <c r="D200" s="52">
        <v>16770.150000000001</v>
      </c>
      <c r="E200" s="52">
        <v>0</v>
      </c>
      <c r="F200" s="157">
        <v>55</v>
      </c>
      <c r="G200" s="157">
        <v>64</v>
      </c>
      <c r="H200" s="35">
        <v>304.91181818181821</v>
      </c>
      <c r="I200" s="19">
        <v>1078.5229032258062</v>
      </c>
      <c r="J200" s="111">
        <v>15.549183007464515</v>
      </c>
      <c r="K200" s="53">
        <v>2429</v>
      </c>
      <c r="L200" s="54">
        <v>2.2643062988884313E-2</v>
      </c>
      <c r="M200" s="59"/>
      <c r="N200" s="69">
        <v>428.38</v>
      </c>
      <c r="O200" s="70">
        <f>SUMIF(Facebook!A:A,'Compilado 2023'!B:B,Facebook!B:B)</f>
        <v>199.51</v>
      </c>
      <c r="P200" s="70">
        <v>0</v>
      </c>
      <c r="Q200" s="70">
        <v>51.612903225806448</v>
      </c>
      <c r="R200" s="202">
        <f>IFERROR(VLOOKUP($B:$B,Tabela_Linkedin[],2,),0)</f>
        <v>0</v>
      </c>
      <c r="S200" s="70">
        <f>SUMIF(TikTok!A:A,'Compilado 2023'!B:B,TikTok!B:B)</f>
        <v>0</v>
      </c>
      <c r="T200" s="70">
        <v>0</v>
      </c>
      <c r="U200" s="70">
        <v>0</v>
      </c>
      <c r="V200" s="59"/>
      <c r="W200" s="70">
        <v>0</v>
      </c>
      <c r="X200" s="70">
        <v>0</v>
      </c>
      <c r="Y200" s="70">
        <v>0</v>
      </c>
      <c r="Z200" s="38"/>
      <c r="AA200" s="40"/>
    </row>
    <row r="201" spans="1:27" s="2" customFormat="1" x14ac:dyDescent="0.2">
      <c r="A201" s="16" t="s">
        <v>96</v>
      </c>
      <c r="B201" s="17">
        <v>44760</v>
      </c>
      <c r="C201" s="19">
        <v>44997.21</v>
      </c>
      <c r="D201" s="52">
        <v>44997.21</v>
      </c>
      <c r="E201" s="52">
        <v>0</v>
      </c>
      <c r="F201" s="157">
        <v>146</v>
      </c>
      <c r="G201" s="157">
        <v>175</v>
      </c>
      <c r="H201" s="35">
        <v>308.2000684931507</v>
      </c>
      <c r="I201" s="19">
        <v>1412.1529032258063</v>
      </c>
      <c r="J201" s="111">
        <v>31.864261934534188</v>
      </c>
      <c r="K201" s="53">
        <v>4268</v>
      </c>
      <c r="L201" s="54">
        <v>3.420805998125586E-2</v>
      </c>
      <c r="M201" s="59"/>
      <c r="N201" s="69">
        <v>729.38</v>
      </c>
      <c r="O201" s="70">
        <f>SUMIF(Facebook!A:A,'Compilado 2023'!B:B,Facebook!B:B)</f>
        <v>157.79</v>
      </c>
      <c r="P201" s="70">
        <v>0</v>
      </c>
      <c r="Q201" s="70">
        <v>51.612903225806448</v>
      </c>
      <c r="R201" s="202">
        <f>IFERROR(VLOOKUP($B:$B,Tabela_Linkedin[],2,),0)</f>
        <v>0</v>
      </c>
      <c r="S201" s="70">
        <f>SUMIF(TikTok!A:A,'Compilado 2023'!B:B,TikTok!B:B)</f>
        <v>0</v>
      </c>
      <c r="T201" s="70">
        <v>0</v>
      </c>
      <c r="U201" s="70">
        <v>0</v>
      </c>
      <c r="V201" s="59"/>
      <c r="W201" s="70">
        <v>0</v>
      </c>
      <c r="X201" s="70">
        <v>0</v>
      </c>
      <c r="Y201" s="70">
        <v>0</v>
      </c>
      <c r="Z201" s="38"/>
      <c r="AA201" s="40"/>
    </row>
    <row r="202" spans="1:27" s="2" customFormat="1" x14ac:dyDescent="0.2">
      <c r="A202" s="16" t="s">
        <v>97</v>
      </c>
      <c r="B202" s="17">
        <v>44761</v>
      </c>
      <c r="C202" s="19">
        <v>30103.75</v>
      </c>
      <c r="D202" s="52">
        <v>30103.75</v>
      </c>
      <c r="E202" s="52">
        <v>0</v>
      </c>
      <c r="F202" s="157">
        <v>110</v>
      </c>
      <c r="G202" s="157">
        <v>128</v>
      </c>
      <c r="H202" s="35">
        <v>273.67045454545456</v>
      </c>
      <c r="I202" s="19">
        <v>1397.8229032258064</v>
      </c>
      <c r="J202" s="111">
        <v>21.536168802591867</v>
      </c>
      <c r="K202" s="53">
        <v>4017</v>
      </c>
      <c r="L202" s="54">
        <v>2.7383619616629325E-2</v>
      </c>
      <c r="M202" s="59"/>
      <c r="N202" s="69">
        <v>606.92999999999995</v>
      </c>
      <c r="O202" s="70">
        <f>SUMIF(Facebook!A:A,'Compilado 2023'!B:B,Facebook!B:B)</f>
        <v>184.82</v>
      </c>
      <c r="P202" s="70">
        <v>0</v>
      </c>
      <c r="Q202" s="70">
        <v>51.612903225806448</v>
      </c>
      <c r="R202" s="202">
        <f>IFERROR(VLOOKUP($B:$B,Tabela_Linkedin[],2,),0)</f>
        <v>0</v>
      </c>
      <c r="S202" s="70">
        <f>SUMIF(TikTok!A:A,'Compilado 2023'!B:B,TikTok!B:B)</f>
        <v>0</v>
      </c>
      <c r="T202" s="70">
        <v>0</v>
      </c>
      <c r="U202" s="70">
        <v>0</v>
      </c>
      <c r="V202" s="59"/>
      <c r="W202" s="70">
        <v>0</v>
      </c>
      <c r="X202" s="70">
        <v>0</v>
      </c>
      <c r="Y202" s="70">
        <v>0</v>
      </c>
      <c r="Z202" s="38"/>
      <c r="AA202" s="40"/>
    </row>
    <row r="203" spans="1:27" s="2" customFormat="1" x14ac:dyDescent="0.2">
      <c r="A203" s="16" t="s">
        <v>98</v>
      </c>
      <c r="B203" s="17">
        <v>44762</v>
      </c>
      <c r="C203" s="19">
        <v>38463.339999999997</v>
      </c>
      <c r="D203" s="52">
        <v>38441.449999999997</v>
      </c>
      <c r="E203" s="52">
        <v>21.89</v>
      </c>
      <c r="F203" s="157">
        <v>139</v>
      </c>
      <c r="G203" s="157">
        <v>172</v>
      </c>
      <c r="H203" s="35">
        <v>276.71467625899277</v>
      </c>
      <c r="I203" s="19">
        <v>1357.9729032258065</v>
      </c>
      <c r="J203" s="111">
        <v>28.324085045166939</v>
      </c>
      <c r="K203" s="53">
        <v>3957</v>
      </c>
      <c r="L203" s="54">
        <v>3.5127621935809955E-2</v>
      </c>
      <c r="M203" s="59"/>
      <c r="N203" s="69">
        <v>599.52</v>
      </c>
      <c r="O203" s="70">
        <f>SUMIF(Facebook!A:A,'Compilado 2023'!B:B,Facebook!B:B)</f>
        <v>176.71</v>
      </c>
      <c r="P203" s="70">
        <v>0</v>
      </c>
      <c r="Q203" s="70">
        <v>51.612903225806448</v>
      </c>
      <c r="R203" s="202">
        <f>IFERROR(VLOOKUP($B:$B,Tabela_Linkedin[],2,),0)</f>
        <v>0</v>
      </c>
      <c r="S203" s="70">
        <f>SUMIF(TikTok!A:A,'Compilado 2023'!B:B,TikTok!B:B)</f>
        <v>0</v>
      </c>
      <c r="T203" s="70">
        <v>0</v>
      </c>
      <c r="U203" s="70">
        <v>0</v>
      </c>
      <c r="V203" s="59"/>
      <c r="W203" s="70">
        <v>0</v>
      </c>
      <c r="X203" s="70">
        <v>0</v>
      </c>
      <c r="Y203" s="70">
        <v>0</v>
      </c>
      <c r="Z203" s="38"/>
      <c r="AA203" s="40"/>
    </row>
    <row r="204" spans="1:27" s="2" customFormat="1" x14ac:dyDescent="0.2">
      <c r="A204" s="16" t="s">
        <v>99</v>
      </c>
      <c r="B204" s="17">
        <v>44763</v>
      </c>
      <c r="C204" s="19">
        <v>43953.520000000004</v>
      </c>
      <c r="D204" s="52">
        <v>43931.29</v>
      </c>
      <c r="E204" s="52">
        <v>22.23</v>
      </c>
      <c r="F204" s="157">
        <v>146</v>
      </c>
      <c r="G204" s="157">
        <v>178</v>
      </c>
      <c r="H204" s="35">
        <v>301.0515068493151</v>
      </c>
      <c r="I204" s="19">
        <v>1386.4429032258063</v>
      </c>
      <c r="J204" s="111">
        <v>31.702365743107283</v>
      </c>
      <c r="K204" s="53">
        <v>3647</v>
      </c>
      <c r="L204" s="54">
        <v>4.0032903756512202E-2</v>
      </c>
      <c r="M204" s="59"/>
      <c r="N204" s="69">
        <v>621.15</v>
      </c>
      <c r="O204" s="70">
        <f>SUMIF(Facebook!A:A,'Compilado 2023'!B:B,Facebook!B:B)</f>
        <v>178.42</v>
      </c>
      <c r="P204" s="70">
        <v>0</v>
      </c>
      <c r="Q204" s="70">
        <v>51.612903225806448</v>
      </c>
      <c r="R204" s="202">
        <f>IFERROR(VLOOKUP($B:$B,Tabela_Linkedin[],2,),0)</f>
        <v>0</v>
      </c>
      <c r="S204" s="70">
        <f>SUMIF(TikTok!A:A,'Compilado 2023'!B:B,TikTok!B:B)</f>
        <v>0</v>
      </c>
      <c r="T204" s="70">
        <v>0</v>
      </c>
      <c r="U204" s="70">
        <v>0</v>
      </c>
      <c r="V204" s="59"/>
      <c r="W204" s="70">
        <v>0</v>
      </c>
      <c r="X204" s="70">
        <v>0</v>
      </c>
      <c r="Y204" s="70">
        <v>0</v>
      </c>
      <c r="Z204" s="38"/>
      <c r="AA204" s="40"/>
    </row>
    <row r="205" spans="1:27" s="2" customFormat="1" x14ac:dyDescent="0.2">
      <c r="A205" s="16" t="s">
        <v>100</v>
      </c>
      <c r="B205" s="17">
        <v>44764</v>
      </c>
      <c r="C205" s="19">
        <v>46043.340000000004</v>
      </c>
      <c r="D205" s="52">
        <v>45932.66</v>
      </c>
      <c r="E205" s="52">
        <v>110.68</v>
      </c>
      <c r="F205" s="157">
        <v>142</v>
      </c>
      <c r="G205" s="157">
        <v>219</v>
      </c>
      <c r="H205" s="35">
        <v>324.24887323943665</v>
      </c>
      <c r="I205" s="19">
        <v>1312.4129032258063</v>
      </c>
      <c r="J205" s="111">
        <v>35.082968086361497</v>
      </c>
      <c r="K205" s="53">
        <v>3499</v>
      </c>
      <c r="L205" s="54">
        <v>4.0583023721063163E-2</v>
      </c>
      <c r="M205" s="59"/>
      <c r="N205" s="69">
        <v>544</v>
      </c>
      <c r="O205" s="70">
        <f>SUMIF(Facebook!A:A,'Compilado 2023'!B:B,Facebook!B:B)</f>
        <v>179.2</v>
      </c>
      <c r="P205" s="70">
        <v>0</v>
      </c>
      <c r="Q205" s="70">
        <v>51.612903225806448</v>
      </c>
      <c r="R205" s="202">
        <f>IFERROR(VLOOKUP($B:$B,Tabela_Linkedin[],2,),0)</f>
        <v>0</v>
      </c>
      <c r="S205" s="70">
        <f>SUMIF(TikTok!A:A,'Compilado 2023'!B:B,TikTok!B:B)</f>
        <v>0</v>
      </c>
      <c r="T205" s="70">
        <v>0</v>
      </c>
      <c r="U205" s="70">
        <v>0</v>
      </c>
      <c r="V205" s="59"/>
      <c r="W205" s="70">
        <v>0</v>
      </c>
      <c r="X205" s="70">
        <v>0</v>
      </c>
      <c r="Y205" s="70">
        <v>0</v>
      </c>
      <c r="Z205" s="38"/>
      <c r="AA205" s="40"/>
    </row>
    <row r="206" spans="1:27" s="2" customFormat="1" x14ac:dyDescent="0.2">
      <c r="A206" s="16" t="s">
        <v>94</v>
      </c>
      <c r="B206" s="17">
        <v>44765</v>
      </c>
      <c r="C206" s="19">
        <v>29208.240000000002</v>
      </c>
      <c r="D206" s="52">
        <v>29208.240000000002</v>
      </c>
      <c r="E206" s="52">
        <v>0</v>
      </c>
      <c r="F206" s="157">
        <v>101</v>
      </c>
      <c r="G206" s="157">
        <v>116</v>
      </c>
      <c r="H206" s="35">
        <v>289.19049504950499</v>
      </c>
      <c r="I206" s="19">
        <v>1217.8029032258064</v>
      </c>
      <c r="J206" s="111">
        <v>23.98437376247918</v>
      </c>
      <c r="K206" s="53">
        <v>2695</v>
      </c>
      <c r="L206" s="54">
        <v>3.7476808905380334E-2</v>
      </c>
      <c r="M206" s="59"/>
      <c r="N206" s="69">
        <v>425.99</v>
      </c>
      <c r="O206" s="70">
        <f>SUMIF(Facebook!A:A,'Compilado 2023'!B:B,Facebook!B:B)</f>
        <v>185.05</v>
      </c>
      <c r="P206" s="70">
        <v>0</v>
      </c>
      <c r="Q206" s="70">
        <v>51.612903225806448</v>
      </c>
      <c r="R206" s="202">
        <f>IFERROR(VLOOKUP($B:$B,Tabela_Linkedin[],2,),0)</f>
        <v>0</v>
      </c>
      <c r="S206" s="70">
        <f>SUMIF(TikTok!A:A,'Compilado 2023'!B:B,TikTok!B:B)</f>
        <v>0</v>
      </c>
      <c r="T206" s="70">
        <v>0</v>
      </c>
      <c r="U206" s="70">
        <v>0</v>
      </c>
      <c r="V206" s="59"/>
      <c r="W206" s="70">
        <v>0</v>
      </c>
      <c r="X206" s="70">
        <v>0</v>
      </c>
      <c r="Y206" s="70">
        <v>0</v>
      </c>
      <c r="Z206" s="38"/>
      <c r="AA206" s="40"/>
    </row>
    <row r="207" spans="1:27" s="2" customFormat="1" x14ac:dyDescent="0.2">
      <c r="A207" s="16" t="s">
        <v>95</v>
      </c>
      <c r="B207" s="17">
        <v>44766</v>
      </c>
      <c r="C207" s="19">
        <v>15852.57</v>
      </c>
      <c r="D207" s="52">
        <v>15852.57</v>
      </c>
      <c r="E207" s="52">
        <v>0</v>
      </c>
      <c r="F207" s="157">
        <v>61</v>
      </c>
      <c r="G207" s="157">
        <v>75</v>
      </c>
      <c r="H207" s="35">
        <v>259.8781967213115</v>
      </c>
      <c r="I207" s="19">
        <v>1201.9929032258065</v>
      </c>
      <c r="J207" s="111">
        <v>13.188572043525564</v>
      </c>
      <c r="K207" s="53">
        <v>2359</v>
      </c>
      <c r="L207" s="54">
        <v>2.5858414582450192E-2</v>
      </c>
      <c r="M207" s="59"/>
      <c r="N207" s="69">
        <v>362.66</v>
      </c>
      <c r="O207" s="70">
        <f>SUMIF(Facebook!A:A,'Compilado 2023'!B:B,Facebook!B:B)</f>
        <v>196.93</v>
      </c>
      <c r="P207" s="70">
        <v>0</v>
      </c>
      <c r="Q207" s="70">
        <v>51.612903225806448</v>
      </c>
      <c r="R207" s="202">
        <f>IFERROR(VLOOKUP($B:$B,Tabela_Linkedin[],2,),0)</f>
        <v>0</v>
      </c>
      <c r="S207" s="70">
        <f>SUMIF(TikTok!A:A,'Compilado 2023'!B:B,TikTok!B:B)</f>
        <v>0</v>
      </c>
      <c r="T207" s="70">
        <v>0</v>
      </c>
      <c r="U207" s="70">
        <v>0</v>
      </c>
      <c r="V207" s="59"/>
      <c r="W207" s="70">
        <v>0</v>
      </c>
      <c r="X207" s="70">
        <v>0</v>
      </c>
      <c r="Y207" s="70">
        <v>0</v>
      </c>
      <c r="Z207" s="38"/>
      <c r="AA207" s="40"/>
    </row>
    <row r="208" spans="1:27" s="2" customFormat="1" x14ac:dyDescent="0.2">
      <c r="A208" s="16" t="s">
        <v>96</v>
      </c>
      <c r="B208" s="17">
        <v>44767</v>
      </c>
      <c r="C208" s="19">
        <v>42420.56</v>
      </c>
      <c r="D208" s="52">
        <v>42420.56</v>
      </c>
      <c r="E208" s="52">
        <v>0</v>
      </c>
      <c r="F208" s="157">
        <v>181</v>
      </c>
      <c r="G208" s="157">
        <v>233</v>
      </c>
      <c r="H208" s="35">
        <v>234.36773480662981</v>
      </c>
      <c r="I208" s="19">
        <v>1291.2829032258064</v>
      </c>
      <c r="J208" s="111">
        <v>32.851484282822511</v>
      </c>
      <c r="K208" s="53">
        <v>4677</v>
      </c>
      <c r="L208" s="54">
        <v>3.870002138122728E-2</v>
      </c>
      <c r="M208" s="59"/>
      <c r="N208" s="69">
        <v>725.77</v>
      </c>
      <c r="O208" s="70">
        <f>SUMIF(Facebook!A:A,'Compilado 2023'!B:B,Facebook!B:B)</f>
        <v>256.95</v>
      </c>
      <c r="P208" s="70">
        <v>0</v>
      </c>
      <c r="Q208" s="70">
        <v>51.612903225806448</v>
      </c>
      <c r="R208" s="202">
        <f>IFERROR(VLOOKUP($B:$B,Tabela_Linkedin[],2,),0)</f>
        <v>0</v>
      </c>
      <c r="S208" s="70">
        <f>SUMIF(TikTok!A:A,'Compilado 2023'!B:B,TikTok!B:B)</f>
        <v>0</v>
      </c>
      <c r="T208" s="70">
        <v>0</v>
      </c>
      <c r="U208" s="70">
        <v>0</v>
      </c>
      <c r="V208" s="59"/>
      <c r="W208" s="70">
        <v>0</v>
      </c>
      <c r="X208" s="70">
        <v>0</v>
      </c>
      <c r="Y208" s="70">
        <v>0</v>
      </c>
      <c r="Z208" s="38"/>
      <c r="AA208" s="40"/>
    </row>
    <row r="209" spans="1:27" s="2" customFormat="1" x14ac:dyDescent="0.2">
      <c r="A209" s="16" t="s">
        <v>97</v>
      </c>
      <c r="B209" s="17">
        <v>44768</v>
      </c>
      <c r="C209" s="19">
        <v>41337.86</v>
      </c>
      <c r="D209" s="52">
        <v>41337.86</v>
      </c>
      <c r="E209" s="52">
        <v>0</v>
      </c>
      <c r="F209" s="157">
        <v>163</v>
      </c>
      <c r="G209" s="157">
        <v>209</v>
      </c>
      <c r="H209" s="35">
        <v>253.60650306748465</v>
      </c>
      <c r="I209" s="19">
        <v>1251.8829032258063</v>
      </c>
      <c r="J209" s="111">
        <v>33.020548402316308</v>
      </c>
      <c r="K209" s="53">
        <v>4181</v>
      </c>
      <c r="L209" s="54">
        <v>3.8985888543410667E-2</v>
      </c>
      <c r="M209" s="59"/>
      <c r="N209" s="69">
        <v>610.45000000000005</v>
      </c>
      <c r="O209" s="70">
        <f>SUMIF(Facebook!A:A,'Compilado 2023'!B:B,Facebook!B:B)</f>
        <v>294.91000000000003</v>
      </c>
      <c r="P209" s="70">
        <v>0</v>
      </c>
      <c r="Q209" s="70">
        <v>51.612903225806448</v>
      </c>
      <c r="R209" s="202">
        <f>IFERROR(VLOOKUP($B:$B,Tabela_Linkedin[],2,),0)</f>
        <v>0</v>
      </c>
      <c r="S209" s="70">
        <f>SUMIF(TikTok!A:A,'Compilado 2023'!B:B,TikTok!B:B)</f>
        <v>0</v>
      </c>
      <c r="T209" s="70">
        <v>0</v>
      </c>
      <c r="U209" s="70">
        <v>0</v>
      </c>
      <c r="V209" s="59"/>
      <c r="W209" s="70">
        <v>0</v>
      </c>
      <c r="X209" s="70">
        <v>0</v>
      </c>
      <c r="Y209" s="70">
        <v>0</v>
      </c>
      <c r="Z209" s="38"/>
      <c r="AA209" s="40"/>
    </row>
    <row r="210" spans="1:27" s="2" customFormat="1" x14ac:dyDescent="0.2">
      <c r="A210" s="16" t="s">
        <v>98</v>
      </c>
      <c r="B210" s="17">
        <v>44769</v>
      </c>
      <c r="C210" s="19">
        <v>43697.78</v>
      </c>
      <c r="D210" s="52">
        <v>43697.78</v>
      </c>
      <c r="E210" s="52">
        <v>0</v>
      </c>
      <c r="F210" s="157">
        <v>185</v>
      </c>
      <c r="G210" s="157">
        <v>247</v>
      </c>
      <c r="H210" s="35">
        <v>236.2042162162162</v>
      </c>
      <c r="I210" s="19">
        <v>1293.9929032258065</v>
      </c>
      <c r="J210" s="111">
        <v>33.769721527116118</v>
      </c>
      <c r="K210" s="53">
        <v>4202</v>
      </c>
      <c r="L210" s="54">
        <v>4.4026653974297954E-2</v>
      </c>
      <c r="M210" s="59"/>
      <c r="N210" s="69">
        <v>611.41999999999996</v>
      </c>
      <c r="O210" s="70">
        <f>SUMIF(Facebook!A:A,'Compilado 2023'!B:B,Facebook!B:B)</f>
        <v>315.48</v>
      </c>
      <c r="P210" s="70">
        <v>0</v>
      </c>
      <c r="Q210" s="70">
        <v>51.612903225806448</v>
      </c>
      <c r="R210" s="202">
        <f>IFERROR(VLOOKUP($B:$B,Tabela_Linkedin[],2,),0)</f>
        <v>0</v>
      </c>
      <c r="S210" s="70">
        <f>SUMIF(TikTok!A:A,'Compilado 2023'!B:B,TikTok!B:B)</f>
        <v>0</v>
      </c>
      <c r="T210" s="70">
        <v>0</v>
      </c>
      <c r="U210" s="70">
        <v>0</v>
      </c>
      <c r="V210" s="59"/>
      <c r="W210" s="70">
        <v>0</v>
      </c>
      <c r="X210" s="70">
        <v>0</v>
      </c>
      <c r="Y210" s="70">
        <v>0</v>
      </c>
      <c r="Z210" s="38"/>
      <c r="AA210" s="40"/>
    </row>
    <row r="211" spans="1:27" s="2" customFormat="1" x14ac:dyDescent="0.2">
      <c r="A211" s="16" t="s">
        <v>99</v>
      </c>
      <c r="B211" s="17">
        <v>44770</v>
      </c>
      <c r="C211" s="19">
        <v>45484.15</v>
      </c>
      <c r="D211" s="52">
        <v>45484.15</v>
      </c>
      <c r="E211" s="52">
        <v>0</v>
      </c>
      <c r="F211" s="157">
        <v>175</v>
      </c>
      <c r="G211" s="157">
        <v>227</v>
      </c>
      <c r="H211" s="35">
        <v>259.90942857142858</v>
      </c>
      <c r="I211" s="19">
        <v>1189.7529032258062</v>
      </c>
      <c r="J211" s="111">
        <v>38.229913015280495</v>
      </c>
      <c r="K211" s="53">
        <v>4145</v>
      </c>
      <c r="L211" s="54">
        <v>4.2219541616405308E-2</v>
      </c>
      <c r="M211" s="59"/>
      <c r="N211" s="69">
        <v>620.84</v>
      </c>
      <c r="O211" s="70">
        <f>SUMIF(Facebook!A:A,'Compilado 2023'!B:B,Facebook!B:B)</f>
        <v>258.64999999999998</v>
      </c>
      <c r="P211" s="70">
        <v>0</v>
      </c>
      <c r="Q211" s="70">
        <v>51.612903225806448</v>
      </c>
      <c r="R211" s="202">
        <f>IFERROR(VLOOKUP($B:$B,Tabela_Linkedin[],2,),0)</f>
        <v>0</v>
      </c>
      <c r="S211" s="70">
        <f>SUMIF(TikTok!A:A,'Compilado 2023'!B:B,TikTok!B:B)</f>
        <v>0</v>
      </c>
      <c r="T211" s="70">
        <v>0</v>
      </c>
      <c r="U211" s="70">
        <v>0</v>
      </c>
      <c r="V211" s="59"/>
      <c r="W211" s="70">
        <v>0</v>
      </c>
      <c r="X211" s="70">
        <v>0</v>
      </c>
      <c r="Y211" s="70">
        <v>0</v>
      </c>
      <c r="Z211" s="38"/>
      <c r="AA211" s="40"/>
    </row>
    <row r="212" spans="1:27" s="2" customFormat="1" x14ac:dyDescent="0.2">
      <c r="A212" s="16" t="s">
        <v>100</v>
      </c>
      <c r="B212" s="17">
        <v>44771</v>
      </c>
      <c r="C212" s="19">
        <v>54603.91</v>
      </c>
      <c r="D212" s="52">
        <v>54603.91</v>
      </c>
      <c r="E212" s="52">
        <v>0</v>
      </c>
      <c r="F212" s="157">
        <v>214</v>
      </c>
      <c r="G212" s="157">
        <v>289</v>
      </c>
      <c r="H212" s="35">
        <v>255.15845794392524</v>
      </c>
      <c r="I212" s="19">
        <v>1065.4529032258065</v>
      </c>
      <c r="J212" s="111">
        <v>51.249482576544764</v>
      </c>
      <c r="K212" s="53">
        <v>3954</v>
      </c>
      <c r="L212" s="54">
        <v>5.4122407688416793E-2</v>
      </c>
      <c r="M212" s="59"/>
      <c r="N212" s="69">
        <v>508.54</v>
      </c>
      <c r="O212" s="70">
        <f>SUMIF(Facebook!A:A,'Compilado 2023'!B:B,Facebook!B:B)</f>
        <v>252.65</v>
      </c>
      <c r="P212" s="70">
        <v>0</v>
      </c>
      <c r="Q212" s="70">
        <v>51.612903225806448</v>
      </c>
      <c r="R212" s="202">
        <f>IFERROR(VLOOKUP($B:$B,Tabela_Linkedin[],2,),0)</f>
        <v>0</v>
      </c>
      <c r="S212" s="70">
        <f>SUMIF(TikTok!A:A,'Compilado 2023'!B:B,TikTok!B:B)</f>
        <v>0</v>
      </c>
      <c r="T212" s="70">
        <v>0</v>
      </c>
      <c r="U212" s="70">
        <v>0</v>
      </c>
      <c r="V212" s="59"/>
      <c r="W212" s="70">
        <v>0</v>
      </c>
      <c r="X212" s="70">
        <v>0</v>
      </c>
      <c r="Y212" s="70">
        <v>0</v>
      </c>
      <c r="Z212" s="38"/>
      <c r="AA212" s="40"/>
    </row>
    <row r="213" spans="1:27" s="2" customFormat="1" x14ac:dyDescent="0.2">
      <c r="A213" s="16" t="s">
        <v>94</v>
      </c>
      <c r="B213" s="17">
        <v>44772</v>
      </c>
      <c r="C213" s="19">
        <v>33714.1</v>
      </c>
      <c r="D213" s="52">
        <v>33714.1</v>
      </c>
      <c r="E213" s="52">
        <v>0</v>
      </c>
      <c r="F213" s="157">
        <v>139</v>
      </c>
      <c r="G213" s="157">
        <v>196</v>
      </c>
      <c r="H213" s="35">
        <v>242.54748201438849</v>
      </c>
      <c r="I213" s="19">
        <v>1065.4529032258065</v>
      </c>
      <c r="J213" s="111">
        <v>31.642975393774687</v>
      </c>
      <c r="K213" s="53">
        <v>2932</v>
      </c>
      <c r="L213" s="54">
        <v>4.7407912687585263E-2</v>
      </c>
      <c r="M213" s="59"/>
      <c r="N213" s="69">
        <v>398.9</v>
      </c>
      <c r="O213" s="70">
        <f>SUMIF(Facebook!A:A,'Compilado 2023'!B:B,Facebook!B:B)</f>
        <v>307.47000000000003</v>
      </c>
      <c r="P213" s="70">
        <v>0</v>
      </c>
      <c r="Q213" s="70">
        <v>51.612903225806448</v>
      </c>
      <c r="R213" s="202">
        <f>IFERROR(VLOOKUP($B:$B,Tabela_Linkedin[],2,),0)</f>
        <v>0</v>
      </c>
      <c r="S213" s="70">
        <f>SUMIF(TikTok!A:A,'Compilado 2023'!B:B,TikTok!B:B)</f>
        <v>0</v>
      </c>
      <c r="T213" s="70">
        <v>0</v>
      </c>
      <c r="U213" s="70">
        <v>0</v>
      </c>
      <c r="V213" s="59"/>
      <c r="W213" s="70">
        <v>0</v>
      </c>
      <c r="X213" s="70">
        <v>0</v>
      </c>
      <c r="Y213" s="70">
        <v>0</v>
      </c>
      <c r="Z213" s="38"/>
      <c r="AA213" s="40"/>
    </row>
    <row r="214" spans="1:27" s="2" customFormat="1" x14ac:dyDescent="0.2">
      <c r="A214" s="16" t="s">
        <v>95</v>
      </c>
      <c r="B214" s="17">
        <v>44773</v>
      </c>
      <c r="C214" s="19">
        <v>29380.99</v>
      </c>
      <c r="D214" s="52">
        <v>29380.99</v>
      </c>
      <c r="E214" s="52">
        <v>0</v>
      </c>
      <c r="F214" s="157">
        <v>129</v>
      </c>
      <c r="G214" s="157">
        <v>183</v>
      </c>
      <c r="H214" s="35">
        <v>227.75961240310079</v>
      </c>
      <c r="I214" s="19">
        <v>1028.6129032258063</v>
      </c>
      <c r="J214" s="111">
        <v>28.563699626807168</v>
      </c>
      <c r="K214" s="53">
        <v>2518</v>
      </c>
      <c r="L214" s="54">
        <v>5.1231135822081018E-2</v>
      </c>
      <c r="M214" s="59"/>
      <c r="N214" s="69">
        <v>392.58</v>
      </c>
      <c r="O214" s="70">
        <f>SUMIF(Facebook!A:A,'Compilado 2023'!B:B,Facebook!B:B)</f>
        <v>292.20999999999998</v>
      </c>
      <c r="P214" s="70">
        <v>0</v>
      </c>
      <c r="Q214" s="70">
        <v>51.612903225806448</v>
      </c>
      <c r="R214" s="202">
        <f>IFERROR(VLOOKUP($B:$B,Tabela_Linkedin[],2,),0)</f>
        <v>0</v>
      </c>
      <c r="S214" s="70">
        <f>SUMIF(TikTok!A:A,'Compilado 2023'!B:B,TikTok!B:B)</f>
        <v>0</v>
      </c>
      <c r="T214" s="70">
        <v>0</v>
      </c>
      <c r="U214" s="70">
        <v>0</v>
      </c>
      <c r="V214" s="59"/>
      <c r="W214" s="70">
        <v>0</v>
      </c>
      <c r="X214" s="70">
        <v>0</v>
      </c>
      <c r="Y214" s="70">
        <v>0</v>
      </c>
      <c r="Z214" s="38"/>
      <c r="AA214" s="40"/>
    </row>
    <row r="215" spans="1:27" s="2" customFormat="1" x14ac:dyDescent="0.2">
      <c r="A215" s="16" t="s">
        <v>96</v>
      </c>
      <c r="B215" s="17">
        <v>44774</v>
      </c>
      <c r="C215" s="19">
        <v>52333.59</v>
      </c>
      <c r="D215" s="52">
        <v>52333.59</v>
      </c>
      <c r="E215" s="52">
        <v>0</v>
      </c>
      <c r="F215" s="157">
        <v>187</v>
      </c>
      <c r="G215" s="157">
        <v>217</v>
      </c>
      <c r="H215" s="35">
        <v>279.85877005347589</v>
      </c>
      <c r="I215" s="19">
        <v>943.69290322580639</v>
      </c>
      <c r="J215" s="111">
        <v>55.456165688127086</v>
      </c>
      <c r="K215" s="53">
        <v>4452</v>
      </c>
      <c r="L215" s="54">
        <v>4.200359389038634E-2</v>
      </c>
      <c r="M215" s="59"/>
      <c r="N215" s="69">
        <v>580.66</v>
      </c>
      <c r="O215" s="70">
        <f>SUMIF(Facebook!A:A,'Compilado 2023'!B:B,Facebook!B:B)</f>
        <v>155.71</v>
      </c>
      <c r="P215" s="70">
        <v>0</v>
      </c>
      <c r="Q215" s="70">
        <v>51.612903225806448</v>
      </c>
      <c r="R215" s="202">
        <f>IFERROR(VLOOKUP($B:$B,Tabela_Linkedin[],2,),0)</f>
        <v>0</v>
      </c>
      <c r="S215" s="70">
        <f>SUMIF(TikTok!A:A,'Compilado 2023'!B:B,TikTok!B:B)</f>
        <v>0</v>
      </c>
      <c r="T215" s="70">
        <v>0</v>
      </c>
      <c r="U215" s="70">
        <v>0</v>
      </c>
      <c r="V215" s="59"/>
      <c r="W215" s="70">
        <v>0</v>
      </c>
      <c r="X215" s="70">
        <v>0</v>
      </c>
      <c r="Y215" s="70">
        <v>0</v>
      </c>
      <c r="Z215" s="38"/>
      <c r="AA215" s="40"/>
    </row>
    <row r="216" spans="1:27" s="2" customFormat="1" x14ac:dyDescent="0.2">
      <c r="A216" s="16" t="s">
        <v>97</v>
      </c>
      <c r="B216" s="17">
        <v>44775</v>
      </c>
      <c r="C216" s="19">
        <v>45930.39</v>
      </c>
      <c r="D216" s="52">
        <v>45930.39</v>
      </c>
      <c r="E216" s="52">
        <v>0</v>
      </c>
      <c r="F216" s="157">
        <v>158</v>
      </c>
      <c r="G216" s="157">
        <v>218</v>
      </c>
      <c r="H216" s="35">
        <v>290.69867088607594</v>
      </c>
      <c r="I216" s="19">
        <v>957.54290322580653</v>
      </c>
      <c r="J216" s="111">
        <v>47.966926437727203</v>
      </c>
      <c r="K216" s="53">
        <v>4378</v>
      </c>
      <c r="L216" s="54">
        <v>3.6089538602101415E-2</v>
      </c>
      <c r="M216" s="59"/>
      <c r="N216" s="69">
        <v>600.57000000000005</v>
      </c>
      <c r="O216" s="70">
        <f>SUMIF(Facebook!A:A,'Compilado 2023'!B:B,Facebook!B:B)</f>
        <v>152.68</v>
      </c>
      <c r="P216" s="70">
        <v>0</v>
      </c>
      <c r="Q216" s="70">
        <v>51.612903225806448</v>
      </c>
      <c r="R216" s="202">
        <f>IFERROR(VLOOKUP($B:$B,Tabela_Linkedin[],2,),0)</f>
        <v>0</v>
      </c>
      <c r="S216" s="70">
        <f>SUMIF(TikTok!A:A,'Compilado 2023'!B:B,TikTok!B:B)</f>
        <v>0</v>
      </c>
      <c r="T216" s="70">
        <v>0</v>
      </c>
      <c r="U216" s="70">
        <v>0</v>
      </c>
      <c r="V216" s="59"/>
      <c r="W216" s="70">
        <v>0</v>
      </c>
      <c r="X216" s="70">
        <v>0</v>
      </c>
      <c r="Y216" s="70">
        <v>0</v>
      </c>
      <c r="Z216" s="38"/>
      <c r="AA216" s="40"/>
    </row>
    <row r="217" spans="1:27" s="2" customFormat="1" x14ac:dyDescent="0.2">
      <c r="A217" s="16" t="s">
        <v>98</v>
      </c>
      <c r="B217" s="17">
        <v>44776</v>
      </c>
      <c r="C217" s="19">
        <v>45753.91</v>
      </c>
      <c r="D217" s="52">
        <v>45753.91</v>
      </c>
      <c r="E217" s="52">
        <v>0</v>
      </c>
      <c r="F217" s="157">
        <v>152</v>
      </c>
      <c r="G217" s="157">
        <v>185</v>
      </c>
      <c r="H217" s="35">
        <v>301.01256578947368</v>
      </c>
      <c r="I217" s="19">
        <v>1022.1729032258064</v>
      </c>
      <c r="J217" s="111">
        <v>44.761419379841051</v>
      </c>
      <c r="K217" s="53">
        <v>4182</v>
      </c>
      <c r="L217" s="54">
        <v>3.6346245815399331E-2</v>
      </c>
      <c r="M217" s="59"/>
      <c r="N217" s="69">
        <v>584.9</v>
      </c>
      <c r="O217" s="70">
        <f>SUMIF(Facebook!A:A,'Compilado 2023'!B:B,Facebook!B:B)</f>
        <v>192.83</v>
      </c>
      <c r="P217" s="70">
        <v>0</v>
      </c>
      <c r="Q217" s="70">
        <v>51.612903225806448</v>
      </c>
      <c r="R217" s="202">
        <f>IFERROR(VLOOKUP($B:$B,Tabela_Linkedin[],2,),0)</f>
        <v>0</v>
      </c>
      <c r="S217" s="70">
        <f>SUMIF(TikTok!A:A,'Compilado 2023'!B:B,TikTok!B:B)</f>
        <v>0</v>
      </c>
      <c r="T217" s="70">
        <v>0</v>
      </c>
      <c r="U217" s="70">
        <v>0</v>
      </c>
      <c r="V217" s="59"/>
      <c r="W217" s="70">
        <v>0</v>
      </c>
      <c r="X217" s="70">
        <v>0</v>
      </c>
      <c r="Y217" s="70">
        <v>0</v>
      </c>
      <c r="Z217" s="38"/>
      <c r="AA217" s="40"/>
    </row>
    <row r="218" spans="1:27" s="2" customFormat="1" x14ac:dyDescent="0.2">
      <c r="A218" s="16" t="s">
        <v>99</v>
      </c>
      <c r="B218" s="17">
        <v>44777</v>
      </c>
      <c r="C218" s="19">
        <v>44512.45</v>
      </c>
      <c r="D218" s="52">
        <v>44512.45</v>
      </c>
      <c r="E218" s="52">
        <v>0</v>
      </c>
      <c r="F218" s="157">
        <v>164</v>
      </c>
      <c r="G218" s="157">
        <v>195</v>
      </c>
      <c r="H218" s="35">
        <v>271.41737804878045</v>
      </c>
      <c r="I218" s="19">
        <v>1120.0629032258064</v>
      </c>
      <c r="J218" s="111">
        <v>39.741026929651127</v>
      </c>
      <c r="K218" s="53">
        <v>4335</v>
      </c>
      <c r="L218" s="54">
        <v>3.7831603229527104E-2</v>
      </c>
      <c r="M218" s="59"/>
      <c r="N218" s="69">
        <v>572.59</v>
      </c>
      <c r="O218" s="70">
        <f>SUMIF(Facebook!A:A,'Compilado 2023'!B:B,Facebook!B:B)</f>
        <v>247.93</v>
      </c>
      <c r="P218" s="70">
        <v>0</v>
      </c>
      <c r="Q218" s="70">
        <v>51.612903225806448</v>
      </c>
      <c r="R218" s="202">
        <f>IFERROR(VLOOKUP($B:$B,Tabela_Linkedin[],2,),0)</f>
        <v>0</v>
      </c>
      <c r="S218" s="70">
        <f>SUMIF(TikTok!A:A,'Compilado 2023'!B:B,TikTok!B:B)</f>
        <v>0</v>
      </c>
      <c r="T218" s="70">
        <v>0</v>
      </c>
      <c r="U218" s="70">
        <v>0</v>
      </c>
      <c r="V218" s="59"/>
      <c r="W218" s="70">
        <v>0</v>
      </c>
      <c r="X218" s="70">
        <v>0</v>
      </c>
      <c r="Y218" s="70">
        <v>0</v>
      </c>
      <c r="Z218" s="38"/>
      <c r="AA218" s="40"/>
    </row>
    <row r="219" spans="1:27" s="2" customFormat="1" x14ac:dyDescent="0.2">
      <c r="A219" s="16" t="s">
        <v>100</v>
      </c>
      <c r="B219" s="17">
        <v>44778</v>
      </c>
      <c r="C219" s="19">
        <v>45445.14</v>
      </c>
      <c r="D219" s="52">
        <v>45445.14</v>
      </c>
      <c r="E219" s="52">
        <v>0</v>
      </c>
      <c r="F219" s="157">
        <v>170</v>
      </c>
      <c r="G219" s="157">
        <v>225</v>
      </c>
      <c r="H219" s="35">
        <v>267.32435294117647</v>
      </c>
      <c r="I219" s="19">
        <v>1180.6429032258065</v>
      </c>
      <c r="J219" s="111">
        <v>38.49185886421094</v>
      </c>
      <c r="K219" s="53">
        <v>4281</v>
      </c>
      <c r="L219" s="54">
        <v>3.9710348049521137E-2</v>
      </c>
      <c r="M219" s="59"/>
      <c r="N219" s="69">
        <v>600.07000000000005</v>
      </c>
      <c r="O219" s="70">
        <f>SUMIF(Facebook!A:A,'Compilado 2023'!B:B,Facebook!B:B)</f>
        <v>264.48</v>
      </c>
      <c r="P219" s="70">
        <v>0</v>
      </c>
      <c r="Q219" s="70">
        <v>51.612903225806448</v>
      </c>
      <c r="R219" s="202">
        <f>IFERROR(VLOOKUP($B:$B,Tabela_Linkedin[],2,),0)</f>
        <v>0</v>
      </c>
      <c r="S219" s="70">
        <f>SUMIF(TikTok!A:A,'Compilado 2023'!B:B,TikTok!B:B)</f>
        <v>0</v>
      </c>
      <c r="T219" s="70">
        <v>0</v>
      </c>
      <c r="U219" s="70">
        <v>0</v>
      </c>
      <c r="V219" s="59"/>
      <c r="W219" s="70">
        <v>0</v>
      </c>
      <c r="X219" s="70">
        <v>0</v>
      </c>
      <c r="Y219" s="70">
        <v>0</v>
      </c>
      <c r="Z219" s="38"/>
      <c r="AA219" s="40"/>
    </row>
    <row r="220" spans="1:27" s="2" customFormat="1" x14ac:dyDescent="0.2">
      <c r="A220" s="16" t="s">
        <v>94</v>
      </c>
      <c r="B220" s="17">
        <v>44779</v>
      </c>
      <c r="C220" s="19">
        <v>30357.829999999998</v>
      </c>
      <c r="D220" s="52">
        <v>30290.46</v>
      </c>
      <c r="E220" s="52">
        <v>67.37</v>
      </c>
      <c r="F220" s="157">
        <v>125</v>
      </c>
      <c r="G220" s="157">
        <v>153</v>
      </c>
      <c r="H220" s="35">
        <v>242.86264</v>
      </c>
      <c r="I220" s="19">
        <v>1184.0229032258062</v>
      </c>
      <c r="J220" s="111">
        <v>25.639563151432068</v>
      </c>
      <c r="K220" s="53">
        <v>3263</v>
      </c>
      <c r="L220" s="54">
        <v>3.8308305240576157E-2</v>
      </c>
      <c r="M220" s="59"/>
      <c r="N220" s="69">
        <v>558.65</v>
      </c>
      <c r="O220" s="70">
        <f>SUMIF(Facebook!A:A,'Compilado 2023'!B:B,Facebook!B:B)</f>
        <v>286.88</v>
      </c>
      <c r="P220" s="70">
        <v>0</v>
      </c>
      <c r="Q220" s="70">
        <v>51.612903225806448</v>
      </c>
      <c r="R220" s="202">
        <f>IFERROR(VLOOKUP($B:$B,Tabela_Linkedin[],2,),0)</f>
        <v>0</v>
      </c>
      <c r="S220" s="70">
        <f>SUMIF(TikTok!A:A,'Compilado 2023'!B:B,TikTok!B:B)</f>
        <v>0</v>
      </c>
      <c r="T220" s="70">
        <v>0</v>
      </c>
      <c r="U220" s="70">
        <v>0</v>
      </c>
      <c r="V220" s="59"/>
      <c r="W220" s="70">
        <v>0</v>
      </c>
      <c r="X220" s="70">
        <v>0</v>
      </c>
      <c r="Y220" s="70">
        <v>0</v>
      </c>
      <c r="Z220" s="38"/>
      <c r="AA220" s="40"/>
    </row>
    <row r="221" spans="1:27" s="2" customFormat="1" x14ac:dyDescent="0.2">
      <c r="A221" s="16" t="s">
        <v>95</v>
      </c>
      <c r="B221" s="17">
        <v>44780</v>
      </c>
      <c r="C221" s="19">
        <v>24401.55</v>
      </c>
      <c r="D221" s="52">
        <v>24401.55</v>
      </c>
      <c r="E221" s="52">
        <v>0</v>
      </c>
      <c r="F221" s="157">
        <v>84</v>
      </c>
      <c r="G221" s="157">
        <v>98</v>
      </c>
      <c r="H221" s="35">
        <v>290.49464285714282</v>
      </c>
      <c r="I221" s="19">
        <v>1220.2229032258062</v>
      </c>
      <c r="J221" s="111">
        <v>19.997616775993603</v>
      </c>
      <c r="K221" s="53">
        <v>2756</v>
      </c>
      <c r="L221" s="54">
        <v>3.0478955007256895E-2</v>
      </c>
      <c r="M221" s="59"/>
      <c r="N221" s="69">
        <v>529.92999999999995</v>
      </c>
      <c r="O221" s="70">
        <f>SUMIF(Facebook!A:A,'Compilado 2023'!B:B,Facebook!B:B)</f>
        <v>319.33999999999997</v>
      </c>
      <c r="P221" s="70">
        <v>0</v>
      </c>
      <c r="Q221" s="70">
        <v>51.612903225806448</v>
      </c>
      <c r="R221" s="202">
        <f>IFERROR(VLOOKUP($B:$B,Tabela_Linkedin[],2,),0)</f>
        <v>0</v>
      </c>
      <c r="S221" s="70">
        <f>SUMIF(TikTok!A:A,'Compilado 2023'!B:B,TikTok!B:B)</f>
        <v>0</v>
      </c>
      <c r="T221" s="70">
        <v>0</v>
      </c>
      <c r="U221" s="70">
        <v>0</v>
      </c>
      <c r="V221" s="59"/>
      <c r="W221" s="70">
        <v>0</v>
      </c>
      <c r="X221" s="70">
        <v>0</v>
      </c>
      <c r="Y221" s="70">
        <v>0</v>
      </c>
      <c r="Z221" s="38"/>
      <c r="AA221" s="40"/>
    </row>
    <row r="222" spans="1:27" s="2" customFormat="1" x14ac:dyDescent="0.2">
      <c r="A222" s="16" t="s">
        <v>96</v>
      </c>
      <c r="B222" s="17">
        <v>44781</v>
      </c>
      <c r="C222" s="19">
        <v>61070.12</v>
      </c>
      <c r="D222" s="52">
        <v>61038.25</v>
      </c>
      <c r="E222" s="52">
        <v>31.87</v>
      </c>
      <c r="F222" s="157">
        <v>192</v>
      </c>
      <c r="G222" s="157">
        <v>236</v>
      </c>
      <c r="H222" s="35">
        <v>318.0735416666667</v>
      </c>
      <c r="I222" s="19">
        <v>1282.3629032258063</v>
      </c>
      <c r="J222" s="111">
        <v>47.623118109840085</v>
      </c>
      <c r="K222" s="53">
        <v>4353</v>
      </c>
      <c r="L222" s="54">
        <v>4.4107512060647829E-2</v>
      </c>
      <c r="M222" s="59"/>
      <c r="N222" s="69">
        <v>627.21</v>
      </c>
      <c r="O222" s="70">
        <f>SUMIF(Facebook!A:A,'Compilado 2023'!B:B,Facebook!B:B)</f>
        <v>301.77</v>
      </c>
      <c r="P222" s="70">
        <v>0</v>
      </c>
      <c r="Q222" s="70">
        <v>51.612903225806448</v>
      </c>
      <c r="R222" s="202">
        <f>IFERROR(VLOOKUP($B:$B,Tabela_Linkedin[],2,),0)</f>
        <v>0</v>
      </c>
      <c r="S222" s="70">
        <f>SUMIF(TikTok!A:A,'Compilado 2023'!B:B,TikTok!B:B)</f>
        <v>0</v>
      </c>
      <c r="T222" s="70">
        <v>0</v>
      </c>
      <c r="U222" s="70">
        <v>0</v>
      </c>
      <c r="V222" s="59"/>
      <c r="W222" s="70">
        <v>0</v>
      </c>
      <c r="X222" s="70">
        <v>0</v>
      </c>
      <c r="Y222" s="70">
        <v>0</v>
      </c>
      <c r="Z222" s="38"/>
      <c r="AA222" s="40"/>
    </row>
    <row r="223" spans="1:27" s="2" customFormat="1" x14ac:dyDescent="0.2">
      <c r="A223" s="16" t="s">
        <v>97</v>
      </c>
      <c r="B223" s="17">
        <v>44782</v>
      </c>
      <c r="C223" s="19">
        <v>59006.1</v>
      </c>
      <c r="D223" s="52">
        <v>59006.1</v>
      </c>
      <c r="E223" s="52">
        <v>0</v>
      </c>
      <c r="F223" s="157">
        <v>199</v>
      </c>
      <c r="G223" s="157">
        <v>251</v>
      </c>
      <c r="H223" s="35">
        <v>296.51306532663318</v>
      </c>
      <c r="I223" s="19">
        <v>1276.1529032258063</v>
      </c>
      <c r="J223" s="111">
        <v>46.237484435326543</v>
      </c>
      <c r="K223" s="53">
        <v>4293</v>
      </c>
      <c r="L223" s="54">
        <v>4.6354530631260188E-2</v>
      </c>
      <c r="M223" s="59"/>
      <c r="N223" s="69">
        <v>574.20000000000005</v>
      </c>
      <c r="O223" s="70">
        <f>SUMIF(Facebook!A:A,'Compilado 2023'!B:B,Facebook!B:B)</f>
        <v>325.17</v>
      </c>
      <c r="P223" s="70">
        <v>0</v>
      </c>
      <c r="Q223" s="70">
        <v>51.612903225806448</v>
      </c>
      <c r="R223" s="202">
        <f>IFERROR(VLOOKUP($B:$B,Tabela_Linkedin[],2,),0)</f>
        <v>0</v>
      </c>
      <c r="S223" s="70">
        <f>SUMIF(TikTok!A:A,'Compilado 2023'!B:B,TikTok!B:B)</f>
        <v>0</v>
      </c>
      <c r="T223" s="70">
        <v>0</v>
      </c>
      <c r="U223" s="70">
        <v>0</v>
      </c>
      <c r="V223" s="59"/>
      <c r="W223" s="70">
        <v>0</v>
      </c>
      <c r="X223" s="70">
        <v>0</v>
      </c>
      <c r="Y223" s="70">
        <v>0</v>
      </c>
      <c r="Z223" s="38"/>
      <c r="AA223" s="40"/>
    </row>
    <row r="224" spans="1:27" s="2" customFormat="1" x14ac:dyDescent="0.2">
      <c r="A224" s="16" t="s">
        <v>98</v>
      </c>
      <c r="B224" s="17">
        <v>44783</v>
      </c>
      <c r="C224" s="19">
        <v>57417.25</v>
      </c>
      <c r="D224" s="52">
        <v>57417.25</v>
      </c>
      <c r="E224" s="52">
        <v>0</v>
      </c>
      <c r="F224" s="157">
        <v>211</v>
      </c>
      <c r="G224" s="157">
        <v>246</v>
      </c>
      <c r="H224" s="35">
        <v>272.11966824644549</v>
      </c>
      <c r="I224" s="19">
        <v>1487.8529032258064</v>
      </c>
      <c r="J224" s="111">
        <v>38.590676454314774</v>
      </c>
      <c r="K224" s="53">
        <v>4130</v>
      </c>
      <c r="L224" s="54">
        <v>5.1089588377723968E-2</v>
      </c>
      <c r="M224" s="59"/>
      <c r="N224" s="69">
        <v>587.58000000000004</v>
      </c>
      <c r="O224" s="70">
        <f>SUMIF(Facebook!A:A,'Compilado 2023'!B:B,Facebook!B:B)</f>
        <v>424.33</v>
      </c>
      <c r="P224" s="70">
        <v>0</v>
      </c>
      <c r="Q224" s="70">
        <v>51.612903225806448</v>
      </c>
      <c r="R224" s="202">
        <f>IFERROR(VLOOKUP($B:$B,Tabela_Linkedin[],2,),0)</f>
        <v>0</v>
      </c>
      <c r="S224" s="70">
        <f>SUMIF(TikTok!A:A,'Compilado 2023'!B:B,TikTok!B:B)</f>
        <v>0</v>
      </c>
      <c r="T224" s="70">
        <v>0</v>
      </c>
      <c r="U224" s="70">
        <v>0</v>
      </c>
      <c r="V224" s="59"/>
      <c r="W224" s="70">
        <v>0</v>
      </c>
      <c r="X224" s="70">
        <v>0</v>
      </c>
      <c r="Y224" s="70">
        <v>0</v>
      </c>
      <c r="Z224" s="38"/>
      <c r="AA224" s="40"/>
    </row>
    <row r="225" spans="1:27" s="2" customFormat="1" x14ac:dyDescent="0.2">
      <c r="A225" s="16" t="s">
        <v>99</v>
      </c>
      <c r="B225" s="17">
        <v>44784</v>
      </c>
      <c r="C225" s="19">
        <v>56325.450000000004</v>
      </c>
      <c r="D225" s="52">
        <v>56301.440000000002</v>
      </c>
      <c r="E225" s="52">
        <v>24.01</v>
      </c>
      <c r="F225" s="157">
        <v>201</v>
      </c>
      <c r="G225" s="157">
        <v>266</v>
      </c>
      <c r="H225" s="35">
        <v>280.22611940298509</v>
      </c>
      <c r="I225" s="19">
        <v>1464.6229032258063</v>
      </c>
      <c r="J225" s="111">
        <v>38.457305205281294</v>
      </c>
      <c r="K225" s="53">
        <v>4014</v>
      </c>
      <c r="L225" s="54">
        <v>5.0074738415545592E-2</v>
      </c>
      <c r="M225" s="59"/>
      <c r="N225" s="69">
        <v>583.79</v>
      </c>
      <c r="O225" s="70">
        <f>SUMIF(Facebook!A:A,'Compilado 2023'!B:B,Facebook!B:B)</f>
        <v>414.61</v>
      </c>
      <c r="P225" s="70">
        <v>0</v>
      </c>
      <c r="Q225" s="70">
        <v>51.612903225806448</v>
      </c>
      <c r="R225" s="202">
        <f>IFERROR(VLOOKUP($B:$B,Tabela_Linkedin[],2,),0)</f>
        <v>0</v>
      </c>
      <c r="S225" s="70">
        <f>SUMIF(TikTok!A:A,'Compilado 2023'!B:B,TikTok!B:B)</f>
        <v>0</v>
      </c>
      <c r="T225" s="70">
        <v>0</v>
      </c>
      <c r="U225" s="70">
        <v>0</v>
      </c>
      <c r="V225" s="59"/>
      <c r="W225" s="70">
        <v>0</v>
      </c>
      <c r="X225" s="70">
        <v>0</v>
      </c>
      <c r="Y225" s="70">
        <v>0</v>
      </c>
      <c r="Z225" s="38"/>
      <c r="AA225" s="40"/>
    </row>
    <row r="226" spans="1:27" s="2" customFormat="1" x14ac:dyDescent="0.2">
      <c r="A226" s="16" t="s">
        <v>100</v>
      </c>
      <c r="B226" s="17">
        <v>44785</v>
      </c>
      <c r="C226" s="19">
        <v>81631.37</v>
      </c>
      <c r="D226" s="52">
        <v>81631.37</v>
      </c>
      <c r="E226" s="52">
        <v>0</v>
      </c>
      <c r="F226" s="157">
        <v>291</v>
      </c>
      <c r="G226" s="157">
        <v>364</v>
      </c>
      <c r="H226" s="35">
        <v>280.52017182130584</v>
      </c>
      <c r="I226" s="19">
        <v>1552.8329032258064</v>
      </c>
      <c r="J226" s="111">
        <v>52.569320131239841</v>
      </c>
      <c r="K226" s="53">
        <v>4219</v>
      </c>
      <c r="L226" s="54">
        <v>6.8973690447973454E-2</v>
      </c>
      <c r="M226" s="59"/>
      <c r="N226" s="69">
        <v>578.58000000000004</v>
      </c>
      <c r="O226" s="70">
        <f>SUMIF(Facebook!A:A,'Compilado 2023'!B:B,Facebook!B:B)</f>
        <v>461.32</v>
      </c>
      <c r="P226" s="70">
        <v>0</v>
      </c>
      <c r="Q226" s="70">
        <v>51.612903225806448</v>
      </c>
      <c r="R226" s="202">
        <f>IFERROR(VLOOKUP($B:$B,Tabela_Linkedin[],2,),0)</f>
        <v>0</v>
      </c>
      <c r="S226" s="70">
        <f>SUMIF(TikTok!A:A,'Compilado 2023'!B:B,TikTok!B:B)</f>
        <v>0</v>
      </c>
      <c r="T226" s="70">
        <v>0</v>
      </c>
      <c r="U226" s="70">
        <v>0</v>
      </c>
      <c r="V226" s="59"/>
      <c r="W226" s="70">
        <v>0</v>
      </c>
      <c r="X226" s="70">
        <v>0</v>
      </c>
      <c r="Y226" s="70">
        <v>0</v>
      </c>
      <c r="Z226" s="38"/>
      <c r="AA226" s="40"/>
    </row>
    <row r="227" spans="1:27" s="2" customFormat="1" x14ac:dyDescent="0.2">
      <c r="A227" s="16" t="s">
        <v>94</v>
      </c>
      <c r="B227" s="17">
        <v>44786</v>
      </c>
      <c r="C227" s="19">
        <v>64479.040000000001</v>
      </c>
      <c r="D227" s="52">
        <v>64479.040000000001</v>
      </c>
      <c r="E227" s="52">
        <v>0</v>
      </c>
      <c r="F227" s="157">
        <v>242</v>
      </c>
      <c r="G227" s="157">
        <v>273</v>
      </c>
      <c r="H227" s="35">
        <v>266.4423140495868</v>
      </c>
      <c r="I227" s="19">
        <v>1508.0829032258061</v>
      </c>
      <c r="J227" s="111">
        <v>42.755633567676298</v>
      </c>
      <c r="K227" s="53">
        <v>3373</v>
      </c>
      <c r="L227" s="54">
        <v>7.1746219982211687E-2</v>
      </c>
      <c r="M227" s="59"/>
      <c r="N227" s="69">
        <v>529.79</v>
      </c>
      <c r="O227" s="70">
        <f>SUMIF(Facebook!A:A,'Compilado 2023'!B:B,Facebook!B:B)</f>
        <v>463.34</v>
      </c>
      <c r="P227" s="70">
        <v>0</v>
      </c>
      <c r="Q227" s="70">
        <v>51.612903225806448</v>
      </c>
      <c r="R227" s="202">
        <f>IFERROR(VLOOKUP($B:$B,Tabela_Linkedin[],2,),0)</f>
        <v>0</v>
      </c>
      <c r="S227" s="70">
        <f>SUMIF(TikTok!A:A,'Compilado 2023'!B:B,TikTok!B:B)</f>
        <v>0</v>
      </c>
      <c r="T227" s="70">
        <v>0</v>
      </c>
      <c r="U227" s="70">
        <v>0</v>
      </c>
      <c r="V227" s="59"/>
      <c r="W227" s="70">
        <v>0</v>
      </c>
      <c r="X227" s="70">
        <v>0</v>
      </c>
      <c r="Y227" s="70">
        <v>0</v>
      </c>
      <c r="Z227" s="38"/>
      <c r="AA227" s="40"/>
    </row>
    <row r="228" spans="1:27" s="2" customFormat="1" x14ac:dyDescent="0.2">
      <c r="A228" s="16" t="s">
        <v>95</v>
      </c>
      <c r="B228" s="17">
        <v>44787</v>
      </c>
      <c r="C228" s="19">
        <v>61507.839999999997</v>
      </c>
      <c r="D228" s="52">
        <v>61507.839999999997</v>
      </c>
      <c r="E228" s="52">
        <v>0</v>
      </c>
      <c r="F228" s="157">
        <v>230</v>
      </c>
      <c r="G228" s="157">
        <v>263</v>
      </c>
      <c r="H228" s="35">
        <v>267.42539130434778</v>
      </c>
      <c r="I228" s="19">
        <v>1979.5829032258064</v>
      </c>
      <c r="J228" s="111">
        <v>31.071110939466394</v>
      </c>
      <c r="K228" s="53">
        <v>2660</v>
      </c>
      <c r="L228" s="54">
        <v>8.646616541353383E-2</v>
      </c>
      <c r="M228" s="59"/>
      <c r="N228" s="69">
        <v>542.69000000000005</v>
      </c>
      <c r="O228" s="70">
        <f>SUMIF(Facebook!A:A,'Compilado 2023'!B:B,Facebook!B:B)</f>
        <v>692.64</v>
      </c>
      <c r="P228" s="70">
        <v>0</v>
      </c>
      <c r="Q228" s="70">
        <v>51.612903225806448</v>
      </c>
      <c r="R228" s="202">
        <f>IFERROR(VLOOKUP($B:$B,Tabela_Linkedin[],2,),0)</f>
        <v>0</v>
      </c>
      <c r="S228" s="70">
        <f>SUMIF(TikTok!A:A,'Compilado 2023'!B:B,TikTok!B:B)</f>
        <v>0</v>
      </c>
      <c r="T228" s="70">
        <v>0</v>
      </c>
      <c r="U228" s="70">
        <v>0</v>
      </c>
      <c r="V228" s="59"/>
      <c r="W228" s="70">
        <v>0</v>
      </c>
      <c r="X228" s="70">
        <v>0</v>
      </c>
      <c r="Y228" s="70">
        <v>0</v>
      </c>
      <c r="Z228" s="38"/>
      <c r="AA228" s="40"/>
    </row>
    <row r="229" spans="1:27" s="2" customFormat="1" x14ac:dyDescent="0.2">
      <c r="A229" s="16" t="s">
        <v>96</v>
      </c>
      <c r="B229" s="17">
        <v>44788</v>
      </c>
      <c r="C229" s="19">
        <v>71912</v>
      </c>
      <c r="D229" s="52">
        <v>71912</v>
      </c>
      <c r="E229" s="52">
        <v>0</v>
      </c>
      <c r="F229" s="157">
        <v>341</v>
      </c>
      <c r="G229" s="157">
        <v>500</v>
      </c>
      <c r="H229" s="35">
        <v>210.88563049853371</v>
      </c>
      <c r="I229" s="19">
        <v>1684.6929032258063</v>
      </c>
      <c r="J229" s="111">
        <v>42.68552438388312</v>
      </c>
      <c r="K229" s="53">
        <v>5224</v>
      </c>
      <c r="L229" s="54">
        <v>6.5275650842266469E-2</v>
      </c>
      <c r="M229" s="59"/>
      <c r="N229" s="69">
        <v>601.98</v>
      </c>
      <c r="O229" s="70">
        <f>SUMIF(Facebook!A:A,'Compilado 2023'!B:B,Facebook!B:B)</f>
        <v>515.54999999999995</v>
      </c>
      <c r="P229" s="70">
        <v>0</v>
      </c>
      <c r="Q229" s="70">
        <v>51.612903225806448</v>
      </c>
      <c r="R229" s="202">
        <f>IFERROR(VLOOKUP($B:$B,Tabela_Linkedin[],2,),0)</f>
        <v>0</v>
      </c>
      <c r="S229" s="70">
        <f>SUMIF(TikTok!A:A,'Compilado 2023'!B:B,TikTok!B:B)</f>
        <v>0</v>
      </c>
      <c r="T229" s="70">
        <v>0</v>
      </c>
      <c r="U229" s="70">
        <v>0</v>
      </c>
      <c r="V229" s="59"/>
      <c r="W229" s="70">
        <v>0</v>
      </c>
      <c r="X229" s="70">
        <v>0</v>
      </c>
      <c r="Y229" s="70">
        <v>0</v>
      </c>
      <c r="Z229" s="38"/>
      <c r="AA229" s="40"/>
    </row>
    <row r="230" spans="1:27" s="2" customFormat="1" x14ac:dyDescent="0.2">
      <c r="A230" s="16" t="s">
        <v>97</v>
      </c>
      <c r="B230" s="17">
        <v>44789</v>
      </c>
      <c r="C230" s="19">
        <v>55887</v>
      </c>
      <c r="D230" s="52">
        <v>55887</v>
      </c>
      <c r="E230" s="52">
        <v>0</v>
      </c>
      <c r="F230" s="157">
        <v>245</v>
      </c>
      <c r="G230" s="157">
        <v>326</v>
      </c>
      <c r="H230" s="35">
        <v>228.11020408163265</v>
      </c>
      <c r="I230" s="19">
        <v>1195.9729032258065</v>
      </c>
      <c r="J230" s="111">
        <v>46.729319576773236</v>
      </c>
      <c r="K230" s="53">
        <v>4660</v>
      </c>
      <c r="L230" s="54">
        <v>5.257510729613734E-2</v>
      </c>
      <c r="M230" s="59"/>
      <c r="N230" s="69">
        <v>580.84</v>
      </c>
      <c r="O230" s="70">
        <f>SUMIF(Facebook!A:A,'Compilado 2023'!B:B,Facebook!B:B)</f>
        <v>281.76</v>
      </c>
      <c r="P230" s="70">
        <v>0</v>
      </c>
      <c r="Q230" s="70">
        <v>51.612903225806448</v>
      </c>
      <c r="R230" s="202">
        <f>IFERROR(VLOOKUP($B:$B,Tabela_Linkedin[],2,),0)</f>
        <v>0</v>
      </c>
      <c r="S230" s="70">
        <f>SUMIF(TikTok!A:A,'Compilado 2023'!B:B,TikTok!B:B)</f>
        <v>0</v>
      </c>
      <c r="T230" s="70">
        <v>0</v>
      </c>
      <c r="U230" s="70">
        <v>0</v>
      </c>
      <c r="V230" s="59"/>
      <c r="W230" s="70">
        <v>0</v>
      </c>
      <c r="X230" s="70">
        <v>0</v>
      </c>
      <c r="Y230" s="70">
        <v>0</v>
      </c>
      <c r="Z230" s="38"/>
      <c r="AA230" s="40"/>
    </row>
    <row r="231" spans="1:27" s="2" customFormat="1" x14ac:dyDescent="0.2">
      <c r="A231" s="16" t="s">
        <v>98</v>
      </c>
      <c r="B231" s="17">
        <v>44790</v>
      </c>
      <c r="C231" s="19">
        <v>48064.41</v>
      </c>
      <c r="D231" s="52">
        <v>48064.41</v>
      </c>
      <c r="E231" s="52">
        <v>0</v>
      </c>
      <c r="F231" s="157">
        <v>206</v>
      </c>
      <c r="G231" s="157">
        <v>262</v>
      </c>
      <c r="H231" s="35">
        <v>233.32237864077672</v>
      </c>
      <c r="I231" s="19">
        <v>1081.1829032258063</v>
      </c>
      <c r="J231" s="111">
        <v>44.455392197375225</v>
      </c>
      <c r="K231" s="53">
        <v>4671</v>
      </c>
      <c r="L231" s="54">
        <v>4.4101905373581676E-2</v>
      </c>
      <c r="M231" s="59"/>
      <c r="N231" s="69">
        <v>584.13</v>
      </c>
      <c r="O231" s="70">
        <f>SUMIF(Facebook!A:A,'Compilado 2023'!B:B,Facebook!B:B)</f>
        <v>222.72</v>
      </c>
      <c r="P231" s="70">
        <v>0</v>
      </c>
      <c r="Q231" s="70">
        <v>51.612903225806448</v>
      </c>
      <c r="R231" s="202">
        <f>IFERROR(VLOOKUP($B:$B,Tabela_Linkedin[],2,),0)</f>
        <v>0</v>
      </c>
      <c r="S231" s="70">
        <f>SUMIF(TikTok!A:A,'Compilado 2023'!B:B,TikTok!B:B)</f>
        <v>0</v>
      </c>
      <c r="T231" s="70">
        <v>0</v>
      </c>
      <c r="U231" s="70">
        <v>0</v>
      </c>
      <c r="V231" s="59"/>
      <c r="W231" s="70">
        <v>0</v>
      </c>
      <c r="X231" s="70">
        <v>0</v>
      </c>
      <c r="Y231" s="70">
        <v>0</v>
      </c>
      <c r="Z231" s="38"/>
      <c r="AA231" s="40"/>
    </row>
    <row r="232" spans="1:27" s="2" customFormat="1" x14ac:dyDescent="0.2">
      <c r="A232" s="16" t="s">
        <v>99</v>
      </c>
      <c r="B232" s="17">
        <v>44791</v>
      </c>
      <c r="C232" s="19">
        <v>50528.83</v>
      </c>
      <c r="D232" s="52">
        <v>50528.83</v>
      </c>
      <c r="E232" s="52">
        <v>0</v>
      </c>
      <c r="F232" s="157">
        <v>174</v>
      </c>
      <c r="G232" s="157">
        <v>237</v>
      </c>
      <c r="H232" s="35">
        <v>290.39557471264368</v>
      </c>
      <c r="I232" s="19">
        <v>1087.3129032258064</v>
      </c>
      <c r="J232" s="111">
        <v>46.471287014154463</v>
      </c>
      <c r="K232" s="53">
        <v>4160</v>
      </c>
      <c r="L232" s="54">
        <v>4.1826923076923074E-2</v>
      </c>
      <c r="M232" s="59"/>
      <c r="N232" s="69">
        <v>590.08000000000004</v>
      </c>
      <c r="O232" s="70">
        <f>SUMIF(Facebook!A:A,'Compilado 2023'!B:B,Facebook!B:B)</f>
        <v>222.81</v>
      </c>
      <c r="P232" s="70">
        <v>0</v>
      </c>
      <c r="Q232" s="70">
        <v>51.612903225806448</v>
      </c>
      <c r="R232" s="202">
        <f>IFERROR(VLOOKUP($B:$B,Tabela_Linkedin[],2,),0)</f>
        <v>0</v>
      </c>
      <c r="S232" s="70">
        <f>SUMIF(TikTok!A:A,'Compilado 2023'!B:B,TikTok!B:B)</f>
        <v>0</v>
      </c>
      <c r="T232" s="70">
        <v>0</v>
      </c>
      <c r="U232" s="70">
        <v>0</v>
      </c>
      <c r="V232" s="59"/>
      <c r="W232" s="70">
        <v>0</v>
      </c>
      <c r="X232" s="70">
        <v>0</v>
      </c>
      <c r="Y232" s="70">
        <v>0</v>
      </c>
      <c r="Z232" s="38"/>
      <c r="AA232" s="40"/>
    </row>
    <row r="233" spans="1:27" s="2" customFormat="1" x14ac:dyDescent="0.2">
      <c r="A233" s="16" t="s">
        <v>100</v>
      </c>
      <c r="B233" s="17">
        <v>44792</v>
      </c>
      <c r="C233" s="19">
        <v>46428.93</v>
      </c>
      <c r="D233" s="52">
        <v>46428.93</v>
      </c>
      <c r="E233" s="52">
        <v>0</v>
      </c>
      <c r="F233" s="157">
        <v>172</v>
      </c>
      <c r="G233" s="157">
        <v>213</v>
      </c>
      <c r="H233" s="35">
        <v>269.93563953488371</v>
      </c>
      <c r="I233" s="19">
        <v>1074.2729032258064</v>
      </c>
      <c r="J233" s="111">
        <v>43.218934276927293</v>
      </c>
      <c r="K233" s="53">
        <v>3560</v>
      </c>
      <c r="L233" s="54">
        <v>4.8314606741573035E-2</v>
      </c>
      <c r="M233" s="59"/>
      <c r="N233" s="69">
        <v>548.46</v>
      </c>
      <c r="O233" s="70">
        <f>SUMIF(Facebook!A:A,'Compilado 2023'!B:B,Facebook!B:B)</f>
        <v>237.1</v>
      </c>
      <c r="P233" s="70">
        <v>0</v>
      </c>
      <c r="Q233" s="70">
        <v>51.612903225806448</v>
      </c>
      <c r="R233" s="202">
        <f>IFERROR(VLOOKUP($B:$B,Tabela_Linkedin[],2,),0)</f>
        <v>0</v>
      </c>
      <c r="S233" s="70">
        <f>SUMIF(TikTok!A:A,'Compilado 2023'!B:B,TikTok!B:B)</f>
        <v>0</v>
      </c>
      <c r="T233" s="70">
        <v>0</v>
      </c>
      <c r="U233" s="70">
        <v>0</v>
      </c>
      <c r="V233" s="59"/>
      <c r="W233" s="70">
        <v>0</v>
      </c>
      <c r="X233" s="70">
        <v>0</v>
      </c>
      <c r="Y233" s="70">
        <v>0</v>
      </c>
      <c r="Z233" s="38"/>
      <c r="AA233" s="40"/>
    </row>
    <row r="234" spans="1:27" s="2" customFormat="1" x14ac:dyDescent="0.2">
      <c r="A234" s="16" t="s">
        <v>94</v>
      </c>
      <c r="B234" s="17">
        <v>44793</v>
      </c>
      <c r="C234" s="19">
        <v>26075.7</v>
      </c>
      <c r="D234" s="52">
        <v>26075.7</v>
      </c>
      <c r="E234" s="52">
        <v>0</v>
      </c>
      <c r="F234" s="157">
        <v>102</v>
      </c>
      <c r="G234" s="157">
        <v>119</v>
      </c>
      <c r="H234" s="35">
        <v>255.64411764705883</v>
      </c>
      <c r="I234" s="19">
        <v>1087.6729032258063</v>
      </c>
      <c r="J234" s="111">
        <v>23.973843535740411</v>
      </c>
      <c r="K234" s="53">
        <v>2763</v>
      </c>
      <c r="L234" s="54">
        <v>3.691639522258415E-2</v>
      </c>
      <c r="M234" s="59"/>
      <c r="N234" s="69">
        <v>539.4</v>
      </c>
      <c r="O234" s="70">
        <f>SUMIF(Facebook!A:A,'Compilado 2023'!B:B,Facebook!B:B)</f>
        <v>248.33</v>
      </c>
      <c r="P234" s="70">
        <v>0</v>
      </c>
      <c r="Q234" s="70">
        <v>51.612903225806448</v>
      </c>
      <c r="R234" s="202">
        <f>IFERROR(VLOOKUP($B:$B,Tabela_Linkedin[],2,),0)</f>
        <v>0</v>
      </c>
      <c r="S234" s="70">
        <f>SUMIF(TikTok!A:A,'Compilado 2023'!B:B,TikTok!B:B)</f>
        <v>0</v>
      </c>
      <c r="T234" s="70">
        <v>0</v>
      </c>
      <c r="U234" s="70">
        <v>0</v>
      </c>
      <c r="V234" s="59"/>
      <c r="W234" s="70">
        <v>0</v>
      </c>
      <c r="X234" s="70">
        <v>0</v>
      </c>
      <c r="Y234" s="70">
        <v>0</v>
      </c>
      <c r="Z234" s="38"/>
      <c r="AA234" s="40"/>
    </row>
    <row r="235" spans="1:27" s="2" customFormat="1" x14ac:dyDescent="0.2">
      <c r="A235" s="16" t="s">
        <v>95</v>
      </c>
      <c r="B235" s="17">
        <v>44794</v>
      </c>
      <c r="C235" s="19">
        <v>20508.25</v>
      </c>
      <c r="D235" s="52">
        <v>20508.25</v>
      </c>
      <c r="E235" s="52">
        <v>0</v>
      </c>
      <c r="F235" s="157">
        <v>90</v>
      </c>
      <c r="G235" s="157">
        <v>104</v>
      </c>
      <c r="H235" s="35">
        <v>227.86944444444444</v>
      </c>
      <c r="I235" s="19">
        <v>1104.1929032258063</v>
      </c>
      <c r="J235" s="111">
        <v>18.573068111637813</v>
      </c>
      <c r="K235" s="53">
        <v>2448</v>
      </c>
      <c r="L235" s="54">
        <v>3.6764705882352942E-2</v>
      </c>
      <c r="M235" s="59"/>
      <c r="N235" s="69">
        <v>520.5</v>
      </c>
      <c r="O235" s="70">
        <f>SUMIF(Facebook!A:A,'Compilado 2023'!B:B,Facebook!B:B)</f>
        <v>266.04000000000002</v>
      </c>
      <c r="P235" s="70">
        <v>0</v>
      </c>
      <c r="Q235" s="70">
        <v>51.612903225806448</v>
      </c>
      <c r="R235" s="202">
        <f>IFERROR(VLOOKUP($B:$B,Tabela_Linkedin[],2,),0)</f>
        <v>0</v>
      </c>
      <c r="S235" s="70">
        <f>SUMIF(TikTok!A:A,'Compilado 2023'!B:B,TikTok!B:B)</f>
        <v>0</v>
      </c>
      <c r="T235" s="70">
        <v>0</v>
      </c>
      <c r="U235" s="70">
        <v>0</v>
      </c>
      <c r="V235" s="59"/>
      <c r="W235" s="70">
        <v>0</v>
      </c>
      <c r="X235" s="70">
        <v>0</v>
      </c>
      <c r="Y235" s="70">
        <v>0</v>
      </c>
      <c r="Z235" s="38"/>
      <c r="AA235" s="40"/>
    </row>
    <row r="236" spans="1:27" s="2" customFormat="1" x14ac:dyDescent="0.2">
      <c r="A236" s="16" t="s">
        <v>96</v>
      </c>
      <c r="B236" s="17">
        <v>44795</v>
      </c>
      <c r="C236" s="19">
        <v>37077.56</v>
      </c>
      <c r="D236" s="52">
        <v>37000.129999999997</v>
      </c>
      <c r="E236" s="52">
        <v>77.430000000000007</v>
      </c>
      <c r="F236" s="157">
        <v>130</v>
      </c>
      <c r="G236" s="157">
        <v>151</v>
      </c>
      <c r="H236" s="35">
        <v>285.21199999999999</v>
      </c>
      <c r="I236" s="19">
        <v>1195.2229032258065</v>
      </c>
      <c r="J236" s="111">
        <v>31.021460432134266</v>
      </c>
      <c r="K236" s="53">
        <v>3827</v>
      </c>
      <c r="L236" s="54">
        <v>3.3969166448915601E-2</v>
      </c>
      <c r="M236" s="59"/>
      <c r="N236" s="69">
        <v>603.37</v>
      </c>
      <c r="O236" s="70">
        <f>SUMIF(Facebook!A:A,'Compilado 2023'!B:B,Facebook!B:B)</f>
        <v>270.12</v>
      </c>
      <c r="P236" s="70">
        <v>0</v>
      </c>
      <c r="Q236" s="70">
        <v>51.612903225806448</v>
      </c>
      <c r="R236" s="202">
        <f>IFERROR(VLOOKUP($B:$B,Tabela_Linkedin[],2,),0)</f>
        <v>0</v>
      </c>
      <c r="S236" s="70">
        <f>SUMIF(TikTok!A:A,'Compilado 2023'!B:B,TikTok!B:B)</f>
        <v>0</v>
      </c>
      <c r="T236" s="70">
        <v>0</v>
      </c>
      <c r="U236" s="70">
        <v>0</v>
      </c>
      <c r="V236" s="59"/>
      <c r="W236" s="70">
        <v>0</v>
      </c>
      <c r="X236" s="70">
        <v>0</v>
      </c>
      <c r="Y236" s="70">
        <v>0</v>
      </c>
      <c r="Z236" s="38"/>
      <c r="AA236" s="40"/>
    </row>
    <row r="237" spans="1:27" s="2" customFormat="1" x14ac:dyDescent="0.2">
      <c r="A237" s="16" t="s">
        <v>97</v>
      </c>
      <c r="B237" s="17">
        <v>44796</v>
      </c>
      <c r="C237" s="19">
        <v>38042.04</v>
      </c>
      <c r="D237" s="52">
        <v>38042.04</v>
      </c>
      <c r="E237" s="52">
        <v>0</v>
      </c>
      <c r="F237" s="157">
        <v>125</v>
      </c>
      <c r="G237" s="157">
        <v>160</v>
      </c>
      <c r="H237" s="35">
        <v>304.33632</v>
      </c>
      <c r="I237" s="19">
        <v>1228.9529032258065</v>
      </c>
      <c r="J237" s="111">
        <v>30.954839603816939</v>
      </c>
      <c r="K237" s="53">
        <v>3755</v>
      </c>
      <c r="L237" s="54">
        <v>3.3288948069241014E-2</v>
      </c>
      <c r="M237" s="59"/>
      <c r="N237" s="69">
        <v>563.98</v>
      </c>
      <c r="O237" s="70">
        <f>SUMIF(Facebook!A:A,'Compilado 2023'!B:B,Facebook!B:B)</f>
        <v>306.68</v>
      </c>
      <c r="P237" s="70">
        <v>0</v>
      </c>
      <c r="Q237" s="70">
        <v>51.612903225806448</v>
      </c>
      <c r="R237" s="202">
        <f>IFERROR(VLOOKUP($B:$B,Tabela_Linkedin[],2,),0)</f>
        <v>0</v>
      </c>
      <c r="S237" s="70">
        <f>SUMIF(TikTok!A:A,'Compilado 2023'!B:B,TikTok!B:B)</f>
        <v>0</v>
      </c>
      <c r="T237" s="70">
        <v>0</v>
      </c>
      <c r="U237" s="70">
        <v>0</v>
      </c>
      <c r="V237" s="59"/>
      <c r="W237" s="70">
        <v>0</v>
      </c>
      <c r="X237" s="70">
        <v>0</v>
      </c>
      <c r="Y237" s="70">
        <v>0</v>
      </c>
      <c r="Z237" s="38"/>
      <c r="AA237" s="40"/>
    </row>
    <row r="238" spans="1:27" s="2" customFormat="1" x14ac:dyDescent="0.2">
      <c r="A238" s="16" t="s">
        <v>98</v>
      </c>
      <c r="B238" s="17">
        <v>44797</v>
      </c>
      <c r="C238" s="19">
        <v>36249.040000000001</v>
      </c>
      <c r="D238" s="52">
        <v>36249.040000000001</v>
      </c>
      <c r="E238" s="52">
        <v>0</v>
      </c>
      <c r="F238" s="157">
        <v>133</v>
      </c>
      <c r="G238" s="157">
        <v>153</v>
      </c>
      <c r="H238" s="35">
        <v>272.54917293233086</v>
      </c>
      <c r="I238" s="19">
        <v>1352.1729032258063</v>
      </c>
      <c r="J238" s="111">
        <v>26.807991724669687</v>
      </c>
      <c r="K238" s="53">
        <v>3950</v>
      </c>
      <c r="L238" s="54">
        <v>3.3670886075949369E-2</v>
      </c>
      <c r="M238" s="59"/>
      <c r="N238" s="69">
        <v>549.44000000000005</v>
      </c>
      <c r="O238" s="70">
        <f>SUMIF(Facebook!A:A,'Compilado 2023'!B:B,Facebook!B:B)</f>
        <v>375.56</v>
      </c>
      <c r="P238" s="70">
        <v>0</v>
      </c>
      <c r="Q238" s="70">
        <v>51.612903225806448</v>
      </c>
      <c r="R238" s="202">
        <f>IFERROR(VLOOKUP($B:$B,Tabela_Linkedin[],2,),0)</f>
        <v>0</v>
      </c>
      <c r="S238" s="70">
        <f>SUMIF(TikTok!A:A,'Compilado 2023'!B:B,TikTok!B:B)</f>
        <v>0</v>
      </c>
      <c r="T238" s="70">
        <v>0</v>
      </c>
      <c r="U238" s="70">
        <v>0</v>
      </c>
      <c r="V238" s="59"/>
      <c r="W238" s="70">
        <v>0</v>
      </c>
      <c r="X238" s="70">
        <v>0</v>
      </c>
      <c r="Y238" s="70">
        <v>0</v>
      </c>
      <c r="Z238" s="38"/>
      <c r="AA238" s="40"/>
    </row>
    <row r="239" spans="1:27" s="2" customFormat="1" x14ac:dyDescent="0.2">
      <c r="A239" s="16" t="s">
        <v>99</v>
      </c>
      <c r="B239" s="17">
        <v>44798</v>
      </c>
      <c r="C239" s="19">
        <v>38652.47</v>
      </c>
      <c r="D239" s="52">
        <v>38652.47</v>
      </c>
      <c r="E239" s="52">
        <v>0</v>
      </c>
      <c r="F239" s="157">
        <v>141</v>
      </c>
      <c r="G239" s="157">
        <v>169</v>
      </c>
      <c r="H239" s="35">
        <v>274.13099290780144</v>
      </c>
      <c r="I239" s="19">
        <v>1335.9429032258063</v>
      </c>
      <c r="J239" s="111">
        <v>28.932726021949463</v>
      </c>
      <c r="K239" s="53">
        <v>3866</v>
      </c>
      <c r="L239" s="54">
        <v>3.6471805483704087E-2</v>
      </c>
      <c r="M239" s="59"/>
      <c r="N239" s="69">
        <v>551.85</v>
      </c>
      <c r="O239" s="70">
        <f>SUMIF(Facebook!A:A,'Compilado 2023'!B:B,Facebook!B:B)</f>
        <v>366.24</v>
      </c>
      <c r="P239" s="70">
        <v>0</v>
      </c>
      <c r="Q239" s="70">
        <v>51.612903225806448</v>
      </c>
      <c r="R239" s="202">
        <f>IFERROR(VLOOKUP($B:$B,Tabela_Linkedin[],2,),0)</f>
        <v>0</v>
      </c>
      <c r="S239" s="70">
        <f>SUMIF(TikTok!A:A,'Compilado 2023'!B:B,TikTok!B:B)</f>
        <v>0</v>
      </c>
      <c r="T239" s="70">
        <v>0</v>
      </c>
      <c r="U239" s="70">
        <v>0</v>
      </c>
      <c r="V239" s="59"/>
      <c r="W239" s="70">
        <v>0</v>
      </c>
      <c r="X239" s="70">
        <v>0</v>
      </c>
      <c r="Y239" s="70">
        <v>0</v>
      </c>
      <c r="Z239" s="38"/>
      <c r="AA239" s="40"/>
    </row>
    <row r="240" spans="1:27" s="2" customFormat="1" x14ac:dyDescent="0.2">
      <c r="A240" s="16" t="s">
        <v>100</v>
      </c>
      <c r="B240" s="17">
        <v>44799</v>
      </c>
      <c r="C240" s="19">
        <v>43292.67</v>
      </c>
      <c r="D240" s="52">
        <v>43292.67</v>
      </c>
      <c r="E240" s="52">
        <v>0</v>
      </c>
      <c r="F240" s="157">
        <v>156</v>
      </c>
      <c r="G240" s="157">
        <v>184</v>
      </c>
      <c r="H240" s="35">
        <v>277.51711538461535</v>
      </c>
      <c r="I240" s="19">
        <v>1227.7129032258063</v>
      </c>
      <c r="J240" s="111">
        <v>35.262861444437732</v>
      </c>
      <c r="K240" s="53">
        <v>3938</v>
      </c>
      <c r="L240" s="54">
        <v>3.9614017267648551E-2</v>
      </c>
      <c r="M240" s="59"/>
      <c r="N240" s="69">
        <v>544.24</v>
      </c>
      <c r="O240" s="70">
        <f>SUMIF(Facebook!A:A,'Compilado 2023'!B:B,Facebook!B:B)</f>
        <v>315.93</v>
      </c>
      <c r="P240" s="70">
        <v>0</v>
      </c>
      <c r="Q240" s="70">
        <v>51.612903225806448</v>
      </c>
      <c r="R240" s="202">
        <f>IFERROR(VLOOKUP($B:$B,Tabela_Linkedin[],2,),0)</f>
        <v>0</v>
      </c>
      <c r="S240" s="70">
        <f>SUMIF(TikTok!A:A,'Compilado 2023'!B:B,TikTok!B:B)</f>
        <v>0</v>
      </c>
      <c r="T240" s="70">
        <v>0</v>
      </c>
      <c r="U240" s="70">
        <v>0</v>
      </c>
      <c r="V240" s="59"/>
      <c r="W240" s="70">
        <v>0</v>
      </c>
      <c r="X240" s="70">
        <v>0</v>
      </c>
      <c r="Y240" s="70">
        <v>0</v>
      </c>
      <c r="Z240" s="38"/>
      <c r="AA240" s="40"/>
    </row>
    <row r="241" spans="1:27" s="2" customFormat="1" x14ac:dyDescent="0.2">
      <c r="A241" s="16" t="s">
        <v>94</v>
      </c>
      <c r="B241" s="17">
        <v>44800</v>
      </c>
      <c r="C241" s="19">
        <v>27367.82</v>
      </c>
      <c r="D241" s="52">
        <v>27367.82</v>
      </c>
      <c r="E241" s="52">
        <v>0</v>
      </c>
      <c r="F241" s="157">
        <v>101</v>
      </c>
      <c r="G241" s="157">
        <v>119</v>
      </c>
      <c r="H241" s="35">
        <v>270.96851485148517</v>
      </c>
      <c r="I241" s="19">
        <v>1336.0729032258064</v>
      </c>
      <c r="J241" s="111">
        <v>20.483777445020628</v>
      </c>
      <c r="K241" s="53">
        <v>3181</v>
      </c>
      <c r="L241" s="54">
        <v>3.1751021691292049E-2</v>
      </c>
      <c r="M241" s="59"/>
      <c r="N241" s="69">
        <v>511.82</v>
      </c>
      <c r="O241" s="70">
        <f>SUMIF(Facebook!A:A,'Compilado 2023'!B:B,Facebook!B:B)</f>
        <v>386.32</v>
      </c>
      <c r="P241" s="70">
        <v>0</v>
      </c>
      <c r="Q241" s="70">
        <v>51.612903225806448</v>
      </c>
      <c r="R241" s="202">
        <f>IFERROR(VLOOKUP($B:$B,Tabela_Linkedin[],2,),0)</f>
        <v>0</v>
      </c>
      <c r="S241" s="70">
        <f>SUMIF(TikTok!A:A,'Compilado 2023'!B:B,TikTok!B:B)</f>
        <v>0</v>
      </c>
      <c r="T241" s="70">
        <v>0</v>
      </c>
      <c r="U241" s="70">
        <v>0</v>
      </c>
      <c r="V241" s="59"/>
      <c r="W241" s="70">
        <v>0</v>
      </c>
      <c r="X241" s="70">
        <v>0</v>
      </c>
      <c r="Y241" s="70">
        <v>0</v>
      </c>
      <c r="Z241" s="38"/>
      <c r="AA241" s="40"/>
    </row>
    <row r="242" spans="1:27" s="2" customFormat="1" x14ac:dyDescent="0.2">
      <c r="A242" s="16" t="s">
        <v>95</v>
      </c>
      <c r="B242" s="17">
        <v>44801</v>
      </c>
      <c r="C242" s="19">
        <v>21585.8</v>
      </c>
      <c r="D242" s="52">
        <v>21585.8</v>
      </c>
      <c r="E242" s="52">
        <v>0</v>
      </c>
      <c r="F242" s="157">
        <v>74</v>
      </c>
      <c r="G242" s="157">
        <v>82</v>
      </c>
      <c r="H242" s="35">
        <v>291.7</v>
      </c>
      <c r="I242" s="19">
        <v>1357.5929032258064</v>
      </c>
      <c r="J242" s="111">
        <v>15.900053652836212</v>
      </c>
      <c r="K242" s="53">
        <v>2767</v>
      </c>
      <c r="L242" s="54">
        <v>2.674376581134803E-2</v>
      </c>
      <c r="M242" s="59"/>
      <c r="N242" s="69">
        <v>488.88</v>
      </c>
      <c r="O242" s="70">
        <f>SUMIF(Facebook!A:A,'Compilado 2023'!B:B,Facebook!B:B)</f>
        <v>408.55</v>
      </c>
      <c r="P242" s="70">
        <v>0</v>
      </c>
      <c r="Q242" s="70">
        <v>51.612903225806448</v>
      </c>
      <c r="R242" s="202">
        <f>IFERROR(VLOOKUP($B:$B,Tabela_Linkedin[],2,),0)</f>
        <v>0</v>
      </c>
      <c r="S242" s="70">
        <f>SUMIF(TikTok!A:A,'Compilado 2023'!B:B,TikTok!B:B)</f>
        <v>0</v>
      </c>
      <c r="T242" s="70">
        <v>0</v>
      </c>
      <c r="U242" s="70">
        <v>0</v>
      </c>
      <c r="V242" s="59"/>
      <c r="W242" s="70">
        <v>0</v>
      </c>
      <c r="X242" s="70">
        <v>0</v>
      </c>
      <c r="Y242" s="70">
        <v>0</v>
      </c>
      <c r="Z242" s="38"/>
      <c r="AA242" s="40"/>
    </row>
    <row r="243" spans="1:27" s="2" customFormat="1" x14ac:dyDescent="0.2">
      <c r="A243" s="16" t="s">
        <v>96</v>
      </c>
      <c r="B243" s="17">
        <v>44802</v>
      </c>
      <c r="C243" s="19">
        <v>39502.67</v>
      </c>
      <c r="D243" s="52">
        <v>39502.67</v>
      </c>
      <c r="E243" s="52">
        <v>0</v>
      </c>
      <c r="F243" s="157">
        <v>149</v>
      </c>
      <c r="G243" s="157">
        <v>172</v>
      </c>
      <c r="H243" s="35">
        <v>265.11859060402685</v>
      </c>
      <c r="I243" s="19">
        <v>1264.0629032258064</v>
      </c>
      <c r="J243" s="111">
        <v>31.250557151223845</v>
      </c>
      <c r="K243" s="53">
        <v>3741</v>
      </c>
      <c r="L243" s="54">
        <v>3.9828922747928361E-2</v>
      </c>
      <c r="M243" s="59"/>
      <c r="N243" s="69">
        <v>533.21</v>
      </c>
      <c r="O243" s="70">
        <f>SUMIF(Facebook!A:A,'Compilado 2023'!B:B,Facebook!B:B)</f>
        <v>339.62</v>
      </c>
      <c r="P243" s="70">
        <v>0</v>
      </c>
      <c r="Q243" s="70">
        <v>51.612903225806448</v>
      </c>
      <c r="R243" s="202">
        <f>IFERROR(VLOOKUP($B:$B,Tabela_Linkedin[],2,),0)</f>
        <v>0</v>
      </c>
      <c r="S243" s="70">
        <f>SUMIF(TikTok!A:A,'Compilado 2023'!B:B,TikTok!B:B)</f>
        <v>0</v>
      </c>
      <c r="T243" s="70">
        <v>0</v>
      </c>
      <c r="U243" s="70">
        <v>0</v>
      </c>
      <c r="V243" s="59"/>
      <c r="W243" s="70">
        <v>0</v>
      </c>
      <c r="X243" s="70">
        <v>0</v>
      </c>
      <c r="Y243" s="70">
        <v>0</v>
      </c>
      <c r="Z243" s="38"/>
      <c r="AA243" s="40"/>
    </row>
    <row r="244" spans="1:27" s="2" customFormat="1" x14ac:dyDescent="0.2">
      <c r="A244" s="16" t="s">
        <v>97</v>
      </c>
      <c r="B244" s="17">
        <v>44803</v>
      </c>
      <c r="C244" s="19">
        <v>36029.29</v>
      </c>
      <c r="D244" s="52">
        <v>36029.29</v>
      </c>
      <c r="E244" s="52">
        <v>0</v>
      </c>
      <c r="F244" s="157">
        <v>135</v>
      </c>
      <c r="G244" s="157">
        <v>162</v>
      </c>
      <c r="H244" s="35">
        <v>266.88362962962964</v>
      </c>
      <c r="I244" s="19">
        <v>1151.3729032258063</v>
      </c>
      <c r="J244" s="111">
        <v>31.292459548992849</v>
      </c>
      <c r="K244" s="53">
        <v>3717</v>
      </c>
      <c r="L244" s="54">
        <v>3.6319612590799029E-2</v>
      </c>
      <c r="M244" s="59"/>
      <c r="N244" s="69">
        <v>495.44</v>
      </c>
      <c r="O244" s="70">
        <f>SUMIF(Facebook!A:A,'Compilado 2023'!B:B,Facebook!B:B)</f>
        <v>302.16000000000003</v>
      </c>
      <c r="P244" s="70">
        <v>0</v>
      </c>
      <c r="Q244" s="70">
        <v>51.612903225806448</v>
      </c>
      <c r="R244" s="202">
        <f>IFERROR(VLOOKUP($B:$B,Tabela_Linkedin[],2,),0)</f>
        <v>0</v>
      </c>
      <c r="S244" s="70">
        <f>SUMIF(TikTok!A:A,'Compilado 2023'!B:B,TikTok!B:B)</f>
        <v>0</v>
      </c>
      <c r="T244" s="70">
        <v>0</v>
      </c>
      <c r="U244" s="70">
        <v>0</v>
      </c>
      <c r="V244" s="59"/>
      <c r="W244" s="70">
        <v>0</v>
      </c>
      <c r="X244" s="70">
        <v>0</v>
      </c>
      <c r="Y244" s="70">
        <v>0</v>
      </c>
      <c r="Z244" s="38"/>
      <c r="AA244" s="40"/>
    </row>
    <row r="245" spans="1:27" s="2" customFormat="1" x14ac:dyDescent="0.2">
      <c r="A245" s="16" t="s">
        <v>98</v>
      </c>
      <c r="B245" s="17">
        <v>44804</v>
      </c>
      <c r="C245" s="19">
        <v>55833.37</v>
      </c>
      <c r="D245" s="52">
        <v>55833.37</v>
      </c>
      <c r="E245" s="52">
        <v>0</v>
      </c>
      <c r="F245" s="157">
        <v>226</v>
      </c>
      <c r="G245" s="157">
        <v>282</v>
      </c>
      <c r="H245" s="35">
        <v>247.05030973451329</v>
      </c>
      <c r="I245" s="19">
        <v>991.5729032258065</v>
      </c>
      <c r="J245" s="111">
        <v>56.307881970515403</v>
      </c>
      <c r="K245" s="53">
        <v>4281</v>
      </c>
      <c r="L245" s="54">
        <v>5.2791403877598689E-2</v>
      </c>
      <c r="M245" s="59"/>
      <c r="N245" s="69">
        <v>473.06</v>
      </c>
      <c r="O245" s="70">
        <f>SUMIF(Facebook!A:A,'Compilado 2023'!B:B,Facebook!B:B)</f>
        <v>233.45</v>
      </c>
      <c r="P245" s="70">
        <v>0</v>
      </c>
      <c r="Q245" s="70">
        <v>51.612903225806448</v>
      </c>
      <c r="R245" s="202">
        <f>IFERROR(VLOOKUP($B:$B,Tabela_Linkedin[],2,),0)</f>
        <v>0</v>
      </c>
      <c r="S245" s="70">
        <f>SUMIF(TikTok!A:A,'Compilado 2023'!B:B,TikTok!B:B)</f>
        <v>0</v>
      </c>
      <c r="T245" s="70">
        <v>0</v>
      </c>
      <c r="U245" s="70">
        <v>0</v>
      </c>
      <c r="V245" s="59"/>
      <c r="W245" s="70">
        <v>0</v>
      </c>
      <c r="X245" s="70">
        <v>0</v>
      </c>
      <c r="Y245" s="70">
        <v>0</v>
      </c>
      <c r="Z245" s="38"/>
      <c r="AA245" s="40"/>
    </row>
    <row r="246" spans="1:27" s="2" customFormat="1" x14ac:dyDescent="0.2">
      <c r="A246" s="16" t="s">
        <v>99</v>
      </c>
      <c r="B246" s="17">
        <v>44805</v>
      </c>
      <c r="C246" s="19">
        <v>78671.47</v>
      </c>
      <c r="D246" s="52">
        <v>78671.47</v>
      </c>
      <c r="E246" s="52">
        <v>0</v>
      </c>
      <c r="F246" s="157">
        <v>342</v>
      </c>
      <c r="G246" s="157">
        <v>516</v>
      </c>
      <c r="H246" s="35">
        <v>230.0335380116959</v>
      </c>
      <c r="I246" s="19">
        <v>1110.9233333333332</v>
      </c>
      <c r="J246" s="111">
        <v>70.816290953171091</v>
      </c>
      <c r="K246" s="53">
        <v>4990</v>
      </c>
      <c r="L246" s="54">
        <v>6.8537074148296587E-2</v>
      </c>
      <c r="M246" s="59"/>
      <c r="N246" s="69">
        <v>583.75</v>
      </c>
      <c r="O246" s="70">
        <f>SUMIF(Facebook!A:A,'Compilado 2023'!B:B,Facebook!B:B)</f>
        <v>236.92</v>
      </c>
      <c r="P246" s="70">
        <v>0</v>
      </c>
      <c r="Q246" s="70">
        <v>53.333333333333336</v>
      </c>
      <c r="R246" s="202">
        <f>IFERROR(VLOOKUP($B:$B,Tabela_Linkedin[],2,),0)</f>
        <v>0</v>
      </c>
      <c r="S246" s="70">
        <f>SUMIF(TikTok!A:A,'Compilado 2023'!B:B,TikTok!B:B)</f>
        <v>0</v>
      </c>
      <c r="T246" s="70">
        <v>0</v>
      </c>
      <c r="U246" s="70">
        <v>0</v>
      </c>
      <c r="V246" s="59"/>
      <c r="W246" s="70">
        <v>0</v>
      </c>
      <c r="X246" s="70">
        <v>0</v>
      </c>
      <c r="Y246" s="70">
        <v>0</v>
      </c>
      <c r="Z246" s="38"/>
      <c r="AA246" s="40"/>
    </row>
    <row r="247" spans="1:27" s="2" customFormat="1" x14ac:dyDescent="0.2">
      <c r="A247" s="16" t="s">
        <v>100</v>
      </c>
      <c r="B247" s="17">
        <v>44806</v>
      </c>
      <c r="C247" s="19">
        <v>64168.27</v>
      </c>
      <c r="D247" s="52">
        <v>64168.27</v>
      </c>
      <c r="E247" s="52">
        <v>0</v>
      </c>
      <c r="F247" s="157">
        <v>270</v>
      </c>
      <c r="G247" s="157">
        <v>412</v>
      </c>
      <c r="H247" s="35">
        <v>237.66025925925925</v>
      </c>
      <c r="I247" s="19">
        <v>1203.2133333333334</v>
      </c>
      <c r="J247" s="111">
        <v>53.330750434946417</v>
      </c>
      <c r="K247" s="53">
        <v>4768</v>
      </c>
      <c r="L247" s="54">
        <v>5.6627516778523491E-2</v>
      </c>
      <c r="M247" s="59"/>
      <c r="N247" s="69">
        <v>643.44000000000005</v>
      </c>
      <c r="O247" s="70">
        <f>SUMIF(Facebook!A:A,'Compilado 2023'!B:B,Facebook!B:B)</f>
        <v>253.22</v>
      </c>
      <c r="P247" s="70">
        <v>0</v>
      </c>
      <c r="Q247" s="70">
        <v>53.333333333333336</v>
      </c>
      <c r="R247" s="202">
        <f>IFERROR(VLOOKUP($B:$B,Tabela_Linkedin[],2,),0)</f>
        <v>0</v>
      </c>
      <c r="S247" s="70">
        <f>SUMIF(TikTok!A:A,'Compilado 2023'!B:B,TikTok!B:B)</f>
        <v>0</v>
      </c>
      <c r="T247" s="70">
        <v>0</v>
      </c>
      <c r="U247" s="70">
        <v>0</v>
      </c>
      <c r="V247" s="59"/>
      <c r="W247" s="70">
        <v>0</v>
      </c>
      <c r="X247" s="70">
        <v>0</v>
      </c>
      <c r="Y247" s="70">
        <v>0</v>
      </c>
      <c r="Z247" s="38"/>
      <c r="AA247" s="40"/>
    </row>
    <row r="248" spans="1:27" s="2" customFormat="1" x14ac:dyDescent="0.2">
      <c r="A248" s="16" t="s">
        <v>94</v>
      </c>
      <c r="B248" s="17">
        <v>44807</v>
      </c>
      <c r="C248" s="19">
        <v>39457.31</v>
      </c>
      <c r="D248" s="52">
        <v>39457.31</v>
      </c>
      <c r="E248" s="52">
        <v>0</v>
      </c>
      <c r="F248" s="157">
        <v>192</v>
      </c>
      <c r="G248" s="157">
        <v>283</v>
      </c>
      <c r="H248" s="35">
        <v>205.50682291666666</v>
      </c>
      <c r="I248" s="19">
        <v>1159.8733333333332</v>
      </c>
      <c r="J248" s="111">
        <v>34.018637092556084</v>
      </c>
      <c r="K248" s="53">
        <v>3716</v>
      </c>
      <c r="L248" s="54">
        <v>5.1668460710441337E-2</v>
      </c>
      <c r="M248" s="59"/>
      <c r="N248" s="69">
        <v>556.98</v>
      </c>
      <c r="O248" s="70">
        <f>SUMIF(Facebook!A:A,'Compilado 2023'!B:B,Facebook!B:B)</f>
        <v>274.77999999999997</v>
      </c>
      <c r="P248" s="70">
        <v>0</v>
      </c>
      <c r="Q248" s="70">
        <v>53.333333333333336</v>
      </c>
      <c r="R248" s="202">
        <f>IFERROR(VLOOKUP($B:$B,Tabela_Linkedin[],2,),0)</f>
        <v>0</v>
      </c>
      <c r="S248" s="70">
        <f>SUMIF(TikTok!A:A,'Compilado 2023'!B:B,TikTok!B:B)</f>
        <v>0</v>
      </c>
      <c r="T248" s="70">
        <v>0</v>
      </c>
      <c r="U248" s="70">
        <v>0</v>
      </c>
      <c r="V248" s="59"/>
      <c r="W248" s="70">
        <v>0</v>
      </c>
      <c r="X248" s="70">
        <v>0</v>
      </c>
      <c r="Y248" s="70">
        <v>0</v>
      </c>
      <c r="Z248" s="38"/>
      <c r="AA248" s="40"/>
    </row>
    <row r="249" spans="1:27" s="2" customFormat="1" x14ac:dyDescent="0.2">
      <c r="A249" s="16" t="s">
        <v>95</v>
      </c>
      <c r="B249" s="17">
        <v>44808</v>
      </c>
      <c r="C249" s="19">
        <v>43705.19</v>
      </c>
      <c r="D249" s="52">
        <v>43705.19</v>
      </c>
      <c r="E249" s="52">
        <v>0</v>
      </c>
      <c r="F249" s="157">
        <v>198</v>
      </c>
      <c r="G249" s="157">
        <v>296</v>
      </c>
      <c r="H249" s="35">
        <v>220.73328282828285</v>
      </c>
      <c r="I249" s="19">
        <v>1132.5633333333333</v>
      </c>
      <c r="J249" s="111">
        <v>38.589621183804297</v>
      </c>
      <c r="K249" s="53">
        <v>3251</v>
      </c>
      <c r="L249" s="54">
        <v>6.0904337127037834E-2</v>
      </c>
      <c r="M249" s="59"/>
      <c r="N249" s="69">
        <v>498.47</v>
      </c>
      <c r="O249" s="70">
        <f>SUMIF(Facebook!A:A,'Compilado 2023'!B:B,Facebook!B:B)</f>
        <v>290.38</v>
      </c>
      <c r="P249" s="70">
        <v>0</v>
      </c>
      <c r="Q249" s="70">
        <v>53.333333333333336</v>
      </c>
      <c r="R249" s="202">
        <f>IFERROR(VLOOKUP($B:$B,Tabela_Linkedin[],2,),0)</f>
        <v>0</v>
      </c>
      <c r="S249" s="70">
        <f>SUMIF(TikTok!A:A,'Compilado 2023'!B:B,TikTok!B:B)</f>
        <v>0</v>
      </c>
      <c r="T249" s="70">
        <v>0</v>
      </c>
      <c r="U249" s="70">
        <v>0</v>
      </c>
      <c r="V249" s="59"/>
      <c r="W249" s="70">
        <v>0</v>
      </c>
      <c r="X249" s="70">
        <v>0</v>
      </c>
      <c r="Y249" s="70">
        <v>0</v>
      </c>
      <c r="Z249" s="38"/>
      <c r="AA249" s="40"/>
    </row>
    <row r="250" spans="1:27" s="2" customFormat="1" x14ac:dyDescent="0.2">
      <c r="A250" s="16" t="s">
        <v>96</v>
      </c>
      <c r="B250" s="17">
        <v>44809</v>
      </c>
      <c r="C250" s="19">
        <v>59206.32</v>
      </c>
      <c r="D250" s="52">
        <v>59206.32</v>
      </c>
      <c r="E250" s="52">
        <v>0</v>
      </c>
      <c r="F250" s="157">
        <v>230</v>
      </c>
      <c r="G250" s="157">
        <v>343</v>
      </c>
      <c r="H250" s="35">
        <v>257.41878260869566</v>
      </c>
      <c r="I250" s="19">
        <v>1218.9433333333332</v>
      </c>
      <c r="J250" s="111">
        <v>48.571839544086004</v>
      </c>
      <c r="K250" s="53">
        <v>4471</v>
      </c>
      <c r="L250" s="54">
        <v>5.1442630284052784E-2</v>
      </c>
      <c r="M250" s="59"/>
      <c r="N250" s="69">
        <v>703.43</v>
      </c>
      <c r="O250" s="70">
        <f>SUMIF(Facebook!A:A,'Compilado 2023'!B:B,Facebook!B:B)</f>
        <v>231.09</v>
      </c>
      <c r="P250" s="70">
        <v>0</v>
      </c>
      <c r="Q250" s="70">
        <v>53.333333333333336</v>
      </c>
      <c r="R250" s="202">
        <f>IFERROR(VLOOKUP($B:$B,Tabela_Linkedin[],2,),0)</f>
        <v>0</v>
      </c>
      <c r="S250" s="70">
        <f>SUMIF(TikTok!A:A,'Compilado 2023'!B:B,TikTok!B:B)</f>
        <v>0</v>
      </c>
      <c r="T250" s="70">
        <v>0</v>
      </c>
      <c r="U250" s="70">
        <v>0</v>
      </c>
      <c r="V250" s="59"/>
      <c r="W250" s="70">
        <v>0</v>
      </c>
      <c r="X250" s="70">
        <v>0</v>
      </c>
      <c r="Y250" s="70">
        <v>0</v>
      </c>
      <c r="Z250" s="38"/>
      <c r="AA250" s="40"/>
    </row>
    <row r="251" spans="1:27" s="2" customFormat="1" x14ac:dyDescent="0.2">
      <c r="A251" s="16" t="s">
        <v>97</v>
      </c>
      <c r="B251" s="17">
        <v>44810</v>
      </c>
      <c r="C251" s="19">
        <v>53971.99</v>
      </c>
      <c r="D251" s="52">
        <v>53971.99</v>
      </c>
      <c r="E251" s="52">
        <v>0</v>
      </c>
      <c r="F251" s="157">
        <v>254</v>
      </c>
      <c r="G251" s="157">
        <v>375</v>
      </c>
      <c r="H251" s="35">
        <v>212.4881496062992</v>
      </c>
      <c r="I251" s="19">
        <v>1089.1033333333332</v>
      </c>
      <c r="J251" s="111">
        <v>49.556353697690149</v>
      </c>
      <c r="K251" s="53">
        <v>4205</v>
      </c>
      <c r="L251" s="54">
        <v>6.0404280618311532E-2</v>
      </c>
      <c r="M251" s="59"/>
      <c r="N251" s="69">
        <v>592.53</v>
      </c>
      <c r="O251" s="70">
        <f>SUMIF(Facebook!A:A,'Compilado 2023'!B:B,Facebook!B:B)</f>
        <v>221.62</v>
      </c>
      <c r="P251" s="70">
        <v>0</v>
      </c>
      <c r="Q251" s="70">
        <v>53.333333333333336</v>
      </c>
      <c r="R251" s="202">
        <f>IFERROR(VLOOKUP($B:$B,Tabela_Linkedin[],2,),0)</f>
        <v>0</v>
      </c>
      <c r="S251" s="70">
        <f>SUMIF(TikTok!A:A,'Compilado 2023'!B:B,TikTok!B:B)</f>
        <v>0</v>
      </c>
      <c r="T251" s="70">
        <v>0</v>
      </c>
      <c r="U251" s="70">
        <v>0</v>
      </c>
      <c r="V251" s="59"/>
      <c r="W251" s="70">
        <v>0</v>
      </c>
      <c r="X251" s="70">
        <v>0</v>
      </c>
      <c r="Y251" s="70">
        <v>0</v>
      </c>
      <c r="Z251" s="38"/>
      <c r="AA251" s="40"/>
    </row>
    <row r="252" spans="1:27" s="2" customFormat="1" x14ac:dyDescent="0.2">
      <c r="A252" s="16" t="s">
        <v>98</v>
      </c>
      <c r="B252" s="17">
        <v>44811</v>
      </c>
      <c r="C252" s="19">
        <v>28432.95</v>
      </c>
      <c r="D252" s="52">
        <v>28432.95</v>
      </c>
      <c r="E252" s="52">
        <v>0</v>
      </c>
      <c r="F252" s="157">
        <v>121</v>
      </c>
      <c r="G252" s="157">
        <v>164</v>
      </c>
      <c r="H252" s="35">
        <v>234.98305785123966</v>
      </c>
      <c r="I252" s="19">
        <v>944.59333333333336</v>
      </c>
      <c r="J252" s="111">
        <v>30.10073117884945</v>
      </c>
      <c r="K252" s="53">
        <v>3079</v>
      </c>
      <c r="L252" s="54">
        <v>3.9298473530367001E-2</v>
      </c>
      <c r="M252" s="59"/>
      <c r="N252" s="69">
        <v>559.94000000000005</v>
      </c>
      <c r="O252" s="70">
        <f>SUMIF(Facebook!A:A,'Compilado 2023'!B:B,Facebook!B:B)</f>
        <v>165.66</v>
      </c>
      <c r="P252" s="70">
        <v>0</v>
      </c>
      <c r="Q252" s="70">
        <v>53.333333333333336</v>
      </c>
      <c r="R252" s="202">
        <f>IFERROR(VLOOKUP($B:$B,Tabela_Linkedin[],2,),0)</f>
        <v>0</v>
      </c>
      <c r="S252" s="70">
        <f>SUMIF(TikTok!A:A,'Compilado 2023'!B:B,TikTok!B:B)</f>
        <v>0</v>
      </c>
      <c r="T252" s="70">
        <v>0</v>
      </c>
      <c r="U252" s="70">
        <v>0</v>
      </c>
      <c r="V252" s="59"/>
      <c r="W252" s="70">
        <v>0</v>
      </c>
      <c r="X252" s="70">
        <v>0</v>
      </c>
      <c r="Y252" s="70">
        <v>0</v>
      </c>
      <c r="Z252" s="38"/>
      <c r="AA252" s="40"/>
    </row>
    <row r="253" spans="1:27" s="2" customFormat="1" x14ac:dyDescent="0.2">
      <c r="A253" s="16" t="s">
        <v>99</v>
      </c>
      <c r="B253" s="17">
        <v>44812</v>
      </c>
      <c r="C253" s="19">
        <v>56579.35</v>
      </c>
      <c r="D253" s="52">
        <v>56579.35</v>
      </c>
      <c r="E253" s="52">
        <v>0</v>
      </c>
      <c r="F253" s="157">
        <v>216</v>
      </c>
      <c r="G253" s="157">
        <v>305</v>
      </c>
      <c r="H253" s="35">
        <v>261.94143518518518</v>
      </c>
      <c r="I253" s="19">
        <v>1092.1533333333332</v>
      </c>
      <c r="J253" s="111">
        <v>51.805317324185253</v>
      </c>
      <c r="K253" s="53">
        <v>4536</v>
      </c>
      <c r="L253" s="54">
        <v>4.7619047619047616E-2</v>
      </c>
      <c r="M253" s="59"/>
      <c r="N253" s="69">
        <v>585.38</v>
      </c>
      <c r="O253" s="70">
        <f>SUMIF(Facebook!A:A,'Compilado 2023'!B:B,Facebook!B:B)</f>
        <v>226.72</v>
      </c>
      <c r="P253" s="70">
        <v>0</v>
      </c>
      <c r="Q253" s="70">
        <v>53.333333333333336</v>
      </c>
      <c r="R253" s="202">
        <f>IFERROR(VLOOKUP($B:$B,Tabela_Linkedin[],2,),0)</f>
        <v>0</v>
      </c>
      <c r="S253" s="70">
        <f>SUMIF(TikTok!A:A,'Compilado 2023'!B:B,TikTok!B:B)</f>
        <v>0</v>
      </c>
      <c r="T253" s="70">
        <v>0</v>
      </c>
      <c r="U253" s="70">
        <v>0</v>
      </c>
      <c r="V253" s="59"/>
      <c r="W253" s="70">
        <v>0</v>
      </c>
      <c r="X253" s="70">
        <v>0</v>
      </c>
      <c r="Y253" s="70">
        <v>0</v>
      </c>
      <c r="Z253" s="38"/>
      <c r="AA253" s="40"/>
    </row>
    <row r="254" spans="1:27" s="2" customFormat="1" x14ac:dyDescent="0.2">
      <c r="A254" s="16" t="s">
        <v>100</v>
      </c>
      <c r="B254" s="17">
        <v>44813</v>
      </c>
      <c r="C254" s="19">
        <v>51745.83</v>
      </c>
      <c r="D254" s="52">
        <v>51745.83</v>
      </c>
      <c r="E254" s="52">
        <v>0</v>
      </c>
      <c r="F254" s="157">
        <v>210</v>
      </c>
      <c r="G254" s="157">
        <v>299</v>
      </c>
      <c r="H254" s="35">
        <v>246.4087142857143</v>
      </c>
      <c r="I254" s="19">
        <v>1191.9733333333334</v>
      </c>
      <c r="J254" s="111">
        <v>43.411902391552381</v>
      </c>
      <c r="K254" s="53">
        <v>4035</v>
      </c>
      <c r="L254" s="54">
        <v>5.204460966542751E-2</v>
      </c>
      <c r="M254" s="59"/>
      <c r="N254" s="69">
        <v>673.2</v>
      </c>
      <c r="O254" s="70">
        <f>SUMIF(Facebook!A:A,'Compilado 2023'!B:B,Facebook!B:B)</f>
        <v>232.72</v>
      </c>
      <c r="P254" s="70">
        <v>0</v>
      </c>
      <c r="Q254" s="70">
        <v>53.333333333333336</v>
      </c>
      <c r="R254" s="202">
        <f>IFERROR(VLOOKUP($B:$B,Tabela_Linkedin[],2,),0)</f>
        <v>0</v>
      </c>
      <c r="S254" s="70">
        <f>SUMIF(TikTok!A:A,'Compilado 2023'!B:B,TikTok!B:B)</f>
        <v>0</v>
      </c>
      <c r="T254" s="70">
        <v>0</v>
      </c>
      <c r="U254" s="70">
        <v>0</v>
      </c>
      <c r="V254" s="59"/>
      <c r="W254" s="70">
        <v>0</v>
      </c>
      <c r="X254" s="70">
        <v>0</v>
      </c>
      <c r="Y254" s="70">
        <v>0</v>
      </c>
      <c r="Z254" s="38"/>
      <c r="AA254" s="40"/>
    </row>
    <row r="255" spans="1:27" s="2" customFormat="1" x14ac:dyDescent="0.2">
      <c r="A255" s="16" t="s">
        <v>94</v>
      </c>
      <c r="B255" s="17">
        <v>44814</v>
      </c>
      <c r="C255" s="19">
        <v>37821.11</v>
      </c>
      <c r="D255" s="52">
        <v>37784.699999999997</v>
      </c>
      <c r="E255" s="52">
        <v>36.409999999999997</v>
      </c>
      <c r="F255" s="157">
        <v>149</v>
      </c>
      <c r="G255" s="157">
        <v>181</v>
      </c>
      <c r="H255" s="35">
        <v>253.83295302013423</v>
      </c>
      <c r="I255" s="19">
        <v>1060.9333333333334</v>
      </c>
      <c r="J255" s="111">
        <v>35.648903481211512</v>
      </c>
      <c r="K255" s="53">
        <v>3298</v>
      </c>
      <c r="L255" s="54">
        <v>4.5178896300788356E-2</v>
      </c>
      <c r="M255" s="59"/>
      <c r="N255" s="69">
        <v>518.44000000000005</v>
      </c>
      <c r="O255" s="70">
        <f>SUMIF(Facebook!A:A,'Compilado 2023'!B:B,Facebook!B:B)</f>
        <v>244.58</v>
      </c>
      <c r="P255" s="70">
        <v>0</v>
      </c>
      <c r="Q255" s="70">
        <v>53.333333333333336</v>
      </c>
      <c r="R255" s="202">
        <f>IFERROR(VLOOKUP($B:$B,Tabela_Linkedin[],2,),0)</f>
        <v>0</v>
      </c>
      <c r="S255" s="70">
        <f>SUMIF(TikTok!A:A,'Compilado 2023'!B:B,TikTok!B:B)</f>
        <v>0</v>
      </c>
      <c r="T255" s="70">
        <v>0</v>
      </c>
      <c r="U255" s="70">
        <v>0</v>
      </c>
      <c r="V255" s="59"/>
      <c r="W255" s="70">
        <v>0</v>
      </c>
      <c r="X255" s="70">
        <v>0</v>
      </c>
      <c r="Y255" s="70">
        <v>0</v>
      </c>
      <c r="Z255" s="38"/>
      <c r="AA255" s="40"/>
    </row>
    <row r="256" spans="1:27" s="2" customFormat="1" x14ac:dyDescent="0.2">
      <c r="A256" s="16" t="s">
        <v>95</v>
      </c>
      <c r="B256" s="17">
        <v>44815</v>
      </c>
      <c r="C256" s="19">
        <v>21783.94</v>
      </c>
      <c r="D256" s="52">
        <v>21783.94</v>
      </c>
      <c r="E256" s="52">
        <v>0</v>
      </c>
      <c r="F256" s="157">
        <v>93</v>
      </c>
      <c r="G256" s="157">
        <v>120</v>
      </c>
      <c r="H256" s="35">
        <v>234.23591397849461</v>
      </c>
      <c r="I256" s="19">
        <v>1051.2333333333333</v>
      </c>
      <c r="J256" s="111">
        <v>20.722269080762278</v>
      </c>
      <c r="K256" s="53">
        <v>2818</v>
      </c>
      <c r="L256" s="54">
        <v>3.3002129169623848E-2</v>
      </c>
      <c r="M256" s="59"/>
      <c r="N256" s="69">
        <v>489.8</v>
      </c>
      <c r="O256" s="70">
        <f>SUMIF(Facebook!A:A,'Compilado 2023'!B:B,Facebook!B:B)</f>
        <v>254.05</v>
      </c>
      <c r="P256" s="70">
        <v>0</v>
      </c>
      <c r="Q256" s="70">
        <v>53.333333333333336</v>
      </c>
      <c r="R256" s="202">
        <f>IFERROR(VLOOKUP($B:$B,Tabela_Linkedin[],2,),0)</f>
        <v>0</v>
      </c>
      <c r="S256" s="70">
        <f>SUMIF(TikTok!A:A,'Compilado 2023'!B:B,TikTok!B:B)</f>
        <v>0</v>
      </c>
      <c r="T256" s="70">
        <v>0</v>
      </c>
      <c r="U256" s="70">
        <v>0</v>
      </c>
      <c r="V256" s="59"/>
      <c r="W256" s="70">
        <v>0</v>
      </c>
      <c r="X256" s="70">
        <v>0</v>
      </c>
      <c r="Y256" s="70">
        <v>0</v>
      </c>
      <c r="Z256" s="38"/>
      <c r="AA256" s="40"/>
    </row>
    <row r="257" spans="1:27" s="2" customFormat="1" x14ac:dyDescent="0.2">
      <c r="A257" s="16" t="s">
        <v>96</v>
      </c>
      <c r="B257" s="17">
        <v>44816</v>
      </c>
      <c r="C257" s="19">
        <v>56171.27</v>
      </c>
      <c r="D257" s="52">
        <v>56171.27</v>
      </c>
      <c r="E257" s="52">
        <v>0</v>
      </c>
      <c r="F257" s="157">
        <v>212</v>
      </c>
      <c r="G257" s="157">
        <v>301</v>
      </c>
      <c r="H257" s="35">
        <v>264.95882075471695</v>
      </c>
      <c r="I257" s="19">
        <v>1225.0733333333333</v>
      </c>
      <c r="J257" s="111">
        <v>45.85135311627603</v>
      </c>
      <c r="K257" s="53">
        <v>4451</v>
      </c>
      <c r="L257" s="54">
        <v>4.762974612446641E-2</v>
      </c>
      <c r="M257" s="59"/>
      <c r="N257" s="69">
        <v>667.8</v>
      </c>
      <c r="O257" s="70">
        <f>SUMIF(Facebook!A:A,'Compilado 2023'!B:B,Facebook!B:B)</f>
        <v>251.97</v>
      </c>
      <c r="P257" s="70">
        <v>0</v>
      </c>
      <c r="Q257" s="70">
        <v>53.333333333333336</v>
      </c>
      <c r="R257" s="202">
        <f>IFERROR(VLOOKUP($B:$B,Tabela_Linkedin[],2,),0)</f>
        <v>0</v>
      </c>
      <c r="S257" s="70">
        <f>SUMIF(TikTok!A:A,'Compilado 2023'!B:B,TikTok!B:B)</f>
        <v>0</v>
      </c>
      <c r="T257" s="70">
        <v>0</v>
      </c>
      <c r="U257" s="70">
        <v>0</v>
      </c>
      <c r="V257" s="59"/>
      <c r="W257" s="70">
        <v>0</v>
      </c>
      <c r="X257" s="70">
        <v>0</v>
      </c>
      <c r="Y257" s="70">
        <v>0</v>
      </c>
      <c r="Z257" s="38"/>
      <c r="AA257" s="40"/>
    </row>
    <row r="258" spans="1:27" s="2" customFormat="1" x14ac:dyDescent="0.2">
      <c r="A258" s="16" t="s">
        <v>97</v>
      </c>
      <c r="B258" s="17">
        <v>44817</v>
      </c>
      <c r="C258" s="19">
        <v>54652.83</v>
      </c>
      <c r="D258" s="52">
        <v>54652.83</v>
      </c>
      <c r="E258" s="52">
        <v>0</v>
      </c>
      <c r="F258" s="157">
        <v>234</v>
      </c>
      <c r="G258" s="157">
        <v>346</v>
      </c>
      <c r="H258" s="35">
        <v>233.55910256410257</v>
      </c>
      <c r="I258" s="19">
        <v>1194.0633333333333</v>
      </c>
      <c r="J258" s="111">
        <v>45.770461644971377</v>
      </c>
      <c r="K258" s="53">
        <v>4524</v>
      </c>
      <c r="L258" s="54">
        <v>5.1724137931034482E-2</v>
      </c>
      <c r="M258" s="59"/>
      <c r="N258" s="69">
        <v>655.59</v>
      </c>
      <c r="O258" s="70">
        <f>SUMIF(Facebook!A:A,'Compilado 2023'!B:B,Facebook!B:B)</f>
        <v>242.57</v>
      </c>
      <c r="P258" s="70">
        <v>0</v>
      </c>
      <c r="Q258" s="70">
        <v>53.333333333333336</v>
      </c>
      <c r="R258" s="202">
        <f>IFERROR(VLOOKUP($B:$B,Tabela_Linkedin[],2,),0)</f>
        <v>0</v>
      </c>
      <c r="S258" s="70">
        <f>SUMIF(TikTok!A:A,'Compilado 2023'!B:B,TikTok!B:B)</f>
        <v>0</v>
      </c>
      <c r="T258" s="70">
        <v>0</v>
      </c>
      <c r="U258" s="70">
        <v>0</v>
      </c>
      <c r="V258" s="59"/>
      <c r="W258" s="70">
        <v>0</v>
      </c>
      <c r="X258" s="70">
        <v>0</v>
      </c>
      <c r="Y258" s="70">
        <v>0</v>
      </c>
      <c r="Z258" s="38"/>
      <c r="AA258" s="40"/>
    </row>
    <row r="259" spans="1:27" s="2" customFormat="1" x14ac:dyDescent="0.2">
      <c r="A259" s="16" t="s">
        <v>98</v>
      </c>
      <c r="B259" s="17">
        <v>44818</v>
      </c>
      <c r="C259" s="19">
        <v>58360.29</v>
      </c>
      <c r="D259" s="52">
        <v>58360.29</v>
      </c>
      <c r="E259" s="52">
        <v>0</v>
      </c>
      <c r="F259" s="157">
        <v>274</v>
      </c>
      <c r="G259" s="157">
        <v>376</v>
      </c>
      <c r="H259" s="35">
        <v>212.9937591240876</v>
      </c>
      <c r="I259" s="19">
        <v>1105.9633333333334</v>
      </c>
      <c r="J259" s="111">
        <v>52.768738565775237</v>
      </c>
      <c r="K259" s="53">
        <v>4481</v>
      </c>
      <c r="L259" s="54">
        <v>6.1147065387190357E-2</v>
      </c>
      <c r="M259" s="59"/>
      <c r="N259" s="69">
        <v>603.77</v>
      </c>
      <c r="O259" s="70">
        <f>SUMIF(Facebook!A:A,'Compilado 2023'!B:B,Facebook!B:B)</f>
        <v>224.43</v>
      </c>
      <c r="P259" s="70">
        <v>0</v>
      </c>
      <c r="Q259" s="70">
        <v>53.333333333333336</v>
      </c>
      <c r="R259" s="202">
        <f>IFERROR(VLOOKUP($B:$B,Tabela_Linkedin[],2,),0)</f>
        <v>0</v>
      </c>
      <c r="S259" s="70">
        <f>SUMIF(TikTok!A:A,'Compilado 2023'!B:B,TikTok!B:B)</f>
        <v>0</v>
      </c>
      <c r="T259" s="70">
        <v>0</v>
      </c>
      <c r="U259" s="70">
        <v>0</v>
      </c>
      <c r="V259" s="59"/>
      <c r="W259" s="70">
        <v>0</v>
      </c>
      <c r="X259" s="70">
        <v>0</v>
      </c>
      <c r="Y259" s="70">
        <v>0</v>
      </c>
      <c r="Z259" s="38"/>
      <c r="AA259" s="40"/>
    </row>
    <row r="260" spans="1:27" s="2" customFormat="1" x14ac:dyDescent="0.2">
      <c r="A260" s="16" t="s">
        <v>99</v>
      </c>
      <c r="B260" s="17">
        <v>44819</v>
      </c>
      <c r="C260" s="19">
        <v>53315.81</v>
      </c>
      <c r="D260" s="52">
        <v>53315.81</v>
      </c>
      <c r="E260" s="52">
        <v>0</v>
      </c>
      <c r="F260" s="157">
        <v>181</v>
      </c>
      <c r="G260" s="157">
        <v>222</v>
      </c>
      <c r="H260" s="35">
        <v>294.56248618784531</v>
      </c>
      <c r="I260" s="19">
        <v>1154.3633333333332</v>
      </c>
      <c r="J260" s="111">
        <v>46.186333592254321</v>
      </c>
      <c r="K260" s="53">
        <v>5422</v>
      </c>
      <c r="L260" s="54">
        <v>3.3382515676872004E-2</v>
      </c>
      <c r="M260" s="59"/>
      <c r="N260" s="69">
        <v>616.01</v>
      </c>
      <c r="O260" s="70">
        <f>SUMIF(Facebook!A:A,'Compilado 2023'!B:B,Facebook!B:B)</f>
        <v>242.51</v>
      </c>
      <c r="P260" s="70">
        <v>0</v>
      </c>
      <c r="Q260" s="70">
        <v>53.333333333333336</v>
      </c>
      <c r="R260" s="202">
        <f>IFERROR(VLOOKUP($B:$B,Tabela_Linkedin[],2,),0)</f>
        <v>0</v>
      </c>
      <c r="S260" s="70">
        <f>SUMIF(TikTok!A:A,'Compilado 2023'!B:B,TikTok!B:B)</f>
        <v>0</v>
      </c>
      <c r="T260" s="70">
        <v>0</v>
      </c>
      <c r="U260" s="70">
        <v>0</v>
      </c>
      <c r="V260" s="59"/>
      <c r="W260" s="70">
        <v>0</v>
      </c>
      <c r="X260" s="70">
        <v>0</v>
      </c>
      <c r="Y260" s="70">
        <v>0</v>
      </c>
      <c r="Z260" s="38"/>
      <c r="AA260" s="40"/>
    </row>
    <row r="261" spans="1:27" s="2" customFormat="1" x14ac:dyDescent="0.2">
      <c r="A261" s="16" t="s">
        <v>100</v>
      </c>
      <c r="B261" s="17">
        <v>44820</v>
      </c>
      <c r="C261" s="19">
        <v>47071.95</v>
      </c>
      <c r="D261" s="52">
        <v>47071.95</v>
      </c>
      <c r="E261" s="52">
        <v>0</v>
      </c>
      <c r="F261" s="157">
        <v>163</v>
      </c>
      <c r="G261" s="157">
        <v>194</v>
      </c>
      <c r="H261" s="35">
        <v>288.78496932515338</v>
      </c>
      <c r="I261" s="19">
        <v>1524.7633333333331</v>
      </c>
      <c r="J261" s="111">
        <v>30.871643468166646</v>
      </c>
      <c r="K261" s="53">
        <v>4585</v>
      </c>
      <c r="L261" s="54">
        <v>3.5550708833151583E-2</v>
      </c>
      <c r="M261" s="59"/>
      <c r="N261" s="69">
        <v>947.43</v>
      </c>
      <c r="O261" s="70">
        <f>SUMIF(Facebook!A:A,'Compilado 2023'!B:B,Facebook!B:B)</f>
        <v>262</v>
      </c>
      <c r="P261" s="70">
        <v>0</v>
      </c>
      <c r="Q261" s="70">
        <v>53.333333333333336</v>
      </c>
      <c r="R261" s="202">
        <f>IFERROR(VLOOKUP($B:$B,Tabela_Linkedin[],2,),0)</f>
        <v>0</v>
      </c>
      <c r="S261" s="70">
        <f>SUMIF(TikTok!A:A,'Compilado 2023'!B:B,TikTok!B:B)</f>
        <v>0</v>
      </c>
      <c r="T261" s="70">
        <v>0</v>
      </c>
      <c r="U261" s="70">
        <v>0</v>
      </c>
      <c r="V261" s="59"/>
      <c r="W261" s="70">
        <v>0</v>
      </c>
      <c r="X261" s="70">
        <v>0</v>
      </c>
      <c r="Y261" s="70">
        <v>0</v>
      </c>
      <c r="Z261" s="38"/>
      <c r="AA261" s="40"/>
    </row>
    <row r="262" spans="1:27" s="2" customFormat="1" x14ac:dyDescent="0.2">
      <c r="A262" s="16" t="s">
        <v>94</v>
      </c>
      <c r="B262" s="17">
        <v>44821</v>
      </c>
      <c r="C262" s="19">
        <v>32546.26</v>
      </c>
      <c r="D262" s="52">
        <v>32520.55</v>
      </c>
      <c r="E262" s="52">
        <v>25.71</v>
      </c>
      <c r="F262" s="157">
        <v>108</v>
      </c>
      <c r="G262" s="157">
        <v>135</v>
      </c>
      <c r="H262" s="35">
        <v>301.35425925925927</v>
      </c>
      <c r="I262" s="19">
        <v>1671.7533333333333</v>
      </c>
      <c r="J262" s="111">
        <v>19.468338630499716</v>
      </c>
      <c r="K262" s="53">
        <v>3452</v>
      </c>
      <c r="L262" s="54">
        <v>3.1286210892236384E-2</v>
      </c>
      <c r="M262" s="59"/>
      <c r="N262" s="69">
        <v>1065.24</v>
      </c>
      <c r="O262" s="70">
        <f>SUMIF(Facebook!A:A,'Compilado 2023'!B:B,Facebook!B:B)</f>
        <v>276.58999999999997</v>
      </c>
      <c r="P262" s="70">
        <v>0</v>
      </c>
      <c r="Q262" s="70">
        <v>53.333333333333336</v>
      </c>
      <c r="R262" s="202">
        <f>IFERROR(VLOOKUP($B:$B,Tabela_Linkedin[],2,),0)</f>
        <v>0</v>
      </c>
      <c r="S262" s="70">
        <f>SUMIF(TikTok!A:A,'Compilado 2023'!B:B,TikTok!B:B)</f>
        <v>0</v>
      </c>
      <c r="T262" s="70">
        <v>0</v>
      </c>
      <c r="U262" s="70">
        <v>0</v>
      </c>
      <c r="V262" s="59"/>
      <c r="W262" s="70">
        <v>0</v>
      </c>
      <c r="X262" s="70">
        <v>0</v>
      </c>
      <c r="Y262" s="70">
        <v>0</v>
      </c>
      <c r="Z262" s="38"/>
      <c r="AA262" s="40"/>
    </row>
    <row r="263" spans="1:27" s="2" customFormat="1" x14ac:dyDescent="0.2">
      <c r="A263" s="16" t="s">
        <v>95</v>
      </c>
      <c r="B263" s="17">
        <v>44822</v>
      </c>
      <c r="C263" s="19">
        <v>20304.75</v>
      </c>
      <c r="D263" s="52">
        <v>20304.75</v>
      </c>
      <c r="E263" s="52">
        <v>0</v>
      </c>
      <c r="F263" s="157">
        <v>73</v>
      </c>
      <c r="G263" s="157">
        <v>83</v>
      </c>
      <c r="H263" s="35">
        <v>278.14726027397262</v>
      </c>
      <c r="I263" s="19">
        <v>1618.9433333333332</v>
      </c>
      <c r="J263" s="111">
        <v>12.541976968516503</v>
      </c>
      <c r="K263" s="53">
        <v>2982</v>
      </c>
      <c r="L263" s="54">
        <v>2.448021462105969E-2</v>
      </c>
      <c r="M263" s="59"/>
      <c r="N263" s="69">
        <v>978.31</v>
      </c>
      <c r="O263" s="70">
        <f>SUMIF(Facebook!A:A,'Compilado 2023'!B:B,Facebook!B:B)</f>
        <v>293.64999999999998</v>
      </c>
      <c r="P263" s="70">
        <v>0</v>
      </c>
      <c r="Q263" s="70">
        <v>53.333333333333336</v>
      </c>
      <c r="R263" s="202">
        <f>IFERROR(VLOOKUP($B:$B,Tabela_Linkedin[],2,),0)</f>
        <v>0</v>
      </c>
      <c r="S263" s="70">
        <f>SUMIF(TikTok!A:A,'Compilado 2023'!B:B,TikTok!B:B)</f>
        <v>0</v>
      </c>
      <c r="T263" s="70">
        <v>0</v>
      </c>
      <c r="U263" s="70">
        <v>0</v>
      </c>
      <c r="V263" s="59"/>
      <c r="W263" s="70">
        <v>0</v>
      </c>
      <c r="X263" s="70">
        <v>0</v>
      </c>
      <c r="Y263" s="70">
        <v>0</v>
      </c>
      <c r="Z263" s="38"/>
      <c r="AA263" s="40"/>
    </row>
    <row r="264" spans="1:27" s="2" customFormat="1" x14ac:dyDescent="0.2">
      <c r="A264" s="16" t="s">
        <v>96</v>
      </c>
      <c r="B264" s="17">
        <v>44823</v>
      </c>
      <c r="C264" s="19">
        <v>71887.569999999992</v>
      </c>
      <c r="D264" s="52">
        <v>71831.789999999994</v>
      </c>
      <c r="E264" s="52">
        <v>55.78</v>
      </c>
      <c r="F264" s="157">
        <v>295</v>
      </c>
      <c r="G264" s="157">
        <v>415</v>
      </c>
      <c r="H264" s="35">
        <v>243.68667796610166</v>
      </c>
      <c r="I264" s="19">
        <v>2359.3833333333337</v>
      </c>
      <c r="J264" s="111">
        <v>30.46879622500229</v>
      </c>
      <c r="K264" s="53">
        <v>5581</v>
      </c>
      <c r="L264" s="54">
        <v>5.2857910768679447E-2</v>
      </c>
      <c r="M264" s="59"/>
      <c r="N264" s="69">
        <v>1674.01</v>
      </c>
      <c r="O264" s="70">
        <f>SUMIF(Facebook!A:A,'Compilado 2023'!B:B,Facebook!B:B)</f>
        <v>316.02</v>
      </c>
      <c r="P264" s="70">
        <v>0</v>
      </c>
      <c r="Q264" s="70">
        <v>53.333333333333336</v>
      </c>
      <c r="R264" s="202">
        <f>IFERROR(VLOOKUP($B:$B,Tabela_Linkedin[],2,),0)</f>
        <v>0</v>
      </c>
      <c r="S264" s="70">
        <f>SUMIF(TikTok!A:A,'Compilado 2023'!B:B,TikTok!B:B)</f>
        <v>0</v>
      </c>
      <c r="T264" s="70">
        <v>0</v>
      </c>
      <c r="U264" s="70">
        <v>0</v>
      </c>
      <c r="V264" s="59"/>
      <c r="W264" s="70">
        <v>0</v>
      </c>
      <c r="X264" s="70">
        <v>0</v>
      </c>
      <c r="Y264" s="70">
        <v>0</v>
      </c>
      <c r="Z264" s="38"/>
      <c r="AA264" s="40"/>
    </row>
    <row r="265" spans="1:27" s="2" customFormat="1" x14ac:dyDescent="0.2">
      <c r="A265" s="16" t="s">
        <v>97</v>
      </c>
      <c r="B265" s="17">
        <v>44824</v>
      </c>
      <c r="C265" s="19">
        <v>65118.879999999997</v>
      </c>
      <c r="D265" s="52">
        <v>65118.879999999997</v>
      </c>
      <c r="E265" s="52">
        <v>0</v>
      </c>
      <c r="F265" s="157">
        <v>241</v>
      </c>
      <c r="G265" s="157">
        <v>337</v>
      </c>
      <c r="H265" s="35">
        <v>270.20282157676348</v>
      </c>
      <c r="I265" s="19">
        <v>2206.9233333333336</v>
      </c>
      <c r="J265" s="111">
        <v>29.50663442469682</v>
      </c>
      <c r="K265" s="53">
        <v>5118</v>
      </c>
      <c r="L265" s="54">
        <v>4.7088706525986714E-2</v>
      </c>
      <c r="M265" s="59"/>
      <c r="N265" s="69">
        <v>1519.65</v>
      </c>
      <c r="O265" s="70">
        <f>SUMIF(Facebook!A:A,'Compilado 2023'!B:B,Facebook!B:B)</f>
        <v>316.97000000000003</v>
      </c>
      <c r="P265" s="70">
        <v>0</v>
      </c>
      <c r="Q265" s="70">
        <v>53.333333333333336</v>
      </c>
      <c r="R265" s="202">
        <f>IFERROR(VLOOKUP($B:$B,Tabela_Linkedin[],2,),0)</f>
        <v>0</v>
      </c>
      <c r="S265" s="70">
        <f>SUMIF(TikTok!A:A,'Compilado 2023'!B:B,TikTok!B:B)</f>
        <v>0</v>
      </c>
      <c r="T265" s="70">
        <v>0</v>
      </c>
      <c r="U265" s="70">
        <v>0</v>
      </c>
      <c r="V265" s="59"/>
      <c r="W265" s="70">
        <v>0</v>
      </c>
      <c r="X265" s="70">
        <v>0</v>
      </c>
      <c r="Y265" s="70">
        <v>0</v>
      </c>
      <c r="Z265" s="38"/>
      <c r="AA265" s="40"/>
    </row>
    <row r="266" spans="1:27" s="2" customFormat="1" x14ac:dyDescent="0.2">
      <c r="A266" s="16" t="s">
        <v>98</v>
      </c>
      <c r="B266" s="17">
        <v>44825</v>
      </c>
      <c r="C266" s="19">
        <v>61030.95</v>
      </c>
      <c r="D266" s="52">
        <v>61030.95</v>
      </c>
      <c r="E266" s="52">
        <v>0</v>
      </c>
      <c r="F266" s="157">
        <v>240</v>
      </c>
      <c r="G266" s="157">
        <v>352</v>
      </c>
      <c r="H266" s="35">
        <v>254.295625</v>
      </c>
      <c r="I266" s="19">
        <v>1313.6733333333334</v>
      </c>
      <c r="J266" s="111">
        <v>46.458239237557784</v>
      </c>
      <c r="K266" s="53">
        <v>5393</v>
      </c>
      <c r="L266" s="54">
        <v>4.4502132393843874E-2</v>
      </c>
      <c r="M266" s="59"/>
      <c r="N266" s="69">
        <v>568.26</v>
      </c>
      <c r="O266" s="70">
        <f>SUMIF(Facebook!A:A,'Compilado 2023'!B:B,Facebook!B:B)</f>
        <v>346.04</v>
      </c>
      <c r="P266" s="70">
        <v>0</v>
      </c>
      <c r="Q266" s="70">
        <v>53.333333333333336</v>
      </c>
      <c r="R266" s="202">
        <f>IFERROR(VLOOKUP($B:$B,Tabela_Linkedin[],2,),0)</f>
        <v>0</v>
      </c>
      <c r="S266" s="70">
        <f>SUMIF(TikTok!A:A,'Compilado 2023'!B:B,TikTok!B:B)</f>
        <v>0</v>
      </c>
      <c r="T266" s="70">
        <v>0</v>
      </c>
      <c r="U266" s="70">
        <v>0</v>
      </c>
      <c r="V266" s="59"/>
      <c r="W266" s="70">
        <v>0</v>
      </c>
      <c r="X266" s="70">
        <v>0</v>
      </c>
      <c r="Y266" s="70">
        <v>0</v>
      </c>
      <c r="Z266" s="38"/>
      <c r="AA266" s="40"/>
    </row>
    <row r="267" spans="1:27" s="2" customFormat="1" x14ac:dyDescent="0.2">
      <c r="A267" s="16" t="s">
        <v>99</v>
      </c>
      <c r="B267" s="17">
        <v>44826</v>
      </c>
      <c r="C267" s="19">
        <v>58325.86</v>
      </c>
      <c r="D267" s="52">
        <v>58301.17</v>
      </c>
      <c r="E267" s="52">
        <v>24.69</v>
      </c>
      <c r="F267" s="157">
        <v>257</v>
      </c>
      <c r="G267" s="157">
        <v>366</v>
      </c>
      <c r="H267" s="35">
        <v>226.94887159533073</v>
      </c>
      <c r="I267" s="19">
        <v>1130.6333333333332</v>
      </c>
      <c r="J267" s="111">
        <v>51.586892302249481</v>
      </c>
      <c r="K267" s="53">
        <v>5591</v>
      </c>
      <c r="L267" s="54">
        <v>4.5966732248256127E-2</v>
      </c>
      <c r="M267" s="59"/>
      <c r="N267" s="69">
        <v>519.64</v>
      </c>
      <c r="O267" s="70">
        <f>SUMIF(Facebook!A:A,'Compilado 2023'!B:B,Facebook!B:B)</f>
        <v>278.83</v>
      </c>
      <c r="P267" s="70">
        <v>0</v>
      </c>
      <c r="Q267" s="70">
        <v>53.333333333333336</v>
      </c>
      <c r="R267" s="202">
        <f>IFERROR(VLOOKUP($B:$B,Tabela_Linkedin[],2,),0)</f>
        <v>0</v>
      </c>
      <c r="S267" s="70">
        <f>SUMIF(TikTok!A:A,'Compilado 2023'!B:B,TikTok!B:B)</f>
        <v>0</v>
      </c>
      <c r="T267" s="70">
        <v>0</v>
      </c>
      <c r="U267" s="70">
        <v>0</v>
      </c>
      <c r="V267" s="59"/>
      <c r="W267" s="70">
        <v>0</v>
      </c>
      <c r="X267" s="70">
        <v>0</v>
      </c>
      <c r="Y267" s="70">
        <v>0</v>
      </c>
      <c r="Z267" s="38"/>
      <c r="AA267" s="40"/>
    </row>
    <row r="268" spans="1:27" s="2" customFormat="1" x14ac:dyDescent="0.2">
      <c r="A268" s="16" t="s">
        <v>100</v>
      </c>
      <c r="B268" s="17">
        <v>44827</v>
      </c>
      <c r="C268" s="19">
        <v>49237.4</v>
      </c>
      <c r="D268" s="52">
        <v>49237.4</v>
      </c>
      <c r="E268" s="52">
        <v>0</v>
      </c>
      <c r="F268" s="157">
        <v>158</v>
      </c>
      <c r="G268" s="157">
        <v>224</v>
      </c>
      <c r="H268" s="35">
        <v>311.62911392405061</v>
      </c>
      <c r="I268" s="19">
        <v>916.23333333333335</v>
      </c>
      <c r="J268" s="111">
        <v>53.73893113108015</v>
      </c>
      <c r="K268" s="53">
        <v>4236</v>
      </c>
      <c r="L268" s="54">
        <v>3.7299338999055714E-2</v>
      </c>
      <c r="M268" s="59"/>
      <c r="N268" s="69">
        <v>444.88</v>
      </c>
      <c r="O268" s="70">
        <f>SUMIF(Facebook!A:A,'Compilado 2023'!B:B,Facebook!B:B)</f>
        <v>209.01</v>
      </c>
      <c r="P268" s="70">
        <v>0</v>
      </c>
      <c r="Q268" s="70">
        <v>53.333333333333336</v>
      </c>
      <c r="R268" s="202">
        <f>IFERROR(VLOOKUP($B:$B,Tabela_Linkedin[],2,),0)</f>
        <v>0</v>
      </c>
      <c r="S268" s="70">
        <f>SUMIF(TikTok!A:A,'Compilado 2023'!B:B,TikTok!B:B)</f>
        <v>0</v>
      </c>
      <c r="T268" s="70">
        <v>0</v>
      </c>
      <c r="U268" s="70">
        <v>0</v>
      </c>
      <c r="V268" s="59"/>
      <c r="W268" s="70">
        <v>0</v>
      </c>
      <c r="X268" s="70">
        <v>0</v>
      </c>
      <c r="Y268" s="70">
        <v>0</v>
      </c>
      <c r="Z268" s="38"/>
      <c r="AA268" s="40"/>
    </row>
    <row r="269" spans="1:27" s="2" customFormat="1" x14ac:dyDescent="0.2">
      <c r="A269" s="16" t="s">
        <v>94</v>
      </c>
      <c r="B269" s="17">
        <v>44828</v>
      </c>
      <c r="C269" s="19">
        <v>26717.62</v>
      </c>
      <c r="D269" s="52">
        <v>26717.62</v>
      </c>
      <c r="E269" s="52">
        <v>0</v>
      </c>
      <c r="F269" s="157">
        <v>96</v>
      </c>
      <c r="G269" s="157">
        <v>138</v>
      </c>
      <c r="H269" s="35">
        <v>278.30854166666666</v>
      </c>
      <c r="I269" s="19">
        <v>806.60333333333335</v>
      </c>
      <c r="J269" s="111">
        <v>33.123617143494734</v>
      </c>
      <c r="K269" s="53">
        <v>2965</v>
      </c>
      <c r="L269" s="54">
        <v>3.2377740303541312E-2</v>
      </c>
      <c r="M269" s="59"/>
      <c r="N269" s="69">
        <v>335.73</v>
      </c>
      <c r="O269" s="70">
        <f>SUMIF(Facebook!A:A,'Compilado 2023'!B:B,Facebook!B:B)</f>
        <v>208.77</v>
      </c>
      <c r="P269" s="70">
        <v>0</v>
      </c>
      <c r="Q269" s="70">
        <v>53.333333333333336</v>
      </c>
      <c r="R269" s="202">
        <f>IFERROR(VLOOKUP($B:$B,Tabela_Linkedin[],2,),0)</f>
        <v>0</v>
      </c>
      <c r="S269" s="70">
        <f>SUMIF(TikTok!A:A,'Compilado 2023'!B:B,TikTok!B:B)</f>
        <v>0</v>
      </c>
      <c r="T269" s="70">
        <v>0</v>
      </c>
      <c r="U269" s="70">
        <v>0</v>
      </c>
      <c r="V269" s="59"/>
      <c r="W269" s="70">
        <v>0</v>
      </c>
      <c r="X269" s="70">
        <v>0</v>
      </c>
      <c r="Y269" s="70">
        <v>0</v>
      </c>
      <c r="Z269" s="38"/>
      <c r="AA269" s="40"/>
    </row>
    <row r="270" spans="1:27" s="2" customFormat="1" x14ac:dyDescent="0.2">
      <c r="A270" s="16" t="s">
        <v>95</v>
      </c>
      <c r="B270" s="17">
        <v>44829</v>
      </c>
      <c r="C270" s="19">
        <v>16274.91</v>
      </c>
      <c r="D270" s="52">
        <v>16274.91</v>
      </c>
      <c r="E270" s="52">
        <v>0</v>
      </c>
      <c r="F270" s="157">
        <v>59</v>
      </c>
      <c r="G270" s="157">
        <v>66</v>
      </c>
      <c r="H270" s="35">
        <v>275.84593220338985</v>
      </c>
      <c r="I270" s="19">
        <v>840.99333333333334</v>
      </c>
      <c r="J270" s="111">
        <v>19.352008339344742</v>
      </c>
      <c r="K270" s="53">
        <v>2629</v>
      </c>
      <c r="L270" s="54">
        <v>2.2441993153290225E-2</v>
      </c>
      <c r="M270" s="59"/>
      <c r="N270" s="69">
        <v>331.38</v>
      </c>
      <c r="O270" s="70">
        <f>SUMIF(Facebook!A:A,'Compilado 2023'!B:B,Facebook!B:B)</f>
        <v>228.14</v>
      </c>
      <c r="P270" s="70">
        <v>0</v>
      </c>
      <c r="Q270" s="70">
        <v>53.333333333333336</v>
      </c>
      <c r="R270" s="202">
        <f>IFERROR(VLOOKUP($B:$B,Tabela_Linkedin[],2,),0)</f>
        <v>0</v>
      </c>
      <c r="S270" s="70">
        <f>SUMIF(TikTok!A:A,'Compilado 2023'!B:B,TikTok!B:B)</f>
        <v>0</v>
      </c>
      <c r="T270" s="70">
        <v>0</v>
      </c>
      <c r="U270" s="70">
        <v>0</v>
      </c>
      <c r="V270" s="59"/>
      <c r="W270" s="70">
        <v>0</v>
      </c>
      <c r="X270" s="70">
        <v>0</v>
      </c>
      <c r="Y270" s="70">
        <v>0</v>
      </c>
      <c r="Z270" s="38"/>
      <c r="AA270" s="40"/>
    </row>
    <row r="271" spans="1:27" s="2" customFormat="1" x14ac:dyDescent="0.2">
      <c r="A271" s="16" t="s">
        <v>96</v>
      </c>
      <c r="B271" s="17">
        <v>44830</v>
      </c>
      <c r="C271" s="19">
        <v>41882.97</v>
      </c>
      <c r="D271" s="52">
        <v>41882.97</v>
      </c>
      <c r="E271" s="52">
        <v>0</v>
      </c>
      <c r="F271" s="157">
        <v>148</v>
      </c>
      <c r="G271" s="157">
        <v>186</v>
      </c>
      <c r="H271" s="35">
        <v>282.99304054054056</v>
      </c>
      <c r="I271" s="19">
        <v>1188.0533333333333</v>
      </c>
      <c r="J271" s="111">
        <v>35.253442606392532</v>
      </c>
      <c r="K271" s="53">
        <v>4585</v>
      </c>
      <c r="L271" s="54">
        <v>3.2279171210468922E-2</v>
      </c>
      <c r="M271" s="59"/>
      <c r="N271" s="69">
        <v>468.78</v>
      </c>
      <c r="O271" s="70">
        <f>SUMIF(Facebook!A:A,'Compilado 2023'!B:B,Facebook!B:B)</f>
        <v>332.97</v>
      </c>
      <c r="P271" s="70">
        <v>0</v>
      </c>
      <c r="Q271" s="70">
        <v>53.333333333333336</v>
      </c>
      <c r="R271" s="202">
        <f>IFERROR(VLOOKUP($B:$B,Tabela_Linkedin[],2,),0)</f>
        <v>0</v>
      </c>
      <c r="S271" s="70">
        <f>SUMIF(TikTok!A:A,'Compilado 2023'!B:B,TikTok!B:B)</f>
        <v>0</v>
      </c>
      <c r="T271" s="70">
        <v>0</v>
      </c>
      <c r="U271" s="70">
        <v>0</v>
      </c>
      <c r="V271" s="59"/>
      <c r="W271" s="70">
        <v>0</v>
      </c>
      <c r="X271" s="70">
        <v>0</v>
      </c>
      <c r="Y271" s="70">
        <v>0</v>
      </c>
      <c r="Z271" s="38"/>
      <c r="AA271" s="40"/>
    </row>
    <row r="272" spans="1:27" s="2" customFormat="1" x14ac:dyDescent="0.2">
      <c r="A272" s="16" t="s">
        <v>97</v>
      </c>
      <c r="B272" s="17">
        <v>44831</v>
      </c>
      <c r="C272" s="19">
        <v>44967.11</v>
      </c>
      <c r="D272" s="52">
        <v>44967.11</v>
      </c>
      <c r="E272" s="52">
        <v>0</v>
      </c>
      <c r="F272" s="157">
        <v>160</v>
      </c>
      <c r="G272" s="157">
        <v>209</v>
      </c>
      <c r="H272" s="35">
        <v>281.04443750000002</v>
      </c>
      <c r="I272" s="19">
        <v>1055.6833333333334</v>
      </c>
      <c r="J272" s="111">
        <v>42.595263731232535</v>
      </c>
      <c r="K272" s="53">
        <v>4252</v>
      </c>
      <c r="L272" s="54">
        <v>3.7629350893697081E-2</v>
      </c>
      <c r="M272" s="59"/>
      <c r="N272" s="69">
        <v>459.89</v>
      </c>
      <c r="O272" s="70">
        <f>SUMIF(Facebook!A:A,'Compilado 2023'!B:B,Facebook!B:B)</f>
        <v>271.23</v>
      </c>
      <c r="P272" s="70">
        <v>0</v>
      </c>
      <c r="Q272" s="70">
        <v>53.333333333333336</v>
      </c>
      <c r="R272" s="202">
        <f>IFERROR(VLOOKUP($B:$B,Tabela_Linkedin[],2,),0)</f>
        <v>0</v>
      </c>
      <c r="S272" s="70">
        <f>SUMIF(TikTok!A:A,'Compilado 2023'!B:B,TikTok!B:B)</f>
        <v>0</v>
      </c>
      <c r="T272" s="70">
        <v>0</v>
      </c>
      <c r="U272" s="70">
        <v>0</v>
      </c>
      <c r="V272" s="59"/>
      <c r="W272" s="70">
        <v>0</v>
      </c>
      <c r="X272" s="70">
        <v>0</v>
      </c>
      <c r="Y272" s="70">
        <v>0</v>
      </c>
      <c r="Z272" s="38"/>
      <c r="AA272" s="40"/>
    </row>
    <row r="273" spans="1:27" s="2" customFormat="1" x14ac:dyDescent="0.2">
      <c r="A273" s="16" t="s">
        <v>98</v>
      </c>
      <c r="B273" s="17">
        <v>44832</v>
      </c>
      <c r="C273" s="19">
        <v>66855.64</v>
      </c>
      <c r="D273" s="52">
        <v>66855.64</v>
      </c>
      <c r="E273" s="52">
        <v>0</v>
      </c>
      <c r="F273" s="157">
        <v>193</v>
      </c>
      <c r="G273" s="157">
        <v>328</v>
      </c>
      <c r="H273" s="35">
        <v>346.40227979274613</v>
      </c>
      <c r="I273" s="19">
        <v>1416.1033333333332</v>
      </c>
      <c r="J273" s="111">
        <v>47.210989781819123</v>
      </c>
      <c r="K273" s="53">
        <v>4736</v>
      </c>
      <c r="L273" s="54">
        <v>4.0751689189189186E-2</v>
      </c>
      <c r="M273" s="59"/>
      <c r="N273" s="69">
        <v>415.17</v>
      </c>
      <c r="O273" s="70">
        <f>SUMIF(Facebook!A:A,'Compilado 2023'!B:B,Facebook!B:B)</f>
        <v>473.8</v>
      </c>
      <c r="P273" s="70">
        <v>0</v>
      </c>
      <c r="Q273" s="70">
        <v>53.333333333333336</v>
      </c>
      <c r="R273" s="202">
        <f>IFERROR(VLOOKUP($B:$B,Tabela_Linkedin[],2,),0)</f>
        <v>0</v>
      </c>
      <c r="S273" s="70">
        <f>SUMIF(TikTok!A:A,'Compilado 2023'!B:B,TikTok!B:B)</f>
        <v>0</v>
      </c>
      <c r="T273" s="70">
        <v>0</v>
      </c>
      <c r="U273" s="70">
        <v>0</v>
      </c>
      <c r="V273" s="59"/>
      <c r="W273" s="70">
        <v>0</v>
      </c>
      <c r="X273" s="70">
        <v>0</v>
      </c>
      <c r="Y273" s="70">
        <v>0</v>
      </c>
      <c r="Z273" s="38"/>
      <c r="AA273" s="40"/>
    </row>
    <row r="274" spans="1:27" s="2" customFormat="1" x14ac:dyDescent="0.2">
      <c r="A274" s="16" t="s">
        <v>99</v>
      </c>
      <c r="B274" s="17">
        <v>44833</v>
      </c>
      <c r="C274" s="19">
        <v>67928.87</v>
      </c>
      <c r="D274" s="52">
        <v>67928.87</v>
      </c>
      <c r="E274" s="52">
        <v>0</v>
      </c>
      <c r="F274" s="157">
        <v>210</v>
      </c>
      <c r="G274" s="157">
        <v>301</v>
      </c>
      <c r="H274" s="35">
        <v>323.47080952380952</v>
      </c>
      <c r="I274" s="19">
        <v>1687.2833333333333</v>
      </c>
      <c r="J274" s="111">
        <v>40.259314282327608</v>
      </c>
      <c r="K274" s="53">
        <v>4408</v>
      </c>
      <c r="L274" s="54">
        <v>4.7640653357531759E-2</v>
      </c>
      <c r="M274" s="59"/>
      <c r="N274" s="69">
        <v>352.71</v>
      </c>
      <c r="O274" s="70">
        <f>SUMIF(Facebook!A:A,'Compilado 2023'!B:B,Facebook!B:B)</f>
        <v>640.62</v>
      </c>
      <c r="P274" s="70">
        <v>0</v>
      </c>
      <c r="Q274" s="70">
        <v>53.333333333333336</v>
      </c>
      <c r="R274" s="202">
        <f>IFERROR(VLOOKUP($B:$B,Tabela_Linkedin[],2,),0)</f>
        <v>0</v>
      </c>
      <c r="S274" s="70">
        <f>SUMIF(TikTok!A:A,'Compilado 2023'!B:B,TikTok!B:B)</f>
        <v>0</v>
      </c>
      <c r="T274" s="70">
        <v>0</v>
      </c>
      <c r="U274" s="70">
        <v>0</v>
      </c>
      <c r="V274" s="59"/>
      <c r="W274" s="70">
        <v>0</v>
      </c>
      <c r="X274" s="70">
        <v>0</v>
      </c>
      <c r="Y274" s="70">
        <v>0</v>
      </c>
      <c r="Z274" s="38"/>
      <c r="AA274" s="40"/>
    </row>
    <row r="275" spans="1:27" s="2" customFormat="1" x14ac:dyDescent="0.2">
      <c r="A275" s="16" t="s">
        <v>100</v>
      </c>
      <c r="B275" s="17">
        <v>44834</v>
      </c>
      <c r="C275" s="19">
        <v>72018.289999999994</v>
      </c>
      <c r="D275" s="52">
        <v>72018.289999999994</v>
      </c>
      <c r="E275" s="52">
        <v>0</v>
      </c>
      <c r="F275" s="157">
        <v>213</v>
      </c>
      <c r="G275" s="157">
        <v>348</v>
      </c>
      <c r="H275" s="35">
        <v>338.11403755868542</v>
      </c>
      <c r="I275" s="19">
        <v>1857.9733333333331</v>
      </c>
      <c r="J275" s="111">
        <v>38.761745773172201</v>
      </c>
      <c r="K275" s="53">
        <v>4421</v>
      </c>
      <c r="L275" s="54">
        <v>4.8179144989821308E-2</v>
      </c>
      <c r="M275" s="59"/>
      <c r="N275" s="69">
        <v>328.14</v>
      </c>
      <c r="O275" s="70">
        <f>SUMIF(Facebook!A:A,'Compilado 2023'!B:B,Facebook!B:B)</f>
        <v>738.25</v>
      </c>
      <c r="P275" s="70">
        <v>0</v>
      </c>
      <c r="Q275" s="70">
        <v>53.333333333333336</v>
      </c>
      <c r="R275" s="202">
        <f>IFERROR(VLOOKUP($B:$B,Tabela_Linkedin[],2,),0)</f>
        <v>0</v>
      </c>
      <c r="S275" s="70">
        <f>SUMIF(TikTok!A:A,'Compilado 2023'!B:B,TikTok!B:B)</f>
        <v>0</v>
      </c>
      <c r="T275" s="70">
        <v>0</v>
      </c>
      <c r="U275" s="70">
        <v>0</v>
      </c>
      <c r="V275" s="59"/>
      <c r="W275" s="70">
        <v>0</v>
      </c>
      <c r="X275" s="70">
        <v>0</v>
      </c>
      <c r="Y275" s="70">
        <v>0</v>
      </c>
      <c r="Z275" s="38"/>
      <c r="AA275" s="40"/>
    </row>
    <row r="276" spans="1:27" s="2" customFormat="1" x14ac:dyDescent="0.2">
      <c r="A276" s="16" t="s">
        <v>94</v>
      </c>
      <c r="B276" s="17">
        <v>44835</v>
      </c>
      <c r="C276" s="19">
        <v>27208.94</v>
      </c>
      <c r="D276" s="52">
        <v>27208.94</v>
      </c>
      <c r="E276" s="52">
        <v>0</v>
      </c>
      <c r="F276" s="157">
        <v>103</v>
      </c>
      <c r="G276" s="157">
        <v>133</v>
      </c>
      <c r="H276" s="35">
        <v>264.16446601941749</v>
      </c>
      <c r="I276" s="19">
        <v>979.89290322580644</v>
      </c>
      <c r="J276" s="111">
        <v>27.767258963125659</v>
      </c>
      <c r="K276" s="53">
        <v>3090</v>
      </c>
      <c r="L276" s="54">
        <v>3.3333333333333333E-2</v>
      </c>
      <c r="M276" s="59"/>
      <c r="N276" s="69">
        <v>329.44</v>
      </c>
      <c r="O276" s="70">
        <f>SUMIF(Facebook!A:A,'Compilado 2023'!B:B,Facebook!B:B)</f>
        <v>299.42</v>
      </c>
      <c r="P276" s="70">
        <v>0</v>
      </c>
      <c r="Q276" s="70">
        <v>51.612903225806448</v>
      </c>
      <c r="R276" s="202">
        <f>IFERROR(VLOOKUP($B:$B,Tabela_Linkedin[],2,),0)</f>
        <v>0</v>
      </c>
      <c r="S276" s="70">
        <f>SUMIF(TikTok!A:A,'Compilado 2023'!B:B,TikTok!B:B)</f>
        <v>0</v>
      </c>
      <c r="T276" s="70">
        <v>0</v>
      </c>
      <c r="U276" s="70">
        <v>0</v>
      </c>
      <c r="V276" s="59"/>
      <c r="W276" s="70">
        <v>0</v>
      </c>
      <c r="X276" s="70">
        <v>0</v>
      </c>
      <c r="Y276" s="70">
        <v>0</v>
      </c>
      <c r="Z276" s="38"/>
      <c r="AA276" s="40"/>
    </row>
    <row r="277" spans="1:27" s="2" customFormat="1" x14ac:dyDescent="0.2">
      <c r="A277" s="16" t="s">
        <v>95</v>
      </c>
      <c r="B277" s="17">
        <v>44836</v>
      </c>
      <c r="C277" s="19">
        <v>19267.509999999998</v>
      </c>
      <c r="D277" s="52">
        <v>19267.509999999998</v>
      </c>
      <c r="E277" s="52">
        <v>0</v>
      </c>
      <c r="F277" s="157">
        <v>78</v>
      </c>
      <c r="G277" s="157">
        <v>98</v>
      </c>
      <c r="H277" s="35">
        <v>247.01935897435897</v>
      </c>
      <c r="I277" s="19">
        <v>871.91290322580642</v>
      </c>
      <c r="J277" s="111">
        <v>22.097975530257905</v>
      </c>
      <c r="K277" s="53">
        <v>2075</v>
      </c>
      <c r="L277" s="54">
        <v>3.7590361445783135E-2</v>
      </c>
      <c r="M277" s="59"/>
      <c r="N277" s="69">
        <v>313</v>
      </c>
      <c r="O277" s="70">
        <f>SUMIF(Facebook!A:A,'Compilado 2023'!B:B,Facebook!B:B)</f>
        <v>253.65</v>
      </c>
      <c r="P277" s="70">
        <v>0</v>
      </c>
      <c r="Q277" s="70">
        <v>51.612903225806448</v>
      </c>
      <c r="R277" s="202">
        <f>IFERROR(VLOOKUP($B:$B,Tabela_Linkedin[],2,),0)</f>
        <v>0</v>
      </c>
      <c r="S277" s="70">
        <f>SUMIF(TikTok!A:A,'Compilado 2023'!B:B,TikTok!B:B)</f>
        <v>0</v>
      </c>
      <c r="T277" s="70">
        <v>0</v>
      </c>
      <c r="U277" s="70">
        <v>0</v>
      </c>
      <c r="V277" s="59"/>
      <c r="W277" s="70">
        <v>0</v>
      </c>
      <c r="X277" s="70">
        <v>0</v>
      </c>
      <c r="Y277" s="70">
        <v>0</v>
      </c>
      <c r="Z277" s="38"/>
      <c r="AA277" s="40"/>
    </row>
    <row r="278" spans="1:27" s="2" customFormat="1" x14ac:dyDescent="0.2">
      <c r="A278" s="16" t="s">
        <v>96</v>
      </c>
      <c r="B278" s="17">
        <v>44837</v>
      </c>
      <c r="C278" s="19">
        <v>53382.78</v>
      </c>
      <c r="D278" s="52">
        <v>53382.78</v>
      </c>
      <c r="E278" s="52">
        <v>0</v>
      </c>
      <c r="F278" s="157">
        <v>165</v>
      </c>
      <c r="G278" s="157">
        <v>218</v>
      </c>
      <c r="H278" s="35">
        <v>323.53199999999998</v>
      </c>
      <c r="I278" s="19">
        <v>1015.6329032258064</v>
      </c>
      <c r="J278" s="111">
        <v>52.561097450120087</v>
      </c>
      <c r="K278" s="53">
        <v>4155</v>
      </c>
      <c r="L278" s="54">
        <v>3.9711191335740074E-2</v>
      </c>
      <c r="M278" s="59"/>
      <c r="N278" s="69">
        <v>527.64</v>
      </c>
      <c r="O278" s="70">
        <f>SUMIF(Facebook!A:A,'Compilado 2023'!B:B,Facebook!B:B)</f>
        <v>218.19</v>
      </c>
      <c r="P278" s="70">
        <v>0</v>
      </c>
      <c r="Q278" s="70">
        <v>51.612903225806448</v>
      </c>
      <c r="R278" s="202">
        <f>IFERROR(VLOOKUP($B:$B,Tabela_Linkedin[],2,),0)</f>
        <v>0</v>
      </c>
      <c r="S278" s="70">
        <f>SUMIF(TikTok!A:A,'Compilado 2023'!B:B,TikTok!B:B)</f>
        <v>0</v>
      </c>
      <c r="T278" s="70">
        <v>0</v>
      </c>
      <c r="U278" s="70">
        <v>0</v>
      </c>
      <c r="V278" s="59"/>
      <c r="W278" s="70">
        <v>0</v>
      </c>
      <c r="X278" s="70">
        <v>0</v>
      </c>
      <c r="Y278" s="70">
        <v>0</v>
      </c>
      <c r="Z278" s="38"/>
      <c r="AA278" s="40"/>
    </row>
    <row r="279" spans="1:27" s="2" customFormat="1" x14ac:dyDescent="0.2">
      <c r="A279" s="16" t="s">
        <v>97</v>
      </c>
      <c r="B279" s="17">
        <v>44838</v>
      </c>
      <c r="C279" s="19">
        <v>53991.78</v>
      </c>
      <c r="D279" s="52">
        <v>53991.78</v>
      </c>
      <c r="E279" s="52">
        <v>0</v>
      </c>
      <c r="F279" s="157">
        <v>165</v>
      </c>
      <c r="G279" s="157">
        <v>233</v>
      </c>
      <c r="H279" s="35">
        <v>327.22290909090907</v>
      </c>
      <c r="I279" s="19">
        <v>977.40290322580643</v>
      </c>
      <c r="J279" s="111">
        <v>55.240044634414637</v>
      </c>
      <c r="K279" s="53">
        <v>4277</v>
      </c>
      <c r="L279" s="54">
        <v>3.8578442833761981E-2</v>
      </c>
      <c r="M279" s="59"/>
      <c r="N279" s="69">
        <v>486.85</v>
      </c>
      <c r="O279" s="70">
        <f>SUMIF(Facebook!A:A,'Compilado 2023'!B:B,Facebook!B:B)</f>
        <v>219.47</v>
      </c>
      <c r="P279" s="70">
        <v>0</v>
      </c>
      <c r="Q279" s="70">
        <v>51.612903225806448</v>
      </c>
      <c r="R279" s="202">
        <f>IFERROR(VLOOKUP($B:$B,Tabela_Linkedin[],2,),0)</f>
        <v>0</v>
      </c>
      <c r="S279" s="70">
        <f>SUMIF(TikTok!A:A,'Compilado 2023'!B:B,TikTok!B:B)</f>
        <v>0</v>
      </c>
      <c r="T279" s="70">
        <v>0</v>
      </c>
      <c r="U279" s="70">
        <v>0</v>
      </c>
      <c r="V279" s="59"/>
      <c r="W279" s="70">
        <v>0</v>
      </c>
      <c r="X279" s="70">
        <v>0</v>
      </c>
      <c r="Y279" s="70">
        <v>0</v>
      </c>
      <c r="Z279" s="38"/>
      <c r="AA279" s="40"/>
    </row>
    <row r="280" spans="1:27" s="2" customFormat="1" x14ac:dyDescent="0.2">
      <c r="A280" s="16" t="s">
        <v>98</v>
      </c>
      <c r="B280" s="17">
        <v>44839</v>
      </c>
      <c r="C280" s="19">
        <v>63410.69</v>
      </c>
      <c r="D280" s="52">
        <v>63410.69</v>
      </c>
      <c r="E280" s="52">
        <v>0</v>
      </c>
      <c r="F280" s="157">
        <v>211</v>
      </c>
      <c r="G280" s="157">
        <v>286</v>
      </c>
      <c r="H280" s="35">
        <v>300.5245971563981</v>
      </c>
      <c r="I280" s="19">
        <v>1090.6429032258063</v>
      </c>
      <c r="J280" s="111">
        <v>58.140652465118983</v>
      </c>
      <c r="K280" s="53">
        <v>5214</v>
      </c>
      <c r="L280" s="54">
        <v>4.046797084771768E-2</v>
      </c>
      <c r="M280" s="59"/>
      <c r="N280" s="69">
        <v>471.43</v>
      </c>
      <c r="O280" s="70">
        <f>SUMIF(Facebook!A:A,'Compilado 2023'!B:B,Facebook!B:B)</f>
        <v>283.8</v>
      </c>
      <c r="P280" s="70">
        <v>0</v>
      </c>
      <c r="Q280" s="70">
        <v>51.612903225806448</v>
      </c>
      <c r="R280" s="202">
        <f>IFERROR(VLOOKUP($B:$B,Tabela_Linkedin[],2,),0)</f>
        <v>0</v>
      </c>
      <c r="S280" s="70">
        <f>SUMIF(TikTok!A:A,'Compilado 2023'!B:B,TikTok!B:B)</f>
        <v>0</v>
      </c>
      <c r="T280" s="70">
        <v>0</v>
      </c>
      <c r="U280" s="70">
        <v>0</v>
      </c>
      <c r="V280" s="59"/>
      <c r="W280" s="70">
        <v>0</v>
      </c>
      <c r="X280" s="70">
        <v>0</v>
      </c>
      <c r="Y280" s="70">
        <v>0</v>
      </c>
      <c r="Z280" s="38"/>
      <c r="AA280" s="40"/>
    </row>
    <row r="281" spans="1:27" s="2" customFormat="1" x14ac:dyDescent="0.2">
      <c r="A281" s="16" t="s">
        <v>99</v>
      </c>
      <c r="B281" s="17">
        <v>44840</v>
      </c>
      <c r="C281" s="19">
        <v>70591.55</v>
      </c>
      <c r="D281" s="52">
        <v>70591.55</v>
      </c>
      <c r="E281" s="52">
        <v>0</v>
      </c>
      <c r="F281" s="157">
        <v>205</v>
      </c>
      <c r="G281" s="157">
        <v>335</v>
      </c>
      <c r="H281" s="35">
        <v>344.34902439024393</v>
      </c>
      <c r="I281" s="19">
        <v>1149.9629032258063</v>
      </c>
      <c r="J281" s="111">
        <v>61.385936713246025</v>
      </c>
      <c r="K281" s="53">
        <v>4908</v>
      </c>
      <c r="L281" s="54">
        <v>4.1768541157294212E-2</v>
      </c>
      <c r="M281" s="59"/>
      <c r="N281" s="69">
        <v>440.09</v>
      </c>
      <c r="O281" s="70">
        <f>SUMIF(Facebook!A:A,'Compilado 2023'!B:B,Facebook!B:B)</f>
        <v>329.13</v>
      </c>
      <c r="P281" s="70">
        <v>0</v>
      </c>
      <c r="Q281" s="70">
        <v>51.612903225806448</v>
      </c>
      <c r="R281" s="202">
        <f>IFERROR(VLOOKUP($B:$B,Tabela_Linkedin[],2,),0)</f>
        <v>0</v>
      </c>
      <c r="S281" s="70">
        <f>SUMIF(TikTok!A:A,'Compilado 2023'!B:B,TikTok!B:B)</f>
        <v>0</v>
      </c>
      <c r="T281" s="70">
        <v>0</v>
      </c>
      <c r="U281" s="70">
        <v>0</v>
      </c>
      <c r="V281" s="59"/>
      <c r="W281" s="70">
        <v>0</v>
      </c>
      <c r="X281" s="70">
        <v>0</v>
      </c>
      <c r="Y281" s="70">
        <v>0</v>
      </c>
      <c r="Z281" s="38"/>
      <c r="AA281" s="40"/>
    </row>
    <row r="282" spans="1:27" s="2" customFormat="1" x14ac:dyDescent="0.2">
      <c r="A282" s="16" t="s">
        <v>100</v>
      </c>
      <c r="B282" s="17">
        <v>44841</v>
      </c>
      <c r="C282" s="19">
        <v>56426.45</v>
      </c>
      <c r="D282" s="52">
        <v>56390.74</v>
      </c>
      <c r="E282" s="52">
        <v>35.71</v>
      </c>
      <c r="F282" s="157">
        <v>194</v>
      </c>
      <c r="G282" s="157">
        <v>269</v>
      </c>
      <c r="H282" s="35">
        <v>290.85798969072164</v>
      </c>
      <c r="I282" s="19">
        <v>1105.7529032258062</v>
      </c>
      <c r="J282" s="111">
        <v>51.029890887365035</v>
      </c>
      <c r="K282" s="53">
        <v>4596</v>
      </c>
      <c r="L282" s="54">
        <v>4.2210617928633593E-2</v>
      </c>
      <c r="M282" s="59"/>
      <c r="N282" s="69">
        <v>394.12</v>
      </c>
      <c r="O282" s="70">
        <f>SUMIF(Facebook!A:A,'Compilado 2023'!B:B,Facebook!B:B)</f>
        <v>330.01</v>
      </c>
      <c r="P282" s="70">
        <v>0</v>
      </c>
      <c r="Q282" s="70">
        <v>51.612903225806448</v>
      </c>
      <c r="R282" s="202">
        <f>IFERROR(VLOOKUP($B:$B,Tabela_Linkedin[],2,),0)</f>
        <v>0</v>
      </c>
      <c r="S282" s="70">
        <f>SUMIF(TikTok!A:A,'Compilado 2023'!B:B,TikTok!B:B)</f>
        <v>0</v>
      </c>
      <c r="T282" s="70">
        <v>0</v>
      </c>
      <c r="U282" s="70">
        <v>0</v>
      </c>
      <c r="V282" s="59"/>
      <c r="W282" s="70">
        <v>0</v>
      </c>
      <c r="X282" s="70">
        <v>0</v>
      </c>
      <c r="Y282" s="70">
        <v>0</v>
      </c>
      <c r="Z282" s="38"/>
      <c r="AA282" s="40"/>
    </row>
    <row r="283" spans="1:27" s="2" customFormat="1" x14ac:dyDescent="0.2">
      <c r="A283" s="16" t="s">
        <v>94</v>
      </c>
      <c r="B283" s="17">
        <v>44842</v>
      </c>
      <c r="C283" s="19">
        <v>34045.519999999997</v>
      </c>
      <c r="D283" s="52">
        <v>34045.519999999997</v>
      </c>
      <c r="E283" s="52">
        <v>0</v>
      </c>
      <c r="F283" s="157">
        <v>122</v>
      </c>
      <c r="G283" s="157">
        <v>153</v>
      </c>
      <c r="H283" s="35">
        <v>279.06163934426229</v>
      </c>
      <c r="I283" s="19">
        <v>985.81290322580651</v>
      </c>
      <c r="J283" s="111">
        <v>34.53547817095437</v>
      </c>
      <c r="K283" s="53">
        <v>3382</v>
      </c>
      <c r="L283" s="54">
        <v>3.6073329390892965E-2</v>
      </c>
      <c r="M283" s="59"/>
      <c r="N283" s="69">
        <v>280.68</v>
      </c>
      <c r="O283" s="70">
        <f>SUMIF(Facebook!A:A,'Compilado 2023'!B:B,Facebook!B:B)</f>
        <v>326.76</v>
      </c>
      <c r="P283" s="70">
        <v>0</v>
      </c>
      <c r="Q283" s="70">
        <v>51.612903225806448</v>
      </c>
      <c r="R283" s="202">
        <f>IFERROR(VLOOKUP($B:$B,Tabela_Linkedin[],2,),0)</f>
        <v>0</v>
      </c>
      <c r="S283" s="70">
        <f>SUMIF(TikTok!A:A,'Compilado 2023'!B:B,TikTok!B:B)</f>
        <v>0</v>
      </c>
      <c r="T283" s="70">
        <v>0</v>
      </c>
      <c r="U283" s="70">
        <v>0</v>
      </c>
      <c r="V283" s="59"/>
      <c r="W283" s="70">
        <v>0</v>
      </c>
      <c r="X283" s="70">
        <v>0</v>
      </c>
      <c r="Y283" s="70">
        <v>0</v>
      </c>
      <c r="Z283" s="38"/>
      <c r="AA283" s="40"/>
    </row>
    <row r="284" spans="1:27" s="2" customFormat="1" x14ac:dyDescent="0.2">
      <c r="A284" s="16" t="s">
        <v>95</v>
      </c>
      <c r="B284" s="17">
        <v>44843</v>
      </c>
      <c r="C284" s="19">
        <v>31413.88</v>
      </c>
      <c r="D284" s="52">
        <v>31413.88</v>
      </c>
      <c r="E284" s="52">
        <v>0</v>
      </c>
      <c r="F284" s="157">
        <v>102</v>
      </c>
      <c r="G284" s="157">
        <v>147</v>
      </c>
      <c r="H284" s="35">
        <v>307.97921568627453</v>
      </c>
      <c r="I284" s="19">
        <v>1069.5629032258064</v>
      </c>
      <c r="J284" s="111">
        <v>29.370764361082085</v>
      </c>
      <c r="K284" s="53">
        <v>2970</v>
      </c>
      <c r="L284" s="54">
        <v>3.4343434343434343E-2</v>
      </c>
      <c r="M284" s="59"/>
      <c r="N284" s="69">
        <v>277.17</v>
      </c>
      <c r="O284" s="70">
        <f>SUMIF(Facebook!A:A,'Compilado 2023'!B:B,Facebook!B:B)</f>
        <v>370.39</v>
      </c>
      <c r="P284" s="70">
        <v>0</v>
      </c>
      <c r="Q284" s="70">
        <v>51.612903225806448</v>
      </c>
      <c r="R284" s="202">
        <f>IFERROR(VLOOKUP($B:$B,Tabela_Linkedin[],2,),0)</f>
        <v>0</v>
      </c>
      <c r="S284" s="70">
        <f>SUMIF(TikTok!A:A,'Compilado 2023'!B:B,TikTok!B:B)</f>
        <v>0</v>
      </c>
      <c r="T284" s="70">
        <v>0</v>
      </c>
      <c r="U284" s="70">
        <v>0</v>
      </c>
      <c r="V284" s="59"/>
      <c r="W284" s="70">
        <v>0</v>
      </c>
      <c r="X284" s="70">
        <v>0</v>
      </c>
      <c r="Y284" s="70">
        <v>0</v>
      </c>
      <c r="Z284" s="38"/>
      <c r="AA284" s="40"/>
    </row>
    <row r="285" spans="1:27" s="2" customFormat="1" x14ac:dyDescent="0.2">
      <c r="A285" s="16" t="s">
        <v>96</v>
      </c>
      <c r="B285" s="17">
        <v>44844</v>
      </c>
      <c r="C285" s="19">
        <v>83088.41</v>
      </c>
      <c r="D285" s="52">
        <v>83088.41</v>
      </c>
      <c r="E285" s="52">
        <v>0</v>
      </c>
      <c r="F285" s="157">
        <v>246</v>
      </c>
      <c r="G285" s="157">
        <v>405</v>
      </c>
      <c r="H285" s="35">
        <v>337.75776422764227</v>
      </c>
      <c r="I285" s="19">
        <v>1249.6029032258064</v>
      </c>
      <c r="J285" s="111">
        <v>66.49185095962099</v>
      </c>
      <c r="K285" s="53">
        <v>4708</v>
      </c>
      <c r="L285" s="54">
        <v>5.2251486830926085E-2</v>
      </c>
      <c r="M285" s="59"/>
      <c r="N285" s="69">
        <v>497.09</v>
      </c>
      <c r="O285" s="70">
        <f>SUMIF(Facebook!A:A,'Compilado 2023'!B:B,Facebook!B:B)</f>
        <v>350.45</v>
      </c>
      <c r="P285" s="70">
        <v>0</v>
      </c>
      <c r="Q285" s="70">
        <v>51.612903225806448</v>
      </c>
      <c r="R285" s="202">
        <f>IFERROR(VLOOKUP($B:$B,Tabela_Linkedin[],2,),0)</f>
        <v>0</v>
      </c>
      <c r="S285" s="70">
        <f>SUMIF(TikTok!A:A,'Compilado 2023'!B:B,TikTok!B:B)</f>
        <v>0</v>
      </c>
      <c r="T285" s="70">
        <v>0</v>
      </c>
      <c r="U285" s="70">
        <v>0</v>
      </c>
      <c r="V285" s="59"/>
      <c r="W285" s="70">
        <v>0</v>
      </c>
      <c r="X285" s="70">
        <v>0</v>
      </c>
      <c r="Y285" s="70">
        <v>0</v>
      </c>
      <c r="Z285" s="38"/>
      <c r="AA285" s="40"/>
    </row>
    <row r="286" spans="1:27" s="2" customFormat="1" x14ac:dyDescent="0.2">
      <c r="A286" s="16" t="s">
        <v>97</v>
      </c>
      <c r="B286" s="17">
        <v>44845</v>
      </c>
      <c r="C286" s="19">
        <v>54145.53</v>
      </c>
      <c r="D286" s="52">
        <v>54098.21</v>
      </c>
      <c r="E286" s="52">
        <v>47.32</v>
      </c>
      <c r="F286" s="157">
        <v>183</v>
      </c>
      <c r="G286" s="157">
        <v>272</v>
      </c>
      <c r="H286" s="35">
        <v>295.87721311475411</v>
      </c>
      <c r="I286" s="19">
        <v>967.08290322580649</v>
      </c>
      <c r="J286" s="111">
        <v>55.988509174748003</v>
      </c>
      <c r="K286" s="53">
        <v>4798</v>
      </c>
      <c r="L286" s="54">
        <v>3.8140892038349312E-2</v>
      </c>
      <c r="M286" s="59"/>
      <c r="N286" s="69">
        <v>373.43</v>
      </c>
      <c r="O286" s="70">
        <f>SUMIF(Facebook!A:A,'Compilado 2023'!B:B,Facebook!B:B)</f>
        <v>271.02</v>
      </c>
      <c r="P286" s="70">
        <v>0</v>
      </c>
      <c r="Q286" s="70">
        <v>51.612903225806448</v>
      </c>
      <c r="R286" s="202">
        <f>IFERROR(VLOOKUP($B:$B,Tabela_Linkedin[],2,),0)</f>
        <v>0</v>
      </c>
      <c r="S286" s="70">
        <f>SUMIF(TikTok!A:A,'Compilado 2023'!B:B,TikTok!B:B)</f>
        <v>0</v>
      </c>
      <c r="T286" s="70">
        <v>0</v>
      </c>
      <c r="U286" s="70">
        <v>0</v>
      </c>
      <c r="V286" s="59"/>
      <c r="W286" s="70">
        <v>0</v>
      </c>
      <c r="X286" s="70">
        <v>0</v>
      </c>
      <c r="Y286" s="70">
        <v>0</v>
      </c>
      <c r="Z286" s="38"/>
      <c r="AA286" s="40"/>
    </row>
    <row r="287" spans="1:27" s="2" customFormat="1" x14ac:dyDescent="0.2">
      <c r="A287" s="16" t="s">
        <v>98</v>
      </c>
      <c r="B287" s="17">
        <v>44846</v>
      </c>
      <c r="C287" s="19">
        <v>28637.71</v>
      </c>
      <c r="D287" s="52">
        <v>28614.12</v>
      </c>
      <c r="E287" s="52">
        <v>23.59</v>
      </c>
      <c r="F287" s="157">
        <v>109</v>
      </c>
      <c r="G287" s="157">
        <v>130</v>
      </c>
      <c r="H287" s="35">
        <v>262.73128440366969</v>
      </c>
      <c r="I287" s="19">
        <v>876.71290322580637</v>
      </c>
      <c r="J287" s="111">
        <v>32.66486656535961</v>
      </c>
      <c r="K287" s="53">
        <v>3119</v>
      </c>
      <c r="L287" s="54">
        <v>3.494709842898365E-2</v>
      </c>
      <c r="M287" s="59"/>
      <c r="N287" s="69">
        <v>292.45999999999998</v>
      </c>
      <c r="O287" s="70">
        <f>SUMIF(Facebook!A:A,'Compilado 2023'!B:B,Facebook!B:B)</f>
        <v>266.32</v>
      </c>
      <c r="P287" s="70">
        <v>0</v>
      </c>
      <c r="Q287" s="70">
        <v>51.612903225806448</v>
      </c>
      <c r="R287" s="202">
        <f>IFERROR(VLOOKUP($B:$B,Tabela_Linkedin[],2,),0)</f>
        <v>0</v>
      </c>
      <c r="S287" s="70">
        <f>SUMIF(TikTok!A:A,'Compilado 2023'!B:B,TikTok!B:B)</f>
        <v>0</v>
      </c>
      <c r="T287" s="70">
        <v>0</v>
      </c>
      <c r="U287" s="70">
        <v>0</v>
      </c>
      <c r="V287" s="59"/>
      <c r="W287" s="70">
        <v>0</v>
      </c>
      <c r="X287" s="70">
        <v>0</v>
      </c>
      <c r="Y287" s="70">
        <v>0</v>
      </c>
      <c r="Z287" s="38"/>
      <c r="AA287" s="40"/>
    </row>
    <row r="288" spans="1:27" s="2" customFormat="1" x14ac:dyDescent="0.2">
      <c r="A288" s="16" t="s">
        <v>99</v>
      </c>
      <c r="B288" s="17">
        <v>44847</v>
      </c>
      <c r="C288" s="19">
        <v>75178.97</v>
      </c>
      <c r="D288" s="52">
        <v>75178.97</v>
      </c>
      <c r="E288" s="52">
        <v>0</v>
      </c>
      <c r="F288" s="157">
        <v>229</v>
      </c>
      <c r="G288" s="157">
        <v>356</v>
      </c>
      <c r="H288" s="35">
        <v>328.29244541484718</v>
      </c>
      <c r="I288" s="19">
        <v>941.64290322580644</v>
      </c>
      <c r="J288" s="111">
        <v>79.838089091371884</v>
      </c>
      <c r="K288" s="53">
        <v>4885</v>
      </c>
      <c r="L288" s="54">
        <v>4.6878198567041965E-2</v>
      </c>
      <c r="M288" s="59"/>
      <c r="N288" s="69">
        <v>342.11</v>
      </c>
      <c r="O288" s="70">
        <f>SUMIF(Facebook!A:A,'Compilado 2023'!B:B,Facebook!B:B)</f>
        <v>273.95999999999998</v>
      </c>
      <c r="P288" s="70">
        <v>0</v>
      </c>
      <c r="Q288" s="70">
        <v>51.612903225806448</v>
      </c>
      <c r="R288" s="202">
        <f>IFERROR(VLOOKUP($B:$B,Tabela_Linkedin[],2,),0)</f>
        <v>0</v>
      </c>
      <c r="S288" s="70">
        <f>SUMIF(TikTok!A:A,'Compilado 2023'!B:B,TikTok!B:B)</f>
        <v>0</v>
      </c>
      <c r="T288" s="70">
        <v>0</v>
      </c>
      <c r="U288" s="70">
        <v>0</v>
      </c>
      <c r="V288" s="59"/>
      <c r="W288" s="70">
        <v>0</v>
      </c>
      <c r="X288" s="70">
        <v>0</v>
      </c>
      <c r="Y288" s="70">
        <v>0</v>
      </c>
      <c r="Z288" s="38"/>
      <c r="AA288" s="40"/>
    </row>
    <row r="289" spans="1:27" s="2" customFormat="1" x14ac:dyDescent="0.2">
      <c r="A289" s="16" t="s">
        <v>100</v>
      </c>
      <c r="B289" s="17">
        <v>44848</v>
      </c>
      <c r="C289" s="19">
        <v>69021.100000000006</v>
      </c>
      <c r="D289" s="52">
        <v>69021.100000000006</v>
      </c>
      <c r="E289" s="52">
        <v>0</v>
      </c>
      <c r="F289" s="157">
        <v>211</v>
      </c>
      <c r="G289" s="157">
        <v>277</v>
      </c>
      <c r="H289" s="35">
        <v>327.11421800947869</v>
      </c>
      <c r="I289" s="19">
        <v>1079.2429032258065</v>
      </c>
      <c r="J289" s="111">
        <v>63.953258153191626</v>
      </c>
      <c r="K289" s="53">
        <v>4811</v>
      </c>
      <c r="L289" s="54">
        <v>4.3857825815838705E-2</v>
      </c>
      <c r="M289" s="59"/>
      <c r="N289" s="69">
        <v>374.51</v>
      </c>
      <c r="O289" s="70">
        <f>SUMIF(Facebook!A:A,'Compilado 2023'!B:B,Facebook!B:B)</f>
        <v>326.56</v>
      </c>
      <c r="P289" s="70">
        <v>0</v>
      </c>
      <c r="Q289" s="70">
        <v>51.612903225806448</v>
      </c>
      <c r="R289" s="202">
        <f>IFERROR(VLOOKUP($B:$B,Tabela_Linkedin[],2,),0)</f>
        <v>0</v>
      </c>
      <c r="S289" s="70">
        <f>SUMIF(TikTok!A:A,'Compilado 2023'!B:B,TikTok!B:B)</f>
        <v>0</v>
      </c>
      <c r="T289" s="70">
        <v>0</v>
      </c>
      <c r="U289" s="70">
        <v>0</v>
      </c>
      <c r="V289" s="59"/>
      <c r="W289" s="70">
        <v>0</v>
      </c>
      <c r="X289" s="70">
        <v>0</v>
      </c>
      <c r="Y289" s="70">
        <v>0</v>
      </c>
      <c r="Z289" s="38"/>
      <c r="AA289" s="40"/>
    </row>
    <row r="290" spans="1:27" s="2" customFormat="1" x14ac:dyDescent="0.2">
      <c r="A290" s="16" t="s">
        <v>94</v>
      </c>
      <c r="B290" s="17">
        <v>44849</v>
      </c>
      <c r="C290" s="19">
        <v>32945.99</v>
      </c>
      <c r="D290" s="52">
        <v>32945.99</v>
      </c>
      <c r="E290" s="52">
        <v>0</v>
      </c>
      <c r="F290" s="157">
        <v>116</v>
      </c>
      <c r="G290" s="157">
        <v>142</v>
      </c>
      <c r="H290" s="35">
        <v>284.01715517241377</v>
      </c>
      <c r="I290" s="19">
        <v>1167.0929032258064</v>
      </c>
      <c r="J290" s="111">
        <v>28.22910661948022</v>
      </c>
      <c r="K290" s="53">
        <v>3633</v>
      </c>
      <c r="L290" s="54">
        <v>3.1929534819708227E-2</v>
      </c>
      <c r="M290" s="59"/>
      <c r="N290" s="69">
        <v>309.14</v>
      </c>
      <c r="O290" s="70">
        <f>SUMIF(Facebook!A:A,'Compilado 2023'!B:B,Facebook!B:B)</f>
        <v>403.17</v>
      </c>
      <c r="P290" s="70">
        <v>0</v>
      </c>
      <c r="Q290" s="70">
        <v>51.612903225806448</v>
      </c>
      <c r="R290" s="202">
        <f>IFERROR(VLOOKUP($B:$B,Tabela_Linkedin[],2,),0)</f>
        <v>0</v>
      </c>
      <c r="S290" s="70">
        <f>SUMIF(TikTok!A:A,'Compilado 2023'!B:B,TikTok!B:B)</f>
        <v>0</v>
      </c>
      <c r="T290" s="70">
        <v>0</v>
      </c>
      <c r="U290" s="70">
        <v>0</v>
      </c>
      <c r="V290" s="59"/>
      <c r="W290" s="70">
        <v>0</v>
      </c>
      <c r="X290" s="70">
        <v>0</v>
      </c>
      <c r="Y290" s="70">
        <v>0</v>
      </c>
      <c r="Z290" s="38"/>
      <c r="AA290" s="40"/>
    </row>
    <row r="291" spans="1:27" s="2" customFormat="1" x14ac:dyDescent="0.2">
      <c r="A291" s="16" t="s">
        <v>95</v>
      </c>
      <c r="B291" s="17">
        <v>44850</v>
      </c>
      <c r="C291" s="19">
        <v>33301.060000000005</v>
      </c>
      <c r="D291" s="52">
        <v>33275.550000000003</v>
      </c>
      <c r="E291" s="52">
        <v>25.51</v>
      </c>
      <c r="F291" s="157">
        <v>100</v>
      </c>
      <c r="G291" s="157">
        <v>157</v>
      </c>
      <c r="H291" s="35">
        <v>333.01060000000007</v>
      </c>
      <c r="I291" s="19">
        <v>1279.4329032258065</v>
      </c>
      <c r="J291" s="111">
        <v>26.027984676678834</v>
      </c>
      <c r="K291" s="53">
        <v>2865</v>
      </c>
      <c r="L291" s="54">
        <v>3.4904013961605584E-2</v>
      </c>
      <c r="M291" s="59"/>
      <c r="N291" s="69">
        <v>322.10000000000002</v>
      </c>
      <c r="O291" s="70">
        <f>SUMIF(Facebook!A:A,'Compilado 2023'!B:B,Facebook!B:B)</f>
        <v>452.86</v>
      </c>
      <c r="P291" s="70">
        <v>0</v>
      </c>
      <c r="Q291" s="70">
        <v>51.612903225806448</v>
      </c>
      <c r="R291" s="202">
        <f>IFERROR(VLOOKUP($B:$B,Tabela_Linkedin[],2,),0)</f>
        <v>0</v>
      </c>
      <c r="S291" s="70">
        <f>SUMIF(TikTok!A:A,'Compilado 2023'!B:B,TikTok!B:B)</f>
        <v>0</v>
      </c>
      <c r="T291" s="70">
        <v>0</v>
      </c>
      <c r="U291" s="70">
        <v>0</v>
      </c>
      <c r="V291" s="59"/>
      <c r="W291" s="70">
        <v>0</v>
      </c>
      <c r="X291" s="70">
        <v>0</v>
      </c>
      <c r="Y291" s="70">
        <v>0</v>
      </c>
      <c r="Z291" s="38"/>
      <c r="AA291" s="40"/>
    </row>
    <row r="292" spans="1:27" s="2" customFormat="1" x14ac:dyDescent="0.2">
      <c r="A292" s="16" t="s">
        <v>96</v>
      </c>
      <c r="B292" s="17">
        <v>44851</v>
      </c>
      <c r="C292" s="19">
        <v>54198.73</v>
      </c>
      <c r="D292" s="52">
        <v>54198.73</v>
      </c>
      <c r="E292" s="52">
        <v>0</v>
      </c>
      <c r="F292" s="157">
        <v>208</v>
      </c>
      <c r="G292" s="157">
        <v>256</v>
      </c>
      <c r="H292" s="35">
        <v>260.57081730769232</v>
      </c>
      <c r="I292" s="19">
        <v>1418.2229032258062</v>
      </c>
      <c r="J292" s="111">
        <v>38.215946080635675</v>
      </c>
      <c r="K292" s="53">
        <v>5160</v>
      </c>
      <c r="L292" s="54">
        <v>4.0310077519379844E-2</v>
      </c>
      <c r="M292" s="59"/>
      <c r="N292" s="69">
        <v>463.59</v>
      </c>
      <c r="O292" s="70">
        <f>SUMIF(Facebook!A:A,'Compilado 2023'!B:B,Facebook!B:B)</f>
        <v>451.51</v>
      </c>
      <c r="P292" s="70">
        <v>0</v>
      </c>
      <c r="Q292" s="70">
        <v>51.612903225806448</v>
      </c>
      <c r="R292" s="202">
        <f>IFERROR(VLOOKUP($B:$B,Tabela_Linkedin[],2,),0)</f>
        <v>0</v>
      </c>
      <c r="S292" s="70">
        <f>SUMIF(TikTok!A:A,'Compilado 2023'!B:B,TikTok!B:B)</f>
        <v>0</v>
      </c>
      <c r="T292" s="70">
        <v>0</v>
      </c>
      <c r="U292" s="70">
        <v>0</v>
      </c>
      <c r="V292" s="59"/>
      <c r="W292" s="70">
        <v>0</v>
      </c>
      <c r="X292" s="70">
        <v>0</v>
      </c>
      <c r="Y292" s="70">
        <v>0</v>
      </c>
      <c r="Z292" s="38"/>
      <c r="AA292" s="40"/>
    </row>
    <row r="293" spans="1:27" s="2" customFormat="1" x14ac:dyDescent="0.2">
      <c r="A293" s="16" t="s">
        <v>97</v>
      </c>
      <c r="B293" s="17">
        <v>44852</v>
      </c>
      <c r="C293" s="19">
        <v>53864.959999999999</v>
      </c>
      <c r="D293" s="52">
        <v>53839.25</v>
      </c>
      <c r="E293" s="52">
        <v>25.71</v>
      </c>
      <c r="F293" s="157">
        <v>186</v>
      </c>
      <c r="G293" s="157">
        <v>242</v>
      </c>
      <c r="H293" s="35">
        <v>289.59655913978492</v>
      </c>
      <c r="I293" s="19">
        <v>1266.6929032258063</v>
      </c>
      <c r="J293" s="111">
        <v>42.524087616521363</v>
      </c>
      <c r="K293" s="53">
        <v>4615</v>
      </c>
      <c r="L293" s="54">
        <v>4.0303358613217766E-2</v>
      </c>
      <c r="M293" s="59"/>
      <c r="N293" s="69">
        <v>377.88</v>
      </c>
      <c r="O293" s="70">
        <f>SUMIF(Facebook!A:A,'Compilado 2023'!B:B,Facebook!B:B)</f>
        <v>418.6</v>
      </c>
      <c r="P293" s="70">
        <v>0</v>
      </c>
      <c r="Q293" s="70">
        <v>51.612903225806448</v>
      </c>
      <c r="R293" s="202">
        <f>IFERROR(VLOOKUP($B:$B,Tabela_Linkedin[],2,),0)</f>
        <v>0</v>
      </c>
      <c r="S293" s="70">
        <f>SUMIF(TikTok!A:A,'Compilado 2023'!B:B,TikTok!B:B)</f>
        <v>0</v>
      </c>
      <c r="T293" s="70">
        <v>0</v>
      </c>
      <c r="U293" s="70">
        <v>0</v>
      </c>
      <c r="V293" s="59"/>
      <c r="W293" s="70">
        <v>0</v>
      </c>
      <c r="X293" s="70">
        <v>0</v>
      </c>
      <c r="Y293" s="70">
        <v>0</v>
      </c>
      <c r="Z293" s="38"/>
      <c r="AA293" s="40"/>
    </row>
    <row r="294" spans="1:27" s="2" customFormat="1" x14ac:dyDescent="0.2">
      <c r="A294" s="16" t="s">
        <v>98</v>
      </c>
      <c r="B294" s="17">
        <v>44853</v>
      </c>
      <c r="C294" s="19">
        <v>54580.46</v>
      </c>
      <c r="D294" s="52">
        <v>54580.46</v>
      </c>
      <c r="E294" s="52">
        <v>0</v>
      </c>
      <c r="F294" s="157">
        <v>203</v>
      </c>
      <c r="G294" s="157">
        <v>241</v>
      </c>
      <c r="H294" s="35">
        <v>268.86926108374382</v>
      </c>
      <c r="I294" s="19">
        <v>1277.9229032258063</v>
      </c>
      <c r="J294" s="111">
        <v>42.710291725913095</v>
      </c>
      <c r="K294" s="53">
        <v>4507</v>
      </c>
      <c r="L294" s="54">
        <v>4.5041047259818064E-2</v>
      </c>
      <c r="M294" s="59"/>
      <c r="N294" s="69">
        <v>367.31</v>
      </c>
      <c r="O294" s="70">
        <f>SUMIF(Facebook!A:A,'Compilado 2023'!B:B,Facebook!B:B)</f>
        <v>429.5</v>
      </c>
      <c r="P294" s="70">
        <v>0</v>
      </c>
      <c r="Q294" s="70">
        <v>51.612903225806448</v>
      </c>
      <c r="R294" s="202">
        <f>IFERROR(VLOOKUP($B:$B,Tabela_Linkedin[],2,),0)</f>
        <v>0</v>
      </c>
      <c r="S294" s="70">
        <f>SUMIF(TikTok!A:A,'Compilado 2023'!B:B,TikTok!B:B)</f>
        <v>0</v>
      </c>
      <c r="T294" s="70">
        <v>0</v>
      </c>
      <c r="U294" s="70">
        <v>0</v>
      </c>
      <c r="V294" s="59"/>
      <c r="W294" s="70">
        <v>0</v>
      </c>
      <c r="X294" s="70">
        <v>0</v>
      </c>
      <c r="Y294" s="70">
        <v>0</v>
      </c>
      <c r="Z294" s="38"/>
      <c r="AA294" s="40"/>
    </row>
    <row r="295" spans="1:27" s="2" customFormat="1" x14ac:dyDescent="0.2">
      <c r="A295" s="16" t="s">
        <v>99</v>
      </c>
      <c r="B295" s="17">
        <v>44854</v>
      </c>
      <c r="C295" s="19">
        <v>52917.62</v>
      </c>
      <c r="D295" s="52">
        <v>52917.62</v>
      </c>
      <c r="E295" s="52">
        <v>0</v>
      </c>
      <c r="F295" s="157">
        <v>197</v>
      </c>
      <c r="G295" s="157">
        <v>244</v>
      </c>
      <c r="H295" s="35">
        <v>268.61736040609139</v>
      </c>
      <c r="I295" s="19">
        <v>1197.2329032258062</v>
      </c>
      <c r="J295" s="111">
        <v>44.199937921368154</v>
      </c>
      <c r="K295" s="53">
        <v>4547</v>
      </c>
      <c r="L295" s="54">
        <v>4.3325269408401146E-2</v>
      </c>
      <c r="M295" s="59"/>
      <c r="N295" s="69">
        <v>329.96</v>
      </c>
      <c r="O295" s="70">
        <f>SUMIF(Facebook!A:A,'Compilado 2023'!B:B,Facebook!B:B)</f>
        <v>407.83</v>
      </c>
      <c r="P295" s="70">
        <v>0</v>
      </c>
      <c r="Q295" s="70">
        <v>51.612903225806448</v>
      </c>
      <c r="R295" s="202">
        <f>IFERROR(VLOOKUP($B:$B,Tabela_Linkedin[],2,),0)</f>
        <v>0</v>
      </c>
      <c r="S295" s="70">
        <f>SUMIF(TikTok!A:A,'Compilado 2023'!B:B,TikTok!B:B)</f>
        <v>0</v>
      </c>
      <c r="T295" s="70">
        <v>0</v>
      </c>
      <c r="U295" s="70">
        <v>0</v>
      </c>
      <c r="V295" s="59"/>
      <c r="W295" s="70">
        <v>0</v>
      </c>
      <c r="X295" s="70">
        <v>0</v>
      </c>
      <c r="Y295" s="70">
        <v>0</v>
      </c>
      <c r="Z295" s="38"/>
      <c r="AA295" s="40"/>
    </row>
    <row r="296" spans="1:27" s="2" customFormat="1" x14ac:dyDescent="0.2">
      <c r="A296" s="16" t="s">
        <v>100</v>
      </c>
      <c r="B296" s="17">
        <v>44855</v>
      </c>
      <c r="C296" s="19">
        <v>60429.95</v>
      </c>
      <c r="D296" s="52">
        <v>60429.95</v>
      </c>
      <c r="E296" s="52">
        <v>0</v>
      </c>
      <c r="F296" s="157">
        <v>207</v>
      </c>
      <c r="G296" s="157">
        <v>273</v>
      </c>
      <c r="H296" s="35">
        <v>291.93212560386473</v>
      </c>
      <c r="I296" s="19">
        <v>1112.6629032258063</v>
      </c>
      <c r="J296" s="111">
        <v>54.311103412186114</v>
      </c>
      <c r="K296" s="53">
        <v>4350</v>
      </c>
      <c r="L296" s="54">
        <v>4.7586206896551721E-2</v>
      </c>
      <c r="M296" s="59"/>
      <c r="N296" s="69">
        <v>341.91</v>
      </c>
      <c r="O296" s="70">
        <f>SUMIF(Facebook!A:A,'Compilado 2023'!B:B,Facebook!B:B)</f>
        <v>359.57</v>
      </c>
      <c r="P296" s="70">
        <v>0</v>
      </c>
      <c r="Q296" s="70">
        <v>51.612903225806448</v>
      </c>
      <c r="R296" s="202">
        <f>IFERROR(VLOOKUP($B:$B,Tabela_Linkedin[],2,),0)</f>
        <v>0</v>
      </c>
      <c r="S296" s="70">
        <f>SUMIF(TikTok!A:A,'Compilado 2023'!B:B,TikTok!B:B)</f>
        <v>0</v>
      </c>
      <c r="T296" s="70">
        <v>0</v>
      </c>
      <c r="U296" s="70">
        <v>0</v>
      </c>
      <c r="V296" s="59"/>
      <c r="W296" s="70">
        <v>0</v>
      </c>
      <c r="X296" s="70">
        <v>0</v>
      </c>
      <c r="Y296" s="70">
        <v>0</v>
      </c>
      <c r="Z296" s="38"/>
      <c r="AA296" s="40"/>
    </row>
    <row r="297" spans="1:27" s="2" customFormat="1" x14ac:dyDescent="0.2">
      <c r="A297" s="16" t="s">
        <v>94</v>
      </c>
      <c r="B297" s="17">
        <v>44856</v>
      </c>
      <c r="C297" s="19">
        <v>44015.68</v>
      </c>
      <c r="D297" s="52">
        <v>44015.68</v>
      </c>
      <c r="E297" s="52">
        <v>0</v>
      </c>
      <c r="F297" s="157">
        <v>169</v>
      </c>
      <c r="G297" s="157">
        <v>225</v>
      </c>
      <c r="H297" s="35">
        <v>260.44781065088756</v>
      </c>
      <c r="I297" s="19">
        <v>1180.7329032258062</v>
      </c>
      <c r="J297" s="111">
        <v>37.278270030205412</v>
      </c>
      <c r="K297" s="53">
        <v>3592</v>
      </c>
      <c r="L297" s="54">
        <v>4.7048997772828505E-2</v>
      </c>
      <c r="M297" s="59"/>
      <c r="N297" s="69">
        <v>356.1</v>
      </c>
      <c r="O297" s="70">
        <f>SUMIF(Facebook!A:A,'Compilado 2023'!B:B,Facebook!B:B)</f>
        <v>386.51</v>
      </c>
      <c r="P297" s="70">
        <v>0</v>
      </c>
      <c r="Q297" s="70">
        <v>51.612903225806448</v>
      </c>
      <c r="R297" s="202">
        <f>IFERROR(VLOOKUP($B:$B,Tabela_Linkedin[],2,),0)</f>
        <v>0</v>
      </c>
      <c r="S297" s="70">
        <f>SUMIF(TikTok!A:A,'Compilado 2023'!B:B,TikTok!B:B)</f>
        <v>0</v>
      </c>
      <c r="T297" s="70">
        <v>0</v>
      </c>
      <c r="U297" s="70">
        <v>0</v>
      </c>
      <c r="V297" s="59"/>
      <c r="W297" s="70">
        <v>0</v>
      </c>
      <c r="X297" s="70">
        <v>0</v>
      </c>
      <c r="Y297" s="70">
        <v>0</v>
      </c>
      <c r="Z297" s="38"/>
      <c r="AA297" s="40"/>
    </row>
    <row r="298" spans="1:27" s="2" customFormat="1" x14ac:dyDescent="0.2">
      <c r="A298" s="16" t="s">
        <v>95</v>
      </c>
      <c r="B298" s="17">
        <v>44857</v>
      </c>
      <c r="C298" s="19">
        <v>24770.07</v>
      </c>
      <c r="D298" s="52">
        <v>24770.07</v>
      </c>
      <c r="E298" s="52">
        <v>0</v>
      </c>
      <c r="F298" s="157">
        <v>112</v>
      </c>
      <c r="G298" s="157">
        <v>142</v>
      </c>
      <c r="H298" s="35">
        <v>221.16133928571429</v>
      </c>
      <c r="I298" s="19">
        <v>1044.1829032258063</v>
      </c>
      <c r="J298" s="111">
        <v>23.72196472809269</v>
      </c>
      <c r="K298" s="53">
        <v>2965</v>
      </c>
      <c r="L298" s="54">
        <v>3.7774030354131537E-2</v>
      </c>
      <c r="M298" s="59"/>
      <c r="N298" s="69">
        <v>319.83</v>
      </c>
      <c r="O298" s="70">
        <f>SUMIF(Facebook!A:A,'Compilado 2023'!B:B,Facebook!B:B)</f>
        <v>336.37</v>
      </c>
      <c r="P298" s="70">
        <v>0</v>
      </c>
      <c r="Q298" s="70">
        <v>51.612903225806448</v>
      </c>
      <c r="R298" s="202">
        <f>IFERROR(VLOOKUP($B:$B,Tabela_Linkedin[],2,),0)</f>
        <v>0</v>
      </c>
      <c r="S298" s="70">
        <f>SUMIF(TikTok!A:A,'Compilado 2023'!B:B,TikTok!B:B)</f>
        <v>0</v>
      </c>
      <c r="T298" s="70">
        <v>0</v>
      </c>
      <c r="U298" s="70">
        <v>0</v>
      </c>
      <c r="V298" s="59"/>
      <c r="W298" s="70">
        <v>0</v>
      </c>
      <c r="X298" s="70">
        <v>0</v>
      </c>
      <c r="Y298" s="70">
        <v>0</v>
      </c>
      <c r="Z298" s="38"/>
      <c r="AA298" s="40"/>
    </row>
    <row r="299" spans="1:27" s="2" customFormat="1" x14ac:dyDescent="0.2">
      <c r="A299" s="16" t="s">
        <v>96</v>
      </c>
      <c r="B299" s="17">
        <v>44858</v>
      </c>
      <c r="C299" s="19">
        <v>43638.159999999996</v>
      </c>
      <c r="D299" s="52">
        <v>43539.53</v>
      </c>
      <c r="E299" s="52">
        <v>98.63</v>
      </c>
      <c r="F299" s="157">
        <v>151</v>
      </c>
      <c r="G299" s="157">
        <v>181</v>
      </c>
      <c r="H299" s="35">
        <v>288.99443708609272</v>
      </c>
      <c r="I299" s="19">
        <v>876.15290322580643</v>
      </c>
      <c r="J299" s="111">
        <v>49.806557553291988</v>
      </c>
      <c r="K299" s="53">
        <v>4493</v>
      </c>
      <c r="L299" s="54">
        <v>3.3607834409080793E-2</v>
      </c>
      <c r="M299" s="59"/>
      <c r="N299" s="69">
        <v>341.56</v>
      </c>
      <c r="O299" s="70">
        <f>SUMIF(Facebook!A:A,'Compilado 2023'!B:B,Facebook!B:B)</f>
        <v>241.49</v>
      </c>
      <c r="P299" s="70">
        <v>0</v>
      </c>
      <c r="Q299" s="70">
        <v>51.612903225806448</v>
      </c>
      <c r="R299" s="202">
        <f>IFERROR(VLOOKUP($B:$B,Tabela_Linkedin[],2,),0)</f>
        <v>0</v>
      </c>
      <c r="S299" s="70">
        <f>SUMIF(TikTok!A:A,'Compilado 2023'!B:B,TikTok!B:B)</f>
        <v>0</v>
      </c>
      <c r="T299" s="70">
        <v>0</v>
      </c>
      <c r="U299" s="70">
        <v>0</v>
      </c>
      <c r="V299" s="59"/>
      <c r="W299" s="70">
        <v>0</v>
      </c>
      <c r="X299" s="70">
        <v>0</v>
      </c>
      <c r="Y299" s="70">
        <v>0</v>
      </c>
      <c r="Z299" s="38"/>
      <c r="AA299" s="40"/>
    </row>
    <row r="300" spans="1:27" s="2" customFormat="1" x14ac:dyDescent="0.2">
      <c r="A300" s="16" t="s">
        <v>97</v>
      </c>
      <c r="B300" s="17">
        <v>44859</v>
      </c>
      <c r="C300" s="19">
        <v>42354.62</v>
      </c>
      <c r="D300" s="52">
        <v>42354.62</v>
      </c>
      <c r="E300" s="52">
        <v>0</v>
      </c>
      <c r="F300" s="157">
        <v>138</v>
      </c>
      <c r="G300" s="157">
        <v>195</v>
      </c>
      <c r="H300" s="35">
        <v>306.91753623188407</v>
      </c>
      <c r="I300" s="19">
        <v>934.30290322580652</v>
      </c>
      <c r="J300" s="111">
        <v>45.332857099945826</v>
      </c>
      <c r="K300" s="53">
        <v>4214</v>
      </c>
      <c r="L300" s="54">
        <v>3.274798291409587E-2</v>
      </c>
      <c r="M300" s="59"/>
      <c r="N300" s="69">
        <v>402.63</v>
      </c>
      <c r="O300" s="70">
        <f>SUMIF(Facebook!A:A,'Compilado 2023'!B:B,Facebook!B:B)</f>
        <v>240.03</v>
      </c>
      <c r="P300" s="70">
        <v>0</v>
      </c>
      <c r="Q300" s="70">
        <v>51.612903225806448</v>
      </c>
      <c r="R300" s="202">
        <f>IFERROR(VLOOKUP($B:$B,Tabela_Linkedin[],2,),0)</f>
        <v>0</v>
      </c>
      <c r="S300" s="70">
        <f>SUMIF(TikTok!A:A,'Compilado 2023'!B:B,TikTok!B:B)</f>
        <v>0</v>
      </c>
      <c r="T300" s="70">
        <v>0</v>
      </c>
      <c r="U300" s="70">
        <v>0</v>
      </c>
      <c r="V300" s="59"/>
      <c r="W300" s="70">
        <v>0</v>
      </c>
      <c r="X300" s="70">
        <v>0</v>
      </c>
      <c r="Y300" s="70">
        <v>0</v>
      </c>
      <c r="Z300" s="38"/>
      <c r="AA300" s="40"/>
    </row>
    <row r="301" spans="1:27" s="2" customFormat="1" x14ac:dyDescent="0.2">
      <c r="A301" s="16" t="s">
        <v>98</v>
      </c>
      <c r="B301" s="17">
        <v>44860</v>
      </c>
      <c r="C301" s="19">
        <v>42003.97</v>
      </c>
      <c r="D301" s="52">
        <v>42003.97</v>
      </c>
      <c r="E301" s="52">
        <v>0</v>
      </c>
      <c r="F301" s="157">
        <v>152</v>
      </c>
      <c r="G301" s="157">
        <v>218</v>
      </c>
      <c r="H301" s="35">
        <v>276.34190789473683</v>
      </c>
      <c r="I301" s="19">
        <v>1005.6329032258064</v>
      </c>
      <c r="J301" s="111">
        <v>41.768691005696304</v>
      </c>
      <c r="K301" s="53">
        <v>4060</v>
      </c>
      <c r="L301" s="54">
        <v>3.7438423645320199E-2</v>
      </c>
      <c r="M301" s="59"/>
      <c r="N301" s="69">
        <v>468.86</v>
      </c>
      <c r="O301" s="70">
        <f>SUMIF(Facebook!A:A,'Compilado 2023'!B:B,Facebook!B:B)</f>
        <v>242.58</v>
      </c>
      <c r="P301" s="70">
        <v>0</v>
      </c>
      <c r="Q301" s="70">
        <v>51.612903225806448</v>
      </c>
      <c r="R301" s="202">
        <f>IFERROR(VLOOKUP($B:$B,Tabela_Linkedin[],2,),0)</f>
        <v>0</v>
      </c>
      <c r="S301" s="70">
        <f>SUMIF(TikTok!A:A,'Compilado 2023'!B:B,TikTok!B:B)</f>
        <v>0</v>
      </c>
      <c r="T301" s="70">
        <v>0</v>
      </c>
      <c r="U301" s="70">
        <v>0</v>
      </c>
      <c r="V301" s="59"/>
      <c r="W301" s="70">
        <v>0</v>
      </c>
      <c r="X301" s="70">
        <v>0</v>
      </c>
      <c r="Y301" s="70">
        <v>0</v>
      </c>
      <c r="Z301" s="38"/>
      <c r="AA301" s="40"/>
    </row>
    <row r="302" spans="1:27" s="2" customFormat="1" x14ac:dyDescent="0.2">
      <c r="A302" s="16" t="s">
        <v>99</v>
      </c>
      <c r="B302" s="17">
        <v>44861</v>
      </c>
      <c r="C302" s="19">
        <v>41668.050000000003</v>
      </c>
      <c r="D302" s="52">
        <v>41645.82</v>
      </c>
      <c r="E302" s="52">
        <v>22.23</v>
      </c>
      <c r="F302" s="157">
        <v>144</v>
      </c>
      <c r="G302" s="157">
        <v>162</v>
      </c>
      <c r="H302" s="35">
        <v>289.36145833333336</v>
      </c>
      <c r="I302" s="19">
        <v>1027.7129032258065</v>
      </c>
      <c r="J302" s="111">
        <v>40.544445699972691</v>
      </c>
      <c r="K302" s="53">
        <v>3857</v>
      </c>
      <c r="L302" s="54">
        <v>3.733471610059632E-2</v>
      </c>
      <c r="M302" s="59"/>
      <c r="N302" s="69">
        <v>488.88</v>
      </c>
      <c r="O302" s="70">
        <f>SUMIF(Facebook!A:A,'Compilado 2023'!B:B,Facebook!B:B)</f>
        <v>243.61</v>
      </c>
      <c r="P302" s="70">
        <v>0</v>
      </c>
      <c r="Q302" s="70">
        <v>51.612903225806448</v>
      </c>
      <c r="R302" s="202">
        <f>IFERROR(VLOOKUP($B:$B,Tabela_Linkedin[],2,),0)</f>
        <v>0</v>
      </c>
      <c r="S302" s="70">
        <f>SUMIF(TikTok!A:A,'Compilado 2023'!B:B,TikTok!B:B)</f>
        <v>0</v>
      </c>
      <c r="T302" s="70">
        <v>0</v>
      </c>
      <c r="U302" s="70">
        <v>0</v>
      </c>
      <c r="V302" s="59"/>
      <c r="W302" s="70">
        <v>0</v>
      </c>
      <c r="X302" s="70">
        <v>0</v>
      </c>
      <c r="Y302" s="70">
        <v>0</v>
      </c>
      <c r="Z302" s="38"/>
      <c r="AA302" s="40"/>
    </row>
    <row r="303" spans="1:27" s="2" customFormat="1" x14ac:dyDescent="0.2">
      <c r="A303" s="16" t="s">
        <v>100</v>
      </c>
      <c r="B303" s="17">
        <v>44862</v>
      </c>
      <c r="C303" s="19">
        <v>46037.66</v>
      </c>
      <c r="D303" s="52">
        <v>46037.66</v>
      </c>
      <c r="E303" s="52">
        <v>0</v>
      </c>
      <c r="F303" s="157">
        <v>161</v>
      </c>
      <c r="G303" s="157">
        <v>186</v>
      </c>
      <c r="H303" s="35">
        <v>285.94819875776398</v>
      </c>
      <c r="I303" s="19">
        <v>1075.4129032258063</v>
      </c>
      <c r="J303" s="111">
        <v>42.809287355494369</v>
      </c>
      <c r="K303" s="53">
        <v>3824</v>
      </c>
      <c r="L303" s="54">
        <v>4.2102510460251048E-2</v>
      </c>
      <c r="M303" s="59"/>
      <c r="N303" s="69">
        <v>368.96</v>
      </c>
      <c r="O303" s="70">
        <f>SUMIF(Facebook!A:A,'Compilado 2023'!B:B,Facebook!B:B)</f>
        <v>327.42</v>
      </c>
      <c r="P303" s="70">
        <v>0</v>
      </c>
      <c r="Q303" s="70">
        <v>51.612903225806448</v>
      </c>
      <c r="R303" s="202">
        <f>IFERROR(VLOOKUP($B:$B,Tabela_Linkedin[],2,),0)</f>
        <v>0</v>
      </c>
      <c r="S303" s="70">
        <f>SUMIF(TikTok!A:A,'Compilado 2023'!B:B,TikTok!B:B)</f>
        <v>0</v>
      </c>
      <c r="T303" s="70">
        <v>0</v>
      </c>
      <c r="U303" s="70">
        <v>0</v>
      </c>
      <c r="V303" s="59"/>
      <c r="W303" s="70">
        <v>0</v>
      </c>
      <c r="X303" s="70">
        <v>0</v>
      </c>
      <c r="Y303" s="70">
        <v>0</v>
      </c>
      <c r="Z303" s="38"/>
      <c r="AA303" s="40"/>
    </row>
    <row r="304" spans="1:27" s="2" customFormat="1" x14ac:dyDescent="0.2">
      <c r="A304" s="16" t="s">
        <v>94</v>
      </c>
      <c r="B304" s="17">
        <v>44863</v>
      </c>
      <c r="C304" s="19">
        <v>27353.200000000001</v>
      </c>
      <c r="D304" s="52">
        <v>27353.200000000001</v>
      </c>
      <c r="E304" s="52">
        <v>0</v>
      </c>
      <c r="F304" s="157">
        <v>101</v>
      </c>
      <c r="G304" s="157">
        <v>124</v>
      </c>
      <c r="H304" s="35">
        <v>270.82376237623765</v>
      </c>
      <c r="I304" s="19">
        <v>1175.0929032258064</v>
      </c>
      <c r="J304" s="111">
        <v>23.277478678418841</v>
      </c>
      <c r="K304" s="53">
        <v>2802</v>
      </c>
      <c r="L304" s="54">
        <v>3.6045681655960025E-2</v>
      </c>
      <c r="M304" s="59"/>
      <c r="N304" s="69">
        <v>325.94</v>
      </c>
      <c r="O304" s="70">
        <f>SUMIF(Facebook!A:A,'Compilado 2023'!B:B,Facebook!B:B)</f>
        <v>398.77</v>
      </c>
      <c r="P304" s="70">
        <v>0</v>
      </c>
      <c r="Q304" s="70">
        <v>51.612903225806448</v>
      </c>
      <c r="R304" s="202">
        <f>IFERROR(VLOOKUP($B:$B,Tabela_Linkedin[],2,),0)</f>
        <v>0</v>
      </c>
      <c r="S304" s="70">
        <f>SUMIF(TikTok!A:A,'Compilado 2023'!B:B,TikTok!B:B)</f>
        <v>0</v>
      </c>
      <c r="T304" s="70">
        <v>0</v>
      </c>
      <c r="U304" s="70">
        <v>0</v>
      </c>
      <c r="V304" s="59"/>
      <c r="W304" s="70">
        <v>0</v>
      </c>
      <c r="X304" s="70">
        <v>0</v>
      </c>
      <c r="Y304" s="70">
        <v>0</v>
      </c>
      <c r="Z304" s="38"/>
      <c r="AA304" s="40"/>
    </row>
    <row r="305" spans="1:27" s="2" customFormat="1" x14ac:dyDescent="0.2">
      <c r="A305" s="16" t="s">
        <v>95</v>
      </c>
      <c r="B305" s="17">
        <v>44864</v>
      </c>
      <c r="C305" s="19">
        <v>16529.8</v>
      </c>
      <c r="D305" s="52">
        <v>16529.8</v>
      </c>
      <c r="E305" s="52">
        <v>0</v>
      </c>
      <c r="F305" s="157">
        <v>59</v>
      </c>
      <c r="G305" s="157">
        <v>67</v>
      </c>
      <c r="H305" s="35">
        <v>280.16610169491526</v>
      </c>
      <c r="I305" s="19">
        <v>1217.4629032258063</v>
      </c>
      <c r="J305" s="111">
        <v>13.577251476166063</v>
      </c>
      <c r="K305" s="53">
        <v>1896</v>
      </c>
      <c r="L305" s="54">
        <v>3.1118143459915613E-2</v>
      </c>
      <c r="M305" s="59"/>
      <c r="N305" s="69">
        <v>276.83</v>
      </c>
      <c r="O305" s="70">
        <f>SUMIF(Facebook!A:A,'Compilado 2023'!B:B,Facebook!B:B)</f>
        <v>444.51</v>
      </c>
      <c r="P305" s="70">
        <v>0</v>
      </c>
      <c r="Q305" s="70">
        <v>51.612903225806448</v>
      </c>
      <c r="R305" s="202">
        <f>IFERROR(VLOOKUP($B:$B,Tabela_Linkedin[],2,),0)</f>
        <v>0</v>
      </c>
      <c r="S305" s="70">
        <f>SUMIF(TikTok!A:A,'Compilado 2023'!B:B,TikTok!B:B)</f>
        <v>0</v>
      </c>
      <c r="T305" s="70">
        <v>0</v>
      </c>
      <c r="U305" s="70">
        <v>0</v>
      </c>
      <c r="V305" s="59"/>
      <c r="W305" s="70">
        <v>0</v>
      </c>
      <c r="X305" s="70">
        <v>0</v>
      </c>
      <c r="Y305" s="70">
        <v>0</v>
      </c>
      <c r="Z305" s="38"/>
      <c r="AA305" s="40"/>
    </row>
    <row r="306" spans="1:27" s="2" customFormat="1" x14ac:dyDescent="0.2">
      <c r="A306" s="16" t="s">
        <v>96</v>
      </c>
      <c r="B306" s="17">
        <v>44865</v>
      </c>
      <c r="C306" s="19">
        <v>40416.239999999998</v>
      </c>
      <c r="D306" s="52">
        <v>40416.239999999998</v>
      </c>
      <c r="E306" s="52">
        <v>0</v>
      </c>
      <c r="F306" s="157">
        <v>142</v>
      </c>
      <c r="G306" s="157">
        <v>172</v>
      </c>
      <c r="H306" s="35">
        <v>284.62140845070422</v>
      </c>
      <c r="I306" s="19">
        <v>1224.3629032258063</v>
      </c>
      <c r="J306" s="111">
        <v>33.0100167960954</v>
      </c>
      <c r="K306" s="53">
        <v>3539</v>
      </c>
      <c r="L306" s="54">
        <v>4.0124328906470753E-2</v>
      </c>
      <c r="M306" s="59"/>
      <c r="N306" s="69">
        <v>459.05</v>
      </c>
      <c r="O306" s="70">
        <f>SUMIF(Facebook!A:A,'Compilado 2023'!B:B,Facebook!B:B)</f>
        <v>356.85</v>
      </c>
      <c r="P306" s="70">
        <v>0</v>
      </c>
      <c r="Q306" s="70">
        <v>51.612903225806448</v>
      </c>
      <c r="R306" s="202">
        <f>IFERROR(VLOOKUP($B:$B,Tabela_Linkedin[],2,),0)</f>
        <v>0</v>
      </c>
      <c r="S306" s="70">
        <f>SUMIF(TikTok!A:A,'Compilado 2023'!B:B,TikTok!B:B)</f>
        <v>0</v>
      </c>
      <c r="T306" s="70">
        <v>0</v>
      </c>
      <c r="U306" s="70">
        <v>0</v>
      </c>
      <c r="V306" s="59"/>
      <c r="W306" s="70">
        <v>0</v>
      </c>
      <c r="X306" s="70">
        <v>0</v>
      </c>
      <c r="Y306" s="70">
        <v>0</v>
      </c>
      <c r="Z306" s="38"/>
      <c r="AA306" s="40"/>
    </row>
    <row r="307" spans="1:27" s="2" customFormat="1" x14ac:dyDescent="0.2">
      <c r="A307" s="16" t="s">
        <v>97</v>
      </c>
      <c r="B307" s="17">
        <v>44866</v>
      </c>
      <c r="C307" s="19">
        <v>52463.95</v>
      </c>
      <c r="D307" s="52">
        <v>52463.95</v>
      </c>
      <c r="E307" s="52">
        <v>0</v>
      </c>
      <c r="F307" s="157">
        <v>183</v>
      </c>
      <c r="G307" s="157">
        <v>245</v>
      </c>
      <c r="H307" s="35">
        <v>286.6882513661202</v>
      </c>
      <c r="I307" s="19">
        <v>1290.6233333333332</v>
      </c>
      <c r="J307" s="111">
        <v>40.650086392363384</v>
      </c>
      <c r="K307" s="53">
        <v>4309</v>
      </c>
      <c r="L307" s="54">
        <v>4.2469250406126709E-2</v>
      </c>
      <c r="M307" s="59"/>
      <c r="N307" s="69">
        <v>476.25</v>
      </c>
      <c r="O307" s="70">
        <f>SUMIF(Facebook!A:A,'Compilado 2023'!B:B,Facebook!B:B)</f>
        <v>380.52</v>
      </c>
      <c r="P307" s="70">
        <v>0</v>
      </c>
      <c r="Q307" s="70">
        <v>53.333333333333336</v>
      </c>
      <c r="R307" s="202">
        <f>IFERROR(VLOOKUP($B:$B,Tabela_Linkedin[],2,),0)</f>
        <v>0</v>
      </c>
      <c r="S307" s="70">
        <f>SUMIF(TikTok!A:A,'Compilado 2023'!B:B,TikTok!B:B)</f>
        <v>0</v>
      </c>
      <c r="T307" s="70">
        <v>0</v>
      </c>
      <c r="U307" s="70">
        <v>0</v>
      </c>
      <c r="V307" s="59"/>
      <c r="W307" s="70">
        <v>0</v>
      </c>
      <c r="X307" s="70">
        <v>0</v>
      </c>
      <c r="Y307" s="70">
        <v>0</v>
      </c>
      <c r="Z307" s="38"/>
      <c r="AA307" s="40"/>
    </row>
    <row r="308" spans="1:27" s="2" customFormat="1" x14ac:dyDescent="0.2">
      <c r="A308" s="16" t="s">
        <v>98</v>
      </c>
      <c r="B308" s="17">
        <v>44867</v>
      </c>
      <c r="C308" s="19">
        <v>28179.040000000001</v>
      </c>
      <c r="D308" s="52">
        <v>28179.040000000001</v>
      </c>
      <c r="E308" s="52">
        <v>0</v>
      </c>
      <c r="F308" s="157">
        <v>107</v>
      </c>
      <c r="G308" s="157">
        <v>139</v>
      </c>
      <c r="H308" s="35">
        <v>263.35551401869162</v>
      </c>
      <c r="I308" s="19">
        <v>1316.5033333333333</v>
      </c>
      <c r="J308" s="111">
        <v>21.404457768178837</v>
      </c>
      <c r="K308" s="53">
        <v>3361</v>
      </c>
      <c r="L308" s="54">
        <v>3.1835763165724486E-2</v>
      </c>
      <c r="M308" s="59"/>
      <c r="N308" s="69">
        <v>444.97</v>
      </c>
      <c r="O308" s="70">
        <f>SUMIF(Facebook!A:A,'Compilado 2023'!B:B,Facebook!B:B)</f>
        <v>418.28</v>
      </c>
      <c r="P308" s="70">
        <v>0</v>
      </c>
      <c r="Q308" s="70">
        <v>53.333333333333336</v>
      </c>
      <c r="R308" s="202">
        <f>IFERROR(VLOOKUP($B:$B,Tabela_Linkedin[],2,),0)</f>
        <v>0</v>
      </c>
      <c r="S308" s="70">
        <f>SUMIF(TikTok!A:A,'Compilado 2023'!B:B,TikTok!B:B)</f>
        <v>0</v>
      </c>
      <c r="T308" s="70">
        <v>0</v>
      </c>
      <c r="U308" s="70">
        <v>0</v>
      </c>
      <c r="V308" s="59"/>
      <c r="W308" s="70">
        <v>0</v>
      </c>
      <c r="X308" s="70">
        <v>0</v>
      </c>
      <c r="Y308" s="70">
        <v>0</v>
      </c>
      <c r="Z308" s="38"/>
      <c r="AA308" s="40"/>
    </row>
    <row r="309" spans="1:27" s="2" customFormat="1" x14ac:dyDescent="0.2">
      <c r="A309" s="16" t="s">
        <v>99</v>
      </c>
      <c r="B309" s="17">
        <v>44868</v>
      </c>
      <c r="C309" s="19">
        <v>41401.97</v>
      </c>
      <c r="D309" s="52">
        <v>41357.79</v>
      </c>
      <c r="E309" s="52">
        <v>44.18</v>
      </c>
      <c r="F309" s="157">
        <v>154</v>
      </c>
      <c r="G309" s="157">
        <v>196</v>
      </c>
      <c r="H309" s="35">
        <v>268.84396103896103</v>
      </c>
      <c r="I309" s="19">
        <v>1184.3033333333333</v>
      </c>
      <c r="J309" s="111">
        <v>34.958923811748683</v>
      </c>
      <c r="K309" s="53">
        <v>4088</v>
      </c>
      <c r="L309" s="54">
        <v>3.7671232876712327E-2</v>
      </c>
      <c r="M309" s="59"/>
      <c r="N309" s="69">
        <v>507.49</v>
      </c>
      <c r="O309" s="70">
        <f>SUMIF(Facebook!A:A,'Compilado 2023'!B:B,Facebook!B:B)</f>
        <v>311.74</v>
      </c>
      <c r="P309" s="70">
        <v>0</v>
      </c>
      <c r="Q309" s="70">
        <v>53.333333333333336</v>
      </c>
      <c r="R309" s="202">
        <f>IFERROR(VLOOKUP($B:$B,Tabela_Linkedin[],2,),0)</f>
        <v>0</v>
      </c>
      <c r="S309" s="70">
        <f>SUMIF(TikTok!A:A,'Compilado 2023'!B:B,TikTok!B:B)</f>
        <v>0</v>
      </c>
      <c r="T309" s="70">
        <v>0</v>
      </c>
      <c r="U309" s="70">
        <v>0</v>
      </c>
      <c r="V309" s="59"/>
      <c r="W309" s="70">
        <v>0</v>
      </c>
      <c r="X309" s="70">
        <v>0</v>
      </c>
      <c r="Y309" s="70">
        <v>0</v>
      </c>
      <c r="Z309" s="38"/>
      <c r="AA309" s="40"/>
    </row>
    <row r="310" spans="1:27" s="2" customFormat="1" x14ac:dyDescent="0.2">
      <c r="A310" s="16" t="s">
        <v>100</v>
      </c>
      <c r="B310" s="17">
        <v>44869</v>
      </c>
      <c r="C310" s="19">
        <v>49293.59</v>
      </c>
      <c r="D310" s="52">
        <v>49293.59</v>
      </c>
      <c r="E310" s="52">
        <v>0</v>
      </c>
      <c r="F310" s="157">
        <v>178</v>
      </c>
      <c r="G310" s="157">
        <v>257</v>
      </c>
      <c r="H310" s="35">
        <v>276.93028089887639</v>
      </c>
      <c r="I310" s="19">
        <v>1156.7833333333333</v>
      </c>
      <c r="J310" s="111">
        <v>42.612638494676325</v>
      </c>
      <c r="K310" s="53">
        <v>3941</v>
      </c>
      <c r="L310" s="54">
        <v>4.516620147170769E-2</v>
      </c>
      <c r="M310" s="59"/>
      <c r="N310" s="69">
        <v>439.85</v>
      </c>
      <c r="O310" s="70">
        <f>SUMIF(Facebook!A:A,'Compilado 2023'!B:B,Facebook!B:B)</f>
        <v>331.8</v>
      </c>
      <c r="P310" s="70">
        <v>0</v>
      </c>
      <c r="Q310" s="70">
        <v>53.333333333333336</v>
      </c>
      <c r="R310" s="202">
        <f>IFERROR(VLOOKUP($B:$B,Tabela_Linkedin[],2,),0)</f>
        <v>0</v>
      </c>
      <c r="S310" s="70">
        <f>SUMIF(TikTok!A:A,'Compilado 2023'!B:B,TikTok!B:B)</f>
        <v>0</v>
      </c>
      <c r="T310" s="70">
        <v>0</v>
      </c>
      <c r="U310" s="70">
        <v>0</v>
      </c>
      <c r="V310" s="59"/>
      <c r="W310" s="70">
        <v>0</v>
      </c>
      <c r="X310" s="70">
        <v>0</v>
      </c>
      <c r="Y310" s="70">
        <v>0</v>
      </c>
      <c r="Z310" s="38"/>
      <c r="AA310" s="40"/>
    </row>
    <row r="311" spans="1:27" s="2" customFormat="1" x14ac:dyDescent="0.2">
      <c r="A311" s="16" t="s">
        <v>94</v>
      </c>
      <c r="B311" s="17">
        <v>44870</v>
      </c>
      <c r="C311" s="19">
        <v>32532.11</v>
      </c>
      <c r="D311" s="52">
        <v>32532.11</v>
      </c>
      <c r="E311" s="52">
        <v>0</v>
      </c>
      <c r="F311" s="157">
        <v>112</v>
      </c>
      <c r="G311" s="157">
        <v>137</v>
      </c>
      <c r="H311" s="35">
        <v>290.46526785714286</v>
      </c>
      <c r="I311" s="19">
        <v>1149.0833333333333</v>
      </c>
      <c r="J311" s="111">
        <v>28.311358329102909</v>
      </c>
      <c r="K311" s="53">
        <v>2984</v>
      </c>
      <c r="L311" s="54">
        <v>3.7533512064343161E-2</v>
      </c>
      <c r="M311" s="59"/>
      <c r="N311" s="69">
        <v>441.25</v>
      </c>
      <c r="O311" s="70">
        <f>SUMIF(Facebook!A:A,'Compilado 2023'!B:B,Facebook!B:B)</f>
        <v>327.25</v>
      </c>
      <c r="P311" s="70">
        <v>0</v>
      </c>
      <c r="Q311" s="70">
        <v>53.333333333333336</v>
      </c>
      <c r="R311" s="202">
        <f>IFERROR(VLOOKUP($B:$B,Tabela_Linkedin[],2,),0)</f>
        <v>0</v>
      </c>
      <c r="S311" s="70">
        <f>SUMIF(TikTok!A:A,'Compilado 2023'!B:B,TikTok!B:B)</f>
        <v>0</v>
      </c>
      <c r="T311" s="70">
        <v>0</v>
      </c>
      <c r="U311" s="70">
        <v>0</v>
      </c>
      <c r="V311" s="59"/>
      <c r="W311" s="70">
        <v>0</v>
      </c>
      <c r="X311" s="70">
        <v>0</v>
      </c>
      <c r="Y311" s="70">
        <v>0</v>
      </c>
      <c r="Z311" s="38"/>
      <c r="AA311" s="40"/>
    </row>
    <row r="312" spans="1:27" s="2" customFormat="1" x14ac:dyDescent="0.2">
      <c r="A312" s="16" t="s">
        <v>95</v>
      </c>
      <c r="B312" s="17">
        <v>44871</v>
      </c>
      <c r="C312" s="19">
        <v>18743.48</v>
      </c>
      <c r="D312" s="52">
        <v>18743.48</v>
      </c>
      <c r="E312" s="52">
        <v>0</v>
      </c>
      <c r="F312" s="157">
        <v>66</v>
      </c>
      <c r="G312" s="157">
        <v>83</v>
      </c>
      <c r="H312" s="35">
        <v>283.99212121212122</v>
      </c>
      <c r="I312" s="19">
        <v>1101.9433333333334</v>
      </c>
      <c r="J312" s="111">
        <v>17.00947719634706</v>
      </c>
      <c r="K312" s="53">
        <v>2587</v>
      </c>
      <c r="L312" s="54">
        <v>2.5512176265945111E-2</v>
      </c>
      <c r="M312" s="59"/>
      <c r="N312" s="69">
        <v>413.47</v>
      </c>
      <c r="O312" s="70">
        <f>SUMIF(Facebook!A:A,'Compilado 2023'!B:B,Facebook!B:B)</f>
        <v>317.57</v>
      </c>
      <c r="P312" s="70">
        <v>0</v>
      </c>
      <c r="Q312" s="70">
        <v>53.333333333333336</v>
      </c>
      <c r="R312" s="202">
        <f>IFERROR(VLOOKUP($B:$B,Tabela_Linkedin[],2,),0)</f>
        <v>0</v>
      </c>
      <c r="S312" s="70">
        <f>SUMIF(TikTok!A:A,'Compilado 2023'!B:B,TikTok!B:B)</f>
        <v>0</v>
      </c>
      <c r="T312" s="70">
        <v>0</v>
      </c>
      <c r="U312" s="70">
        <v>0</v>
      </c>
      <c r="V312" s="59"/>
      <c r="W312" s="70">
        <v>0</v>
      </c>
      <c r="X312" s="70">
        <v>0</v>
      </c>
      <c r="Y312" s="70">
        <v>0</v>
      </c>
      <c r="Z312" s="38"/>
      <c r="AA312" s="40"/>
    </row>
    <row r="313" spans="1:27" s="2" customFormat="1" x14ac:dyDescent="0.2">
      <c r="A313" s="16" t="s">
        <v>96</v>
      </c>
      <c r="B313" s="17">
        <v>44872</v>
      </c>
      <c r="C313" s="19">
        <v>50476.14</v>
      </c>
      <c r="D313" s="52">
        <v>50453.83</v>
      </c>
      <c r="E313" s="52">
        <v>22.31</v>
      </c>
      <c r="F313" s="157">
        <v>156</v>
      </c>
      <c r="G313" s="157">
        <v>236</v>
      </c>
      <c r="H313" s="35">
        <v>323.565</v>
      </c>
      <c r="I313" s="19">
        <v>1187.0933333333332</v>
      </c>
      <c r="J313" s="111">
        <v>42.520784661694677</v>
      </c>
      <c r="K313" s="53">
        <v>4378</v>
      </c>
      <c r="L313" s="54">
        <v>3.563270899954317E-2</v>
      </c>
      <c r="M313" s="59"/>
      <c r="N313" s="69">
        <v>487.54</v>
      </c>
      <c r="O313" s="70">
        <f>SUMIF(Facebook!A:A,'Compilado 2023'!B:B,Facebook!B:B)</f>
        <v>323.11</v>
      </c>
      <c r="P313" s="70">
        <v>0</v>
      </c>
      <c r="Q313" s="70">
        <v>53.333333333333336</v>
      </c>
      <c r="R313" s="202">
        <f>IFERROR(VLOOKUP($B:$B,Tabela_Linkedin[],2,),0)</f>
        <v>0</v>
      </c>
      <c r="S313" s="70">
        <f>SUMIF(TikTok!A:A,'Compilado 2023'!B:B,TikTok!B:B)</f>
        <v>0</v>
      </c>
      <c r="T313" s="70">
        <v>0</v>
      </c>
      <c r="U313" s="70">
        <v>0</v>
      </c>
      <c r="V313" s="59"/>
      <c r="W313" s="70">
        <v>0</v>
      </c>
      <c r="X313" s="70">
        <v>0</v>
      </c>
      <c r="Y313" s="70">
        <v>0</v>
      </c>
      <c r="Z313" s="38"/>
      <c r="AA313" s="40"/>
    </row>
    <row r="314" spans="1:27" s="2" customFormat="1" x14ac:dyDescent="0.2">
      <c r="A314" s="16" t="s">
        <v>97</v>
      </c>
      <c r="B314" s="17">
        <v>44873</v>
      </c>
      <c r="C314" s="19">
        <v>45692.1</v>
      </c>
      <c r="D314" s="52">
        <v>45692.1</v>
      </c>
      <c r="E314" s="52">
        <v>0</v>
      </c>
      <c r="F314" s="157">
        <v>157</v>
      </c>
      <c r="G314" s="157">
        <v>187</v>
      </c>
      <c r="H314" s="35">
        <v>291.03248407643309</v>
      </c>
      <c r="I314" s="19">
        <v>1211.5633333333333</v>
      </c>
      <c r="J314" s="111">
        <v>37.713340064764807</v>
      </c>
      <c r="K314" s="53">
        <v>4432</v>
      </c>
      <c r="L314" s="54">
        <v>3.5424187725631766E-2</v>
      </c>
      <c r="M314" s="59"/>
      <c r="N314" s="69">
        <v>499.29</v>
      </c>
      <c r="O314" s="70">
        <f>SUMIF(Facebook!A:A,'Compilado 2023'!B:B,Facebook!B:B)</f>
        <v>329.47</v>
      </c>
      <c r="P314" s="70">
        <v>0</v>
      </c>
      <c r="Q314" s="70">
        <v>53.333333333333336</v>
      </c>
      <c r="R314" s="202">
        <f>IFERROR(VLOOKUP($B:$B,Tabela_Linkedin[],2,),0)</f>
        <v>0</v>
      </c>
      <c r="S314" s="70">
        <f>SUMIF(TikTok!A:A,'Compilado 2023'!B:B,TikTok!B:B)</f>
        <v>0</v>
      </c>
      <c r="T314" s="70">
        <v>0</v>
      </c>
      <c r="U314" s="70">
        <v>0</v>
      </c>
      <c r="V314" s="59"/>
      <c r="W314" s="70">
        <v>0</v>
      </c>
      <c r="X314" s="70">
        <v>0</v>
      </c>
      <c r="Y314" s="70">
        <v>0</v>
      </c>
      <c r="Z314" s="38"/>
      <c r="AA314" s="40"/>
    </row>
    <row r="315" spans="1:27" s="2" customFormat="1" x14ac:dyDescent="0.2">
      <c r="A315" s="16" t="s">
        <v>98</v>
      </c>
      <c r="B315" s="17">
        <v>44874</v>
      </c>
      <c r="C315" s="19">
        <v>64711.35</v>
      </c>
      <c r="D315" s="52">
        <v>64711.35</v>
      </c>
      <c r="E315" s="52">
        <v>0</v>
      </c>
      <c r="F315" s="157">
        <v>281</v>
      </c>
      <c r="G315" s="157">
        <v>407</v>
      </c>
      <c r="H315" s="35">
        <v>230.28950177935943</v>
      </c>
      <c r="I315" s="19">
        <v>1378.5033333333333</v>
      </c>
      <c r="J315" s="111">
        <v>46.943194430674815</v>
      </c>
      <c r="K315" s="53">
        <v>4915</v>
      </c>
      <c r="L315" s="54">
        <v>5.7171922685656157E-2</v>
      </c>
      <c r="M315" s="59"/>
      <c r="N315" s="69">
        <v>566.65</v>
      </c>
      <c r="O315" s="70">
        <f>SUMIF(Facebook!A:A,'Compilado 2023'!B:B,Facebook!B:B)</f>
        <v>379.26</v>
      </c>
      <c r="P315" s="70">
        <v>0</v>
      </c>
      <c r="Q315" s="70">
        <v>53.333333333333336</v>
      </c>
      <c r="R315" s="202">
        <f>IFERROR(VLOOKUP($B:$B,Tabela_Linkedin[],2,),0)</f>
        <v>0</v>
      </c>
      <c r="S315" s="70">
        <f>SUMIF(TikTok!A:A,'Compilado 2023'!B:B,TikTok!B:B)</f>
        <v>0</v>
      </c>
      <c r="T315" s="70">
        <v>0</v>
      </c>
      <c r="U315" s="70">
        <v>0</v>
      </c>
      <c r="V315" s="59"/>
      <c r="W315" s="70">
        <v>0</v>
      </c>
      <c r="X315" s="70">
        <v>0</v>
      </c>
      <c r="Y315" s="70">
        <v>0</v>
      </c>
      <c r="Z315" s="38"/>
      <c r="AA315" s="40"/>
    </row>
    <row r="316" spans="1:27" s="2" customFormat="1" x14ac:dyDescent="0.2">
      <c r="A316" s="16" t="s">
        <v>99</v>
      </c>
      <c r="B316" s="17">
        <v>44875</v>
      </c>
      <c r="C316" s="19">
        <v>62344.07</v>
      </c>
      <c r="D316" s="52">
        <v>62344.07</v>
      </c>
      <c r="E316" s="52">
        <v>0</v>
      </c>
      <c r="F316" s="157">
        <v>241</v>
      </c>
      <c r="G316" s="157">
        <v>356</v>
      </c>
      <c r="H316" s="35">
        <v>258.68908713692946</v>
      </c>
      <c r="I316" s="19">
        <v>1323.2633333333331</v>
      </c>
      <c r="J316" s="111">
        <v>47.113880079298916</v>
      </c>
      <c r="K316" s="53">
        <v>4853</v>
      </c>
      <c r="L316" s="54">
        <v>4.9660004121162164E-2</v>
      </c>
      <c r="M316" s="59"/>
      <c r="N316" s="69">
        <v>547.80999999999995</v>
      </c>
      <c r="O316" s="70">
        <f>SUMIF(Facebook!A:A,'Compilado 2023'!B:B,Facebook!B:B)</f>
        <v>361.06</v>
      </c>
      <c r="P316" s="70">
        <v>0</v>
      </c>
      <c r="Q316" s="70">
        <v>53.333333333333336</v>
      </c>
      <c r="R316" s="202">
        <f>IFERROR(VLOOKUP($B:$B,Tabela_Linkedin[],2,),0)</f>
        <v>0</v>
      </c>
      <c r="S316" s="70">
        <f>SUMIF(TikTok!A:A,'Compilado 2023'!B:B,TikTok!B:B)</f>
        <v>0</v>
      </c>
      <c r="T316" s="70">
        <v>0</v>
      </c>
      <c r="U316" s="70">
        <v>0</v>
      </c>
      <c r="V316" s="59"/>
      <c r="W316" s="70">
        <v>0</v>
      </c>
      <c r="X316" s="70">
        <v>0</v>
      </c>
      <c r="Y316" s="70">
        <v>0</v>
      </c>
      <c r="Z316" s="38"/>
      <c r="AA316" s="40"/>
    </row>
    <row r="317" spans="1:27" s="2" customFormat="1" x14ac:dyDescent="0.2">
      <c r="A317" s="16" t="s">
        <v>100</v>
      </c>
      <c r="B317" s="17">
        <v>44876</v>
      </c>
      <c r="C317" s="19">
        <v>59936.65</v>
      </c>
      <c r="D317" s="52">
        <v>59936.65</v>
      </c>
      <c r="E317" s="52">
        <v>0</v>
      </c>
      <c r="F317" s="157">
        <v>246</v>
      </c>
      <c r="G317" s="157">
        <v>335</v>
      </c>
      <c r="H317" s="35">
        <v>243.644918699187</v>
      </c>
      <c r="I317" s="19">
        <v>1412.3433333333332</v>
      </c>
      <c r="J317" s="111">
        <v>42.43773350672523</v>
      </c>
      <c r="K317" s="53">
        <v>4453</v>
      </c>
      <c r="L317" s="54">
        <v>5.5243655962272625E-2</v>
      </c>
      <c r="M317" s="59"/>
      <c r="N317" s="69">
        <v>638.13</v>
      </c>
      <c r="O317" s="70">
        <f>SUMIF(Facebook!A:A,'Compilado 2023'!B:B,Facebook!B:B)</f>
        <v>360.45</v>
      </c>
      <c r="P317" s="70">
        <v>0</v>
      </c>
      <c r="Q317" s="70">
        <v>53.333333333333336</v>
      </c>
      <c r="R317" s="202">
        <f>IFERROR(VLOOKUP($B:$B,Tabela_Linkedin[],2,),0)</f>
        <v>0</v>
      </c>
      <c r="S317" s="70">
        <f>SUMIF(TikTok!A:A,'Compilado 2023'!B:B,TikTok!B:B)</f>
        <v>0</v>
      </c>
      <c r="T317" s="70">
        <v>0</v>
      </c>
      <c r="U317" s="70">
        <v>0</v>
      </c>
      <c r="V317" s="59"/>
      <c r="W317" s="70">
        <v>0</v>
      </c>
      <c r="X317" s="70">
        <v>0</v>
      </c>
      <c r="Y317" s="70">
        <v>0</v>
      </c>
      <c r="Z317" s="38"/>
      <c r="AA317" s="40"/>
    </row>
    <row r="318" spans="1:27" s="2" customFormat="1" x14ac:dyDescent="0.2">
      <c r="A318" s="16" t="s">
        <v>94</v>
      </c>
      <c r="B318" s="17">
        <v>44877</v>
      </c>
      <c r="C318" s="19">
        <v>34354.720000000001</v>
      </c>
      <c r="D318" s="52">
        <v>34354.720000000001</v>
      </c>
      <c r="E318" s="52">
        <v>0</v>
      </c>
      <c r="F318" s="157">
        <v>142</v>
      </c>
      <c r="G318" s="157">
        <v>200</v>
      </c>
      <c r="H318" s="35">
        <v>241.93464788732396</v>
      </c>
      <c r="I318" s="19">
        <v>1237.0833333333333</v>
      </c>
      <c r="J318" s="111">
        <v>27.770740316604922</v>
      </c>
      <c r="K318" s="53">
        <v>3630</v>
      </c>
      <c r="L318" s="54">
        <v>3.911845730027548E-2</v>
      </c>
      <c r="M318" s="59"/>
      <c r="N318" s="69">
        <v>470.39</v>
      </c>
      <c r="O318" s="70">
        <f>SUMIF(Facebook!A:A,'Compilado 2023'!B:B,Facebook!B:B)</f>
        <v>369.87</v>
      </c>
      <c r="P318" s="70">
        <v>0</v>
      </c>
      <c r="Q318" s="70">
        <v>53.333333333333336</v>
      </c>
      <c r="R318" s="202">
        <f>IFERROR(VLOOKUP($B:$B,Tabela_Linkedin[],2,),0)</f>
        <v>0</v>
      </c>
      <c r="S318" s="70">
        <f>SUMIF(TikTok!A:A,'Compilado 2023'!B:B,TikTok!B:B)</f>
        <v>0</v>
      </c>
      <c r="T318" s="70">
        <v>0</v>
      </c>
      <c r="U318" s="70">
        <v>0</v>
      </c>
      <c r="V318" s="59"/>
      <c r="W318" s="70">
        <v>0</v>
      </c>
      <c r="X318" s="70">
        <v>0</v>
      </c>
      <c r="Y318" s="70">
        <v>0</v>
      </c>
      <c r="Z318" s="38"/>
      <c r="AA318" s="40"/>
    </row>
    <row r="319" spans="1:27" s="2" customFormat="1" x14ac:dyDescent="0.2">
      <c r="A319" s="16" t="s">
        <v>95</v>
      </c>
      <c r="B319" s="17">
        <v>44878</v>
      </c>
      <c r="C319" s="19">
        <v>20268.12</v>
      </c>
      <c r="D319" s="52">
        <v>20268.12</v>
      </c>
      <c r="E319" s="52">
        <v>0</v>
      </c>
      <c r="F319" s="157">
        <v>90</v>
      </c>
      <c r="G319" s="157">
        <v>118</v>
      </c>
      <c r="H319" s="35">
        <v>225.20133333333331</v>
      </c>
      <c r="I319" s="19">
        <v>1171.7933333333333</v>
      </c>
      <c r="J319" s="111">
        <v>17.296667785559457</v>
      </c>
      <c r="K319" s="53">
        <v>2955</v>
      </c>
      <c r="L319" s="54">
        <v>3.0456852791878174E-2</v>
      </c>
      <c r="M319" s="59"/>
      <c r="N319" s="69">
        <v>457.97</v>
      </c>
      <c r="O319" s="70">
        <f>SUMIF(Facebook!A:A,'Compilado 2023'!B:B,Facebook!B:B)</f>
        <v>361.69</v>
      </c>
      <c r="P319" s="70">
        <v>0</v>
      </c>
      <c r="Q319" s="70">
        <v>53.333333333333336</v>
      </c>
      <c r="R319" s="202">
        <f>IFERROR(VLOOKUP($B:$B,Tabela_Linkedin[],2,),0)</f>
        <v>0</v>
      </c>
      <c r="S319" s="70">
        <f>SUMIF(TikTok!A:A,'Compilado 2023'!B:B,TikTok!B:B)</f>
        <v>0</v>
      </c>
      <c r="T319" s="70">
        <v>0</v>
      </c>
      <c r="U319" s="70">
        <v>0</v>
      </c>
      <c r="V319" s="59"/>
      <c r="W319" s="70">
        <v>0</v>
      </c>
      <c r="X319" s="70">
        <v>0</v>
      </c>
      <c r="Y319" s="70">
        <v>0</v>
      </c>
      <c r="Z319" s="38"/>
      <c r="AA319" s="40"/>
    </row>
    <row r="320" spans="1:27" s="2" customFormat="1" x14ac:dyDescent="0.2">
      <c r="A320" s="16" t="s">
        <v>96</v>
      </c>
      <c r="B320" s="17">
        <v>44879</v>
      </c>
      <c r="C320" s="19">
        <v>48541.04</v>
      </c>
      <c r="D320" s="52">
        <v>48516.29</v>
      </c>
      <c r="E320" s="52">
        <v>24.75</v>
      </c>
      <c r="F320" s="157">
        <v>190</v>
      </c>
      <c r="G320" s="157">
        <v>275</v>
      </c>
      <c r="H320" s="35">
        <v>255.47915789473686</v>
      </c>
      <c r="I320" s="19">
        <v>1303.8833333333332</v>
      </c>
      <c r="J320" s="111">
        <v>37.228054657241834</v>
      </c>
      <c r="K320" s="53">
        <v>4507</v>
      </c>
      <c r="L320" s="54">
        <v>4.2156645218548922E-2</v>
      </c>
      <c r="M320" s="59"/>
      <c r="N320" s="69">
        <v>713.48</v>
      </c>
      <c r="O320" s="70">
        <f>SUMIF(Facebook!A:A,'Compilado 2023'!B:B,Facebook!B:B)</f>
        <v>339.51</v>
      </c>
      <c r="P320" s="70">
        <v>0</v>
      </c>
      <c r="Q320" s="70">
        <v>53.333333333333336</v>
      </c>
      <c r="R320" s="202">
        <f>IFERROR(VLOOKUP($B:$B,Tabela_Linkedin[],2,),0)</f>
        <v>0</v>
      </c>
      <c r="S320" s="70">
        <f>SUMIF(TikTok!A:A,'Compilado 2023'!B:B,TikTok!B:B)</f>
        <v>0</v>
      </c>
      <c r="T320" s="70">
        <v>0</v>
      </c>
      <c r="U320" s="70">
        <v>0</v>
      </c>
      <c r="V320" s="59"/>
      <c r="W320" s="70">
        <v>0</v>
      </c>
      <c r="X320" s="70">
        <v>0</v>
      </c>
      <c r="Y320" s="70">
        <v>0</v>
      </c>
      <c r="Z320" s="38"/>
      <c r="AA320" s="40"/>
    </row>
    <row r="321" spans="1:27" s="2" customFormat="1" x14ac:dyDescent="0.2">
      <c r="A321" s="16" t="s">
        <v>97</v>
      </c>
      <c r="B321" s="17">
        <v>44880</v>
      </c>
      <c r="C321" s="19">
        <v>45918.36</v>
      </c>
      <c r="D321" s="52">
        <v>45918.36</v>
      </c>
      <c r="E321" s="52">
        <v>0</v>
      </c>
      <c r="F321" s="157">
        <v>190</v>
      </c>
      <c r="G321" s="157">
        <v>287</v>
      </c>
      <c r="H321" s="35">
        <v>241.67557894736842</v>
      </c>
      <c r="I321" s="19">
        <v>1243.6033333333332</v>
      </c>
      <c r="J321" s="111">
        <v>36.923638566423918</v>
      </c>
      <c r="K321" s="53">
        <v>3551</v>
      </c>
      <c r="L321" s="54">
        <v>5.3506054632497885E-2</v>
      </c>
      <c r="M321" s="59"/>
      <c r="N321" s="69">
        <v>681.31</v>
      </c>
      <c r="O321" s="70">
        <f>SUMIF(Facebook!A:A,'Compilado 2023'!B:B,Facebook!B:B)</f>
        <v>294.60000000000002</v>
      </c>
      <c r="P321" s="70">
        <v>0</v>
      </c>
      <c r="Q321" s="70">
        <v>53.333333333333336</v>
      </c>
      <c r="R321" s="202">
        <f>IFERROR(VLOOKUP($B:$B,Tabela_Linkedin[],2,),0)</f>
        <v>0</v>
      </c>
      <c r="S321" s="70">
        <f>SUMIF(TikTok!A:A,'Compilado 2023'!B:B,TikTok!B:B)</f>
        <v>0</v>
      </c>
      <c r="T321" s="70">
        <v>0</v>
      </c>
      <c r="U321" s="70">
        <v>0</v>
      </c>
      <c r="V321" s="59"/>
      <c r="W321" s="70">
        <v>0</v>
      </c>
      <c r="X321" s="70">
        <v>0</v>
      </c>
      <c r="Y321" s="70">
        <v>0</v>
      </c>
      <c r="Z321" s="38"/>
      <c r="AA321" s="40"/>
    </row>
    <row r="322" spans="1:27" s="2" customFormat="1" x14ac:dyDescent="0.2">
      <c r="A322" s="16" t="s">
        <v>98</v>
      </c>
      <c r="B322" s="17">
        <v>44881</v>
      </c>
      <c r="C322" s="19">
        <v>47671.23</v>
      </c>
      <c r="D322" s="52">
        <v>47671.23</v>
      </c>
      <c r="E322" s="52">
        <v>0</v>
      </c>
      <c r="F322" s="157">
        <v>164</v>
      </c>
      <c r="G322" s="157">
        <v>207</v>
      </c>
      <c r="H322" s="35">
        <v>290.67823170731708</v>
      </c>
      <c r="I322" s="19">
        <v>1054.7833333333333</v>
      </c>
      <c r="J322" s="111">
        <v>45.195281811430469</v>
      </c>
      <c r="K322" s="53">
        <v>4845</v>
      </c>
      <c r="L322" s="54">
        <v>3.384932920536636E-2</v>
      </c>
      <c r="M322" s="59"/>
      <c r="N322" s="69">
        <v>774.91</v>
      </c>
      <c r="O322" s="70">
        <f>SUMIF(Facebook!A:A,'Compilado 2023'!B:B,Facebook!B:B)</f>
        <v>193.28</v>
      </c>
      <c r="P322" s="70">
        <v>0</v>
      </c>
      <c r="Q322" s="70">
        <v>53.333333333333336</v>
      </c>
      <c r="R322" s="202">
        <f>IFERROR(VLOOKUP($B:$B,Tabela_Linkedin[],2,),0)</f>
        <v>0</v>
      </c>
      <c r="S322" s="70">
        <f>SUMIF(TikTok!A:A,'Compilado 2023'!B:B,TikTok!B:B)</f>
        <v>0</v>
      </c>
      <c r="T322" s="70">
        <v>0</v>
      </c>
      <c r="U322" s="70">
        <v>0</v>
      </c>
      <c r="V322" s="59"/>
      <c r="W322" s="70">
        <v>0</v>
      </c>
      <c r="X322" s="70">
        <v>0</v>
      </c>
      <c r="Y322" s="70">
        <v>0</v>
      </c>
      <c r="Z322" s="38"/>
      <c r="AA322" s="40"/>
    </row>
    <row r="323" spans="1:27" s="2" customFormat="1" x14ac:dyDescent="0.2">
      <c r="A323" s="16" t="s">
        <v>99</v>
      </c>
      <c r="B323" s="17">
        <v>44882</v>
      </c>
      <c r="C323" s="19">
        <v>57858.689999999995</v>
      </c>
      <c r="D323" s="52">
        <v>57814.49</v>
      </c>
      <c r="E323" s="52">
        <v>44.2</v>
      </c>
      <c r="F323" s="157">
        <v>167</v>
      </c>
      <c r="G323" s="157">
        <v>256</v>
      </c>
      <c r="H323" s="35">
        <v>346.45922155688618</v>
      </c>
      <c r="I323" s="19">
        <v>1097.3933333333332</v>
      </c>
      <c r="J323" s="111">
        <v>52.723748397718232</v>
      </c>
      <c r="K323" s="53">
        <v>4496</v>
      </c>
      <c r="L323" s="54">
        <v>3.7144128113879002E-2</v>
      </c>
      <c r="M323" s="59"/>
      <c r="N323" s="69">
        <v>689.83</v>
      </c>
      <c r="O323" s="70">
        <f>SUMIF(Facebook!A:A,'Compilado 2023'!B:B,Facebook!B:B)</f>
        <v>209.84</v>
      </c>
      <c r="P323" s="70">
        <v>0</v>
      </c>
      <c r="Q323" s="70">
        <v>53.333333333333336</v>
      </c>
      <c r="R323" s="202">
        <f>IFERROR(VLOOKUP($B:$B,Tabela_Linkedin[],2,),0)</f>
        <v>0</v>
      </c>
      <c r="S323" s="70">
        <f>SUMIF(TikTok!A:A,'Compilado 2023'!B:B,TikTok!B:B)</f>
        <v>0</v>
      </c>
      <c r="T323" s="70">
        <v>0</v>
      </c>
      <c r="U323" s="70">
        <v>0</v>
      </c>
      <c r="V323" s="59"/>
      <c r="W323" s="70">
        <v>0</v>
      </c>
      <c r="X323" s="70">
        <v>0</v>
      </c>
      <c r="Y323" s="70">
        <v>0</v>
      </c>
      <c r="Z323" s="38"/>
      <c r="AA323" s="40"/>
    </row>
    <row r="324" spans="1:27" s="2" customFormat="1" x14ac:dyDescent="0.2">
      <c r="A324" s="16" t="s">
        <v>100</v>
      </c>
      <c r="B324" s="17">
        <v>44883</v>
      </c>
      <c r="C324" s="19">
        <v>60713.560000000005</v>
      </c>
      <c r="D324" s="52">
        <v>60691.73</v>
      </c>
      <c r="E324" s="52">
        <v>21.83</v>
      </c>
      <c r="F324" s="157">
        <v>175</v>
      </c>
      <c r="G324" s="157">
        <v>255</v>
      </c>
      <c r="H324" s="35">
        <v>346.93462857142862</v>
      </c>
      <c r="I324" s="19">
        <v>1283.5233333333333</v>
      </c>
      <c r="J324" s="111">
        <v>47.302264340084719</v>
      </c>
      <c r="K324" s="53">
        <v>4411</v>
      </c>
      <c r="L324" s="54">
        <v>3.9673543414191791E-2</v>
      </c>
      <c r="M324" s="59"/>
      <c r="N324" s="69">
        <v>677.37</v>
      </c>
      <c r="O324" s="70">
        <f>SUMIF(Facebook!A:A,'Compilado 2023'!B:B,Facebook!B:B)</f>
        <v>320.29000000000002</v>
      </c>
      <c r="P324" s="70">
        <v>0</v>
      </c>
      <c r="Q324" s="70">
        <v>53.333333333333336</v>
      </c>
      <c r="R324" s="202">
        <f>IFERROR(VLOOKUP($B:$B,Tabela_Linkedin[],2,),0)</f>
        <v>0</v>
      </c>
      <c r="S324" s="70">
        <f>SUMIF(TikTok!A:A,'Compilado 2023'!B:B,TikTok!B:B)</f>
        <v>0</v>
      </c>
      <c r="T324" s="70">
        <v>0</v>
      </c>
      <c r="U324" s="70">
        <v>0</v>
      </c>
      <c r="V324" s="59"/>
      <c r="W324" s="70">
        <v>0</v>
      </c>
      <c r="X324" s="70">
        <v>0</v>
      </c>
      <c r="Y324" s="70">
        <v>0</v>
      </c>
      <c r="Z324" s="38"/>
      <c r="AA324" s="40"/>
    </row>
    <row r="325" spans="1:27" s="2" customFormat="1" x14ac:dyDescent="0.2">
      <c r="A325" s="16" t="s">
        <v>94</v>
      </c>
      <c r="B325" s="17">
        <v>44884</v>
      </c>
      <c r="C325" s="19">
        <v>34580.47</v>
      </c>
      <c r="D325" s="52">
        <v>34580.47</v>
      </c>
      <c r="E325" s="52">
        <v>0</v>
      </c>
      <c r="F325" s="157">
        <v>107</v>
      </c>
      <c r="G325" s="157">
        <v>137</v>
      </c>
      <c r="H325" s="35">
        <v>323.18196261682243</v>
      </c>
      <c r="I325" s="19">
        <v>1391.1533333333334</v>
      </c>
      <c r="J325" s="111">
        <v>24.857410877305639</v>
      </c>
      <c r="K325" s="53">
        <v>3399</v>
      </c>
      <c r="L325" s="54">
        <v>3.1479847013827597E-2</v>
      </c>
      <c r="M325" s="59"/>
      <c r="N325" s="69">
        <v>515.91</v>
      </c>
      <c r="O325" s="70">
        <f>SUMIF(Facebook!A:A,'Compilado 2023'!B:B,Facebook!B:B)</f>
        <v>432.67</v>
      </c>
      <c r="P325" s="70">
        <v>0</v>
      </c>
      <c r="Q325" s="70">
        <v>53.333333333333336</v>
      </c>
      <c r="R325" s="202">
        <f>IFERROR(VLOOKUP($B:$B,Tabela_Linkedin[],2,),0)</f>
        <v>0</v>
      </c>
      <c r="S325" s="70">
        <f>SUMIF(TikTok!A:A,'Compilado 2023'!B:B,TikTok!B:B)</f>
        <v>0</v>
      </c>
      <c r="T325" s="70">
        <v>0</v>
      </c>
      <c r="U325" s="70">
        <v>0</v>
      </c>
      <c r="V325" s="59"/>
      <c r="W325" s="70">
        <v>0</v>
      </c>
      <c r="X325" s="70">
        <v>0</v>
      </c>
      <c r="Y325" s="70">
        <v>0</v>
      </c>
      <c r="Z325" s="38"/>
      <c r="AA325" s="40"/>
    </row>
    <row r="326" spans="1:27" s="2" customFormat="1" x14ac:dyDescent="0.2">
      <c r="A326" s="16" t="s">
        <v>95</v>
      </c>
      <c r="B326" s="17">
        <v>44885</v>
      </c>
      <c r="C326" s="19">
        <v>24648.560000000001</v>
      </c>
      <c r="D326" s="52">
        <v>24648.560000000001</v>
      </c>
      <c r="E326" s="52">
        <v>0</v>
      </c>
      <c r="F326" s="157">
        <v>71</v>
      </c>
      <c r="G326" s="157">
        <v>87</v>
      </c>
      <c r="H326" s="35">
        <v>347.16281690140846</v>
      </c>
      <c r="I326" s="19">
        <v>1425.2833333333333</v>
      </c>
      <c r="J326" s="111">
        <v>17.293796555070923</v>
      </c>
      <c r="K326" s="53">
        <v>2928</v>
      </c>
      <c r="L326" s="54">
        <v>2.424863387978142E-2</v>
      </c>
      <c r="M326" s="59"/>
      <c r="N326" s="69">
        <v>519.04999999999995</v>
      </c>
      <c r="O326" s="70">
        <f>SUMIF(Facebook!A:A,'Compilado 2023'!B:B,Facebook!B:B)</f>
        <v>446.49</v>
      </c>
      <c r="P326" s="70">
        <v>0</v>
      </c>
      <c r="Q326" s="70">
        <v>53.333333333333336</v>
      </c>
      <c r="R326" s="202">
        <f>IFERROR(VLOOKUP($B:$B,Tabela_Linkedin[],2,),0)</f>
        <v>0</v>
      </c>
      <c r="S326" s="70">
        <f>SUMIF(TikTok!A:A,'Compilado 2023'!B:B,TikTok!B:B)</f>
        <v>0</v>
      </c>
      <c r="T326" s="70">
        <v>0</v>
      </c>
      <c r="U326" s="70">
        <v>0</v>
      </c>
      <c r="V326" s="59"/>
      <c r="W326" s="70">
        <v>0</v>
      </c>
      <c r="X326" s="70">
        <v>0</v>
      </c>
      <c r="Y326" s="70">
        <v>0</v>
      </c>
      <c r="Z326" s="38"/>
      <c r="AA326" s="40"/>
    </row>
    <row r="327" spans="1:27" s="2" customFormat="1" x14ac:dyDescent="0.2">
      <c r="A327" s="16" t="s">
        <v>96</v>
      </c>
      <c r="B327" s="17">
        <v>44886</v>
      </c>
      <c r="C327" s="19">
        <v>77449.23</v>
      </c>
      <c r="D327" s="52">
        <v>77449.23</v>
      </c>
      <c r="E327" s="52">
        <v>0</v>
      </c>
      <c r="F327" s="157">
        <v>268</v>
      </c>
      <c r="G327" s="157">
        <v>359</v>
      </c>
      <c r="H327" s="35">
        <v>288.98966417910447</v>
      </c>
      <c r="I327" s="19">
        <v>1755.4733333333331</v>
      </c>
      <c r="J327" s="111">
        <v>44.118716319625101</v>
      </c>
      <c r="K327" s="53">
        <v>7401</v>
      </c>
      <c r="L327" s="54">
        <v>3.6211322794216995E-2</v>
      </c>
      <c r="M327" s="59"/>
      <c r="N327" s="69">
        <v>1061.5899999999999</v>
      </c>
      <c r="O327" s="70">
        <f>SUMIF(Facebook!A:A,'Compilado 2023'!B:B,Facebook!B:B)</f>
        <v>372.3</v>
      </c>
      <c r="P327" s="70">
        <v>0</v>
      </c>
      <c r="Q327" s="70">
        <v>53.333333333333336</v>
      </c>
      <c r="R327" s="202">
        <f>IFERROR(VLOOKUP($B:$B,Tabela_Linkedin[],2,),0)</f>
        <v>0</v>
      </c>
      <c r="S327" s="70">
        <f>SUMIF(TikTok!A:A,'Compilado 2023'!B:B,TikTok!B:B)</f>
        <v>0</v>
      </c>
      <c r="T327" s="70">
        <v>0</v>
      </c>
      <c r="U327" s="70">
        <v>0</v>
      </c>
      <c r="V327" s="59"/>
      <c r="W327" s="70">
        <v>0</v>
      </c>
      <c r="X327" s="70">
        <v>0</v>
      </c>
      <c r="Y327" s="70">
        <v>0</v>
      </c>
      <c r="Z327" s="38"/>
      <c r="AA327" s="40"/>
    </row>
    <row r="328" spans="1:27" s="2" customFormat="1" x14ac:dyDescent="0.2">
      <c r="A328" s="16" t="s">
        <v>97</v>
      </c>
      <c r="B328" s="17">
        <v>44887</v>
      </c>
      <c r="C328" s="19">
        <v>72089.929999999993</v>
      </c>
      <c r="D328" s="52">
        <v>72089.929999999993</v>
      </c>
      <c r="E328" s="52">
        <v>0</v>
      </c>
      <c r="F328" s="157">
        <v>240</v>
      </c>
      <c r="G328" s="157">
        <v>317</v>
      </c>
      <c r="H328" s="35">
        <v>300.37470833333333</v>
      </c>
      <c r="I328" s="19">
        <v>2213.7533333333336</v>
      </c>
      <c r="J328" s="111">
        <v>32.564572084212926</v>
      </c>
      <c r="K328" s="53">
        <v>5705</v>
      </c>
      <c r="L328" s="54">
        <v>4.2068361086765996E-2</v>
      </c>
      <c r="M328" s="59"/>
      <c r="N328" s="69">
        <v>1421.9</v>
      </c>
      <c r="O328" s="70">
        <f>SUMIF(Facebook!A:A,'Compilado 2023'!B:B,Facebook!B:B)</f>
        <v>395.14</v>
      </c>
      <c r="P328" s="70">
        <v>0</v>
      </c>
      <c r="Q328" s="70">
        <v>53.333333333333336</v>
      </c>
      <c r="R328" s="202">
        <f>IFERROR(VLOOKUP($B:$B,Tabela_Linkedin[],2,),0)</f>
        <v>0</v>
      </c>
      <c r="S328" s="70">
        <f>SUMIF(TikTok!A:A,'Compilado 2023'!B:B,TikTok!B:B)</f>
        <v>0</v>
      </c>
      <c r="T328" s="70">
        <v>0</v>
      </c>
      <c r="U328" s="70">
        <v>0</v>
      </c>
      <c r="V328" s="59"/>
      <c r="W328" s="70">
        <v>0</v>
      </c>
      <c r="X328" s="70">
        <v>0</v>
      </c>
      <c r="Y328" s="70">
        <v>0</v>
      </c>
      <c r="Z328" s="38"/>
      <c r="AA328" s="40"/>
    </row>
    <row r="329" spans="1:27" s="2" customFormat="1" x14ac:dyDescent="0.2">
      <c r="A329" s="16" t="s">
        <v>98</v>
      </c>
      <c r="B329" s="17">
        <v>44888</v>
      </c>
      <c r="C329" s="19">
        <v>72712.94</v>
      </c>
      <c r="D329" s="52">
        <v>72680.87</v>
      </c>
      <c r="E329" s="52">
        <v>32.07</v>
      </c>
      <c r="F329" s="157">
        <v>235</v>
      </c>
      <c r="G329" s="157">
        <v>312</v>
      </c>
      <c r="H329" s="35">
        <v>309.41676595744684</v>
      </c>
      <c r="I329" s="19">
        <v>2228.4033333333336</v>
      </c>
      <c r="J329" s="111">
        <v>32.630062481208512</v>
      </c>
      <c r="K329" s="53">
        <v>6435</v>
      </c>
      <c r="L329" s="54">
        <v>3.651903651903652E-2</v>
      </c>
      <c r="M329" s="59"/>
      <c r="N329" s="69">
        <v>1681.47</v>
      </c>
      <c r="O329" s="70">
        <f>SUMIF(Facebook!A:A,'Compilado 2023'!B:B,Facebook!B:B)</f>
        <v>384.7</v>
      </c>
      <c r="P329" s="70">
        <v>0</v>
      </c>
      <c r="Q329" s="70">
        <v>53.333333333333336</v>
      </c>
      <c r="R329" s="202">
        <f>IFERROR(VLOOKUP($B:$B,Tabela_Linkedin[],2,),0)</f>
        <v>0</v>
      </c>
      <c r="S329" s="70">
        <f>SUMIF(TikTok!A:A,'Compilado 2023'!B:B,TikTok!B:B)</f>
        <v>0</v>
      </c>
      <c r="T329" s="70">
        <v>0</v>
      </c>
      <c r="U329" s="70">
        <v>0</v>
      </c>
      <c r="V329" s="59"/>
      <c r="W329" s="70">
        <v>0</v>
      </c>
      <c r="X329" s="70">
        <v>0</v>
      </c>
      <c r="Y329" s="70">
        <v>0</v>
      </c>
      <c r="Z329" s="38"/>
      <c r="AA329" s="40"/>
    </row>
    <row r="330" spans="1:27" s="2" customFormat="1" x14ac:dyDescent="0.2">
      <c r="A330" s="16" t="s">
        <v>99</v>
      </c>
      <c r="B330" s="17">
        <v>44889</v>
      </c>
      <c r="C330" s="19">
        <v>72854.37</v>
      </c>
      <c r="D330" s="52">
        <v>72854.37</v>
      </c>
      <c r="E330" s="52">
        <v>0</v>
      </c>
      <c r="F330" s="157">
        <v>230</v>
      </c>
      <c r="G330" s="157">
        <v>302</v>
      </c>
      <c r="H330" s="35">
        <v>316.75813043478257</v>
      </c>
      <c r="I330" s="19">
        <v>1706.9733333333331</v>
      </c>
      <c r="J330" s="111">
        <v>42.680438280621452</v>
      </c>
      <c r="K330" s="53">
        <v>5552</v>
      </c>
      <c r="L330" s="54">
        <v>4.142651296829971E-2</v>
      </c>
      <c r="M330" s="59"/>
      <c r="N330" s="69">
        <v>1188.8</v>
      </c>
      <c r="O330" s="70">
        <f>SUMIF(Facebook!A:A,'Compilado 2023'!B:B,Facebook!B:B)</f>
        <v>382.23</v>
      </c>
      <c r="P330" s="70">
        <v>0</v>
      </c>
      <c r="Q330" s="70">
        <v>53.333333333333336</v>
      </c>
      <c r="R330" s="202">
        <f>IFERROR(VLOOKUP($B:$B,Tabela_Linkedin[],2,),0)</f>
        <v>0</v>
      </c>
      <c r="S330" s="70">
        <f>SUMIF(TikTok!A:A,'Compilado 2023'!B:B,TikTok!B:B)</f>
        <v>0</v>
      </c>
      <c r="T330" s="70">
        <v>0</v>
      </c>
      <c r="U330" s="70">
        <v>0</v>
      </c>
      <c r="V330" s="59"/>
      <c r="W330" s="70">
        <v>0</v>
      </c>
      <c r="X330" s="70">
        <v>0</v>
      </c>
      <c r="Y330" s="70">
        <v>0</v>
      </c>
      <c r="Z330" s="38"/>
      <c r="AA330" s="40"/>
    </row>
    <row r="331" spans="1:27" s="2" customFormat="1" x14ac:dyDescent="0.2">
      <c r="A331" s="16" t="s">
        <v>100</v>
      </c>
      <c r="B331" s="17">
        <v>44890</v>
      </c>
      <c r="C331" s="19">
        <v>202447.33</v>
      </c>
      <c r="D331" s="52">
        <v>202411.28</v>
      </c>
      <c r="E331" s="52">
        <v>36.049999999999997</v>
      </c>
      <c r="F331" s="157">
        <v>631</v>
      </c>
      <c r="G331" s="157">
        <v>958</v>
      </c>
      <c r="H331" s="35">
        <v>320.83570522979397</v>
      </c>
      <c r="I331" s="19">
        <v>2849.3333333333335</v>
      </c>
      <c r="J331" s="111">
        <v>71.050770940570885</v>
      </c>
      <c r="K331" s="53">
        <v>8661</v>
      </c>
      <c r="L331" s="54">
        <v>7.2855328484008774E-2</v>
      </c>
      <c r="M331" s="59"/>
      <c r="N331" s="69">
        <v>2253.3000000000002</v>
      </c>
      <c r="O331" s="70">
        <f>SUMIF(Facebook!A:A,'Compilado 2023'!B:B,Facebook!B:B)</f>
        <v>538.67999999999995</v>
      </c>
      <c r="P331" s="70">
        <v>0</v>
      </c>
      <c r="Q331" s="70">
        <v>53.333333333333336</v>
      </c>
      <c r="R331" s="202">
        <f>IFERROR(VLOOKUP($B:$B,Tabela_Linkedin[],2,),0)</f>
        <v>0</v>
      </c>
      <c r="S331" s="70">
        <f>SUMIF(TikTok!A:A,'Compilado 2023'!B:B,TikTok!B:B)</f>
        <v>0</v>
      </c>
      <c r="T331" s="70">
        <v>0</v>
      </c>
      <c r="U331" s="70">
        <v>0</v>
      </c>
      <c r="V331" s="59"/>
      <c r="W331" s="70">
        <v>0</v>
      </c>
      <c r="X331" s="70">
        <v>0</v>
      </c>
      <c r="Y331" s="70">
        <v>0</v>
      </c>
      <c r="Z331" s="38"/>
      <c r="AA331" s="40"/>
    </row>
    <row r="332" spans="1:27" s="2" customFormat="1" x14ac:dyDescent="0.2">
      <c r="A332" s="16" t="s">
        <v>94</v>
      </c>
      <c r="B332" s="17">
        <v>44891</v>
      </c>
      <c r="C332" s="19">
        <v>72318.87</v>
      </c>
      <c r="D332" s="52">
        <v>72318.87</v>
      </c>
      <c r="E332" s="52">
        <v>0</v>
      </c>
      <c r="F332" s="157">
        <v>256</v>
      </c>
      <c r="G332" s="157">
        <v>331</v>
      </c>
      <c r="H332" s="35">
        <v>282.49558593749998</v>
      </c>
      <c r="I332" s="19">
        <v>1715.0233333333333</v>
      </c>
      <c r="J332" s="111">
        <v>42.167863605354249</v>
      </c>
      <c r="K332" s="53">
        <v>4639</v>
      </c>
      <c r="L332" s="54">
        <v>5.5184306962707479E-2</v>
      </c>
      <c r="M332" s="59"/>
      <c r="N332" s="69">
        <v>465.81</v>
      </c>
      <c r="O332" s="70">
        <f>SUMIF(Facebook!A:A,'Compilado 2023'!B:B,Facebook!B:B)</f>
        <v>623.27</v>
      </c>
      <c r="P332" s="70">
        <v>0</v>
      </c>
      <c r="Q332" s="70">
        <v>53.333333333333336</v>
      </c>
      <c r="R332" s="202">
        <f>IFERROR(VLOOKUP($B:$B,Tabela_Linkedin[],2,),0)</f>
        <v>0</v>
      </c>
      <c r="S332" s="70">
        <f>SUMIF(TikTok!A:A,'Compilado 2023'!B:B,TikTok!B:B)</f>
        <v>0</v>
      </c>
      <c r="T332" s="70">
        <v>0</v>
      </c>
      <c r="U332" s="70">
        <v>0</v>
      </c>
      <c r="V332" s="59"/>
      <c r="W332" s="70">
        <v>0</v>
      </c>
      <c r="X332" s="70">
        <v>0</v>
      </c>
      <c r="Y332" s="70">
        <v>0</v>
      </c>
      <c r="Z332" s="38"/>
      <c r="AA332" s="40"/>
    </row>
    <row r="333" spans="1:27" s="2" customFormat="1" x14ac:dyDescent="0.2">
      <c r="A333" s="16" t="s">
        <v>95</v>
      </c>
      <c r="B333" s="17">
        <v>44892</v>
      </c>
      <c r="C333" s="19">
        <v>105709.64</v>
      </c>
      <c r="D333" s="52">
        <v>105709.64</v>
      </c>
      <c r="E333" s="52">
        <v>0</v>
      </c>
      <c r="F333" s="157">
        <v>330</v>
      </c>
      <c r="G333" s="157">
        <v>510</v>
      </c>
      <c r="H333" s="35">
        <v>320.33224242424239</v>
      </c>
      <c r="I333" s="19">
        <v>1788.5433333333333</v>
      </c>
      <c r="J333" s="111">
        <v>59.103762279545926</v>
      </c>
      <c r="K333" s="53">
        <v>4100</v>
      </c>
      <c r="L333" s="54">
        <v>8.0487804878048783E-2</v>
      </c>
      <c r="M333" s="59"/>
      <c r="N333" s="69">
        <v>574.32000000000005</v>
      </c>
      <c r="O333" s="70">
        <f>SUMIF(Facebook!A:A,'Compilado 2023'!B:B,Facebook!B:B)</f>
        <v>596.04999999999995</v>
      </c>
      <c r="P333" s="70">
        <v>0</v>
      </c>
      <c r="Q333" s="70">
        <v>53.333333333333336</v>
      </c>
      <c r="R333" s="202">
        <f>IFERROR(VLOOKUP($B:$B,Tabela_Linkedin[],2,),0)</f>
        <v>0</v>
      </c>
      <c r="S333" s="70">
        <f>SUMIF(TikTok!A:A,'Compilado 2023'!B:B,TikTok!B:B)</f>
        <v>0</v>
      </c>
      <c r="T333" s="70">
        <v>0</v>
      </c>
      <c r="U333" s="70">
        <v>0</v>
      </c>
      <c r="V333" s="59"/>
      <c r="W333" s="70">
        <v>0</v>
      </c>
      <c r="X333" s="70">
        <v>0</v>
      </c>
      <c r="Y333" s="70">
        <v>0</v>
      </c>
      <c r="Z333" s="38"/>
      <c r="AA333" s="40"/>
    </row>
    <row r="334" spans="1:27" s="2" customFormat="1" x14ac:dyDescent="0.2">
      <c r="A334" s="16" t="s">
        <v>96</v>
      </c>
      <c r="B334" s="17">
        <v>44893</v>
      </c>
      <c r="C334" s="19">
        <v>128206.03</v>
      </c>
      <c r="D334" s="52">
        <v>128126.18</v>
      </c>
      <c r="E334" s="52">
        <v>79.849999999999994</v>
      </c>
      <c r="F334" s="157">
        <v>607</v>
      </c>
      <c r="G334" s="157">
        <v>1457</v>
      </c>
      <c r="H334" s="35">
        <v>211.21257001647447</v>
      </c>
      <c r="I334" s="19">
        <v>1017.5433333333333</v>
      </c>
      <c r="J334" s="111">
        <v>125.99564637705848</v>
      </c>
      <c r="K334" s="53">
        <v>7616</v>
      </c>
      <c r="L334" s="54">
        <v>7.9700630252100835E-2</v>
      </c>
      <c r="M334" s="59"/>
      <c r="N334" s="69">
        <v>237.04</v>
      </c>
      <c r="O334" s="70">
        <f>SUMIF(Facebook!A:A,'Compilado 2023'!B:B,Facebook!B:B)</f>
        <v>363.59</v>
      </c>
      <c r="P334" s="70">
        <v>0</v>
      </c>
      <c r="Q334" s="70">
        <v>53.333333333333336</v>
      </c>
      <c r="R334" s="202">
        <f>IFERROR(VLOOKUP($B:$B,Tabela_Linkedin[],2,),0)</f>
        <v>0</v>
      </c>
      <c r="S334" s="70">
        <f>SUMIF(TikTok!A:A,'Compilado 2023'!B:B,TikTok!B:B)</f>
        <v>0</v>
      </c>
      <c r="T334" s="70">
        <v>0</v>
      </c>
      <c r="U334" s="70">
        <v>0</v>
      </c>
      <c r="V334" s="59"/>
      <c r="W334" s="70">
        <v>0</v>
      </c>
      <c r="X334" s="70">
        <v>0</v>
      </c>
      <c r="Y334" s="70">
        <v>0</v>
      </c>
      <c r="Z334" s="38"/>
      <c r="AA334" s="40"/>
    </row>
    <row r="335" spans="1:27" s="2" customFormat="1" x14ac:dyDescent="0.2">
      <c r="A335" s="16" t="s">
        <v>97</v>
      </c>
      <c r="B335" s="17">
        <v>44894</v>
      </c>
      <c r="C335" s="19">
        <v>79620.41</v>
      </c>
      <c r="D335" s="52">
        <v>79598.100000000006</v>
      </c>
      <c r="E335" s="52">
        <v>22.31</v>
      </c>
      <c r="F335" s="157">
        <v>325</v>
      </c>
      <c r="G335" s="157">
        <v>501</v>
      </c>
      <c r="H335" s="35">
        <v>244.98587692307694</v>
      </c>
      <c r="I335" s="19">
        <v>896.08333333333337</v>
      </c>
      <c r="J335" s="111">
        <v>88.853800799776806</v>
      </c>
      <c r="K335" s="53">
        <v>6120</v>
      </c>
      <c r="L335" s="54">
        <v>5.3104575163398691E-2</v>
      </c>
      <c r="M335" s="59"/>
      <c r="N335" s="69">
        <v>251.5</v>
      </c>
      <c r="O335" s="70">
        <f>SUMIF(Facebook!A:A,'Compilado 2023'!B:B,Facebook!B:B)</f>
        <v>295.63</v>
      </c>
      <c r="P335" s="70">
        <v>0</v>
      </c>
      <c r="Q335" s="70">
        <v>53.333333333333336</v>
      </c>
      <c r="R335" s="202">
        <f>IFERROR(VLOOKUP($B:$B,Tabela_Linkedin[],2,),0)</f>
        <v>0</v>
      </c>
      <c r="S335" s="70">
        <f>SUMIF(TikTok!A:A,'Compilado 2023'!B:B,TikTok!B:B)</f>
        <v>0</v>
      </c>
      <c r="T335" s="70">
        <v>0</v>
      </c>
      <c r="U335" s="70">
        <v>0</v>
      </c>
      <c r="V335" s="59"/>
      <c r="W335" s="70">
        <v>0</v>
      </c>
      <c r="X335" s="70">
        <v>0</v>
      </c>
      <c r="Y335" s="70">
        <v>0</v>
      </c>
      <c r="Z335" s="38"/>
      <c r="AA335" s="40"/>
    </row>
    <row r="336" spans="1:27" s="2" customFormat="1" x14ac:dyDescent="0.2">
      <c r="A336" s="16" t="s">
        <v>98</v>
      </c>
      <c r="B336" s="17">
        <v>44895</v>
      </c>
      <c r="C336" s="19">
        <v>72792.55</v>
      </c>
      <c r="D336" s="52">
        <v>72770.240000000005</v>
      </c>
      <c r="E336" s="52">
        <v>22.31</v>
      </c>
      <c r="F336" s="157">
        <v>257</v>
      </c>
      <c r="G336" s="157">
        <v>392</v>
      </c>
      <c r="H336" s="35">
        <v>283.23949416342413</v>
      </c>
      <c r="I336" s="19">
        <v>695.04333333333341</v>
      </c>
      <c r="J336" s="111">
        <v>104.73095202697193</v>
      </c>
      <c r="K336" s="53">
        <v>5415</v>
      </c>
      <c r="L336" s="54">
        <v>4.7460757156048014E-2</v>
      </c>
      <c r="M336" s="59"/>
      <c r="N336" s="69">
        <v>254.92</v>
      </c>
      <c r="O336" s="70">
        <f>SUMIF(Facebook!A:A,'Compilado 2023'!B:B,Facebook!B:B)</f>
        <v>193.4</v>
      </c>
      <c r="P336" s="70">
        <v>0</v>
      </c>
      <c r="Q336" s="70">
        <v>53.333333333333336</v>
      </c>
      <c r="R336" s="202">
        <f>IFERROR(VLOOKUP($B:$B,Tabela_Linkedin[],2,),0)</f>
        <v>0</v>
      </c>
      <c r="S336" s="70">
        <f>SUMIF(TikTok!A:A,'Compilado 2023'!B:B,TikTok!B:B)</f>
        <v>0</v>
      </c>
      <c r="T336" s="70">
        <v>0</v>
      </c>
      <c r="U336" s="70">
        <v>0</v>
      </c>
      <c r="V336" s="59"/>
      <c r="W336" s="70">
        <v>0</v>
      </c>
      <c r="X336" s="70">
        <v>0</v>
      </c>
      <c r="Y336" s="70">
        <v>0</v>
      </c>
      <c r="Z336" s="38"/>
      <c r="AA336" s="40"/>
    </row>
    <row r="337" spans="1:27" s="2" customFormat="1" x14ac:dyDescent="0.2">
      <c r="A337" s="16" t="s">
        <v>99</v>
      </c>
      <c r="B337" s="17">
        <v>44896</v>
      </c>
      <c r="C337" s="19">
        <v>86486.31</v>
      </c>
      <c r="D337" s="52">
        <v>86486.31</v>
      </c>
      <c r="E337" s="52">
        <v>0</v>
      </c>
      <c r="F337" s="157">
        <v>256</v>
      </c>
      <c r="G337" s="157">
        <v>350</v>
      </c>
      <c r="H337" s="35">
        <v>337.83714843749999</v>
      </c>
      <c r="I337" s="19">
        <v>777.51290322580644</v>
      </c>
      <c r="J337" s="111">
        <v>111.2345655502035</v>
      </c>
      <c r="K337" s="53">
        <v>6190</v>
      </c>
      <c r="L337" s="54">
        <v>4.1357027463651053E-2</v>
      </c>
      <c r="M337" s="59"/>
      <c r="N337" s="69">
        <v>345.85</v>
      </c>
      <c r="O337" s="70">
        <f>SUMIF(Facebook!A:A,'Compilado 2023'!B:B,Facebook!B:B)</f>
        <v>190.03</v>
      </c>
      <c r="P337" s="70">
        <v>0</v>
      </c>
      <c r="Q337" s="70">
        <v>51.612903225806448</v>
      </c>
      <c r="R337" s="202">
        <f>IFERROR(VLOOKUP($B:$B,Tabela_Linkedin[],2,),0)</f>
        <v>0</v>
      </c>
      <c r="S337" s="70">
        <f>SUMIF(TikTok!A:A,'Compilado 2023'!B:B,TikTok!B:B)</f>
        <v>0</v>
      </c>
      <c r="T337" s="70">
        <v>0</v>
      </c>
      <c r="U337" s="70">
        <v>0</v>
      </c>
      <c r="V337" s="59"/>
      <c r="W337" s="70">
        <v>0</v>
      </c>
      <c r="X337" s="70">
        <v>0</v>
      </c>
      <c r="Y337" s="70">
        <v>0</v>
      </c>
      <c r="Z337" s="38"/>
      <c r="AA337" s="40"/>
    </row>
    <row r="338" spans="1:27" s="2" customFormat="1" x14ac:dyDescent="0.2">
      <c r="A338" s="16" t="s">
        <v>100</v>
      </c>
      <c r="B338" s="17">
        <v>44897</v>
      </c>
      <c r="C338" s="19">
        <v>74098.990000000005</v>
      </c>
      <c r="D338" s="52">
        <v>74098.990000000005</v>
      </c>
      <c r="E338" s="52">
        <v>0</v>
      </c>
      <c r="F338" s="157">
        <v>217</v>
      </c>
      <c r="G338" s="157">
        <v>296</v>
      </c>
      <c r="H338" s="35">
        <v>341.47</v>
      </c>
      <c r="I338" s="19">
        <v>781.11290322580646</v>
      </c>
      <c r="J338" s="111">
        <v>94.86335418860601</v>
      </c>
      <c r="K338" s="53">
        <v>4015</v>
      </c>
      <c r="L338" s="54">
        <v>5.4047322540473224E-2</v>
      </c>
      <c r="M338" s="59"/>
      <c r="N338" s="69">
        <v>331.21</v>
      </c>
      <c r="O338" s="70">
        <f>SUMIF(Facebook!A:A,'Compilado 2023'!B:B,Facebook!B:B)</f>
        <v>199.15</v>
      </c>
      <c r="P338" s="70">
        <v>0</v>
      </c>
      <c r="Q338" s="70">
        <v>51.612903225806448</v>
      </c>
      <c r="R338" s="202">
        <f>IFERROR(VLOOKUP($B:$B,Tabela_Linkedin[],2,),0)</f>
        <v>0</v>
      </c>
      <c r="S338" s="70">
        <f>SUMIF(TikTok!A:A,'Compilado 2023'!B:B,TikTok!B:B)</f>
        <v>0</v>
      </c>
      <c r="T338" s="70">
        <v>0</v>
      </c>
      <c r="U338" s="70">
        <v>0</v>
      </c>
      <c r="V338" s="59"/>
      <c r="W338" s="70">
        <v>0</v>
      </c>
      <c r="X338" s="70">
        <v>0</v>
      </c>
      <c r="Y338" s="70">
        <v>0</v>
      </c>
      <c r="Z338" s="38"/>
      <c r="AA338" s="40"/>
    </row>
    <row r="339" spans="1:27" s="2" customFormat="1" x14ac:dyDescent="0.2">
      <c r="A339" s="16" t="s">
        <v>94</v>
      </c>
      <c r="B339" s="17">
        <v>44898</v>
      </c>
      <c r="C339" s="19">
        <v>37757.5</v>
      </c>
      <c r="D339" s="52">
        <v>37735.550000000003</v>
      </c>
      <c r="E339" s="52">
        <v>21.95</v>
      </c>
      <c r="F339" s="157">
        <v>140</v>
      </c>
      <c r="G339" s="157">
        <v>169</v>
      </c>
      <c r="H339" s="35">
        <v>269.69642857142856</v>
      </c>
      <c r="I339" s="19">
        <v>826.48290322580647</v>
      </c>
      <c r="J339" s="111">
        <v>45.684550584931017</v>
      </c>
      <c r="K339" s="53">
        <v>3860</v>
      </c>
      <c r="L339" s="54">
        <v>3.6269430051813469E-2</v>
      </c>
      <c r="M339" s="59"/>
      <c r="N339" s="69">
        <v>329.84</v>
      </c>
      <c r="O339" s="70">
        <f>SUMIF(Facebook!A:A,'Compilado 2023'!B:B,Facebook!B:B)</f>
        <v>222.52</v>
      </c>
      <c r="P339" s="70">
        <v>0</v>
      </c>
      <c r="Q339" s="70">
        <v>51.612903225806448</v>
      </c>
      <c r="R339" s="202">
        <f>IFERROR(VLOOKUP($B:$B,Tabela_Linkedin[],2,),0)</f>
        <v>0</v>
      </c>
      <c r="S339" s="70">
        <f>SUMIF(TikTok!A:A,'Compilado 2023'!B:B,TikTok!B:B)</f>
        <v>0</v>
      </c>
      <c r="T339" s="70">
        <v>0</v>
      </c>
      <c r="U339" s="70">
        <v>0</v>
      </c>
      <c r="V339" s="59"/>
      <c r="W339" s="70">
        <v>0</v>
      </c>
      <c r="X339" s="70">
        <v>0</v>
      </c>
      <c r="Y339" s="70">
        <v>0</v>
      </c>
      <c r="Z339" s="38"/>
      <c r="AA339" s="40"/>
    </row>
    <row r="340" spans="1:27" s="2" customFormat="1" x14ac:dyDescent="0.2">
      <c r="A340" s="16" t="s">
        <v>95</v>
      </c>
      <c r="B340" s="17">
        <v>44899</v>
      </c>
      <c r="C340" s="19">
        <v>39635.199999999997</v>
      </c>
      <c r="D340" s="52">
        <v>39635.199999999997</v>
      </c>
      <c r="E340" s="52">
        <v>0</v>
      </c>
      <c r="F340" s="157">
        <v>141</v>
      </c>
      <c r="G340" s="157">
        <v>159</v>
      </c>
      <c r="H340" s="35">
        <v>281.10070921985812</v>
      </c>
      <c r="I340" s="19">
        <v>865.77290322580654</v>
      </c>
      <c r="J340" s="111">
        <v>45.780134550668123</v>
      </c>
      <c r="K340" s="53">
        <v>3515</v>
      </c>
      <c r="L340" s="54">
        <v>4.0113798008534853E-2</v>
      </c>
      <c r="M340" s="59"/>
      <c r="N340" s="69">
        <v>341.13</v>
      </c>
      <c r="O340" s="70">
        <f>SUMIF(Facebook!A:A,'Compilado 2023'!B:B,Facebook!B:B)</f>
        <v>236.52</v>
      </c>
      <c r="P340" s="70">
        <v>0</v>
      </c>
      <c r="Q340" s="70">
        <v>51.612903225806448</v>
      </c>
      <c r="R340" s="202">
        <f>IFERROR(VLOOKUP($B:$B,Tabela_Linkedin[],2,),0)</f>
        <v>0</v>
      </c>
      <c r="S340" s="70">
        <f>SUMIF(TikTok!A:A,'Compilado 2023'!B:B,TikTok!B:B)</f>
        <v>0</v>
      </c>
      <c r="T340" s="70">
        <v>0</v>
      </c>
      <c r="U340" s="70">
        <v>0</v>
      </c>
      <c r="V340" s="59"/>
      <c r="W340" s="70">
        <v>0</v>
      </c>
      <c r="X340" s="70">
        <v>0</v>
      </c>
      <c r="Y340" s="70">
        <v>0</v>
      </c>
      <c r="Z340" s="38"/>
      <c r="AA340" s="40"/>
    </row>
    <row r="341" spans="1:27" s="2" customFormat="1" x14ac:dyDescent="0.2">
      <c r="A341" s="16" t="s">
        <v>96</v>
      </c>
      <c r="B341" s="17">
        <v>44900</v>
      </c>
      <c r="C341" s="19">
        <v>148777.51</v>
      </c>
      <c r="D341" s="52">
        <v>148777.51</v>
      </c>
      <c r="E341" s="52">
        <v>0</v>
      </c>
      <c r="F341" s="157">
        <v>679</v>
      </c>
      <c r="G341" s="157">
        <v>1098</v>
      </c>
      <c r="H341" s="35">
        <v>219.11268041237113</v>
      </c>
      <c r="I341" s="19">
        <v>1000.9629032258065</v>
      </c>
      <c r="J341" s="111">
        <v>148.63438946691653</v>
      </c>
      <c r="K341" s="53">
        <v>6626</v>
      </c>
      <c r="L341" s="54">
        <v>0.10247509809840025</v>
      </c>
      <c r="M341" s="59"/>
      <c r="N341" s="69">
        <v>356.86</v>
      </c>
      <c r="O341" s="70">
        <f>SUMIF(Facebook!A:A,'Compilado 2023'!B:B,Facebook!B:B)</f>
        <v>296.25</v>
      </c>
      <c r="P341" s="70">
        <v>0</v>
      </c>
      <c r="Q341" s="70">
        <v>51.612903225806448</v>
      </c>
      <c r="R341" s="202">
        <f>IFERROR(VLOOKUP($B:$B,Tabela_Linkedin[],2,),0)</f>
        <v>0</v>
      </c>
      <c r="S341" s="70">
        <f>SUMIF(TikTok!A:A,'Compilado 2023'!B:B,TikTok!B:B)</f>
        <v>0</v>
      </c>
      <c r="T341" s="70">
        <v>0</v>
      </c>
      <c r="U341" s="70">
        <v>0</v>
      </c>
      <c r="V341" s="59"/>
      <c r="W341" s="70">
        <v>0</v>
      </c>
      <c r="X341" s="70">
        <v>0</v>
      </c>
      <c r="Y341" s="70">
        <v>0</v>
      </c>
      <c r="Z341" s="38"/>
      <c r="AA341" s="40"/>
    </row>
    <row r="342" spans="1:27" s="2" customFormat="1" x14ac:dyDescent="0.2">
      <c r="A342" s="16" t="s">
        <v>97</v>
      </c>
      <c r="B342" s="17">
        <v>44901</v>
      </c>
      <c r="C342" s="19">
        <v>82021.700000000012</v>
      </c>
      <c r="D342" s="52">
        <v>81996.63</v>
      </c>
      <c r="E342" s="52">
        <v>25.07</v>
      </c>
      <c r="F342" s="157">
        <v>267</v>
      </c>
      <c r="G342" s="157">
        <v>355</v>
      </c>
      <c r="H342" s="35">
        <v>307.19737827715358</v>
      </c>
      <c r="I342" s="19">
        <v>975.71290322580637</v>
      </c>
      <c r="J342" s="111">
        <v>84.063354834017161</v>
      </c>
      <c r="K342" s="53">
        <v>6022</v>
      </c>
      <c r="L342" s="54">
        <v>4.4337429425440056E-2</v>
      </c>
      <c r="M342" s="59"/>
      <c r="N342" s="69">
        <v>497.52</v>
      </c>
      <c r="O342" s="70">
        <f>SUMIF(Facebook!A:A,'Compilado 2023'!B:B,Facebook!B:B)</f>
        <v>213.29</v>
      </c>
      <c r="P342" s="70">
        <v>0</v>
      </c>
      <c r="Q342" s="70">
        <v>51.612903225806448</v>
      </c>
      <c r="R342" s="202">
        <f>IFERROR(VLOOKUP($B:$B,Tabela_Linkedin[],2,),0)</f>
        <v>0</v>
      </c>
      <c r="S342" s="70">
        <f>SUMIF(TikTok!A:A,'Compilado 2023'!B:B,TikTok!B:B)</f>
        <v>0</v>
      </c>
      <c r="T342" s="70">
        <v>0</v>
      </c>
      <c r="U342" s="70">
        <v>0</v>
      </c>
      <c r="V342" s="59"/>
      <c r="W342" s="70">
        <v>0</v>
      </c>
      <c r="X342" s="70">
        <v>0</v>
      </c>
      <c r="Y342" s="70">
        <v>0</v>
      </c>
      <c r="Z342" s="38"/>
      <c r="AA342" s="40"/>
    </row>
    <row r="343" spans="1:27" s="2" customFormat="1" x14ac:dyDescent="0.2">
      <c r="A343" s="16" t="s">
        <v>98</v>
      </c>
      <c r="B343" s="17">
        <v>44902</v>
      </c>
      <c r="C343" s="19">
        <v>112728.83</v>
      </c>
      <c r="D343" s="52">
        <v>112706.6</v>
      </c>
      <c r="E343" s="52">
        <v>22.23</v>
      </c>
      <c r="F343" s="157">
        <v>315</v>
      </c>
      <c r="G343" s="157">
        <v>429</v>
      </c>
      <c r="H343" s="35">
        <v>357.86930158730161</v>
      </c>
      <c r="I343" s="19">
        <v>1216.0329032258064</v>
      </c>
      <c r="J343" s="111">
        <v>92.702121547008232</v>
      </c>
      <c r="K343" s="53">
        <v>6671</v>
      </c>
      <c r="L343" s="54">
        <v>4.7219307450157399E-2</v>
      </c>
      <c r="M343" s="59"/>
      <c r="N343" s="69">
        <v>716.96</v>
      </c>
      <c r="O343" s="70">
        <f>SUMIF(Facebook!A:A,'Compilado 2023'!B:B,Facebook!B:B)</f>
        <v>223.73</v>
      </c>
      <c r="P343" s="70">
        <v>0</v>
      </c>
      <c r="Q343" s="70">
        <v>51.612903225806448</v>
      </c>
      <c r="R343" s="202">
        <f>IFERROR(VLOOKUP($B:$B,Tabela_Linkedin[],2,),0)</f>
        <v>0</v>
      </c>
      <c r="S343" s="70">
        <f>SUMIF(TikTok!A:A,'Compilado 2023'!B:B,TikTok!B:B)</f>
        <v>0</v>
      </c>
      <c r="T343" s="70">
        <v>0</v>
      </c>
      <c r="U343" s="70">
        <v>0</v>
      </c>
      <c r="V343" s="59"/>
      <c r="W343" s="70">
        <v>0</v>
      </c>
      <c r="X343" s="70">
        <v>0</v>
      </c>
      <c r="Y343" s="70">
        <v>0</v>
      </c>
      <c r="Z343" s="38"/>
      <c r="AA343" s="40"/>
    </row>
    <row r="344" spans="1:27" s="2" customFormat="1" x14ac:dyDescent="0.2">
      <c r="A344" s="16" t="s">
        <v>99</v>
      </c>
      <c r="B344" s="17">
        <v>44903</v>
      </c>
      <c r="C344" s="19">
        <v>97402.85</v>
      </c>
      <c r="D344" s="52">
        <v>97402.85</v>
      </c>
      <c r="E344" s="52">
        <v>0</v>
      </c>
      <c r="F344" s="157">
        <v>293</v>
      </c>
      <c r="G344" s="157">
        <v>387</v>
      </c>
      <c r="H344" s="35">
        <v>332.43293515358363</v>
      </c>
      <c r="I344" s="19">
        <v>1468.6029032258064</v>
      </c>
      <c r="J344" s="111">
        <v>66.323476404719969</v>
      </c>
      <c r="K344" s="53">
        <v>6224</v>
      </c>
      <c r="L344" s="54">
        <v>4.7075835475578406E-2</v>
      </c>
      <c r="M344" s="59"/>
      <c r="N344" s="69">
        <v>921.41</v>
      </c>
      <c r="O344" s="70">
        <f>SUMIF(Facebook!A:A,'Compilado 2023'!B:B,Facebook!B:B)</f>
        <v>247.79</v>
      </c>
      <c r="P344" s="70">
        <v>0</v>
      </c>
      <c r="Q344" s="70">
        <v>51.612903225806448</v>
      </c>
      <c r="R344" s="202">
        <f>IFERROR(VLOOKUP($B:$B,Tabela_Linkedin[],2,),0)</f>
        <v>0</v>
      </c>
      <c r="S344" s="70">
        <f>SUMIF(TikTok!A:A,'Compilado 2023'!B:B,TikTok!B:B)</f>
        <v>0</v>
      </c>
      <c r="T344" s="70">
        <v>0</v>
      </c>
      <c r="U344" s="70">
        <v>0</v>
      </c>
      <c r="V344" s="59"/>
      <c r="W344" s="70">
        <v>0</v>
      </c>
      <c r="X344" s="70">
        <v>0</v>
      </c>
      <c r="Y344" s="70">
        <v>0</v>
      </c>
      <c r="Z344" s="38"/>
      <c r="AA344" s="40"/>
    </row>
    <row r="345" spans="1:27" s="2" customFormat="1" x14ac:dyDescent="0.2">
      <c r="A345" s="16" t="s">
        <v>100</v>
      </c>
      <c r="B345" s="17">
        <v>44904</v>
      </c>
      <c r="C345" s="19">
        <v>72230.45</v>
      </c>
      <c r="D345" s="52">
        <v>72230.45</v>
      </c>
      <c r="E345" s="52">
        <v>0</v>
      </c>
      <c r="F345" s="157">
        <v>222</v>
      </c>
      <c r="G345" s="157">
        <v>278</v>
      </c>
      <c r="H345" s="35">
        <v>325.3623873873874</v>
      </c>
      <c r="I345" s="19">
        <v>1137.2229032258065</v>
      </c>
      <c r="J345" s="111">
        <v>63.51476900009105</v>
      </c>
      <c r="K345" s="53">
        <v>4217</v>
      </c>
      <c r="L345" s="54">
        <v>5.2644059758121885E-2</v>
      </c>
      <c r="M345" s="59"/>
      <c r="N345" s="69">
        <v>557.97</v>
      </c>
      <c r="O345" s="70">
        <f>SUMIF(Facebook!A:A,'Compilado 2023'!B:B,Facebook!B:B)</f>
        <v>263.82</v>
      </c>
      <c r="P345" s="70">
        <v>0</v>
      </c>
      <c r="Q345" s="70">
        <v>51.612903225806448</v>
      </c>
      <c r="R345" s="202">
        <f>IFERROR(VLOOKUP($B:$B,Tabela_Linkedin[],2,),0)</f>
        <v>0</v>
      </c>
      <c r="S345" s="70">
        <f>SUMIF(TikTok!A:A,'Compilado 2023'!B:B,TikTok!B:B)</f>
        <v>0</v>
      </c>
      <c r="T345" s="70">
        <v>0</v>
      </c>
      <c r="U345" s="70">
        <v>0</v>
      </c>
      <c r="V345" s="59"/>
      <c r="W345" s="70">
        <v>0</v>
      </c>
      <c r="X345" s="70">
        <v>0</v>
      </c>
      <c r="Y345" s="70">
        <v>0</v>
      </c>
      <c r="Z345" s="38"/>
      <c r="AA345" s="40"/>
    </row>
    <row r="346" spans="1:27" s="2" customFormat="1" x14ac:dyDescent="0.2">
      <c r="A346" s="16" t="s">
        <v>94</v>
      </c>
      <c r="B346" s="17">
        <v>44905</v>
      </c>
      <c r="C346" s="19">
        <v>55323.9</v>
      </c>
      <c r="D346" s="52">
        <v>55323.9</v>
      </c>
      <c r="E346" s="52">
        <v>0</v>
      </c>
      <c r="F346" s="157">
        <v>179</v>
      </c>
      <c r="G346" s="157">
        <v>209</v>
      </c>
      <c r="H346" s="35">
        <v>309.07206703910617</v>
      </c>
      <c r="I346" s="19">
        <v>1207.6129032258063</v>
      </c>
      <c r="J346" s="111">
        <v>45.812610855860676</v>
      </c>
      <c r="K346" s="53">
        <v>4623</v>
      </c>
      <c r="L346" s="54">
        <v>3.8719446247025738E-2</v>
      </c>
      <c r="M346" s="59"/>
      <c r="N346" s="69">
        <v>568.98</v>
      </c>
      <c r="O346" s="70">
        <f>SUMIF(Facebook!A:A,'Compilado 2023'!B:B,Facebook!B:B)</f>
        <v>293.51</v>
      </c>
      <c r="P346" s="70">
        <v>0</v>
      </c>
      <c r="Q346" s="70">
        <v>51.612903225806448</v>
      </c>
      <c r="R346" s="202">
        <f>IFERROR(VLOOKUP($B:$B,Tabela_Linkedin[],2,),0)</f>
        <v>0</v>
      </c>
      <c r="S346" s="70">
        <f>SUMIF(TikTok!A:A,'Compilado 2023'!B:B,TikTok!B:B)</f>
        <v>0</v>
      </c>
      <c r="T346" s="70">
        <v>0</v>
      </c>
      <c r="U346" s="70">
        <v>0</v>
      </c>
      <c r="V346" s="59"/>
      <c r="W346" s="70">
        <v>0</v>
      </c>
      <c r="X346" s="70">
        <v>0</v>
      </c>
      <c r="Y346" s="70">
        <v>0</v>
      </c>
      <c r="Z346" s="38"/>
      <c r="AA346" s="40"/>
    </row>
    <row r="347" spans="1:27" s="2" customFormat="1" x14ac:dyDescent="0.2">
      <c r="A347" s="16" t="s">
        <v>95</v>
      </c>
      <c r="B347" s="17">
        <v>44906</v>
      </c>
      <c r="C347" s="19">
        <v>38946.699999999997</v>
      </c>
      <c r="D347" s="52">
        <v>38946.699999999997</v>
      </c>
      <c r="E347" s="52">
        <v>0</v>
      </c>
      <c r="F347" s="157">
        <v>127</v>
      </c>
      <c r="G347" s="157">
        <v>161</v>
      </c>
      <c r="H347" s="35">
        <v>306.66692913385822</v>
      </c>
      <c r="I347" s="19">
        <v>1257.0829032258064</v>
      </c>
      <c r="J347" s="111">
        <v>30.981807086914227</v>
      </c>
      <c r="K347" s="53">
        <v>3929</v>
      </c>
      <c r="L347" s="54">
        <v>3.2323746500381778E-2</v>
      </c>
      <c r="M347" s="59"/>
      <c r="N347" s="69">
        <v>565.07000000000005</v>
      </c>
      <c r="O347" s="70">
        <f>SUMIF(Facebook!A:A,'Compilado 2023'!B:B,Facebook!B:B)</f>
        <v>320.2</v>
      </c>
      <c r="P347" s="70">
        <v>0</v>
      </c>
      <c r="Q347" s="70">
        <v>51.612903225806448</v>
      </c>
      <c r="R347" s="202">
        <f>IFERROR(VLOOKUP($B:$B,Tabela_Linkedin[],2,),0)</f>
        <v>0</v>
      </c>
      <c r="S347" s="70">
        <f>SUMIF(TikTok!A:A,'Compilado 2023'!B:B,TikTok!B:B)</f>
        <v>0</v>
      </c>
      <c r="T347" s="70">
        <v>0</v>
      </c>
      <c r="U347" s="70">
        <v>0</v>
      </c>
      <c r="V347" s="59"/>
      <c r="W347" s="70">
        <v>0</v>
      </c>
      <c r="X347" s="70">
        <v>0</v>
      </c>
      <c r="Y347" s="70">
        <v>0</v>
      </c>
      <c r="Z347" s="38"/>
      <c r="AA347" s="40"/>
    </row>
    <row r="348" spans="1:27" s="2" customFormat="1" x14ac:dyDescent="0.2">
      <c r="A348" s="16" t="s">
        <v>96</v>
      </c>
      <c r="B348" s="17">
        <v>44907</v>
      </c>
      <c r="C348" s="19">
        <v>122650.9</v>
      </c>
      <c r="D348" s="52">
        <v>122650.9</v>
      </c>
      <c r="E348" s="52">
        <v>0</v>
      </c>
      <c r="F348" s="157">
        <v>374</v>
      </c>
      <c r="G348" s="157">
        <v>599</v>
      </c>
      <c r="H348" s="35">
        <v>327.94358288770053</v>
      </c>
      <c r="I348" s="19">
        <v>1667.1929032258063</v>
      </c>
      <c r="J348" s="111">
        <v>73.567311714610881</v>
      </c>
      <c r="K348" s="53">
        <v>6766</v>
      </c>
      <c r="L348" s="54">
        <v>5.5276381909547742E-2</v>
      </c>
      <c r="M348" s="59"/>
      <c r="N348" s="69">
        <v>994.9</v>
      </c>
      <c r="O348" s="70">
        <f>SUMIF(Facebook!A:A,'Compilado 2023'!B:B,Facebook!B:B)</f>
        <v>310.33999999999997</v>
      </c>
      <c r="P348" s="70">
        <v>0</v>
      </c>
      <c r="Q348" s="70">
        <v>51.612903225806448</v>
      </c>
      <c r="R348" s="202">
        <f>IFERROR(VLOOKUP($B:$B,Tabela_Linkedin[],2,),0)</f>
        <v>0</v>
      </c>
      <c r="S348" s="70">
        <f>SUMIF(TikTok!A:A,'Compilado 2023'!B:B,TikTok!B:B)</f>
        <v>0</v>
      </c>
      <c r="T348" s="70">
        <v>0</v>
      </c>
      <c r="U348" s="70">
        <v>0</v>
      </c>
      <c r="V348" s="59"/>
      <c r="W348" s="70">
        <v>0</v>
      </c>
      <c r="X348" s="70">
        <v>0</v>
      </c>
      <c r="Y348" s="70">
        <v>0</v>
      </c>
      <c r="Z348" s="38"/>
      <c r="AA348" s="40"/>
    </row>
    <row r="349" spans="1:27" s="2" customFormat="1" x14ac:dyDescent="0.2">
      <c r="A349" s="16" t="s">
        <v>97</v>
      </c>
      <c r="B349" s="17">
        <v>44908</v>
      </c>
      <c r="C349" s="19">
        <v>151315.48000000001</v>
      </c>
      <c r="D349" s="52">
        <v>151315.48000000001</v>
      </c>
      <c r="E349" s="52">
        <v>0</v>
      </c>
      <c r="F349" s="157">
        <v>417</v>
      </c>
      <c r="G349" s="157">
        <v>622</v>
      </c>
      <c r="H349" s="35">
        <v>362.86685851318947</v>
      </c>
      <c r="I349" s="19">
        <v>1589.0729032258064</v>
      </c>
      <c r="J349" s="111">
        <v>95.222490857927724</v>
      </c>
      <c r="K349" s="53">
        <v>6563</v>
      </c>
      <c r="L349" s="54">
        <v>6.3538016151150387E-2</v>
      </c>
      <c r="M349" s="59"/>
      <c r="N349" s="69">
        <v>938.02</v>
      </c>
      <c r="O349" s="70">
        <f>SUMIF(Facebook!A:A,'Compilado 2023'!B:B,Facebook!B:B)</f>
        <v>299.72000000000003</v>
      </c>
      <c r="P349" s="70">
        <v>0</v>
      </c>
      <c r="Q349" s="70">
        <v>51.612903225806448</v>
      </c>
      <c r="R349" s="202">
        <f>IFERROR(VLOOKUP($B:$B,Tabela_Linkedin[],2,),0)</f>
        <v>0</v>
      </c>
      <c r="S349" s="70">
        <f>SUMIF(TikTok!A:A,'Compilado 2023'!B:B,TikTok!B:B)</f>
        <v>0</v>
      </c>
      <c r="T349" s="70">
        <v>0</v>
      </c>
      <c r="U349" s="70">
        <v>0</v>
      </c>
      <c r="V349" s="59"/>
      <c r="W349" s="70">
        <v>0</v>
      </c>
      <c r="X349" s="70">
        <v>0</v>
      </c>
      <c r="Y349" s="70">
        <v>0</v>
      </c>
      <c r="Z349" s="38"/>
      <c r="AA349" s="40"/>
    </row>
    <row r="350" spans="1:27" s="2" customFormat="1" x14ac:dyDescent="0.2">
      <c r="A350" s="16" t="s">
        <v>98</v>
      </c>
      <c r="B350" s="17">
        <v>44909</v>
      </c>
      <c r="C350" s="19">
        <v>139784.78999999998</v>
      </c>
      <c r="D350" s="52">
        <v>139667.01999999999</v>
      </c>
      <c r="E350" s="52">
        <v>117.77</v>
      </c>
      <c r="F350" s="157">
        <v>416</v>
      </c>
      <c r="G350" s="157">
        <v>793</v>
      </c>
      <c r="H350" s="35">
        <v>336.02112980769226</v>
      </c>
      <c r="I350" s="19">
        <v>1592.5129032258064</v>
      </c>
      <c r="J350" s="111">
        <v>87.77623698800231</v>
      </c>
      <c r="K350" s="53">
        <v>6787</v>
      </c>
      <c r="L350" s="54">
        <v>6.1293649624281715E-2</v>
      </c>
      <c r="M350" s="59"/>
      <c r="N350" s="69">
        <v>840.34</v>
      </c>
      <c r="O350" s="70">
        <f>SUMIF(Facebook!A:A,'Compilado 2023'!B:B,Facebook!B:B)</f>
        <v>350.28</v>
      </c>
      <c r="P350" s="70">
        <v>0</v>
      </c>
      <c r="Q350" s="70">
        <v>51.612903225806448</v>
      </c>
      <c r="R350" s="202">
        <f>IFERROR(VLOOKUP($B:$B,Tabela_Linkedin[],2,),0)</f>
        <v>0</v>
      </c>
      <c r="S350" s="70">
        <f>SUMIF(TikTok!A:A,'Compilado 2023'!B:B,TikTok!B:B)</f>
        <v>0</v>
      </c>
      <c r="T350" s="70">
        <v>0</v>
      </c>
      <c r="U350" s="70">
        <v>0</v>
      </c>
      <c r="V350" s="59"/>
      <c r="W350" s="70">
        <v>0</v>
      </c>
      <c r="X350" s="70">
        <v>0</v>
      </c>
      <c r="Y350" s="70">
        <v>0</v>
      </c>
      <c r="Z350" s="38"/>
      <c r="AA350" s="40"/>
    </row>
    <row r="351" spans="1:27" s="2" customFormat="1" x14ac:dyDescent="0.2">
      <c r="A351" s="16" t="s">
        <v>99</v>
      </c>
      <c r="B351" s="17">
        <v>44910</v>
      </c>
      <c r="C351" s="19">
        <v>140222.94999999998</v>
      </c>
      <c r="D351" s="52">
        <v>140183.35999999999</v>
      </c>
      <c r="E351" s="52">
        <v>39.590000000000003</v>
      </c>
      <c r="F351" s="157">
        <v>439</v>
      </c>
      <c r="G351" s="157">
        <v>575</v>
      </c>
      <c r="H351" s="35">
        <v>319.41446469248285</v>
      </c>
      <c r="I351" s="19">
        <v>1645.6829032258063</v>
      </c>
      <c r="J351" s="111">
        <v>85.206542357060513</v>
      </c>
      <c r="K351" s="53">
        <v>6860</v>
      </c>
      <c r="L351" s="54">
        <v>6.3994169096209919E-2</v>
      </c>
      <c r="M351" s="59"/>
      <c r="N351" s="69">
        <v>792.91</v>
      </c>
      <c r="O351" s="70">
        <f>SUMIF(Facebook!A:A,'Compilado 2023'!B:B,Facebook!B:B)</f>
        <v>400.58</v>
      </c>
      <c r="P351" s="70">
        <v>0</v>
      </c>
      <c r="Q351" s="70">
        <v>51.612903225806448</v>
      </c>
      <c r="R351" s="202">
        <f>IFERROR(VLOOKUP($B:$B,Tabela_Linkedin[],2,),0)</f>
        <v>0</v>
      </c>
      <c r="S351" s="70">
        <f>SUMIF(TikTok!A:A,'Compilado 2023'!B:B,TikTok!B:B)</f>
        <v>0</v>
      </c>
      <c r="T351" s="70">
        <v>0</v>
      </c>
      <c r="U351" s="70">
        <v>0</v>
      </c>
      <c r="V351" s="59"/>
      <c r="W351" s="70">
        <v>0</v>
      </c>
      <c r="X351" s="70">
        <v>0</v>
      </c>
      <c r="Y351" s="70">
        <v>0</v>
      </c>
      <c r="Z351" s="38"/>
      <c r="AA351" s="40"/>
    </row>
    <row r="352" spans="1:27" s="2" customFormat="1" x14ac:dyDescent="0.2">
      <c r="A352" s="16" t="s">
        <v>100</v>
      </c>
      <c r="B352" s="17">
        <v>44911</v>
      </c>
      <c r="C352" s="19">
        <v>116080.44</v>
      </c>
      <c r="D352" s="52">
        <v>116080.44</v>
      </c>
      <c r="E352" s="52">
        <v>0</v>
      </c>
      <c r="F352" s="157">
        <v>397</v>
      </c>
      <c r="G352" s="157">
        <v>476</v>
      </c>
      <c r="H352" s="35">
        <v>292.39405541561712</v>
      </c>
      <c r="I352" s="19">
        <v>1961.1929032258063</v>
      </c>
      <c r="J352" s="111">
        <v>59.188690622461849</v>
      </c>
      <c r="K352" s="53">
        <v>6406</v>
      </c>
      <c r="L352" s="54">
        <v>6.1973150171714016E-2</v>
      </c>
      <c r="M352" s="59"/>
      <c r="N352" s="69">
        <v>700.56</v>
      </c>
      <c r="O352" s="70">
        <f>SUMIF(Facebook!A:A,'Compilado 2023'!B:B,Facebook!B:B)</f>
        <v>436.76</v>
      </c>
      <c r="P352" s="70">
        <v>0</v>
      </c>
      <c r="Q352" s="70">
        <v>51.612903225806448</v>
      </c>
      <c r="R352" s="202">
        <f>IFERROR(VLOOKUP($B:$B,Tabela_Linkedin[],2,),0)</f>
        <v>0</v>
      </c>
      <c r="S352" s="70">
        <f>SUMIF(TikTok!A:A,'Compilado 2023'!B:B,TikTok!B:B)</f>
        <v>0</v>
      </c>
      <c r="T352" s="70">
        <v>0</v>
      </c>
      <c r="U352" s="70">
        <v>0</v>
      </c>
      <c r="V352" s="59"/>
      <c r="W352" s="70">
        <v>0</v>
      </c>
      <c r="X352" s="70">
        <v>0</v>
      </c>
      <c r="Y352" s="70">
        <v>0</v>
      </c>
      <c r="Z352" s="38"/>
      <c r="AA352" s="40"/>
    </row>
    <row r="353" spans="1:27" s="2" customFormat="1" x14ac:dyDescent="0.2">
      <c r="A353" s="16" t="s">
        <v>94</v>
      </c>
      <c r="B353" s="17">
        <v>44912</v>
      </c>
      <c r="C353" s="19">
        <v>89484.36</v>
      </c>
      <c r="D353" s="52">
        <v>89484.36</v>
      </c>
      <c r="E353" s="52">
        <v>0</v>
      </c>
      <c r="F353" s="157">
        <v>293</v>
      </c>
      <c r="G353" s="157">
        <v>355</v>
      </c>
      <c r="H353" s="35">
        <v>305.40737201365187</v>
      </c>
      <c r="I353" s="19">
        <v>1501.9329032258065</v>
      </c>
      <c r="J353" s="111">
        <v>59.579465772277956</v>
      </c>
      <c r="K353" s="53">
        <v>4992</v>
      </c>
      <c r="L353" s="54">
        <v>5.8693910256410256E-2</v>
      </c>
      <c r="M353" s="59"/>
      <c r="N353" s="69">
        <v>502.86</v>
      </c>
      <c r="O353" s="70">
        <f>SUMIF(Facebook!A:A,'Compilado 2023'!B:B,Facebook!B:B)</f>
        <v>473.73</v>
      </c>
      <c r="P353" s="70">
        <v>0</v>
      </c>
      <c r="Q353" s="70">
        <v>51.612903225806448</v>
      </c>
      <c r="R353" s="202">
        <f>IFERROR(VLOOKUP($B:$B,Tabela_Linkedin[],2,),0)</f>
        <v>0</v>
      </c>
      <c r="S353" s="70">
        <f>SUMIF(TikTok!A:A,'Compilado 2023'!B:B,TikTok!B:B)</f>
        <v>0</v>
      </c>
      <c r="T353" s="70">
        <v>0</v>
      </c>
      <c r="U353" s="70">
        <v>0</v>
      </c>
      <c r="V353" s="59"/>
      <c r="W353" s="70">
        <v>0</v>
      </c>
      <c r="X353" s="70">
        <v>0</v>
      </c>
      <c r="Y353" s="70">
        <v>0</v>
      </c>
      <c r="Z353" s="38"/>
      <c r="AA353" s="40"/>
    </row>
    <row r="354" spans="1:27" s="2" customFormat="1" x14ac:dyDescent="0.2">
      <c r="A354" s="16" t="s">
        <v>95</v>
      </c>
      <c r="B354" s="17">
        <v>44913</v>
      </c>
      <c r="C354" s="19">
        <v>65863.39</v>
      </c>
      <c r="D354" s="52">
        <v>65816.350000000006</v>
      </c>
      <c r="E354" s="52">
        <v>47.04</v>
      </c>
      <c r="F354" s="157">
        <v>209</v>
      </c>
      <c r="G354" s="157">
        <v>256</v>
      </c>
      <c r="H354" s="35">
        <v>315.13583732057418</v>
      </c>
      <c r="I354" s="19">
        <v>1634.6429032258063</v>
      </c>
      <c r="J354" s="111">
        <v>40.292219095696744</v>
      </c>
      <c r="K354" s="53">
        <v>4201</v>
      </c>
      <c r="L354" s="54">
        <v>4.9750059509640565E-2</v>
      </c>
      <c r="M354" s="59"/>
      <c r="N354" s="69">
        <v>549.71</v>
      </c>
      <c r="O354" s="70">
        <f>SUMIF(Facebook!A:A,'Compilado 2023'!B:B,Facebook!B:B)</f>
        <v>516.66</v>
      </c>
      <c r="P354" s="70">
        <v>0</v>
      </c>
      <c r="Q354" s="70">
        <v>51.612903225806448</v>
      </c>
      <c r="R354" s="202">
        <f>IFERROR(VLOOKUP($B:$B,Tabela_Linkedin[],2,),0)</f>
        <v>0</v>
      </c>
      <c r="S354" s="70">
        <f>SUMIF(TikTok!A:A,'Compilado 2023'!B:B,TikTok!B:B)</f>
        <v>0</v>
      </c>
      <c r="T354" s="70">
        <v>0</v>
      </c>
      <c r="U354" s="70">
        <v>0</v>
      </c>
      <c r="V354" s="59"/>
      <c r="W354" s="70">
        <v>0</v>
      </c>
      <c r="X354" s="70">
        <v>0</v>
      </c>
      <c r="Y354" s="70">
        <v>0</v>
      </c>
      <c r="Z354" s="38"/>
      <c r="AA354" s="40"/>
    </row>
    <row r="355" spans="1:27" s="2" customFormat="1" x14ac:dyDescent="0.2">
      <c r="A355" s="16" t="s">
        <v>96</v>
      </c>
      <c r="B355" s="17">
        <v>44914</v>
      </c>
      <c r="C355" s="19">
        <v>213431.53</v>
      </c>
      <c r="D355" s="52">
        <v>213390.42</v>
      </c>
      <c r="E355" s="52">
        <v>41.11</v>
      </c>
      <c r="F355" s="157">
        <v>654</v>
      </c>
      <c r="G355" s="157">
        <v>821</v>
      </c>
      <c r="H355" s="35">
        <v>326.34790519877674</v>
      </c>
      <c r="I355" s="19">
        <v>1395.9929032258065</v>
      </c>
      <c r="J355" s="111">
        <v>152.88869270524992</v>
      </c>
      <c r="K355" s="53">
        <v>0</v>
      </c>
      <c r="L355" s="54">
        <v>0</v>
      </c>
      <c r="M355" s="59"/>
      <c r="N355" s="69">
        <v>1090.8900000000001</v>
      </c>
      <c r="O355" s="70">
        <f>SUMIF(Facebook!A:A,'Compilado 2023'!B:B,Facebook!B:B)</f>
        <v>565.73</v>
      </c>
      <c r="P355" s="70">
        <v>0</v>
      </c>
      <c r="Q355" s="70">
        <v>51.612903225806448</v>
      </c>
      <c r="R355" s="202">
        <f>IFERROR(VLOOKUP($B:$B,Tabela_Linkedin[],2,),0)</f>
        <v>0</v>
      </c>
      <c r="S355" s="70">
        <f>SUMIF(TikTok!A:A,'Compilado 2023'!B:B,TikTok!B:B)</f>
        <v>0</v>
      </c>
      <c r="T355" s="70">
        <v>0</v>
      </c>
      <c r="U355" s="70">
        <v>0</v>
      </c>
      <c r="V355" s="59"/>
      <c r="W355" s="70">
        <v>0</v>
      </c>
      <c r="X355" s="70">
        <v>0</v>
      </c>
      <c r="Y355" s="70">
        <v>0</v>
      </c>
      <c r="Z355" s="38"/>
      <c r="AA355" s="40"/>
    </row>
    <row r="356" spans="1:27" s="2" customFormat="1" x14ac:dyDescent="0.2">
      <c r="A356" s="16" t="s">
        <v>97</v>
      </c>
      <c r="B356" s="17">
        <v>44915</v>
      </c>
      <c r="C356" s="19">
        <v>196362.28</v>
      </c>
      <c r="D356" s="52">
        <v>196362.28</v>
      </c>
      <c r="E356" s="52">
        <v>0</v>
      </c>
      <c r="F356" s="157">
        <v>597</v>
      </c>
      <c r="G356" s="157">
        <v>807</v>
      </c>
      <c r="H356" s="35">
        <v>328.91504187604687</v>
      </c>
      <c r="I356" s="19">
        <v>2529.6029032258066</v>
      </c>
      <c r="J356" s="111">
        <v>77.625733173216389</v>
      </c>
      <c r="K356" s="53">
        <v>8120</v>
      </c>
      <c r="L356" s="54">
        <v>7.3522167487684725E-2</v>
      </c>
      <c r="M356" s="59"/>
      <c r="N356" s="69">
        <v>1149.32</v>
      </c>
      <c r="O356" s="70">
        <f>SUMIF(Facebook!A:A,'Compilado 2023'!B:B,Facebook!B:B)</f>
        <v>552.70000000000005</v>
      </c>
      <c r="P356" s="70">
        <v>0</v>
      </c>
      <c r="Q356" s="70">
        <v>51.612903225806448</v>
      </c>
      <c r="R356" s="202">
        <f>IFERROR(VLOOKUP($B:$B,Tabela_Linkedin[],2,),0)</f>
        <v>0</v>
      </c>
      <c r="S356" s="70">
        <f>SUMIF(TikTok!A:A,'Compilado 2023'!B:B,TikTok!B:B)</f>
        <v>0</v>
      </c>
      <c r="T356" s="70">
        <v>0</v>
      </c>
      <c r="U356" s="70">
        <v>0</v>
      </c>
      <c r="V356" s="59"/>
      <c r="W356" s="70">
        <v>0</v>
      </c>
      <c r="X356" s="70">
        <v>0</v>
      </c>
      <c r="Y356" s="70">
        <v>0</v>
      </c>
      <c r="Z356" s="38"/>
      <c r="AA356" s="40"/>
    </row>
    <row r="357" spans="1:27" s="2" customFormat="1" x14ac:dyDescent="0.2">
      <c r="A357" s="16" t="s">
        <v>98</v>
      </c>
      <c r="B357" s="17">
        <v>44916</v>
      </c>
      <c r="C357" s="19">
        <v>208403.15</v>
      </c>
      <c r="D357" s="52">
        <v>208358.09</v>
      </c>
      <c r="E357" s="52">
        <v>45.06</v>
      </c>
      <c r="F357" s="157">
        <v>635</v>
      </c>
      <c r="G357" s="157">
        <v>866</v>
      </c>
      <c r="H357" s="35">
        <v>328.19393700787401</v>
      </c>
      <c r="I357" s="19">
        <v>2736.1029032258066</v>
      </c>
      <c r="J357" s="111">
        <v>76.167877222123906</v>
      </c>
      <c r="K357" s="53">
        <v>8565</v>
      </c>
      <c r="L357" s="54">
        <v>7.4138937536485691E-2</v>
      </c>
      <c r="M357" s="59"/>
      <c r="N357" s="69">
        <v>1403.22</v>
      </c>
      <c r="O357" s="70">
        <f>SUMIF(Facebook!A:A,'Compilado 2023'!B:B,Facebook!B:B)</f>
        <v>558.57000000000005</v>
      </c>
      <c r="P357" s="70">
        <v>0</v>
      </c>
      <c r="Q357" s="70">
        <v>51.612903225806448</v>
      </c>
      <c r="R357" s="202">
        <f>IFERROR(VLOOKUP($B:$B,Tabela_Linkedin[],2,),0)</f>
        <v>0</v>
      </c>
      <c r="S357" s="70">
        <f>SUMIF(TikTok!A:A,'Compilado 2023'!B:B,TikTok!B:B)</f>
        <v>0</v>
      </c>
      <c r="T357" s="70">
        <v>0</v>
      </c>
      <c r="U357" s="70">
        <v>0</v>
      </c>
      <c r="V357" s="59"/>
      <c r="W357" s="70">
        <v>0</v>
      </c>
      <c r="X357" s="70">
        <v>0</v>
      </c>
      <c r="Y357" s="70">
        <v>0</v>
      </c>
      <c r="Z357" s="38"/>
      <c r="AA357" s="40"/>
    </row>
    <row r="358" spans="1:27" s="2" customFormat="1" x14ac:dyDescent="0.2">
      <c r="A358" s="16" t="s">
        <v>99</v>
      </c>
      <c r="B358" s="17">
        <v>44917</v>
      </c>
      <c r="C358" s="19">
        <v>235235.42</v>
      </c>
      <c r="D358" s="52">
        <v>235161.69</v>
      </c>
      <c r="E358" s="52">
        <v>73.73</v>
      </c>
      <c r="F358" s="157">
        <v>717</v>
      </c>
      <c r="G358" s="157">
        <v>943</v>
      </c>
      <c r="H358" s="35">
        <v>328.08287308228734</v>
      </c>
      <c r="I358" s="19">
        <v>4036.1029032258061</v>
      </c>
      <c r="J358" s="111">
        <v>58.282810334689671</v>
      </c>
      <c r="K358" s="53">
        <v>8198</v>
      </c>
      <c r="L358" s="54">
        <v>8.7460356184435234E-2</v>
      </c>
      <c r="M358" s="59"/>
      <c r="N358" s="69">
        <v>2078.35</v>
      </c>
      <c r="O358" s="70">
        <f>SUMIF(Facebook!A:A,'Compilado 2023'!B:B,Facebook!B:B)</f>
        <v>878.07</v>
      </c>
      <c r="P358" s="70">
        <v>0</v>
      </c>
      <c r="Q358" s="70">
        <v>51.612903225806448</v>
      </c>
      <c r="R358" s="202">
        <f>IFERROR(VLOOKUP($B:$B,Tabela_Linkedin[],2,),0)</f>
        <v>0</v>
      </c>
      <c r="S358" s="70">
        <f>SUMIF(TikTok!A:A,'Compilado 2023'!B:B,TikTok!B:B)</f>
        <v>0</v>
      </c>
      <c r="T358" s="70">
        <v>0</v>
      </c>
      <c r="U358" s="70">
        <v>0</v>
      </c>
      <c r="V358" s="59"/>
      <c r="W358" s="70">
        <v>0</v>
      </c>
      <c r="X358" s="70">
        <v>0</v>
      </c>
      <c r="Y358" s="70">
        <v>0</v>
      </c>
      <c r="Z358" s="38"/>
      <c r="AA358" s="40"/>
    </row>
    <row r="359" spans="1:27" s="2" customFormat="1" x14ac:dyDescent="0.2">
      <c r="A359" s="16" t="s">
        <v>100</v>
      </c>
      <c r="B359" s="17">
        <v>44918</v>
      </c>
      <c r="C359" s="19">
        <v>272208.45</v>
      </c>
      <c r="D359" s="52">
        <v>272208.45</v>
      </c>
      <c r="E359" s="52">
        <v>0</v>
      </c>
      <c r="F359" s="157">
        <v>844</v>
      </c>
      <c r="G359" s="157">
        <v>1071</v>
      </c>
      <c r="H359" s="35">
        <v>322.52186018957349</v>
      </c>
      <c r="I359" s="19">
        <v>3623.1929032258067</v>
      </c>
      <c r="J359" s="111">
        <v>75.129438942554501</v>
      </c>
      <c r="K359" s="53">
        <v>7850</v>
      </c>
      <c r="L359" s="54">
        <v>0.10751592356687899</v>
      </c>
      <c r="M359" s="59"/>
      <c r="N359" s="69">
        <v>1644.76</v>
      </c>
      <c r="O359" s="70">
        <f>SUMIF(Facebook!A:A,'Compilado 2023'!B:B,Facebook!B:B)</f>
        <v>897.19</v>
      </c>
      <c r="P359" s="70">
        <v>0</v>
      </c>
      <c r="Q359" s="70">
        <v>51.612903225806448</v>
      </c>
      <c r="R359" s="202">
        <f>IFERROR(VLOOKUP($B:$B,Tabela_Linkedin[],2,),0)</f>
        <v>0</v>
      </c>
      <c r="S359" s="70">
        <f>SUMIF(TikTok!A:A,'Compilado 2023'!B:B,TikTok!B:B)</f>
        <v>0</v>
      </c>
      <c r="T359" s="70">
        <v>0</v>
      </c>
      <c r="U359" s="70">
        <v>0</v>
      </c>
      <c r="V359" s="59"/>
      <c r="W359" s="70">
        <v>0</v>
      </c>
      <c r="X359" s="70">
        <v>0</v>
      </c>
      <c r="Y359" s="70">
        <v>0</v>
      </c>
      <c r="Z359" s="38"/>
      <c r="AA359" s="40"/>
    </row>
    <row r="360" spans="1:27" s="2" customFormat="1" x14ac:dyDescent="0.2">
      <c r="A360" s="16" t="s">
        <v>94</v>
      </c>
      <c r="B360" s="17">
        <v>44919</v>
      </c>
      <c r="C360" s="19">
        <v>266775.34999999998</v>
      </c>
      <c r="D360" s="52">
        <v>266684.13</v>
      </c>
      <c r="E360" s="52">
        <v>91.22</v>
      </c>
      <c r="F360" s="157">
        <v>817</v>
      </c>
      <c r="G360" s="157">
        <v>1038</v>
      </c>
      <c r="H360" s="35">
        <v>326.5304161566707</v>
      </c>
      <c r="I360" s="19">
        <v>2533.5329032258064</v>
      </c>
      <c r="J360" s="111">
        <v>105.29776410652879</v>
      </c>
      <c r="K360" s="53">
        <v>4618</v>
      </c>
      <c r="L360" s="54">
        <v>0.1769164140320485</v>
      </c>
      <c r="M360" s="59"/>
      <c r="N360" s="69">
        <v>1185.98</v>
      </c>
      <c r="O360" s="70">
        <f>SUMIF(Facebook!A:A,'Compilado 2023'!B:B,Facebook!B:B)</f>
        <v>647.97</v>
      </c>
      <c r="P360" s="70">
        <v>0</v>
      </c>
      <c r="Q360" s="70">
        <v>51.612903225806448</v>
      </c>
      <c r="R360" s="202">
        <f>IFERROR(VLOOKUP($B:$B,Tabela_Linkedin[],2,),0)</f>
        <v>0</v>
      </c>
      <c r="S360" s="70">
        <f>SUMIF(TikTok!A:A,'Compilado 2023'!B:B,TikTok!B:B)</f>
        <v>0</v>
      </c>
      <c r="T360" s="70">
        <v>0</v>
      </c>
      <c r="U360" s="70">
        <v>0</v>
      </c>
      <c r="V360" s="59"/>
      <c r="W360" s="70">
        <v>0</v>
      </c>
      <c r="X360" s="70">
        <v>0</v>
      </c>
      <c r="Y360" s="70">
        <v>0</v>
      </c>
      <c r="Z360" s="38"/>
      <c r="AA360" s="40"/>
    </row>
    <row r="361" spans="1:27" s="2" customFormat="1" x14ac:dyDescent="0.2">
      <c r="A361" s="16" t="s">
        <v>95</v>
      </c>
      <c r="B361" s="17">
        <v>44920</v>
      </c>
      <c r="C361" s="19">
        <v>59416.770000000004</v>
      </c>
      <c r="D361" s="52">
        <v>59393.62</v>
      </c>
      <c r="E361" s="52">
        <v>23.15</v>
      </c>
      <c r="F361" s="157">
        <v>193</v>
      </c>
      <c r="G361" s="157">
        <v>238</v>
      </c>
      <c r="H361" s="35">
        <v>307.85891191709845</v>
      </c>
      <c r="I361" s="19">
        <v>1407.1129032258063</v>
      </c>
      <c r="J361" s="111">
        <v>42.226014603225551</v>
      </c>
      <c r="K361" s="53">
        <v>3644</v>
      </c>
      <c r="L361" s="54">
        <v>5.2963776070252468E-2</v>
      </c>
      <c r="M361" s="59"/>
      <c r="N361" s="69">
        <v>665.14</v>
      </c>
      <c r="O361" s="70">
        <f>SUMIF(Facebook!A:A,'Compilado 2023'!B:B,Facebook!B:B)</f>
        <v>345.18</v>
      </c>
      <c r="P361" s="70">
        <v>0</v>
      </c>
      <c r="Q361" s="70">
        <v>51.612903225806448</v>
      </c>
      <c r="R361" s="202">
        <f>IFERROR(VLOOKUP($B:$B,Tabela_Linkedin[],2,),0)</f>
        <v>0</v>
      </c>
      <c r="S361" s="70">
        <f>SUMIF(TikTok!A:A,'Compilado 2023'!B:B,TikTok!B:B)</f>
        <v>0</v>
      </c>
      <c r="T361" s="70">
        <v>0</v>
      </c>
      <c r="U361" s="70">
        <v>0</v>
      </c>
      <c r="V361" s="59"/>
      <c r="W361" s="70">
        <v>0</v>
      </c>
      <c r="X361" s="70">
        <v>0</v>
      </c>
      <c r="Y361" s="70">
        <v>0</v>
      </c>
      <c r="Z361" s="38"/>
      <c r="AA361" s="40"/>
    </row>
    <row r="362" spans="1:27" s="2" customFormat="1" x14ac:dyDescent="0.2">
      <c r="A362" s="16" t="s">
        <v>96</v>
      </c>
      <c r="B362" s="17">
        <v>44921</v>
      </c>
      <c r="C362" s="19">
        <v>76654.78</v>
      </c>
      <c r="D362" s="52">
        <v>76654.78</v>
      </c>
      <c r="E362" s="52">
        <v>0</v>
      </c>
      <c r="F362" s="157">
        <v>256</v>
      </c>
      <c r="G362" s="157">
        <v>306</v>
      </c>
      <c r="H362" s="35">
        <v>299.432734375</v>
      </c>
      <c r="I362" s="19">
        <v>2247.6129032258063</v>
      </c>
      <c r="J362" s="111">
        <v>34.104974166140423</v>
      </c>
      <c r="K362" s="53">
        <v>7683</v>
      </c>
      <c r="L362" s="54">
        <v>3.3320317584276976E-2</v>
      </c>
      <c r="M362" s="59"/>
      <c r="N362" s="69">
        <v>1624.1</v>
      </c>
      <c r="O362" s="70">
        <f>SUMIF(Facebook!A:A,'Compilado 2023'!B:B,Facebook!B:B)</f>
        <v>285.95</v>
      </c>
      <c r="P362" s="70">
        <v>0</v>
      </c>
      <c r="Q362" s="70">
        <v>51.612903225806448</v>
      </c>
      <c r="R362" s="202">
        <f>IFERROR(VLOOKUP($B:$B,Tabela_Linkedin[],2,),0)</f>
        <v>0</v>
      </c>
      <c r="S362" s="70">
        <f>SUMIF(TikTok!A:A,'Compilado 2023'!B:B,TikTok!B:B)</f>
        <v>0</v>
      </c>
      <c r="T362" s="70">
        <v>0</v>
      </c>
      <c r="U362" s="70">
        <v>0</v>
      </c>
      <c r="V362" s="59"/>
      <c r="W362" s="70">
        <v>0</v>
      </c>
      <c r="X362" s="70">
        <v>0</v>
      </c>
      <c r="Y362" s="70">
        <v>0</v>
      </c>
      <c r="Z362" s="38"/>
      <c r="AA362" s="40"/>
    </row>
    <row r="363" spans="1:27" s="2" customFormat="1" x14ac:dyDescent="0.2">
      <c r="A363" s="16" t="s">
        <v>97</v>
      </c>
      <c r="B363" s="17">
        <v>44922</v>
      </c>
      <c r="C363" s="19">
        <v>69194.400000000009</v>
      </c>
      <c r="D363" s="52">
        <v>69162.710000000006</v>
      </c>
      <c r="E363" s="52">
        <v>31.69</v>
      </c>
      <c r="F363" s="157">
        <v>225</v>
      </c>
      <c r="G363" s="157">
        <v>314</v>
      </c>
      <c r="H363" s="35">
        <v>307.53066666666672</v>
      </c>
      <c r="I363" s="19">
        <v>1472.8529032258064</v>
      </c>
      <c r="J363" s="111">
        <v>46.979844252234642</v>
      </c>
      <c r="K363" s="53">
        <v>6295</v>
      </c>
      <c r="L363" s="54">
        <v>3.5742652899126294E-2</v>
      </c>
      <c r="M363" s="59"/>
      <c r="N363" s="69">
        <v>940.44</v>
      </c>
      <c r="O363" s="70">
        <f>SUMIF(Facebook!A:A,'Compilado 2023'!B:B,Facebook!B:B)</f>
        <v>240.4</v>
      </c>
      <c r="P363" s="70">
        <v>0</v>
      </c>
      <c r="Q363" s="70">
        <v>51.612903225806448</v>
      </c>
      <c r="R363" s="202">
        <f>IFERROR(VLOOKUP($B:$B,Tabela_Linkedin[],2,),0)</f>
        <v>0</v>
      </c>
      <c r="S363" s="70">
        <f>SUMIF(TikTok!A:A,'Compilado 2023'!B:B,TikTok!B:B)</f>
        <v>0</v>
      </c>
      <c r="T363" s="70">
        <v>0</v>
      </c>
      <c r="U363" s="70">
        <v>0</v>
      </c>
      <c r="V363" s="59"/>
      <c r="W363" s="70">
        <v>0</v>
      </c>
      <c r="X363" s="70">
        <v>0</v>
      </c>
      <c r="Y363" s="70">
        <v>0</v>
      </c>
      <c r="Z363" s="38"/>
      <c r="AA363" s="40"/>
    </row>
    <row r="364" spans="1:27" s="2" customFormat="1" x14ac:dyDescent="0.2">
      <c r="A364" s="16" t="s">
        <v>98</v>
      </c>
      <c r="B364" s="17">
        <v>44923</v>
      </c>
      <c r="C364" s="19">
        <v>60668.97</v>
      </c>
      <c r="D364" s="52">
        <v>60668.97</v>
      </c>
      <c r="E364" s="52">
        <v>0</v>
      </c>
      <c r="F364" s="157">
        <v>203</v>
      </c>
      <c r="G364" s="157">
        <v>255</v>
      </c>
      <c r="H364" s="35">
        <v>298.86192118226603</v>
      </c>
      <c r="I364" s="19">
        <v>1142.5229032258062</v>
      </c>
      <c r="J364" s="111">
        <v>53.10087861583068</v>
      </c>
      <c r="K364" s="53">
        <v>5511</v>
      </c>
      <c r="L364" s="54">
        <v>3.6835420068953004E-2</v>
      </c>
      <c r="M364" s="59"/>
      <c r="N364" s="69">
        <v>661.43</v>
      </c>
      <c r="O364" s="70">
        <f>SUMIF(Facebook!A:A,'Compilado 2023'!B:B,Facebook!B:B)</f>
        <v>214.74</v>
      </c>
      <c r="P364" s="70">
        <v>0</v>
      </c>
      <c r="Q364" s="70">
        <v>51.612903225806448</v>
      </c>
      <c r="R364" s="202">
        <f>IFERROR(VLOOKUP($B:$B,Tabela_Linkedin[],2,),0)</f>
        <v>0</v>
      </c>
      <c r="S364" s="70">
        <f>SUMIF(TikTok!A:A,'Compilado 2023'!B:B,TikTok!B:B)</f>
        <v>0</v>
      </c>
      <c r="T364" s="70">
        <v>0</v>
      </c>
      <c r="U364" s="70">
        <v>0</v>
      </c>
      <c r="V364" s="59"/>
      <c r="W364" s="70">
        <v>0</v>
      </c>
      <c r="X364" s="70">
        <v>0</v>
      </c>
      <c r="Y364" s="70">
        <v>0</v>
      </c>
      <c r="Z364" s="38"/>
      <c r="AA364" s="40"/>
    </row>
    <row r="365" spans="1:27" s="2" customFormat="1" x14ac:dyDescent="0.2">
      <c r="A365" s="16" t="s">
        <v>99</v>
      </c>
      <c r="B365" s="17">
        <v>44924</v>
      </c>
      <c r="C365" s="19">
        <v>50730.98</v>
      </c>
      <c r="D365" s="52">
        <v>50673.86</v>
      </c>
      <c r="E365" s="52">
        <v>57.12</v>
      </c>
      <c r="F365" s="157">
        <v>168</v>
      </c>
      <c r="G365" s="157">
        <v>209</v>
      </c>
      <c r="H365" s="35">
        <v>301.97011904761905</v>
      </c>
      <c r="I365" s="19">
        <v>914.08290322580649</v>
      </c>
      <c r="J365" s="111">
        <v>55.499320489388801</v>
      </c>
      <c r="K365" s="53">
        <v>4715</v>
      </c>
      <c r="L365" s="54">
        <v>3.5630965005302224E-2</v>
      </c>
      <c r="M365" s="59"/>
      <c r="N365" s="69">
        <v>499.29</v>
      </c>
      <c r="O365" s="70">
        <f>SUMIF(Facebook!A:A,'Compilado 2023'!B:B,Facebook!B:B)</f>
        <v>181.59</v>
      </c>
      <c r="P365" s="70">
        <v>0</v>
      </c>
      <c r="Q365" s="70">
        <v>51.612903225806448</v>
      </c>
      <c r="R365" s="202">
        <f>IFERROR(VLOOKUP($B:$B,Tabela_Linkedin[],2,),0)</f>
        <v>0</v>
      </c>
      <c r="S365" s="70">
        <f>SUMIF(TikTok!A:A,'Compilado 2023'!B:B,TikTok!B:B)</f>
        <v>0</v>
      </c>
      <c r="T365" s="70">
        <v>0</v>
      </c>
      <c r="U365" s="70">
        <v>0</v>
      </c>
      <c r="V365" s="59"/>
      <c r="W365" s="70">
        <v>0</v>
      </c>
      <c r="X365" s="70">
        <v>0</v>
      </c>
      <c r="Y365" s="70">
        <v>0</v>
      </c>
      <c r="Z365" s="38"/>
      <c r="AA365" s="40"/>
    </row>
    <row r="366" spans="1:27" s="2" customFormat="1" x14ac:dyDescent="0.2">
      <c r="A366" s="16" t="s">
        <v>100</v>
      </c>
      <c r="B366" s="17">
        <v>44925</v>
      </c>
      <c r="C366" s="19">
        <v>62888.12</v>
      </c>
      <c r="D366" s="52">
        <v>62888.12</v>
      </c>
      <c r="E366" s="52">
        <v>0</v>
      </c>
      <c r="F366" s="157">
        <v>122</v>
      </c>
      <c r="G366" s="157">
        <v>298</v>
      </c>
      <c r="H366" s="35">
        <v>515.47639344262302</v>
      </c>
      <c r="I366" s="19">
        <v>685.26290322580644</v>
      </c>
      <c r="J366" s="111">
        <v>91.772252231895934</v>
      </c>
      <c r="K366" s="53">
        <v>3751</v>
      </c>
      <c r="L366" s="54">
        <v>3.2524660090642497E-2</v>
      </c>
      <c r="M366" s="59"/>
      <c r="N366" s="69">
        <v>316.07</v>
      </c>
      <c r="O366" s="70">
        <f>SUMIF(Facebook!A:A,'Compilado 2023'!B:B,Facebook!B:B)</f>
        <v>158.79</v>
      </c>
      <c r="P366" s="70">
        <v>0</v>
      </c>
      <c r="Q366" s="70">
        <v>51.612903225806448</v>
      </c>
      <c r="R366" s="202">
        <f>IFERROR(VLOOKUP($B:$B,Tabela_Linkedin[],2,),0)</f>
        <v>0</v>
      </c>
      <c r="S366" s="70">
        <f>SUMIF(TikTok!A:A,'Compilado 2023'!B:B,TikTok!B:B)</f>
        <v>0</v>
      </c>
      <c r="T366" s="70">
        <v>0</v>
      </c>
      <c r="U366" s="70">
        <v>0</v>
      </c>
      <c r="V366" s="59"/>
      <c r="W366" s="70">
        <v>0</v>
      </c>
      <c r="X366" s="70">
        <v>0</v>
      </c>
      <c r="Y366" s="70">
        <v>0</v>
      </c>
      <c r="Z366" s="38"/>
      <c r="AA366" s="40"/>
    </row>
    <row r="367" spans="1:27" s="2" customFormat="1" x14ac:dyDescent="0.2">
      <c r="A367" s="16" t="s">
        <v>94</v>
      </c>
      <c r="B367" s="17">
        <v>44926</v>
      </c>
      <c r="C367" s="19">
        <v>27474.32</v>
      </c>
      <c r="D367" s="52">
        <v>27474.32</v>
      </c>
      <c r="E367" s="52">
        <v>0</v>
      </c>
      <c r="F367" s="157">
        <v>75</v>
      </c>
      <c r="G367" s="157">
        <v>93</v>
      </c>
      <c r="H367" s="35">
        <v>366.32426666666669</v>
      </c>
      <c r="I367" s="19">
        <v>507.43290322580646</v>
      </c>
      <c r="J367" s="111">
        <v>54.143749499377641</v>
      </c>
      <c r="K367" s="53">
        <v>1968</v>
      </c>
      <c r="L367" s="54">
        <v>3.8109756097560975E-2</v>
      </c>
      <c r="M367" s="59"/>
      <c r="N367" s="69">
        <v>205.7</v>
      </c>
      <c r="O367" s="70">
        <f>SUMIF(Facebook!A:A,'Compilado 2023'!B:B,Facebook!B:B)</f>
        <v>125.06</v>
      </c>
      <c r="P367" s="70">
        <v>0</v>
      </c>
      <c r="Q367" s="70">
        <v>51.612903225806448</v>
      </c>
      <c r="R367" s="202">
        <f>IFERROR(VLOOKUP($B:$B,Tabela_Linkedin[],2,),0)</f>
        <v>0</v>
      </c>
      <c r="S367" s="70">
        <f>SUMIF(TikTok!A:A,'Compilado 2023'!B:B,TikTok!B:B)</f>
        <v>0</v>
      </c>
      <c r="T367" s="70">
        <v>0</v>
      </c>
      <c r="U367" s="70">
        <v>0</v>
      </c>
      <c r="V367" s="59"/>
      <c r="W367" s="70">
        <v>0</v>
      </c>
      <c r="X367" s="70">
        <v>0</v>
      </c>
      <c r="Y367" s="70">
        <v>0</v>
      </c>
      <c r="Z367" s="38"/>
      <c r="AA367" s="40"/>
    </row>
    <row r="368" spans="1:27" s="2" customFormat="1" x14ac:dyDescent="0.2">
      <c r="A368" s="16" t="s">
        <v>95</v>
      </c>
      <c r="B368" s="17">
        <v>44927</v>
      </c>
      <c r="C368" s="19">
        <v>6682.58</v>
      </c>
      <c r="D368" s="52">
        <v>6660.35</v>
      </c>
      <c r="E368" s="52">
        <v>22.23</v>
      </c>
      <c r="F368" s="157">
        <v>25</v>
      </c>
      <c r="G368" s="157">
        <v>33</v>
      </c>
      <c r="H368" s="35">
        <v>267.3032</v>
      </c>
      <c r="I368" s="19">
        <v>429.30290322580646</v>
      </c>
      <c r="J368" s="111">
        <v>15.566118816776484</v>
      </c>
      <c r="K368" s="53">
        <v>2085</v>
      </c>
      <c r="L368" s="54">
        <v>1.1990407673860911E-2</v>
      </c>
      <c r="M368" s="57"/>
      <c r="N368" s="69">
        <v>195.73</v>
      </c>
      <c r="O368" s="70">
        <f>SUMIF(Facebook!A:A,'Compilado 2023'!B:B,Facebook!B:B)</f>
        <v>90.98</v>
      </c>
      <c r="P368" s="70">
        <v>0</v>
      </c>
      <c r="Q368" s="70">
        <v>51.612903225806448</v>
      </c>
      <c r="R368" s="202">
        <f>IFERROR(VLOOKUP($B:$B,Tabela_Linkedin[],2,),0)</f>
        <v>0</v>
      </c>
      <c r="S368" s="70">
        <f>SUMIF(TikTok!A:A,'Compilado 2023'!B:B,TikTok!B:B)</f>
        <v>0</v>
      </c>
      <c r="T368" s="70">
        <v>0</v>
      </c>
      <c r="U368" s="70">
        <v>0</v>
      </c>
      <c r="V368" s="57"/>
      <c r="W368" s="70">
        <v>0</v>
      </c>
      <c r="X368" s="70">
        <v>0</v>
      </c>
      <c r="Y368" s="70">
        <v>0</v>
      </c>
      <c r="Z368" s="38"/>
      <c r="AA368" s="40"/>
    </row>
    <row r="369" spans="1:27" s="2" customFormat="1" x14ac:dyDescent="0.2">
      <c r="A369" s="16" t="s">
        <v>96</v>
      </c>
      <c r="B369" s="17">
        <v>44928</v>
      </c>
      <c r="C369" s="19">
        <v>42296.450000000004</v>
      </c>
      <c r="D369" s="52">
        <v>42272.44</v>
      </c>
      <c r="E369" s="52">
        <v>24.01</v>
      </c>
      <c r="F369" s="157">
        <v>141</v>
      </c>
      <c r="G369" s="157">
        <v>168</v>
      </c>
      <c r="H369" s="35">
        <v>299.97482269503547</v>
      </c>
      <c r="I369" s="19">
        <v>688.72290322580636</v>
      </c>
      <c r="J369" s="111">
        <v>61.412869823108799</v>
      </c>
      <c r="K369" s="53">
        <v>5236</v>
      </c>
      <c r="L369" s="54">
        <v>2.6928953399541634E-2</v>
      </c>
      <c r="M369" s="57"/>
      <c r="N369" s="69">
        <v>367.59</v>
      </c>
      <c r="O369" s="70">
        <f>SUMIF(Facebook!A:A,'Compilado 2023'!B:B,Facebook!B:B)</f>
        <v>134.76</v>
      </c>
      <c r="P369" s="70">
        <v>0</v>
      </c>
      <c r="Q369" s="70">
        <v>51.612903225806448</v>
      </c>
      <c r="R369" s="202">
        <f>IFERROR(VLOOKUP($B:$B,Tabela_Linkedin[],2,),0)</f>
        <v>0</v>
      </c>
      <c r="S369" s="70">
        <f>SUMIF(TikTok!A:A,'Compilado 2023'!B:B,TikTok!B:B)</f>
        <v>0</v>
      </c>
      <c r="T369" s="70">
        <v>0</v>
      </c>
      <c r="U369" s="70">
        <v>0</v>
      </c>
      <c r="V369" s="57"/>
      <c r="W369" s="70">
        <v>0</v>
      </c>
      <c r="X369" s="70">
        <v>0</v>
      </c>
      <c r="Y369" s="70">
        <v>0</v>
      </c>
      <c r="Z369" s="38"/>
      <c r="AA369" s="40"/>
    </row>
    <row r="370" spans="1:27" s="2" customFormat="1" x14ac:dyDescent="0.2">
      <c r="A370" s="16" t="s">
        <v>97</v>
      </c>
      <c r="B370" s="17">
        <v>44929</v>
      </c>
      <c r="C370" s="19">
        <v>43147.4</v>
      </c>
      <c r="D370" s="52">
        <v>43147.4</v>
      </c>
      <c r="E370" s="52">
        <v>0</v>
      </c>
      <c r="F370" s="157">
        <v>139</v>
      </c>
      <c r="G370" s="157">
        <v>170</v>
      </c>
      <c r="H370" s="35">
        <v>310.41294964028776</v>
      </c>
      <c r="I370" s="19">
        <v>720.4329032258064</v>
      </c>
      <c r="J370" s="111">
        <v>59.89093475159649</v>
      </c>
      <c r="K370" s="53">
        <v>5421</v>
      </c>
      <c r="L370" s="54">
        <v>2.564102564102564E-2</v>
      </c>
      <c r="M370" s="57"/>
      <c r="N370" s="69">
        <v>355.9</v>
      </c>
      <c r="O370" s="70">
        <f>SUMIF(Facebook!A:A,'Compilado 2023'!B:B,Facebook!B:B)</f>
        <v>156.46</v>
      </c>
      <c r="P370" s="70">
        <v>0</v>
      </c>
      <c r="Q370" s="70">
        <v>51.612903225806448</v>
      </c>
      <c r="R370" s="202">
        <f>IFERROR(VLOOKUP($B:$B,Tabela_Linkedin[],2,),0)</f>
        <v>0</v>
      </c>
      <c r="S370" s="70">
        <f>SUMIF(TikTok!A:A,'Compilado 2023'!B:B,TikTok!B:B)</f>
        <v>0</v>
      </c>
      <c r="T370" s="70">
        <v>0</v>
      </c>
      <c r="U370" s="70">
        <v>0</v>
      </c>
      <c r="V370" s="57"/>
      <c r="W370" s="70">
        <v>0</v>
      </c>
      <c r="X370" s="70">
        <v>0</v>
      </c>
      <c r="Y370" s="70">
        <v>0</v>
      </c>
      <c r="Z370" s="38"/>
      <c r="AA370" s="40"/>
    </row>
    <row r="371" spans="1:27" s="2" customFormat="1" x14ac:dyDescent="0.2">
      <c r="A371" s="16" t="s">
        <v>98</v>
      </c>
      <c r="B371" s="17">
        <v>44930</v>
      </c>
      <c r="C371" s="19">
        <v>38413.61</v>
      </c>
      <c r="D371" s="52">
        <v>38413.61</v>
      </c>
      <c r="E371" s="52">
        <v>0</v>
      </c>
      <c r="F371" s="157">
        <v>137</v>
      </c>
      <c r="G371" s="157">
        <v>164</v>
      </c>
      <c r="H371" s="35">
        <v>280.39131386861317</v>
      </c>
      <c r="I371" s="19">
        <v>809.20290322580649</v>
      </c>
      <c r="J371" s="111">
        <v>47.470924593656278</v>
      </c>
      <c r="K371" s="53">
        <v>5673</v>
      </c>
      <c r="L371" s="54">
        <v>2.4149479992949058E-2</v>
      </c>
      <c r="M371" s="57"/>
      <c r="N371" s="69">
        <v>389.93</v>
      </c>
      <c r="O371" s="70">
        <f>SUMIF(Facebook!A:A,'Compilado 2023'!B:B,Facebook!B:B)</f>
        <v>183.83</v>
      </c>
      <c r="P371" s="70">
        <v>0</v>
      </c>
      <c r="Q371" s="70">
        <v>51.612903225806448</v>
      </c>
      <c r="R371" s="202">
        <f>IFERROR(VLOOKUP($B:$B,Tabela_Linkedin[],2,),0)</f>
        <v>0</v>
      </c>
      <c r="S371" s="70">
        <f>SUMIF(TikTok!A:A,'Compilado 2023'!B:B,TikTok!B:B)</f>
        <v>0</v>
      </c>
      <c r="T371" s="70">
        <v>0</v>
      </c>
      <c r="U371" s="70">
        <v>0</v>
      </c>
      <c r="V371" s="57"/>
      <c r="W371" s="70">
        <v>0</v>
      </c>
      <c r="X371" s="70">
        <v>0</v>
      </c>
      <c r="Y371" s="70">
        <v>0</v>
      </c>
      <c r="Z371" s="38"/>
      <c r="AA371" s="40"/>
    </row>
    <row r="372" spans="1:27" s="2" customFormat="1" x14ac:dyDescent="0.2">
      <c r="A372" s="16" t="s">
        <v>99</v>
      </c>
      <c r="B372" s="17">
        <v>44931</v>
      </c>
      <c r="C372" s="19">
        <v>49185.479999999996</v>
      </c>
      <c r="D372" s="52">
        <v>49163.53</v>
      </c>
      <c r="E372" s="52">
        <v>21.95</v>
      </c>
      <c r="F372" s="157">
        <v>162</v>
      </c>
      <c r="G372" s="157">
        <v>214</v>
      </c>
      <c r="H372" s="35">
        <v>303.61407407407404</v>
      </c>
      <c r="I372" s="19">
        <v>816.79290322580653</v>
      </c>
      <c r="J372" s="111">
        <v>60.217810176544127</v>
      </c>
      <c r="K372" s="53">
        <v>5412</v>
      </c>
      <c r="L372" s="54">
        <v>2.9933481152993349E-2</v>
      </c>
      <c r="M372" s="57"/>
      <c r="N372" s="69">
        <v>383.58</v>
      </c>
      <c r="O372" s="70">
        <f>SUMIF(Facebook!A:A,'Compilado 2023'!B:B,Facebook!B:B)</f>
        <v>190.8</v>
      </c>
      <c r="P372" s="70">
        <v>0</v>
      </c>
      <c r="Q372" s="70">
        <v>51.612903225806448</v>
      </c>
      <c r="R372" s="202">
        <f>IFERROR(VLOOKUP($B:$B,Tabela_Linkedin[],2,),0)</f>
        <v>0</v>
      </c>
      <c r="S372" s="70">
        <f>SUMIF(TikTok!A:A,'Compilado 2023'!B:B,TikTok!B:B)</f>
        <v>0</v>
      </c>
      <c r="T372" s="70">
        <v>0</v>
      </c>
      <c r="U372" s="70">
        <v>0</v>
      </c>
      <c r="V372" s="57"/>
      <c r="W372" s="70">
        <v>0</v>
      </c>
      <c r="X372" s="70">
        <v>0</v>
      </c>
      <c r="Y372" s="70">
        <v>0</v>
      </c>
      <c r="Z372" s="38"/>
      <c r="AA372" s="40"/>
    </row>
    <row r="373" spans="1:27" s="2" customFormat="1" x14ac:dyDescent="0.2">
      <c r="A373" s="16" t="s">
        <v>100</v>
      </c>
      <c r="B373" s="17">
        <v>44932</v>
      </c>
      <c r="C373" s="19">
        <v>51769.86</v>
      </c>
      <c r="D373" s="52">
        <v>51769.86</v>
      </c>
      <c r="E373" s="52">
        <v>0</v>
      </c>
      <c r="F373" s="157">
        <v>165</v>
      </c>
      <c r="G373" s="157">
        <v>208</v>
      </c>
      <c r="H373" s="35">
        <v>313.75672727272729</v>
      </c>
      <c r="I373" s="19">
        <v>1016.9929032258065</v>
      </c>
      <c r="J373" s="111">
        <v>50.904838997195398</v>
      </c>
      <c r="K373" s="53">
        <v>5139</v>
      </c>
      <c r="L373" s="54">
        <v>3.2107413893753649E-2</v>
      </c>
      <c r="M373" s="57"/>
      <c r="N373" s="69">
        <v>256.48</v>
      </c>
      <c r="O373" s="70">
        <f>SUMIF(Facebook!A:A,'Compilado 2023'!B:B,Facebook!B:B)</f>
        <v>354.45</v>
      </c>
      <c r="P373" s="70">
        <v>0</v>
      </c>
      <c r="Q373" s="70">
        <v>51.612903225806448</v>
      </c>
      <c r="R373" s="202">
        <f>IFERROR(VLOOKUP($B:$B,Tabela_Linkedin[],2,),0)</f>
        <v>0</v>
      </c>
      <c r="S373" s="70">
        <f>SUMIF(TikTok!A:A,'Compilado 2023'!B:B,TikTok!B:B)</f>
        <v>0</v>
      </c>
      <c r="T373" s="70">
        <v>0</v>
      </c>
      <c r="U373" s="70">
        <v>0</v>
      </c>
      <c r="V373" s="57"/>
      <c r="W373" s="70">
        <v>0</v>
      </c>
      <c r="X373" s="70">
        <v>0</v>
      </c>
      <c r="Y373" s="70">
        <v>0</v>
      </c>
      <c r="Z373" s="38"/>
      <c r="AA373" s="40"/>
    </row>
    <row r="374" spans="1:27" s="2" customFormat="1" x14ac:dyDescent="0.2">
      <c r="A374" s="16" t="s">
        <v>94</v>
      </c>
      <c r="B374" s="17">
        <v>44933</v>
      </c>
      <c r="C374" s="19">
        <v>29276.06</v>
      </c>
      <c r="D374" s="52">
        <v>29276.06</v>
      </c>
      <c r="E374" s="52">
        <v>0</v>
      </c>
      <c r="F374" s="157">
        <v>97</v>
      </c>
      <c r="G374" s="157">
        <v>114</v>
      </c>
      <c r="H374" s="35">
        <v>301.81505154639177</v>
      </c>
      <c r="I374" s="19">
        <v>619.51290322580644</v>
      </c>
      <c r="J374" s="111">
        <v>47.256578269087576</v>
      </c>
      <c r="K374" s="53">
        <v>3680</v>
      </c>
      <c r="L374" s="54">
        <v>2.6358695652173914E-2</v>
      </c>
      <c r="M374" s="57"/>
      <c r="N374" s="69">
        <v>184.02</v>
      </c>
      <c r="O374" s="70">
        <f>SUMIF(Facebook!A:A,'Compilado 2023'!B:B,Facebook!B:B)</f>
        <v>191.94</v>
      </c>
      <c r="P374" s="70">
        <v>0</v>
      </c>
      <c r="Q374" s="70">
        <v>51.612903225806448</v>
      </c>
      <c r="R374" s="202">
        <f>IFERROR(VLOOKUP($B:$B,Tabela_Linkedin[],2,),0)</f>
        <v>0</v>
      </c>
      <c r="S374" s="70">
        <f>SUMIF(TikTok!A:A,'Compilado 2023'!B:B,TikTok!B:B)</f>
        <v>0</v>
      </c>
      <c r="T374" s="70">
        <v>0</v>
      </c>
      <c r="U374" s="70">
        <v>0</v>
      </c>
      <c r="V374" s="57"/>
      <c r="W374" s="70">
        <v>0</v>
      </c>
      <c r="X374" s="70">
        <v>0</v>
      </c>
      <c r="Y374" s="70">
        <v>0</v>
      </c>
      <c r="Z374" s="38"/>
      <c r="AA374" s="40"/>
    </row>
    <row r="375" spans="1:27" s="2" customFormat="1" x14ac:dyDescent="0.2">
      <c r="A375" s="16" t="s">
        <v>95</v>
      </c>
      <c r="B375" s="17">
        <v>44934</v>
      </c>
      <c r="C375" s="19">
        <v>20412</v>
      </c>
      <c r="D375" s="52">
        <v>20384.97</v>
      </c>
      <c r="E375" s="52">
        <v>27.03</v>
      </c>
      <c r="F375" s="157">
        <v>75</v>
      </c>
      <c r="G375" s="157">
        <v>85</v>
      </c>
      <c r="H375" s="35">
        <v>272.16000000000003</v>
      </c>
      <c r="I375" s="19">
        <v>648.75290322580645</v>
      </c>
      <c r="J375" s="111">
        <v>31.463443012748034</v>
      </c>
      <c r="K375" s="53">
        <v>3001</v>
      </c>
      <c r="L375" s="54">
        <v>2.4991669443518827E-2</v>
      </c>
      <c r="M375" s="57"/>
      <c r="N375" s="69">
        <v>209.58</v>
      </c>
      <c r="O375" s="70">
        <f>SUMIF(Facebook!A:A,'Compilado 2023'!B:B,Facebook!B:B)</f>
        <v>193.78</v>
      </c>
      <c r="P375" s="70">
        <v>0</v>
      </c>
      <c r="Q375" s="70">
        <v>51.612903225806448</v>
      </c>
      <c r="R375" s="202">
        <f>IFERROR(VLOOKUP($B:$B,Tabela_Linkedin[],2,),0)</f>
        <v>0</v>
      </c>
      <c r="S375" s="70">
        <f>SUMIF(TikTok!A:A,'Compilado 2023'!B:B,TikTok!B:B)</f>
        <v>0</v>
      </c>
      <c r="T375" s="70">
        <v>0</v>
      </c>
      <c r="U375" s="70">
        <v>0</v>
      </c>
      <c r="V375" s="57"/>
      <c r="W375" s="70">
        <v>0</v>
      </c>
      <c r="X375" s="70">
        <v>0</v>
      </c>
      <c r="Y375" s="70">
        <v>0</v>
      </c>
      <c r="Z375" s="38"/>
      <c r="AA375" s="40"/>
    </row>
    <row r="376" spans="1:27" s="2" customFormat="1" x14ac:dyDescent="0.2">
      <c r="A376" s="16" t="s">
        <v>96</v>
      </c>
      <c r="B376" s="17">
        <v>44935</v>
      </c>
      <c r="C376" s="19">
        <v>85246.720000000001</v>
      </c>
      <c r="D376" s="52">
        <v>85221.85</v>
      </c>
      <c r="E376" s="52">
        <v>24.87</v>
      </c>
      <c r="F376" s="157">
        <v>404</v>
      </c>
      <c r="G376" s="157">
        <v>621</v>
      </c>
      <c r="H376" s="35">
        <v>211.00673267326732</v>
      </c>
      <c r="I376" s="19">
        <v>958.97290322580648</v>
      </c>
      <c r="J376" s="111">
        <v>88.893773445783395</v>
      </c>
      <c r="K376" s="53">
        <v>5670</v>
      </c>
      <c r="L376" s="54">
        <v>7.1252204585537923E-2</v>
      </c>
      <c r="M376" s="57"/>
      <c r="N376" s="69">
        <v>347.26</v>
      </c>
      <c r="O376" s="70">
        <f>SUMIF(Facebook!A:A,'Compilado 2023'!B:B,Facebook!B:B)</f>
        <v>280.05</v>
      </c>
      <c r="P376" s="70">
        <v>0</v>
      </c>
      <c r="Q376" s="70">
        <v>51.612903225806448</v>
      </c>
      <c r="R376" s="202">
        <f>IFERROR(VLOOKUP($B:$B,Tabela_Linkedin[],2,),0)</f>
        <v>0</v>
      </c>
      <c r="S376" s="70">
        <f>SUMIF(TikTok!A:A,'Compilado 2023'!B:B,TikTok!B:B)</f>
        <v>0</v>
      </c>
      <c r="T376" s="70">
        <v>0</v>
      </c>
      <c r="U376" s="70">
        <v>0</v>
      </c>
      <c r="V376" s="57"/>
      <c r="W376" s="70">
        <v>0</v>
      </c>
      <c r="X376" s="70">
        <v>0</v>
      </c>
      <c r="Y376" s="70">
        <v>0</v>
      </c>
      <c r="Z376" s="38"/>
      <c r="AA376" s="40"/>
    </row>
    <row r="377" spans="1:27" s="2" customFormat="1" x14ac:dyDescent="0.2">
      <c r="A377" s="16" t="s">
        <v>97</v>
      </c>
      <c r="B377" s="17">
        <v>44936</v>
      </c>
      <c r="C377" s="19">
        <v>49229.68</v>
      </c>
      <c r="D377" s="52">
        <v>49229.68</v>
      </c>
      <c r="E377" s="52">
        <v>0</v>
      </c>
      <c r="F377" s="157">
        <v>156</v>
      </c>
      <c r="G377" s="157">
        <v>259</v>
      </c>
      <c r="H377" s="35">
        <v>315.5748717948718</v>
      </c>
      <c r="I377" s="19">
        <v>696.0729032258065</v>
      </c>
      <c r="J377" s="111">
        <v>70.724890700176928</v>
      </c>
      <c r="K377" s="53">
        <v>64</v>
      </c>
      <c r="L377" s="54">
        <v>2.4375</v>
      </c>
      <c r="M377" s="57"/>
      <c r="N377" s="69">
        <v>78.040000000000006</v>
      </c>
      <c r="O377" s="70">
        <f>SUMIF(Facebook!A:A,'Compilado 2023'!B:B,Facebook!B:B)</f>
        <v>179.64</v>
      </c>
      <c r="P377" s="70">
        <v>0</v>
      </c>
      <c r="Q377" s="70">
        <v>51.612903225806448</v>
      </c>
      <c r="R377" s="202">
        <f>IFERROR(VLOOKUP($B:$B,Tabela_Linkedin[],2,),0)</f>
        <v>0</v>
      </c>
      <c r="S377" s="70">
        <f>SUMIF(TikTok!A:A,'Compilado 2023'!B:B,TikTok!B:B)</f>
        <v>0</v>
      </c>
      <c r="T377" s="70">
        <v>0</v>
      </c>
      <c r="U377" s="70">
        <v>0</v>
      </c>
      <c r="V377" s="57"/>
      <c r="W377" s="70">
        <v>0</v>
      </c>
      <c r="X377" s="70">
        <v>0</v>
      </c>
      <c r="Y377" s="70">
        <v>0</v>
      </c>
      <c r="Z377" s="38"/>
      <c r="AA377" s="40"/>
    </row>
    <row r="378" spans="1:27" s="2" customFormat="1" x14ac:dyDescent="0.2">
      <c r="A378" s="16" t="s">
        <v>98</v>
      </c>
      <c r="B378" s="17">
        <v>44937</v>
      </c>
      <c r="C378" s="19">
        <v>48477.84</v>
      </c>
      <c r="D378" s="52">
        <v>48477.84</v>
      </c>
      <c r="E378" s="52">
        <v>0</v>
      </c>
      <c r="F378" s="157">
        <v>155</v>
      </c>
      <c r="G378" s="157">
        <v>178</v>
      </c>
      <c r="H378" s="35">
        <v>312.76025806451611</v>
      </c>
      <c r="I378" s="19">
        <v>690.21290322580649</v>
      </c>
      <c r="J378" s="111">
        <v>70.236067412579558</v>
      </c>
      <c r="K378" s="53">
        <v>39</v>
      </c>
      <c r="L378" s="54">
        <v>3.9743589743589745</v>
      </c>
      <c r="M378" s="57"/>
      <c r="N378" s="69">
        <v>108.64</v>
      </c>
      <c r="O378" s="70">
        <f>SUMIF(Facebook!A:A,'Compilado 2023'!B:B,Facebook!B:B)</f>
        <v>161</v>
      </c>
      <c r="P378" s="70">
        <v>0</v>
      </c>
      <c r="Q378" s="70">
        <v>51.612903225806448</v>
      </c>
      <c r="R378" s="202">
        <f>IFERROR(VLOOKUP($B:$B,Tabela_Linkedin[],2,),0)</f>
        <v>0</v>
      </c>
      <c r="S378" s="70">
        <f>SUMIF(TikTok!A:A,'Compilado 2023'!B:B,TikTok!B:B)</f>
        <v>0</v>
      </c>
      <c r="T378" s="70">
        <v>0</v>
      </c>
      <c r="U378" s="70">
        <v>0</v>
      </c>
      <c r="V378" s="57"/>
      <c r="W378" s="70">
        <v>0</v>
      </c>
      <c r="X378" s="70">
        <v>0</v>
      </c>
      <c r="Y378" s="70">
        <v>0</v>
      </c>
      <c r="Z378" s="38"/>
      <c r="AA378" s="40"/>
    </row>
    <row r="379" spans="1:27" s="2" customFormat="1" x14ac:dyDescent="0.2">
      <c r="A379" s="16" t="s">
        <v>99</v>
      </c>
      <c r="B379" s="17">
        <v>44938</v>
      </c>
      <c r="C379" s="19">
        <v>44063.81</v>
      </c>
      <c r="D379" s="52">
        <v>44035.32</v>
      </c>
      <c r="E379" s="52">
        <v>28.49</v>
      </c>
      <c r="F379" s="157">
        <v>147</v>
      </c>
      <c r="G379" s="157">
        <v>180</v>
      </c>
      <c r="H379" s="35">
        <v>299.75380952380948</v>
      </c>
      <c r="I379" s="19">
        <v>801.53290322580654</v>
      </c>
      <c r="J379" s="111">
        <v>54.974424409357546</v>
      </c>
      <c r="K379" s="53">
        <v>25</v>
      </c>
      <c r="L379" s="54">
        <v>5.88</v>
      </c>
      <c r="M379" s="57"/>
      <c r="N379" s="69">
        <v>474.2</v>
      </c>
      <c r="O379" s="70">
        <f>SUMIF(Facebook!A:A,'Compilado 2023'!B:B,Facebook!B:B)</f>
        <v>195</v>
      </c>
      <c r="P379" s="70">
        <v>0</v>
      </c>
      <c r="Q379" s="70">
        <v>51.612903225806448</v>
      </c>
      <c r="R379" s="202">
        <f>IFERROR(VLOOKUP($B:$B,Tabela_Linkedin[],2,),0)</f>
        <v>0</v>
      </c>
      <c r="S379" s="70">
        <f>SUMIF(TikTok!A:A,'Compilado 2023'!B:B,TikTok!B:B)</f>
        <v>0</v>
      </c>
      <c r="T379" s="70">
        <v>0</v>
      </c>
      <c r="U379" s="70">
        <v>0</v>
      </c>
      <c r="V379" s="57"/>
      <c r="W379" s="70">
        <v>0</v>
      </c>
      <c r="X379" s="70">
        <v>0</v>
      </c>
      <c r="Y379" s="70">
        <v>0</v>
      </c>
      <c r="Z379" s="38"/>
      <c r="AA379" s="40"/>
    </row>
    <row r="380" spans="1:27" s="2" customFormat="1" x14ac:dyDescent="0.2">
      <c r="A380" s="16" t="s">
        <v>100</v>
      </c>
      <c r="B380" s="17">
        <v>44939</v>
      </c>
      <c r="C380" s="19">
        <v>52188.93</v>
      </c>
      <c r="D380" s="52">
        <v>52163.22</v>
      </c>
      <c r="E380" s="52">
        <v>25.71</v>
      </c>
      <c r="F380" s="157">
        <v>172</v>
      </c>
      <c r="G380" s="157">
        <v>197</v>
      </c>
      <c r="H380" s="35">
        <v>303.42401162790696</v>
      </c>
      <c r="I380" s="19">
        <v>732.24290322580646</v>
      </c>
      <c r="J380" s="111">
        <v>71.272701681488556</v>
      </c>
      <c r="K380" s="53">
        <v>14</v>
      </c>
      <c r="L380" s="54">
        <v>12.285714285714286</v>
      </c>
      <c r="M380" s="57"/>
      <c r="N380" s="69">
        <v>984.16</v>
      </c>
      <c r="O380" s="70">
        <f>SUMIF(Facebook!A:A,'Compilado 2023'!B:B,Facebook!B:B)</f>
        <v>198.73</v>
      </c>
      <c r="P380" s="70">
        <v>0</v>
      </c>
      <c r="Q380" s="70">
        <v>51.612903225806448</v>
      </c>
      <c r="R380" s="202">
        <f>IFERROR(VLOOKUP($B:$B,Tabela_Linkedin[],2,),0)</f>
        <v>0</v>
      </c>
      <c r="S380" s="70">
        <f>SUMIF(TikTok!A:A,'Compilado 2023'!B:B,TikTok!B:B)</f>
        <v>0</v>
      </c>
      <c r="T380" s="70">
        <v>0</v>
      </c>
      <c r="U380" s="70">
        <v>0</v>
      </c>
      <c r="V380" s="57"/>
      <c r="W380" s="70">
        <v>0</v>
      </c>
      <c r="X380" s="70">
        <v>0</v>
      </c>
      <c r="Y380" s="70">
        <v>0</v>
      </c>
      <c r="Z380" s="38"/>
      <c r="AA380" s="40"/>
    </row>
    <row r="381" spans="1:27" s="2" customFormat="1" x14ac:dyDescent="0.2">
      <c r="A381" s="16" t="s">
        <v>94</v>
      </c>
      <c r="B381" s="17">
        <v>44940</v>
      </c>
      <c r="C381" s="19">
        <v>29397.59</v>
      </c>
      <c r="D381" s="52">
        <v>29397.59</v>
      </c>
      <c r="E381" s="52">
        <v>0</v>
      </c>
      <c r="F381" s="157">
        <v>99</v>
      </c>
      <c r="G381" s="157">
        <v>123</v>
      </c>
      <c r="H381" s="35">
        <v>296.94535353535355</v>
      </c>
      <c r="I381" s="19">
        <v>643.10290322580647</v>
      </c>
      <c r="J381" s="111">
        <v>45.712108983712533</v>
      </c>
      <c r="K381" s="53">
        <v>9</v>
      </c>
      <c r="L381" s="54">
        <v>11</v>
      </c>
      <c r="M381" s="57"/>
      <c r="N381" s="69">
        <v>1263.3599999999999</v>
      </c>
      <c r="O381" s="70">
        <f>SUMIF(Facebook!A:A,'Compilado 2023'!B:B,Facebook!B:B)</f>
        <v>210.06</v>
      </c>
      <c r="P381" s="70">
        <v>0</v>
      </c>
      <c r="Q381" s="70">
        <v>51.612903225806448</v>
      </c>
      <c r="R381" s="202">
        <f>IFERROR(VLOOKUP($B:$B,Tabela_Linkedin[],2,),0)</f>
        <v>0</v>
      </c>
      <c r="S381" s="70">
        <f>SUMIF(TikTok!A:A,'Compilado 2023'!B:B,TikTok!B:B)</f>
        <v>0</v>
      </c>
      <c r="T381" s="70">
        <v>0</v>
      </c>
      <c r="U381" s="70">
        <v>0</v>
      </c>
      <c r="V381" s="57"/>
      <c r="W381" s="70">
        <v>0</v>
      </c>
      <c r="X381" s="70">
        <v>0</v>
      </c>
      <c r="Y381" s="70">
        <v>0</v>
      </c>
      <c r="Z381" s="38"/>
      <c r="AA381" s="40"/>
    </row>
    <row r="382" spans="1:27" s="2" customFormat="1" x14ac:dyDescent="0.2">
      <c r="A382" s="16" t="s">
        <v>95</v>
      </c>
      <c r="B382" s="17">
        <v>44941</v>
      </c>
      <c r="C382" s="19">
        <v>19339.43</v>
      </c>
      <c r="D382" s="52">
        <v>19339.43</v>
      </c>
      <c r="E382" s="52">
        <v>0</v>
      </c>
      <c r="F382" s="157">
        <v>62</v>
      </c>
      <c r="G382" s="157">
        <v>74</v>
      </c>
      <c r="H382" s="35">
        <v>311.92629032258066</v>
      </c>
      <c r="I382" s="19">
        <v>642.91290322580642</v>
      </c>
      <c r="J382" s="111">
        <v>30.080948605891535</v>
      </c>
      <c r="K382" s="53">
        <v>10</v>
      </c>
      <c r="L382" s="54">
        <v>6.2</v>
      </c>
      <c r="M382" s="57"/>
      <c r="N382" s="69">
        <v>732.43</v>
      </c>
      <c r="O382" s="70">
        <f>SUMIF(Facebook!A:A,'Compilado 2023'!B:B,Facebook!B:B)</f>
        <v>224.39</v>
      </c>
      <c r="P382" s="70">
        <v>0</v>
      </c>
      <c r="Q382" s="70">
        <v>51.612903225806448</v>
      </c>
      <c r="R382" s="202">
        <f>IFERROR(VLOOKUP($B:$B,Tabela_Linkedin[],2,),0)</f>
        <v>0</v>
      </c>
      <c r="S382" s="70">
        <f>SUMIF(TikTok!A:A,'Compilado 2023'!B:B,TikTok!B:B)</f>
        <v>0</v>
      </c>
      <c r="T382" s="70">
        <v>0</v>
      </c>
      <c r="U382" s="70">
        <v>0</v>
      </c>
      <c r="V382" s="57"/>
      <c r="W382" s="70">
        <v>0</v>
      </c>
      <c r="X382" s="70">
        <v>0</v>
      </c>
      <c r="Y382" s="70">
        <v>0</v>
      </c>
      <c r="Z382" s="38"/>
      <c r="AA382" s="40"/>
    </row>
    <row r="383" spans="1:27" s="2" customFormat="1" x14ac:dyDescent="0.2">
      <c r="A383" s="16" t="s">
        <v>96</v>
      </c>
      <c r="B383" s="17">
        <v>44942</v>
      </c>
      <c r="C383" s="19">
        <v>51975.040000000001</v>
      </c>
      <c r="D383" s="52">
        <v>51975.040000000001</v>
      </c>
      <c r="E383" s="52">
        <v>0</v>
      </c>
      <c r="F383" s="157">
        <v>179</v>
      </c>
      <c r="G383" s="157">
        <v>210</v>
      </c>
      <c r="H383" s="35">
        <v>290.36335195530728</v>
      </c>
      <c r="I383" s="19">
        <v>882.0729032258065</v>
      </c>
      <c r="J383" s="111">
        <v>58.923746336525468</v>
      </c>
      <c r="K383" s="53">
        <v>18</v>
      </c>
      <c r="L383" s="54">
        <v>9.9444444444444446</v>
      </c>
      <c r="M383" s="57"/>
      <c r="N383" s="69">
        <v>857.78</v>
      </c>
      <c r="O383" s="70">
        <f>SUMIF(Facebook!A:A,'Compilado 2023'!B:B,Facebook!B:B)</f>
        <v>318.97000000000003</v>
      </c>
      <c r="P383" s="70">
        <v>0</v>
      </c>
      <c r="Q383" s="70">
        <v>51.612903225806448</v>
      </c>
      <c r="R383" s="202">
        <f>IFERROR(VLOOKUP($B:$B,Tabela_Linkedin[],2,),0)</f>
        <v>0</v>
      </c>
      <c r="S383" s="70">
        <f>SUMIF(TikTok!A:A,'Compilado 2023'!B:B,TikTok!B:B)</f>
        <v>0</v>
      </c>
      <c r="T383" s="70">
        <v>0</v>
      </c>
      <c r="U383" s="70">
        <v>0</v>
      </c>
      <c r="V383" s="57"/>
      <c r="W383" s="70">
        <v>0</v>
      </c>
      <c r="X383" s="70">
        <v>0</v>
      </c>
      <c r="Y383" s="70">
        <v>0</v>
      </c>
      <c r="Z383" s="38"/>
      <c r="AA383" s="40"/>
    </row>
    <row r="384" spans="1:27" s="2" customFormat="1" x14ac:dyDescent="0.2">
      <c r="A384" s="16" t="s">
        <v>97</v>
      </c>
      <c r="B384" s="17">
        <v>44943</v>
      </c>
      <c r="C384" s="19">
        <v>50484.39</v>
      </c>
      <c r="D384" s="52">
        <v>50459.519999999997</v>
      </c>
      <c r="E384" s="52">
        <v>24.87</v>
      </c>
      <c r="F384" s="157">
        <v>163</v>
      </c>
      <c r="G384" s="157">
        <v>193</v>
      </c>
      <c r="H384" s="35">
        <v>309.72018404907976</v>
      </c>
      <c r="I384" s="19">
        <v>908.74290322580657</v>
      </c>
      <c r="J384" s="111">
        <v>55.554095466157953</v>
      </c>
      <c r="K384" s="53">
        <v>18</v>
      </c>
      <c r="L384" s="54">
        <v>9.0555555555555554</v>
      </c>
      <c r="M384" s="57"/>
      <c r="N384" s="69">
        <v>1118.21</v>
      </c>
      <c r="O384" s="70">
        <f>SUMIF(Facebook!A:A,'Compilado 2023'!B:B,Facebook!B:B)</f>
        <v>356.66</v>
      </c>
      <c r="P384" s="70">
        <v>0</v>
      </c>
      <c r="Q384" s="70">
        <v>51.612903225806448</v>
      </c>
      <c r="R384" s="202">
        <f>IFERROR(VLOOKUP($B:$B,Tabela_Linkedin[],2,),0)</f>
        <v>0</v>
      </c>
      <c r="S384" s="70">
        <f>SUMIF(TikTok!A:A,'Compilado 2023'!B:B,TikTok!B:B)</f>
        <v>0</v>
      </c>
      <c r="T384" s="70">
        <v>0</v>
      </c>
      <c r="U384" s="70">
        <v>0</v>
      </c>
      <c r="V384" s="57"/>
      <c r="W384" s="70">
        <v>0</v>
      </c>
      <c r="X384" s="70">
        <v>0</v>
      </c>
      <c r="Y384" s="70">
        <v>0</v>
      </c>
      <c r="Z384" s="38"/>
      <c r="AA384" s="40"/>
    </row>
    <row r="385" spans="1:27" s="2" customFormat="1" x14ac:dyDescent="0.2">
      <c r="A385" s="16" t="s">
        <v>98</v>
      </c>
      <c r="B385" s="17">
        <v>44944</v>
      </c>
      <c r="C385" s="19">
        <v>41546.6</v>
      </c>
      <c r="D385" s="52">
        <v>41522.589999999997</v>
      </c>
      <c r="E385" s="52">
        <v>24.01</v>
      </c>
      <c r="F385" s="157">
        <v>137</v>
      </c>
      <c r="G385" s="157">
        <v>166</v>
      </c>
      <c r="H385" s="35">
        <v>303.25985401459855</v>
      </c>
      <c r="I385" s="19">
        <v>885.56290322580651</v>
      </c>
      <c r="J385" s="111">
        <v>46.915470203934433</v>
      </c>
      <c r="K385" s="53">
        <v>17</v>
      </c>
      <c r="L385" s="54">
        <v>8.0588235294117645</v>
      </c>
      <c r="M385" s="57"/>
      <c r="N385" s="69">
        <v>1777.04</v>
      </c>
      <c r="O385" s="70">
        <f>SUMIF(Facebook!A:A,'Compilado 2023'!B:B,Facebook!B:B)</f>
        <v>347.18</v>
      </c>
      <c r="P385" s="70">
        <v>0</v>
      </c>
      <c r="Q385" s="70">
        <v>51.612903225806448</v>
      </c>
      <c r="R385" s="202">
        <f>IFERROR(VLOOKUP($B:$B,Tabela_Linkedin[],2,),0)</f>
        <v>0</v>
      </c>
      <c r="S385" s="70">
        <f>SUMIF(TikTok!A:A,'Compilado 2023'!B:B,TikTok!B:B)</f>
        <v>0</v>
      </c>
      <c r="T385" s="70">
        <v>0</v>
      </c>
      <c r="U385" s="70">
        <v>0</v>
      </c>
      <c r="V385" s="57"/>
      <c r="W385" s="70">
        <v>0</v>
      </c>
      <c r="X385" s="70">
        <v>0</v>
      </c>
      <c r="Y385" s="70">
        <v>0</v>
      </c>
      <c r="Z385" s="38"/>
      <c r="AA385" s="40"/>
    </row>
    <row r="386" spans="1:27" s="2" customFormat="1" x14ac:dyDescent="0.2">
      <c r="A386" s="16" t="s">
        <v>99</v>
      </c>
      <c r="B386" s="17">
        <v>44945</v>
      </c>
      <c r="C386" s="19">
        <v>48606.590000000004</v>
      </c>
      <c r="D386" s="52">
        <v>48554.23</v>
      </c>
      <c r="E386" s="52">
        <v>52.36</v>
      </c>
      <c r="F386" s="157">
        <v>159</v>
      </c>
      <c r="G386" s="157">
        <v>200</v>
      </c>
      <c r="H386" s="35">
        <v>305.70182389937111</v>
      </c>
      <c r="I386" s="19">
        <v>836.41290322580642</v>
      </c>
      <c r="J386" s="111">
        <v>58.113151784887854</v>
      </c>
      <c r="K386" s="53">
        <v>10</v>
      </c>
      <c r="L386" s="54">
        <v>15.9</v>
      </c>
      <c r="M386" s="57"/>
      <c r="N386" s="69">
        <v>722.46</v>
      </c>
      <c r="O386" s="70">
        <f>SUMIF(Facebook!A:A,'Compilado 2023'!B:B,Facebook!B:B)</f>
        <v>346.07</v>
      </c>
      <c r="P386" s="70">
        <v>0</v>
      </c>
      <c r="Q386" s="70">
        <v>51.612903225806448</v>
      </c>
      <c r="R386" s="202">
        <f>IFERROR(VLOOKUP($B:$B,Tabela_Linkedin[],2,),0)</f>
        <v>0</v>
      </c>
      <c r="S386" s="70">
        <f>SUMIF(TikTok!A:A,'Compilado 2023'!B:B,TikTok!B:B)</f>
        <v>0</v>
      </c>
      <c r="T386" s="70">
        <v>0</v>
      </c>
      <c r="U386" s="70">
        <v>0</v>
      </c>
      <c r="V386" s="57"/>
      <c r="W386" s="70">
        <v>0</v>
      </c>
      <c r="X386" s="70">
        <v>0</v>
      </c>
      <c r="Y386" s="70">
        <v>0</v>
      </c>
      <c r="Z386" s="38"/>
      <c r="AA386" s="40"/>
    </row>
    <row r="387" spans="1:27" s="2" customFormat="1" x14ac:dyDescent="0.2">
      <c r="A387" s="16" t="s">
        <v>100</v>
      </c>
      <c r="B387" s="17">
        <v>44946</v>
      </c>
      <c r="C387" s="19">
        <v>47358.7</v>
      </c>
      <c r="D387" s="52">
        <v>47358.7</v>
      </c>
      <c r="E387" s="52">
        <v>0</v>
      </c>
      <c r="F387" s="157">
        <v>156</v>
      </c>
      <c r="G387" s="157">
        <v>186</v>
      </c>
      <c r="H387" s="35">
        <v>303.58141025641027</v>
      </c>
      <c r="I387" s="19">
        <v>861.91290322580642</v>
      </c>
      <c r="J387" s="111">
        <v>54.946039005512866</v>
      </c>
      <c r="K387" s="53">
        <v>13</v>
      </c>
      <c r="L387" s="54">
        <v>12</v>
      </c>
      <c r="M387" s="57"/>
      <c r="N387" s="69">
        <v>719.38</v>
      </c>
      <c r="O387" s="70">
        <f>SUMIF(Facebook!A:A,'Compilado 2023'!B:B,Facebook!B:B)</f>
        <v>367.83</v>
      </c>
      <c r="P387" s="70">
        <v>0</v>
      </c>
      <c r="Q387" s="70">
        <v>51.612903225806448</v>
      </c>
      <c r="R387" s="202">
        <f>IFERROR(VLOOKUP($B:$B,Tabela_Linkedin[],2,),0)</f>
        <v>0</v>
      </c>
      <c r="S387" s="70">
        <f>SUMIF(TikTok!A:A,'Compilado 2023'!B:B,TikTok!B:B)</f>
        <v>0</v>
      </c>
      <c r="T387" s="70">
        <v>0</v>
      </c>
      <c r="U387" s="70">
        <v>0</v>
      </c>
      <c r="V387" s="57"/>
      <c r="W387" s="70">
        <v>0</v>
      </c>
      <c r="X387" s="70">
        <v>0</v>
      </c>
      <c r="Y387" s="70">
        <v>0</v>
      </c>
      <c r="Z387" s="38"/>
      <c r="AA387" s="40"/>
    </row>
    <row r="388" spans="1:27" s="2" customFormat="1" x14ac:dyDescent="0.2">
      <c r="A388" s="16" t="s">
        <v>94</v>
      </c>
      <c r="B388" s="17">
        <v>44947</v>
      </c>
      <c r="C388" s="19">
        <v>28997.52</v>
      </c>
      <c r="D388" s="52">
        <v>28997.52</v>
      </c>
      <c r="E388" s="52">
        <v>0</v>
      </c>
      <c r="F388" s="157">
        <v>107</v>
      </c>
      <c r="G388" s="157">
        <v>122</v>
      </c>
      <c r="H388" s="35">
        <v>271.00485981308412</v>
      </c>
      <c r="I388" s="19">
        <v>1013.9529032258065</v>
      </c>
      <c r="J388" s="111">
        <v>28.5984880636436</v>
      </c>
      <c r="K388" s="53">
        <v>9</v>
      </c>
      <c r="L388" s="54">
        <v>11.888888888888889</v>
      </c>
      <c r="M388" s="57"/>
      <c r="N388" s="69">
        <v>738.61</v>
      </c>
      <c r="O388" s="70">
        <f>SUMIF(Facebook!A:A,'Compilado 2023'!B:B,Facebook!B:B)</f>
        <v>457.32</v>
      </c>
      <c r="P388" s="70">
        <v>0</v>
      </c>
      <c r="Q388" s="70">
        <v>51.612903225806448</v>
      </c>
      <c r="R388" s="202">
        <f>IFERROR(VLOOKUP($B:$B,Tabela_Linkedin[],2,),0)</f>
        <v>0</v>
      </c>
      <c r="S388" s="70">
        <f>SUMIF(TikTok!A:A,'Compilado 2023'!B:B,TikTok!B:B)</f>
        <v>0</v>
      </c>
      <c r="T388" s="70">
        <v>0</v>
      </c>
      <c r="U388" s="70">
        <v>0</v>
      </c>
      <c r="V388" s="57"/>
      <c r="W388" s="70">
        <v>0</v>
      </c>
      <c r="X388" s="70">
        <v>0</v>
      </c>
      <c r="Y388" s="70">
        <v>0</v>
      </c>
      <c r="Z388" s="38"/>
      <c r="AA388" s="40"/>
    </row>
    <row r="389" spans="1:27" s="2" customFormat="1" x14ac:dyDescent="0.2">
      <c r="A389" s="16" t="s">
        <v>95</v>
      </c>
      <c r="B389" s="17">
        <v>44948</v>
      </c>
      <c r="C389" s="19">
        <v>21080.97</v>
      </c>
      <c r="D389" s="52">
        <v>21080.97</v>
      </c>
      <c r="E389" s="52">
        <v>0</v>
      </c>
      <c r="F389" s="157">
        <v>76</v>
      </c>
      <c r="G389" s="157">
        <v>88</v>
      </c>
      <c r="H389" s="35">
        <v>277.38118421052633</v>
      </c>
      <c r="I389" s="19">
        <v>923.8029032258064</v>
      </c>
      <c r="J389" s="111">
        <v>22.819770241452847</v>
      </c>
      <c r="K389" s="53">
        <v>3</v>
      </c>
      <c r="L389" s="54">
        <v>25.333333333333332</v>
      </c>
      <c r="M389" s="57"/>
      <c r="N389" s="69">
        <v>496.73</v>
      </c>
      <c r="O389" s="70">
        <f>SUMIF(Facebook!A:A,'Compilado 2023'!B:B,Facebook!B:B)</f>
        <v>414.59</v>
      </c>
      <c r="P389" s="70">
        <v>0</v>
      </c>
      <c r="Q389" s="70">
        <v>51.612903225806448</v>
      </c>
      <c r="R389" s="202">
        <f>IFERROR(VLOOKUP($B:$B,Tabela_Linkedin[],2,),0)</f>
        <v>0</v>
      </c>
      <c r="S389" s="70">
        <f>SUMIF(TikTok!A:A,'Compilado 2023'!B:B,TikTok!B:B)</f>
        <v>0</v>
      </c>
      <c r="T389" s="70">
        <v>0</v>
      </c>
      <c r="U389" s="70">
        <v>0</v>
      </c>
      <c r="V389" s="57"/>
      <c r="W389" s="70">
        <v>0</v>
      </c>
      <c r="X389" s="70">
        <v>0</v>
      </c>
      <c r="Y389" s="70">
        <v>0</v>
      </c>
      <c r="Z389" s="38"/>
      <c r="AA389" s="40"/>
    </row>
    <row r="390" spans="1:27" s="2" customFormat="1" x14ac:dyDescent="0.2">
      <c r="A390" s="16" t="s">
        <v>96</v>
      </c>
      <c r="B390" s="17">
        <v>44949</v>
      </c>
      <c r="C390" s="19">
        <v>41285.769999999997</v>
      </c>
      <c r="D390" s="52">
        <v>41285.769999999997</v>
      </c>
      <c r="E390" s="52">
        <v>0</v>
      </c>
      <c r="F390" s="157">
        <v>144</v>
      </c>
      <c r="G390" s="157">
        <v>164</v>
      </c>
      <c r="H390" s="35">
        <v>286.70673611111107</v>
      </c>
      <c r="I390" s="19">
        <v>588.34290322580648</v>
      </c>
      <c r="J390" s="111">
        <v>70.172971873435657</v>
      </c>
      <c r="K390" s="53">
        <v>17</v>
      </c>
      <c r="L390" s="54">
        <v>8.4705882352941178</v>
      </c>
      <c r="M390" s="57"/>
      <c r="N390" s="69">
        <v>353.74</v>
      </c>
      <c r="O390" s="70">
        <f>SUMIF(Facebook!A:A,'Compilado 2023'!B:B,Facebook!B:B)</f>
        <v>240.19</v>
      </c>
      <c r="P390" s="70">
        <v>0</v>
      </c>
      <c r="Q390" s="70">
        <v>51.612903225806448</v>
      </c>
      <c r="R390" s="202">
        <f>IFERROR(VLOOKUP($B:$B,Tabela_Linkedin[],2,),0)</f>
        <v>0</v>
      </c>
      <c r="S390" s="70">
        <f>SUMIF(TikTok!A:A,'Compilado 2023'!B:B,TikTok!B:B)</f>
        <v>0</v>
      </c>
      <c r="T390" s="70">
        <v>0</v>
      </c>
      <c r="U390" s="70">
        <v>0</v>
      </c>
      <c r="V390" s="57"/>
      <c r="W390" s="70">
        <v>0</v>
      </c>
      <c r="X390" s="70">
        <v>0</v>
      </c>
      <c r="Y390" s="70">
        <v>0</v>
      </c>
      <c r="Z390" s="38"/>
      <c r="AA390" s="40"/>
    </row>
    <row r="391" spans="1:27" s="2" customFormat="1" x14ac:dyDescent="0.2">
      <c r="A391" s="16" t="s">
        <v>97</v>
      </c>
      <c r="B391" s="17">
        <v>44950</v>
      </c>
      <c r="C391" s="19">
        <v>37590.089999999997</v>
      </c>
      <c r="D391" s="52">
        <v>37563.42</v>
      </c>
      <c r="E391" s="52">
        <v>26.67</v>
      </c>
      <c r="F391" s="157">
        <v>139</v>
      </c>
      <c r="G391" s="157">
        <v>155</v>
      </c>
      <c r="H391" s="35">
        <v>270.43230215827333</v>
      </c>
      <c r="I391" s="19">
        <v>565.34290322580648</v>
      </c>
      <c r="J391" s="111">
        <v>66.490778933481977</v>
      </c>
      <c r="K391" s="53">
        <v>15</v>
      </c>
      <c r="L391" s="54">
        <v>9.2666666666666675</v>
      </c>
      <c r="M391" s="57"/>
      <c r="N391" s="69">
        <v>374.54</v>
      </c>
      <c r="O391" s="70">
        <f>SUMIF(Facebook!A:A,'Compilado 2023'!B:B,Facebook!B:B)</f>
        <v>222.9</v>
      </c>
      <c r="P391" s="70">
        <v>0</v>
      </c>
      <c r="Q391" s="70">
        <v>51.612903225806448</v>
      </c>
      <c r="R391" s="202">
        <f>IFERROR(VLOOKUP($B:$B,Tabela_Linkedin[],2,),0)</f>
        <v>0</v>
      </c>
      <c r="S391" s="70">
        <f>SUMIF(TikTok!A:A,'Compilado 2023'!B:B,TikTok!B:B)</f>
        <v>0</v>
      </c>
      <c r="T391" s="70">
        <v>0</v>
      </c>
      <c r="U391" s="70">
        <v>0</v>
      </c>
      <c r="V391" s="57"/>
      <c r="W391" s="70">
        <v>0</v>
      </c>
      <c r="X391" s="70">
        <v>0</v>
      </c>
      <c r="Y391" s="70">
        <v>0</v>
      </c>
      <c r="Z391" s="38"/>
      <c r="AA391" s="40"/>
    </row>
    <row r="392" spans="1:27" s="2" customFormat="1" x14ac:dyDescent="0.2">
      <c r="A392" s="16" t="s">
        <v>98</v>
      </c>
      <c r="B392" s="17">
        <v>44951</v>
      </c>
      <c r="C392" s="19">
        <v>30697.73</v>
      </c>
      <c r="D392" s="52">
        <v>30697.73</v>
      </c>
      <c r="E392" s="52">
        <v>0</v>
      </c>
      <c r="F392" s="157">
        <v>119</v>
      </c>
      <c r="G392" s="157">
        <v>135</v>
      </c>
      <c r="H392" s="35">
        <v>257.9641176470588</v>
      </c>
      <c r="I392" s="19">
        <v>519.28290322580642</v>
      </c>
      <c r="J392" s="111">
        <v>59.115618498711314</v>
      </c>
      <c r="K392" s="53">
        <v>8</v>
      </c>
      <c r="L392" s="54">
        <v>14.875</v>
      </c>
      <c r="M392" s="57"/>
      <c r="N392" s="69">
        <v>415.31</v>
      </c>
      <c r="O392" s="70">
        <f>SUMIF(Facebook!A:A,'Compilado 2023'!B:B,Facebook!B:B)</f>
        <v>207.91</v>
      </c>
      <c r="P392" s="70">
        <v>0</v>
      </c>
      <c r="Q392" s="70">
        <v>51.612903225806448</v>
      </c>
      <c r="R392" s="202">
        <f>IFERROR(VLOOKUP($B:$B,Tabela_Linkedin[],2,),0)</f>
        <v>0</v>
      </c>
      <c r="S392" s="70">
        <f>SUMIF(TikTok!A:A,'Compilado 2023'!B:B,TikTok!B:B)</f>
        <v>0</v>
      </c>
      <c r="T392" s="70">
        <v>0</v>
      </c>
      <c r="U392" s="70">
        <v>0</v>
      </c>
      <c r="V392" s="57"/>
      <c r="W392" s="70">
        <v>0</v>
      </c>
      <c r="X392" s="70">
        <v>0</v>
      </c>
      <c r="Y392" s="70">
        <v>0</v>
      </c>
      <c r="Z392" s="38"/>
      <c r="AA392" s="40"/>
    </row>
    <row r="393" spans="1:27" s="2" customFormat="1" x14ac:dyDescent="0.2">
      <c r="A393" s="16" t="s">
        <v>99</v>
      </c>
      <c r="B393" s="17">
        <v>44952</v>
      </c>
      <c r="C393" s="19">
        <v>43594.71</v>
      </c>
      <c r="D393" s="52">
        <v>43594.71</v>
      </c>
      <c r="E393" s="52">
        <v>0</v>
      </c>
      <c r="F393" s="157">
        <v>157</v>
      </c>
      <c r="G393" s="157">
        <v>186</v>
      </c>
      <c r="H393" s="35">
        <v>277.67331210191082</v>
      </c>
      <c r="I393" s="19">
        <v>952.92290322580641</v>
      </c>
      <c r="J393" s="111">
        <v>45.748412439688956</v>
      </c>
      <c r="K393" s="53">
        <v>5</v>
      </c>
      <c r="L393" s="54">
        <v>31.4</v>
      </c>
      <c r="M393" s="57"/>
      <c r="N393" s="69">
        <v>556.47</v>
      </c>
      <c r="O393" s="70">
        <f>SUMIF(Facebook!A:A,'Compilado 2023'!B:B,Facebook!B:B)</f>
        <v>408.94</v>
      </c>
      <c r="P393" s="70">
        <v>0</v>
      </c>
      <c r="Q393" s="70">
        <v>51.612903225806448</v>
      </c>
      <c r="R393" s="202">
        <f>IFERROR(VLOOKUP($B:$B,Tabela_Linkedin[],2,),0)</f>
        <v>0</v>
      </c>
      <c r="S393" s="70">
        <f>SUMIF(TikTok!A:A,'Compilado 2023'!B:B,TikTok!B:B)</f>
        <v>0</v>
      </c>
      <c r="T393" s="70">
        <v>0</v>
      </c>
      <c r="U393" s="70">
        <v>0</v>
      </c>
      <c r="V393" s="57"/>
      <c r="W393" s="70">
        <v>0</v>
      </c>
      <c r="X393" s="70">
        <v>0</v>
      </c>
      <c r="Y393" s="70">
        <v>0</v>
      </c>
      <c r="Z393" s="38"/>
      <c r="AA393" s="40"/>
    </row>
    <row r="394" spans="1:27" s="2" customFormat="1" x14ac:dyDescent="0.2">
      <c r="A394" s="16" t="s">
        <v>100</v>
      </c>
      <c r="B394" s="17">
        <v>44953</v>
      </c>
      <c r="C394" s="19">
        <v>49211.27</v>
      </c>
      <c r="D394" s="52">
        <v>49211.27</v>
      </c>
      <c r="E394" s="52">
        <v>0</v>
      </c>
      <c r="F394" s="157">
        <v>170</v>
      </c>
      <c r="G394" s="157">
        <v>207</v>
      </c>
      <c r="H394" s="35">
        <v>289.47805882352941</v>
      </c>
      <c r="I394" s="19">
        <v>1124.5929032258064</v>
      </c>
      <c r="J394" s="111">
        <v>43.759185976402073</v>
      </c>
      <c r="K394" s="53">
        <v>4</v>
      </c>
      <c r="L394" s="54">
        <v>42.5</v>
      </c>
      <c r="M394" s="57"/>
      <c r="N394" s="69">
        <v>533.99</v>
      </c>
      <c r="O394" s="70">
        <f>SUMIF(Facebook!A:A,'Compilado 2023'!B:B,Facebook!B:B)</f>
        <v>494.25</v>
      </c>
      <c r="P394" s="70">
        <v>0</v>
      </c>
      <c r="Q394" s="70">
        <v>51.612903225806448</v>
      </c>
      <c r="R394" s="202">
        <f>IFERROR(VLOOKUP($B:$B,Tabela_Linkedin[],2,),0)</f>
        <v>0</v>
      </c>
      <c r="S394" s="70">
        <f>SUMIF(TikTok!A:A,'Compilado 2023'!B:B,TikTok!B:B)</f>
        <v>0</v>
      </c>
      <c r="T394" s="70">
        <v>0</v>
      </c>
      <c r="U394" s="70">
        <v>0</v>
      </c>
      <c r="V394" s="57"/>
      <c r="W394" s="70">
        <v>0</v>
      </c>
      <c r="X394" s="70">
        <v>0</v>
      </c>
      <c r="Y394" s="70">
        <v>0</v>
      </c>
      <c r="Z394" s="38"/>
      <c r="AA394" s="40"/>
    </row>
    <row r="395" spans="1:27" s="2" customFormat="1" x14ac:dyDescent="0.2">
      <c r="A395" s="16" t="s">
        <v>94</v>
      </c>
      <c r="B395" s="17">
        <v>44954</v>
      </c>
      <c r="C395" s="19">
        <v>30886.31</v>
      </c>
      <c r="D395" s="52">
        <v>30886.31</v>
      </c>
      <c r="E395" s="52">
        <v>0</v>
      </c>
      <c r="F395" s="157">
        <v>119</v>
      </c>
      <c r="G395" s="157">
        <v>137</v>
      </c>
      <c r="H395" s="35">
        <v>259.54882352941178</v>
      </c>
      <c r="I395" s="19">
        <v>1211.6629032258063</v>
      </c>
      <c r="J395" s="111">
        <v>25.490843961444618</v>
      </c>
      <c r="K395" s="53">
        <v>2</v>
      </c>
      <c r="L395" s="54">
        <v>59.5</v>
      </c>
      <c r="M395" s="57"/>
      <c r="N395" s="69">
        <v>499.27</v>
      </c>
      <c r="O395" s="70">
        <f>SUMIF(Facebook!A:A,'Compilado 2023'!B:B,Facebook!B:B)</f>
        <v>551.12</v>
      </c>
      <c r="P395" s="70">
        <v>0</v>
      </c>
      <c r="Q395" s="70">
        <v>51.612903225806448</v>
      </c>
      <c r="R395" s="202">
        <f>IFERROR(VLOOKUP($B:$B,Tabela_Linkedin[],2,),0)</f>
        <v>0</v>
      </c>
      <c r="S395" s="70">
        <f>SUMIF(TikTok!A:A,'Compilado 2023'!B:B,TikTok!B:B)</f>
        <v>0</v>
      </c>
      <c r="T395" s="70">
        <v>0</v>
      </c>
      <c r="U395" s="70">
        <v>0</v>
      </c>
      <c r="V395" s="57"/>
      <c r="W395" s="70">
        <v>0</v>
      </c>
      <c r="X395" s="70">
        <v>0</v>
      </c>
      <c r="Y395" s="70">
        <v>0</v>
      </c>
      <c r="Z395" s="38"/>
      <c r="AA395" s="40"/>
    </row>
    <row r="396" spans="1:27" s="2" customFormat="1" x14ac:dyDescent="0.2">
      <c r="A396" s="16" t="s">
        <v>95</v>
      </c>
      <c r="B396" s="17">
        <v>44955</v>
      </c>
      <c r="C396" s="19">
        <v>34177.75</v>
      </c>
      <c r="D396" s="52">
        <v>34177.75</v>
      </c>
      <c r="E396" s="52">
        <v>0</v>
      </c>
      <c r="F396" s="157">
        <v>112</v>
      </c>
      <c r="G396" s="157">
        <v>137</v>
      </c>
      <c r="H396" s="35">
        <v>305.15848214285717</v>
      </c>
      <c r="I396" s="19">
        <v>1058.6629032258063</v>
      </c>
      <c r="J396" s="111">
        <v>32.283883657260915</v>
      </c>
      <c r="K396" s="53">
        <v>4</v>
      </c>
      <c r="L396" s="54">
        <v>28</v>
      </c>
      <c r="M396" s="57"/>
      <c r="N396" s="69">
        <v>380.31</v>
      </c>
      <c r="O396" s="70">
        <f>SUMIF(Facebook!A:A,'Compilado 2023'!B:B,Facebook!B:B)</f>
        <v>475.76</v>
      </c>
      <c r="P396" s="70">
        <v>0</v>
      </c>
      <c r="Q396" s="70">
        <v>51.612903225806448</v>
      </c>
      <c r="R396" s="202">
        <f>IFERROR(VLOOKUP($B:$B,Tabela_Linkedin[],2,),0)</f>
        <v>0</v>
      </c>
      <c r="S396" s="70">
        <f>SUMIF(TikTok!A:A,'Compilado 2023'!B:B,TikTok!B:B)</f>
        <v>0</v>
      </c>
      <c r="T396" s="70">
        <v>0</v>
      </c>
      <c r="U396" s="70">
        <v>0</v>
      </c>
      <c r="V396" s="57"/>
      <c r="W396" s="70">
        <v>0</v>
      </c>
      <c r="X396" s="70">
        <v>0</v>
      </c>
      <c r="Y396" s="70">
        <v>0</v>
      </c>
      <c r="Z396" s="38"/>
      <c r="AA396" s="40"/>
    </row>
    <row r="397" spans="1:27" s="2" customFormat="1" x14ac:dyDescent="0.2">
      <c r="A397" s="16" t="s">
        <v>96</v>
      </c>
      <c r="B397" s="17">
        <v>44956</v>
      </c>
      <c r="C397" s="19">
        <v>41810.53</v>
      </c>
      <c r="D397" s="52">
        <v>41810.53</v>
      </c>
      <c r="E397" s="52">
        <v>0</v>
      </c>
      <c r="F397" s="157">
        <v>146</v>
      </c>
      <c r="G397" s="157">
        <v>172</v>
      </c>
      <c r="H397" s="35">
        <v>286.37349315068491</v>
      </c>
      <c r="I397" s="19">
        <v>679.64290322580644</v>
      </c>
      <c r="J397" s="111">
        <v>61.518379433601993</v>
      </c>
      <c r="K397" s="53">
        <v>2</v>
      </c>
      <c r="L397" s="54">
        <v>73</v>
      </c>
      <c r="M397" s="57"/>
      <c r="N397" s="69">
        <v>338.42</v>
      </c>
      <c r="O397" s="70">
        <f>SUMIF(Facebook!A:A,'Compilado 2023'!B:B,Facebook!B:B)</f>
        <v>271.94</v>
      </c>
      <c r="P397" s="70">
        <v>0</v>
      </c>
      <c r="Q397" s="70">
        <v>51.612903225806448</v>
      </c>
      <c r="R397" s="202">
        <f>IFERROR(VLOOKUP($B:$B,Tabela_Linkedin[],2,),0)</f>
        <v>0</v>
      </c>
      <c r="S397" s="70">
        <f>SUMIF(TikTok!A:A,'Compilado 2023'!B:B,TikTok!B:B)</f>
        <v>0</v>
      </c>
      <c r="T397" s="70">
        <v>0</v>
      </c>
      <c r="U397" s="70">
        <v>0</v>
      </c>
      <c r="V397" s="57"/>
      <c r="W397" s="70">
        <v>0</v>
      </c>
      <c r="X397" s="70">
        <v>0</v>
      </c>
      <c r="Y397" s="70">
        <v>0</v>
      </c>
      <c r="Z397" s="38"/>
      <c r="AA397" s="40"/>
    </row>
    <row r="398" spans="1:27" s="2" customFormat="1" x14ac:dyDescent="0.2">
      <c r="A398" s="16" t="s">
        <v>97</v>
      </c>
      <c r="B398" s="17">
        <v>44957</v>
      </c>
      <c r="C398" s="19">
        <v>44914.39</v>
      </c>
      <c r="D398" s="52">
        <v>44892.08</v>
      </c>
      <c r="E398" s="52">
        <v>22.31</v>
      </c>
      <c r="F398" s="157">
        <v>155</v>
      </c>
      <c r="G398" s="157">
        <v>184</v>
      </c>
      <c r="H398" s="35">
        <v>289.7702580645161</v>
      </c>
      <c r="I398" s="19">
        <v>660.64290322580655</v>
      </c>
      <c r="J398" s="111">
        <v>67.985881299398969</v>
      </c>
      <c r="K398" s="53">
        <v>4</v>
      </c>
      <c r="L398" s="54">
        <v>38.75</v>
      </c>
      <c r="M398" s="57"/>
      <c r="N398" s="69">
        <v>596.05999999999995</v>
      </c>
      <c r="O398" s="70">
        <f>SUMIF(Facebook!A:A,'Compilado 2023'!B:B,Facebook!B:B)</f>
        <v>260.10000000000002</v>
      </c>
      <c r="P398" s="70">
        <v>0</v>
      </c>
      <c r="Q398" s="70">
        <v>51.612903225806448</v>
      </c>
      <c r="R398" s="202">
        <f>IFERROR(VLOOKUP($B:$B,Tabela_Linkedin[],2,),0)</f>
        <v>0</v>
      </c>
      <c r="S398" s="70">
        <f>SUMIF(TikTok!A:A,'Compilado 2023'!B:B,TikTok!B:B)</f>
        <v>0</v>
      </c>
      <c r="T398" s="70">
        <v>0</v>
      </c>
      <c r="U398" s="70">
        <v>0</v>
      </c>
      <c r="V398" s="57"/>
      <c r="W398" s="70">
        <v>0</v>
      </c>
      <c r="X398" s="70">
        <v>0</v>
      </c>
      <c r="Y398" s="70">
        <v>0</v>
      </c>
      <c r="Z398" s="38"/>
      <c r="AA398" s="40"/>
    </row>
    <row r="399" spans="1:27" s="2" customFormat="1" x14ac:dyDescent="0.2">
      <c r="A399" s="16" t="s">
        <v>98</v>
      </c>
      <c r="B399" s="17">
        <v>44958</v>
      </c>
      <c r="C399" s="19">
        <v>53448.29</v>
      </c>
      <c r="D399" s="52">
        <v>53426.06</v>
      </c>
      <c r="E399" s="52">
        <v>22.23</v>
      </c>
      <c r="F399" s="157">
        <v>168</v>
      </c>
      <c r="G399" s="157">
        <v>202</v>
      </c>
      <c r="H399" s="35">
        <v>318.14458333333334</v>
      </c>
      <c r="I399" s="19">
        <v>647.76285714285711</v>
      </c>
      <c r="J399" s="111">
        <v>82.512125248658023</v>
      </c>
      <c r="K399" s="53">
        <v>3</v>
      </c>
      <c r="L399" s="54">
        <v>56</v>
      </c>
      <c r="M399" s="58"/>
      <c r="N399" s="69">
        <v>489.19</v>
      </c>
      <c r="O399" s="70">
        <f>SUMIF(Facebook!A:A,'Compilado 2023'!B:B,Facebook!B:B)</f>
        <v>243.16</v>
      </c>
      <c r="P399" s="70">
        <v>0</v>
      </c>
      <c r="Q399" s="70">
        <v>57.142857142857146</v>
      </c>
      <c r="R399" s="202">
        <f>IFERROR(VLOOKUP($B:$B,Tabela_Linkedin[],2,),0)</f>
        <v>0</v>
      </c>
      <c r="S399" s="70">
        <f>SUMIF(TikTok!A:A,'Compilado 2023'!B:B,TikTok!B:B)</f>
        <v>0</v>
      </c>
      <c r="T399" s="70">
        <v>0</v>
      </c>
      <c r="U399" s="70">
        <v>0</v>
      </c>
      <c r="V399" s="58"/>
      <c r="W399" s="70">
        <v>0</v>
      </c>
      <c r="X399" s="70">
        <v>0</v>
      </c>
      <c r="Y399" s="70">
        <v>0</v>
      </c>
      <c r="Z399" s="38"/>
      <c r="AA399" s="40"/>
    </row>
    <row r="400" spans="1:27" s="2" customFormat="1" x14ac:dyDescent="0.2">
      <c r="A400" s="16" t="s">
        <v>99</v>
      </c>
      <c r="B400" s="17">
        <v>44959</v>
      </c>
      <c r="C400" s="19">
        <v>50248.229999999996</v>
      </c>
      <c r="D400" s="52">
        <v>50223.6</v>
      </c>
      <c r="E400" s="52">
        <v>24.63</v>
      </c>
      <c r="F400" s="157">
        <v>170</v>
      </c>
      <c r="G400" s="157">
        <v>213</v>
      </c>
      <c r="H400" s="35">
        <v>295.57782352941172</v>
      </c>
      <c r="I400" s="19">
        <v>738.63285714285712</v>
      </c>
      <c r="J400" s="111">
        <v>68.028695872490289</v>
      </c>
      <c r="K400" s="53">
        <v>136</v>
      </c>
      <c r="L400" s="54">
        <v>1.25</v>
      </c>
      <c r="M400" s="59"/>
      <c r="N400" s="69">
        <v>658.46</v>
      </c>
      <c r="O400" s="70">
        <f>SUMIF(Facebook!A:A,'Compilado 2023'!B:B,Facebook!B:B)</f>
        <v>279.02999999999997</v>
      </c>
      <c r="P400" s="70">
        <v>0</v>
      </c>
      <c r="Q400" s="70">
        <v>57.142857142857146</v>
      </c>
      <c r="R400" s="202">
        <f>IFERROR(VLOOKUP($B:$B,Tabela_Linkedin[],2,),0)</f>
        <v>0</v>
      </c>
      <c r="S400" s="70">
        <f>SUMIF(TikTok!A:A,'Compilado 2023'!B:B,TikTok!B:B)</f>
        <v>0</v>
      </c>
      <c r="T400" s="70">
        <v>0</v>
      </c>
      <c r="U400" s="70">
        <v>0</v>
      </c>
      <c r="V400" s="59"/>
      <c r="W400" s="70">
        <v>0</v>
      </c>
      <c r="X400" s="70">
        <v>0</v>
      </c>
      <c r="Y400" s="70">
        <v>0</v>
      </c>
      <c r="Z400" s="38"/>
      <c r="AA400" s="40"/>
    </row>
    <row r="401" spans="1:27" s="2" customFormat="1" ht="14.25" x14ac:dyDescent="0.2">
      <c r="A401" s="16" t="s">
        <v>100</v>
      </c>
      <c r="B401" s="17">
        <v>44960</v>
      </c>
      <c r="C401" s="19">
        <v>56820.639999999999</v>
      </c>
      <c r="D401" s="52">
        <v>56820.639999999999</v>
      </c>
      <c r="E401" s="52">
        <v>0</v>
      </c>
      <c r="F401" s="157">
        <v>186</v>
      </c>
      <c r="G401" s="157">
        <v>226</v>
      </c>
      <c r="H401" s="35">
        <v>305.487311827957</v>
      </c>
      <c r="I401" s="19">
        <v>765.17285714285708</v>
      </c>
      <c r="J401" s="111">
        <v>74.258567158494543</v>
      </c>
      <c r="K401" s="53">
        <v>5</v>
      </c>
      <c r="L401" s="54">
        <v>37.200000000000003</v>
      </c>
      <c r="M401" s="60"/>
      <c r="N401" s="69">
        <v>796.55</v>
      </c>
      <c r="O401" s="70">
        <f>SUMIF(Facebook!A:A,'Compilado 2023'!B:B,Facebook!B:B)</f>
        <v>303.92</v>
      </c>
      <c r="P401" s="70">
        <v>0</v>
      </c>
      <c r="Q401" s="70">
        <v>57.142857142857146</v>
      </c>
      <c r="R401" s="202">
        <f>IFERROR(VLOOKUP($B:$B,Tabela_Linkedin[],2,),0)</f>
        <v>0</v>
      </c>
      <c r="S401" s="70">
        <f>SUMIF(TikTok!A:A,'Compilado 2023'!B:B,TikTok!B:B)</f>
        <v>0</v>
      </c>
      <c r="T401" s="70">
        <v>0</v>
      </c>
      <c r="U401" s="70">
        <v>0</v>
      </c>
      <c r="V401" s="60"/>
      <c r="W401" s="70">
        <v>0</v>
      </c>
      <c r="X401" s="70">
        <v>0</v>
      </c>
      <c r="Y401" s="70">
        <v>0</v>
      </c>
      <c r="Z401" s="38"/>
      <c r="AA401" s="40"/>
    </row>
    <row r="402" spans="1:27" s="2" customFormat="1" ht="14.25" x14ac:dyDescent="0.2">
      <c r="A402" s="16" t="s">
        <v>94</v>
      </c>
      <c r="B402" s="17">
        <v>44961</v>
      </c>
      <c r="C402" s="19">
        <v>34845.57</v>
      </c>
      <c r="D402" s="52">
        <v>34845.57</v>
      </c>
      <c r="E402" s="52">
        <v>0</v>
      </c>
      <c r="F402" s="157">
        <v>132</v>
      </c>
      <c r="G402" s="157">
        <v>155</v>
      </c>
      <c r="H402" s="35">
        <v>263.98159090909093</v>
      </c>
      <c r="I402" s="19">
        <v>746.91285714285721</v>
      </c>
      <c r="J402" s="111">
        <v>46.65279177720101</v>
      </c>
      <c r="K402" s="53">
        <v>1</v>
      </c>
      <c r="L402" s="54">
        <v>132</v>
      </c>
      <c r="M402" s="60"/>
      <c r="N402" s="69">
        <v>704.94</v>
      </c>
      <c r="O402" s="70">
        <f>SUMIF(Facebook!A:A,'Compilado 2023'!B:B,Facebook!B:B)</f>
        <v>307.47000000000003</v>
      </c>
      <c r="P402" s="70">
        <v>0</v>
      </c>
      <c r="Q402" s="70">
        <v>57.142857142857146</v>
      </c>
      <c r="R402" s="202">
        <f>IFERROR(VLOOKUP($B:$B,Tabela_Linkedin[],2,),0)</f>
        <v>0</v>
      </c>
      <c r="S402" s="70">
        <f>SUMIF(TikTok!A:A,'Compilado 2023'!B:B,TikTok!B:B)</f>
        <v>0</v>
      </c>
      <c r="T402" s="70">
        <v>0</v>
      </c>
      <c r="U402" s="70">
        <v>0</v>
      </c>
      <c r="V402" s="60"/>
      <c r="W402" s="70">
        <v>0</v>
      </c>
      <c r="X402" s="70">
        <v>0</v>
      </c>
      <c r="Y402" s="70">
        <v>0</v>
      </c>
      <c r="Z402" s="38"/>
      <c r="AA402" s="40"/>
    </row>
    <row r="403" spans="1:27" s="2" customFormat="1" x14ac:dyDescent="0.2">
      <c r="A403" s="16" t="s">
        <v>95</v>
      </c>
      <c r="B403" s="17">
        <v>44962</v>
      </c>
      <c r="C403" s="19">
        <v>26623.71</v>
      </c>
      <c r="D403" s="52">
        <v>26623.71</v>
      </c>
      <c r="E403" s="52">
        <v>0</v>
      </c>
      <c r="F403" s="157">
        <v>82</v>
      </c>
      <c r="G403" s="157">
        <v>93</v>
      </c>
      <c r="H403" s="35">
        <v>324.67939024390245</v>
      </c>
      <c r="I403" s="19">
        <v>692.59285714285704</v>
      </c>
      <c r="J403" s="111">
        <v>38.44063611893197</v>
      </c>
      <c r="K403" s="53">
        <v>0</v>
      </c>
      <c r="L403" s="54">
        <v>0</v>
      </c>
      <c r="M403" s="59"/>
      <c r="N403" s="69">
        <v>504.42</v>
      </c>
      <c r="O403" s="70">
        <f>SUMIF(Facebook!A:A,'Compilado 2023'!B:B,Facebook!B:B)</f>
        <v>293.26</v>
      </c>
      <c r="P403" s="70">
        <v>0</v>
      </c>
      <c r="Q403" s="70">
        <v>57.142857142857146</v>
      </c>
      <c r="R403" s="202">
        <f>IFERROR(VLOOKUP($B:$B,Tabela_Linkedin[],2,),0)</f>
        <v>0</v>
      </c>
      <c r="S403" s="70">
        <f>SUMIF(TikTok!A:A,'Compilado 2023'!B:B,TikTok!B:B)</f>
        <v>0</v>
      </c>
      <c r="T403" s="70">
        <v>0</v>
      </c>
      <c r="U403" s="70">
        <v>0</v>
      </c>
      <c r="V403" s="59"/>
      <c r="W403" s="70">
        <v>0</v>
      </c>
      <c r="X403" s="70">
        <v>0</v>
      </c>
      <c r="Y403" s="70">
        <v>0</v>
      </c>
      <c r="Z403" s="38"/>
      <c r="AA403" s="40"/>
    </row>
    <row r="404" spans="1:27" s="2" customFormat="1" x14ac:dyDescent="0.2">
      <c r="A404" s="16" t="s">
        <v>96</v>
      </c>
      <c r="B404" s="17">
        <v>44963</v>
      </c>
      <c r="C404" s="19">
        <v>56135.29</v>
      </c>
      <c r="D404" s="52">
        <v>56135.29</v>
      </c>
      <c r="E404" s="52">
        <v>0</v>
      </c>
      <c r="F404" s="157">
        <v>146</v>
      </c>
      <c r="G404" s="157">
        <v>260</v>
      </c>
      <c r="H404" s="35">
        <v>384.48828767123291</v>
      </c>
      <c r="I404" s="19">
        <v>585.10285714285715</v>
      </c>
      <c r="J404" s="111">
        <v>95.940891955504767</v>
      </c>
      <c r="K404" s="53">
        <v>3386</v>
      </c>
      <c r="L404" s="54">
        <v>4.3118724158298878E-2</v>
      </c>
      <c r="M404" s="59"/>
      <c r="N404" s="69">
        <v>78.040000000000006</v>
      </c>
      <c r="O404" s="70">
        <f>SUMIF(Facebook!A:A,'Compilado 2023'!B:B,Facebook!B:B)</f>
        <v>224.96</v>
      </c>
      <c r="P404" s="70">
        <v>0</v>
      </c>
      <c r="Q404" s="70">
        <v>57.142857142857146</v>
      </c>
      <c r="R404" s="202">
        <f>IFERROR(VLOOKUP($B:$B,Tabela_Linkedin[],2,),0)</f>
        <v>0</v>
      </c>
      <c r="S404" s="70">
        <f>SUMIF(TikTok!A:A,'Compilado 2023'!B:B,TikTok!B:B)</f>
        <v>0</v>
      </c>
      <c r="T404" s="70">
        <v>0</v>
      </c>
      <c r="U404" s="70">
        <v>0</v>
      </c>
      <c r="V404" s="59"/>
      <c r="W404" s="70">
        <v>0</v>
      </c>
      <c r="X404" s="70">
        <v>0</v>
      </c>
      <c r="Y404" s="70">
        <v>0</v>
      </c>
      <c r="Z404" s="38"/>
      <c r="AA404" s="40"/>
    </row>
    <row r="405" spans="1:27" s="2" customFormat="1" x14ac:dyDescent="0.2">
      <c r="A405" s="16" t="s">
        <v>97</v>
      </c>
      <c r="B405" s="17">
        <v>44964</v>
      </c>
      <c r="C405" s="19">
        <v>58274.909999999996</v>
      </c>
      <c r="D405" s="52">
        <v>58252.6</v>
      </c>
      <c r="E405" s="52">
        <v>22.31</v>
      </c>
      <c r="F405" s="157">
        <v>184</v>
      </c>
      <c r="G405" s="157">
        <v>216</v>
      </c>
      <c r="H405" s="35">
        <v>316.71146739130432</v>
      </c>
      <c r="I405" s="19">
        <v>782.08285714285705</v>
      </c>
      <c r="J405" s="111">
        <v>74.512450270157714</v>
      </c>
      <c r="K405" s="53">
        <v>5315</v>
      </c>
      <c r="L405" s="54">
        <v>3.4619002822201317E-2</v>
      </c>
      <c r="M405" s="59"/>
      <c r="N405" s="69">
        <v>108.64</v>
      </c>
      <c r="O405" s="70">
        <f>SUMIF(Facebook!A:A,'Compilado 2023'!B:B,Facebook!B:B)</f>
        <v>308.14999999999998</v>
      </c>
      <c r="P405" s="70">
        <v>0</v>
      </c>
      <c r="Q405" s="70">
        <v>57.142857142857146</v>
      </c>
      <c r="R405" s="202">
        <f>IFERROR(VLOOKUP($B:$B,Tabela_Linkedin[],2,),0)</f>
        <v>0</v>
      </c>
      <c r="S405" s="70">
        <f>SUMIF(TikTok!A:A,'Compilado 2023'!B:B,TikTok!B:B)</f>
        <v>0</v>
      </c>
      <c r="T405" s="70">
        <v>0</v>
      </c>
      <c r="U405" s="70">
        <v>0</v>
      </c>
      <c r="V405" s="59"/>
      <c r="W405" s="70">
        <v>0</v>
      </c>
      <c r="X405" s="70">
        <v>0</v>
      </c>
      <c r="Y405" s="70">
        <v>0</v>
      </c>
      <c r="Z405" s="38"/>
      <c r="AA405" s="40"/>
    </row>
    <row r="406" spans="1:27" s="2" customFormat="1" x14ac:dyDescent="0.2">
      <c r="A406" s="16" t="s">
        <v>98</v>
      </c>
      <c r="B406" s="17">
        <v>44965</v>
      </c>
      <c r="C406" s="19">
        <v>54102.85</v>
      </c>
      <c r="D406" s="52">
        <v>54102.85</v>
      </c>
      <c r="E406" s="52">
        <v>0</v>
      </c>
      <c r="F406" s="157">
        <v>168</v>
      </c>
      <c r="G406" s="157">
        <v>200</v>
      </c>
      <c r="H406" s="35">
        <v>322.04077380952378</v>
      </c>
      <c r="I406" s="19">
        <v>1200.002857142857</v>
      </c>
      <c r="J406" s="111">
        <v>45.085600986664318</v>
      </c>
      <c r="K406" s="53">
        <v>4952</v>
      </c>
      <c r="L406" s="54">
        <v>3.3925686591276254E-2</v>
      </c>
      <c r="M406" s="59"/>
      <c r="N406" s="69">
        <v>474.2</v>
      </c>
      <c r="O406" s="70">
        <f>SUMIF(Facebook!A:A,'Compilado 2023'!B:B,Facebook!B:B)</f>
        <v>335.9</v>
      </c>
      <c r="P406" s="70">
        <v>0</v>
      </c>
      <c r="Q406" s="70">
        <v>57.142857142857146</v>
      </c>
      <c r="R406" s="202">
        <f>IFERROR(VLOOKUP($B:$B,Tabela_Linkedin[],2,),0)</f>
        <v>0</v>
      </c>
      <c r="S406" s="70">
        <f>SUMIF(TikTok!A:A,'Compilado 2023'!B:B,TikTok!B:B)</f>
        <v>0</v>
      </c>
      <c r="T406" s="70">
        <v>0</v>
      </c>
      <c r="U406" s="70">
        <v>0</v>
      </c>
      <c r="V406" s="59"/>
      <c r="W406" s="70">
        <v>0</v>
      </c>
      <c r="X406" s="70">
        <v>0</v>
      </c>
      <c r="Y406" s="70">
        <v>0</v>
      </c>
      <c r="Z406" s="38"/>
      <c r="AA406" s="40"/>
    </row>
    <row r="407" spans="1:27" s="2" customFormat="1" x14ac:dyDescent="0.2">
      <c r="A407" s="16" t="s">
        <v>99</v>
      </c>
      <c r="B407" s="17">
        <v>44966</v>
      </c>
      <c r="C407" s="19">
        <v>59517.48</v>
      </c>
      <c r="D407" s="52">
        <v>59490.93</v>
      </c>
      <c r="E407" s="52">
        <v>26.55</v>
      </c>
      <c r="F407" s="157">
        <v>205</v>
      </c>
      <c r="G407" s="157">
        <v>233</v>
      </c>
      <c r="H407" s="35">
        <v>290.32917073170734</v>
      </c>
      <c r="I407" s="19">
        <v>1340.532857142857</v>
      </c>
      <c r="J407" s="111">
        <v>44.398374633541252</v>
      </c>
      <c r="K407" s="53">
        <v>5382</v>
      </c>
      <c r="L407" s="54">
        <v>3.8089929394277224E-2</v>
      </c>
      <c r="M407" s="59"/>
      <c r="N407" s="69">
        <v>984.16</v>
      </c>
      <c r="O407" s="70">
        <f>SUMIF(Facebook!A:A,'Compilado 2023'!B:B,Facebook!B:B)</f>
        <v>342.9</v>
      </c>
      <c r="P407" s="70">
        <v>0</v>
      </c>
      <c r="Q407" s="70">
        <v>57.142857142857146</v>
      </c>
      <c r="R407" s="202">
        <f>IFERROR(VLOOKUP($B:$B,Tabela_Linkedin[],2,),0)</f>
        <v>0</v>
      </c>
      <c r="S407" s="70">
        <f>SUMIF(TikTok!A:A,'Compilado 2023'!B:B,TikTok!B:B)</f>
        <v>0</v>
      </c>
      <c r="T407" s="70">
        <v>0</v>
      </c>
      <c r="U407" s="70">
        <v>0</v>
      </c>
      <c r="V407" s="59"/>
      <c r="W407" s="70">
        <v>0</v>
      </c>
      <c r="X407" s="70">
        <v>0</v>
      </c>
      <c r="Y407" s="70">
        <v>0</v>
      </c>
      <c r="Z407" s="38"/>
      <c r="AA407" s="40"/>
    </row>
    <row r="408" spans="1:27" s="2" customFormat="1" ht="14.25" x14ac:dyDescent="0.2">
      <c r="A408" s="16" t="s">
        <v>100</v>
      </c>
      <c r="B408" s="17">
        <v>44967</v>
      </c>
      <c r="C408" s="19">
        <v>54709.57</v>
      </c>
      <c r="D408" s="52">
        <v>54685.72</v>
      </c>
      <c r="E408" s="52">
        <v>23.85</v>
      </c>
      <c r="F408" s="157">
        <v>192</v>
      </c>
      <c r="G408" s="157">
        <v>228</v>
      </c>
      <c r="H408" s="35">
        <v>284.94567708333335</v>
      </c>
      <c r="I408" s="19">
        <v>1499.9528571428571</v>
      </c>
      <c r="J408" s="111">
        <v>36.474192998446618</v>
      </c>
      <c r="K408" s="53">
        <v>5580</v>
      </c>
      <c r="L408" s="54">
        <v>3.4408602150537634E-2</v>
      </c>
      <c r="M408" s="60"/>
      <c r="N408" s="69">
        <v>1263.3599999999999</v>
      </c>
      <c r="O408" s="70">
        <f>SUMIF(Facebook!A:A,'Compilado 2023'!B:B,Facebook!B:B)</f>
        <v>397.39</v>
      </c>
      <c r="P408" s="70">
        <v>0</v>
      </c>
      <c r="Q408" s="70">
        <v>57.142857142857146</v>
      </c>
      <c r="R408" s="202">
        <f>IFERROR(VLOOKUP($B:$B,Tabela_Linkedin[],2,),0)</f>
        <v>0</v>
      </c>
      <c r="S408" s="70">
        <f>SUMIF(TikTok!A:A,'Compilado 2023'!B:B,TikTok!B:B)</f>
        <v>0</v>
      </c>
      <c r="T408" s="70">
        <v>0</v>
      </c>
      <c r="U408" s="70">
        <v>0</v>
      </c>
      <c r="V408" s="60"/>
      <c r="W408" s="70">
        <v>0</v>
      </c>
      <c r="X408" s="70">
        <v>0</v>
      </c>
      <c r="Y408" s="70">
        <v>0</v>
      </c>
      <c r="Z408" s="38"/>
      <c r="AA408" s="40"/>
    </row>
    <row r="409" spans="1:27" s="2" customFormat="1" ht="14.25" x14ac:dyDescent="0.2">
      <c r="A409" s="16" t="s">
        <v>94</v>
      </c>
      <c r="B409" s="17">
        <v>44968</v>
      </c>
      <c r="C409" s="19">
        <v>34589.97</v>
      </c>
      <c r="D409" s="52">
        <v>34589.97</v>
      </c>
      <c r="E409" s="52">
        <v>0</v>
      </c>
      <c r="F409" s="157">
        <v>128</v>
      </c>
      <c r="G409" s="157">
        <v>144</v>
      </c>
      <c r="H409" s="35">
        <v>270.23414062500001</v>
      </c>
      <c r="I409" s="19">
        <v>1178.2728571428572</v>
      </c>
      <c r="J409" s="111">
        <v>29.356502435162362</v>
      </c>
      <c r="K409" s="53">
        <v>4314</v>
      </c>
      <c r="L409" s="54">
        <v>2.9670839128419099E-2</v>
      </c>
      <c r="M409" s="60"/>
      <c r="N409" s="69">
        <v>732.43</v>
      </c>
      <c r="O409" s="70">
        <f>SUMIF(Facebook!A:A,'Compilado 2023'!B:B,Facebook!B:B)</f>
        <v>294.83999999999997</v>
      </c>
      <c r="P409" s="70">
        <v>0</v>
      </c>
      <c r="Q409" s="70">
        <v>57.142857142857146</v>
      </c>
      <c r="R409" s="202">
        <f>IFERROR(VLOOKUP($B:$B,Tabela_Linkedin[],2,),0)</f>
        <v>0</v>
      </c>
      <c r="S409" s="70">
        <f>SUMIF(TikTok!A:A,'Compilado 2023'!B:B,TikTok!B:B)</f>
        <v>0</v>
      </c>
      <c r="T409" s="70">
        <v>0</v>
      </c>
      <c r="U409" s="70">
        <v>0</v>
      </c>
      <c r="V409" s="60"/>
      <c r="W409" s="70">
        <v>0</v>
      </c>
      <c r="X409" s="70">
        <v>0</v>
      </c>
      <c r="Y409" s="70">
        <v>0</v>
      </c>
      <c r="Z409" s="38"/>
      <c r="AA409" s="40"/>
    </row>
    <row r="410" spans="1:27" s="2" customFormat="1" x14ac:dyDescent="0.2">
      <c r="A410" s="16" t="s">
        <v>95</v>
      </c>
      <c r="B410" s="17">
        <v>44969</v>
      </c>
      <c r="C410" s="19">
        <v>23175.759999999998</v>
      </c>
      <c r="D410" s="52">
        <v>23175.759999999998</v>
      </c>
      <c r="E410" s="52">
        <v>0</v>
      </c>
      <c r="F410" s="157">
        <v>82</v>
      </c>
      <c r="G410" s="157">
        <v>91</v>
      </c>
      <c r="H410" s="35">
        <v>282.63121951219512</v>
      </c>
      <c r="I410" s="19">
        <v>1322.3628571428571</v>
      </c>
      <c r="J410" s="111">
        <v>17.52602160202408</v>
      </c>
      <c r="K410" s="53">
        <v>3954</v>
      </c>
      <c r="L410" s="54">
        <v>2.0738492665655032E-2</v>
      </c>
      <c r="M410" s="59"/>
      <c r="N410" s="69">
        <v>857.78</v>
      </c>
      <c r="O410" s="70">
        <f>SUMIF(Facebook!A:A,'Compilado 2023'!B:B,Facebook!B:B)</f>
        <v>305.61</v>
      </c>
      <c r="P410" s="70">
        <v>0</v>
      </c>
      <c r="Q410" s="70">
        <v>57.142857142857146</v>
      </c>
      <c r="R410" s="202">
        <f>IFERROR(VLOOKUP($B:$B,Tabela_Linkedin[],2,),0)</f>
        <v>0</v>
      </c>
      <c r="S410" s="70">
        <f>SUMIF(TikTok!A:A,'Compilado 2023'!B:B,TikTok!B:B)</f>
        <v>0</v>
      </c>
      <c r="T410" s="70">
        <v>0</v>
      </c>
      <c r="U410" s="70">
        <v>0</v>
      </c>
      <c r="V410" s="59"/>
      <c r="W410" s="70">
        <v>0</v>
      </c>
      <c r="X410" s="70">
        <v>0</v>
      </c>
      <c r="Y410" s="70">
        <v>0</v>
      </c>
      <c r="Z410" s="38"/>
      <c r="AA410" s="40"/>
    </row>
    <row r="411" spans="1:27" s="2" customFormat="1" x14ac:dyDescent="0.2">
      <c r="A411" s="16" t="s">
        <v>96</v>
      </c>
      <c r="B411" s="17">
        <v>44970</v>
      </c>
      <c r="C411" s="19">
        <v>56619.64</v>
      </c>
      <c r="D411" s="52">
        <v>56619.64</v>
      </c>
      <c r="E411" s="52">
        <v>0</v>
      </c>
      <c r="F411" s="157">
        <v>185</v>
      </c>
      <c r="G411" s="157">
        <v>248</v>
      </c>
      <c r="H411" s="35">
        <v>306.05210810810809</v>
      </c>
      <c r="I411" s="19">
        <v>1639.8528571428571</v>
      </c>
      <c r="J411" s="111">
        <v>34.527268561552127</v>
      </c>
      <c r="K411" s="53">
        <v>5517</v>
      </c>
      <c r="L411" s="54">
        <v>3.3532717056371217E-2</v>
      </c>
      <c r="M411" s="59"/>
      <c r="N411" s="69">
        <v>1118.21</v>
      </c>
      <c r="O411" s="70">
        <f>SUMIF(Facebook!A:A,'Compilado 2023'!B:B,Facebook!B:B)</f>
        <v>341.15</v>
      </c>
      <c r="P411" s="70">
        <v>0</v>
      </c>
      <c r="Q411" s="70">
        <v>57.142857142857146</v>
      </c>
      <c r="R411" s="202">
        <f>IFERROR(VLOOKUP($B:$B,Tabela_Linkedin[],2,),0)</f>
        <v>0</v>
      </c>
      <c r="S411" s="70">
        <f>SUMIF(TikTok!A:A,'Compilado 2023'!B:B,TikTok!B:B)</f>
        <v>0</v>
      </c>
      <c r="T411" s="70">
        <v>0</v>
      </c>
      <c r="U411" s="70">
        <v>0</v>
      </c>
      <c r="V411" s="59"/>
      <c r="W411" s="70">
        <v>0</v>
      </c>
      <c r="X411" s="70">
        <v>0</v>
      </c>
      <c r="Y411" s="70">
        <v>0</v>
      </c>
      <c r="Z411" s="38"/>
      <c r="AA411" s="40"/>
    </row>
    <row r="412" spans="1:27" s="2" customFormat="1" x14ac:dyDescent="0.2">
      <c r="A412" s="16" t="s">
        <v>97</v>
      </c>
      <c r="B412" s="17">
        <v>44971</v>
      </c>
      <c r="C412" s="19">
        <v>74816.789999999994</v>
      </c>
      <c r="D412" s="52">
        <v>74816.789999999994</v>
      </c>
      <c r="E412" s="52">
        <v>0</v>
      </c>
      <c r="F412" s="157">
        <v>242</v>
      </c>
      <c r="G412" s="157">
        <v>284</v>
      </c>
      <c r="H412" s="35">
        <v>309.16028925619833</v>
      </c>
      <c r="I412" s="19">
        <v>2264.1028571428574</v>
      </c>
      <c r="J412" s="111">
        <v>33.044784058270949</v>
      </c>
      <c r="K412" s="53">
        <v>6309</v>
      </c>
      <c r="L412" s="54">
        <v>3.8357901410683154E-2</v>
      </c>
      <c r="M412" s="59"/>
      <c r="N412" s="69">
        <v>1777.04</v>
      </c>
      <c r="O412" s="70">
        <f>SUMIF(Facebook!A:A,'Compilado 2023'!B:B,Facebook!B:B)</f>
        <v>321.45</v>
      </c>
      <c r="P412" s="70">
        <v>0</v>
      </c>
      <c r="Q412" s="70">
        <v>57.142857142857146</v>
      </c>
      <c r="R412" s="202">
        <f>IFERROR(VLOOKUP($B:$B,Tabela_Linkedin[],2,),0)</f>
        <v>0</v>
      </c>
      <c r="S412" s="70">
        <f>SUMIF(TikTok!A:A,'Compilado 2023'!B:B,TikTok!B:B)</f>
        <v>0</v>
      </c>
      <c r="T412" s="70">
        <v>0</v>
      </c>
      <c r="U412" s="70">
        <v>0</v>
      </c>
      <c r="V412" s="59"/>
      <c r="W412" s="70">
        <v>0</v>
      </c>
      <c r="X412" s="70">
        <v>0</v>
      </c>
      <c r="Y412" s="70">
        <v>0</v>
      </c>
      <c r="Z412" s="38"/>
      <c r="AA412" s="40"/>
    </row>
    <row r="413" spans="1:27" s="2" customFormat="1" x14ac:dyDescent="0.2">
      <c r="A413" s="16" t="s">
        <v>98</v>
      </c>
      <c r="B413" s="17">
        <v>44972</v>
      </c>
      <c r="C413" s="19">
        <v>87917.3</v>
      </c>
      <c r="D413" s="52">
        <v>87917.3</v>
      </c>
      <c r="E413" s="52">
        <v>0</v>
      </c>
      <c r="F413" s="157">
        <v>319</v>
      </c>
      <c r="G413" s="157">
        <v>468</v>
      </c>
      <c r="H413" s="35">
        <v>275.60282131661444</v>
      </c>
      <c r="I413" s="19">
        <v>1419.8228571428572</v>
      </c>
      <c r="J413" s="111">
        <v>61.921316140041618</v>
      </c>
      <c r="K413" s="53">
        <v>5862</v>
      </c>
      <c r="L413" s="54">
        <v>5.4418287273967927E-2</v>
      </c>
      <c r="M413" s="59"/>
      <c r="N413" s="69">
        <v>722.46</v>
      </c>
      <c r="O413" s="70">
        <f>SUMIF(Facebook!A:A,'Compilado 2023'!B:B,Facebook!B:B)</f>
        <v>320.11</v>
      </c>
      <c r="P413" s="70">
        <v>0</v>
      </c>
      <c r="Q413" s="70">
        <v>57.142857142857146</v>
      </c>
      <c r="R413" s="202">
        <f>IFERROR(VLOOKUP($B:$B,Tabela_Linkedin[],2,),0)</f>
        <v>0</v>
      </c>
      <c r="S413" s="70">
        <f>SUMIF(TikTok!A:A,'Compilado 2023'!B:B,TikTok!B:B)</f>
        <v>0</v>
      </c>
      <c r="T413" s="70">
        <v>0</v>
      </c>
      <c r="U413" s="70">
        <v>0</v>
      </c>
      <c r="V413" s="59"/>
      <c r="W413" s="70">
        <v>0</v>
      </c>
      <c r="X413" s="70">
        <v>0</v>
      </c>
      <c r="Y413" s="70">
        <v>0</v>
      </c>
      <c r="Z413" s="38"/>
      <c r="AA413" s="40"/>
    </row>
    <row r="414" spans="1:27" s="2" customFormat="1" x14ac:dyDescent="0.2">
      <c r="A414" s="16" t="s">
        <v>99</v>
      </c>
      <c r="B414" s="17">
        <v>44973</v>
      </c>
      <c r="C414" s="19">
        <v>62188.55</v>
      </c>
      <c r="D414" s="52">
        <v>62188.55</v>
      </c>
      <c r="E414" s="52">
        <v>0</v>
      </c>
      <c r="F414" s="157">
        <v>235</v>
      </c>
      <c r="G414" s="157">
        <v>315</v>
      </c>
      <c r="H414" s="35">
        <v>264.63212765957451</v>
      </c>
      <c r="I414" s="19">
        <v>1643.2928571428572</v>
      </c>
      <c r="J414" s="111">
        <v>37.843863149338652</v>
      </c>
      <c r="K414" s="53">
        <v>5223</v>
      </c>
      <c r="L414" s="54">
        <v>4.4993298870381004E-2</v>
      </c>
      <c r="M414" s="59"/>
      <c r="N414" s="69">
        <v>719.38</v>
      </c>
      <c r="O414" s="70">
        <f>SUMIF(Facebook!A:A,'Compilado 2023'!B:B,Facebook!B:B)</f>
        <v>434.2</v>
      </c>
      <c r="P414" s="70">
        <v>0</v>
      </c>
      <c r="Q414" s="70">
        <v>57.142857142857146</v>
      </c>
      <c r="R414" s="202">
        <f>IFERROR(VLOOKUP($B:$B,Tabela_Linkedin[],2,),0)</f>
        <v>0</v>
      </c>
      <c r="S414" s="70">
        <f>SUMIF(TikTok!A:A,'Compilado 2023'!B:B,TikTok!B:B)</f>
        <v>0</v>
      </c>
      <c r="T414" s="70">
        <v>0</v>
      </c>
      <c r="U414" s="70">
        <v>0</v>
      </c>
      <c r="V414" s="59"/>
      <c r="W414" s="70">
        <v>0</v>
      </c>
      <c r="X414" s="70">
        <v>0</v>
      </c>
      <c r="Y414" s="70">
        <v>0</v>
      </c>
      <c r="Z414" s="38"/>
      <c r="AA414" s="40"/>
    </row>
    <row r="415" spans="1:27" s="2" customFormat="1" x14ac:dyDescent="0.2">
      <c r="A415" s="16" t="s">
        <v>100</v>
      </c>
      <c r="B415" s="17">
        <v>44974</v>
      </c>
      <c r="C415" s="19">
        <v>57524.81</v>
      </c>
      <c r="D415" s="52">
        <v>57501.36</v>
      </c>
      <c r="E415" s="52">
        <v>23.45</v>
      </c>
      <c r="F415" s="157">
        <v>214</v>
      </c>
      <c r="G415" s="157">
        <v>296</v>
      </c>
      <c r="H415" s="35">
        <v>268.80752336448597</v>
      </c>
      <c r="I415" s="19">
        <v>1587.2028571428571</v>
      </c>
      <c r="J415" s="111">
        <v>36.242884607422582</v>
      </c>
      <c r="K415" s="53">
        <v>4723</v>
      </c>
      <c r="L415" s="54">
        <v>4.531018420495448E-2</v>
      </c>
      <c r="M415" s="59"/>
      <c r="N415" s="69">
        <v>738.61</v>
      </c>
      <c r="O415" s="70">
        <f>SUMIF(Facebook!A:A,'Compilado 2023'!B:B,Facebook!B:B)</f>
        <v>479.04</v>
      </c>
      <c r="P415" s="70">
        <v>0</v>
      </c>
      <c r="Q415" s="70">
        <v>57.142857142857146</v>
      </c>
      <c r="R415" s="202">
        <f>IFERROR(VLOOKUP($B:$B,Tabela_Linkedin[],2,),0)</f>
        <v>0</v>
      </c>
      <c r="S415" s="70">
        <f>SUMIF(TikTok!A:A,'Compilado 2023'!B:B,TikTok!B:B)</f>
        <v>0</v>
      </c>
      <c r="T415" s="70">
        <v>0</v>
      </c>
      <c r="U415" s="70">
        <v>0</v>
      </c>
      <c r="V415" s="59"/>
      <c r="W415" s="70">
        <v>0</v>
      </c>
      <c r="X415" s="70">
        <v>0</v>
      </c>
      <c r="Y415" s="70">
        <v>0</v>
      </c>
      <c r="Z415" s="38"/>
      <c r="AA415" s="40"/>
    </row>
    <row r="416" spans="1:27" s="2" customFormat="1" x14ac:dyDescent="0.2">
      <c r="A416" s="16" t="s">
        <v>94</v>
      </c>
      <c r="B416" s="17">
        <v>44975</v>
      </c>
      <c r="C416" s="19">
        <v>35844</v>
      </c>
      <c r="D416" s="52">
        <v>35821.769999999997</v>
      </c>
      <c r="E416" s="52">
        <v>22.23</v>
      </c>
      <c r="F416" s="157">
        <v>143</v>
      </c>
      <c r="G416" s="157">
        <v>195</v>
      </c>
      <c r="H416" s="35">
        <v>250.65734265734267</v>
      </c>
      <c r="I416" s="19">
        <v>1299.3928571428571</v>
      </c>
      <c r="J416" s="111">
        <v>27.585190885853283</v>
      </c>
      <c r="K416" s="53">
        <v>3548</v>
      </c>
      <c r="L416" s="54">
        <v>4.0304396843291998E-2</v>
      </c>
      <c r="M416" s="59"/>
      <c r="N416" s="69">
        <v>496.73</v>
      </c>
      <c r="O416" s="70">
        <f>SUMIF(Facebook!A:A,'Compilado 2023'!B:B,Facebook!B:B)</f>
        <v>399.96</v>
      </c>
      <c r="P416" s="70">
        <v>0</v>
      </c>
      <c r="Q416" s="70">
        <v>57.142857142857146</v>
      </c>
      <c r="R416" s="202">
        <f>IFERROR(VLOOKUP($B:$B,Tabela_Linkedin[],2,),0)</f>
        <v>0</v>
      </c>
      <c r="S416" s="70">
        <f>SUMIF(TikTok!A:A,'Compilado 2023'!B:B,TikTok!B:B)</f>
        <v>0</v>
      </c>
      <c r="T416" s="70">
        <v>0</v>
      </c>
      <c r="U416" s="70">
        <v>0</v>
      </c>
      <c r="V416" s="59"/>
      <c r="W416" s="70">
        <v>0</v>
      </c>
      <c r="X416" s="70">
        <v>0</v>
      </c>
      <c r="Y416" s="70">
        <v>0</v>
      </c>
      <c r="Z416" s="38"/>
      <c r="AA416" s="40"/>
    </row>
    <row r="417" spans="1:27" s="2" customFormat="1" x14ac:dyDescent="0.2">
      <c r="A417" s="16" t="s">
        <v>95</v>
      </c>
      <c r="B417" s="17">
        <v>44976</v>
      </c>
      <c r="C417" s="19">
        <v>14837.7</v>
      </c>
      <c r="D417" s="52">
        <v>14837.7</v>
      </c>
      <c r="E417" s="52">
        <v>0</v>
      </c>
      <c r="F417" s="157">
        <v>59</v>
      </c>
      <c r="G417" s="157">
        <v>75</v>
      </c>
      <c r="H417" s="35">
        <v>251.4864406779661</v>
      </c>
      <c r="I417" s="19">
        <v>955.26285714285723</v>
      </c>
      <c r="J417" s="111">
        <v>15.53258340262366</v>
      </c>
      <c r="K417" s="53">
        <v>2843</v>
      </c>
      <c r="L417" s="54">
        <v>2.0752725993668661E-2</v>
      </c>
      <c r="M417" s="59"/>
      <c r="N417" s="69">
        <v>353.74</v>
      </c>
      <c r="O417" s="70">
        <f>SUMIF(Facebook!A:A,'Compilado 2023'!B:B,Facebook!B:B)</f>
        <v>317.41000000000003</v>
      </c>
      <c r="P417" s="70">
        <v>0</v>
      </c>
      <c r="Q417" s="70">
        <v>57.142857142857146</v>
      </c>
      <c r="R417" s="202">
        <f>IFERROR(VLOOKUP($B:$B,Tabela_Linkedin[],2,),0)</f>
        <v>0</v>
      </c>
      <c r="S417" s="70">
        <f>SUMIF(TikTok!A:A,'Compilado 2023'!B:B,TikTok!B:B)</f>
        <v>0</v>
      </c>
      <c r="T417" s="70">
        <v>0</v>
      </c>
      <c r="U417" s="70">
        <v>0</v>
      </c>
      <c r="V417" s="59"/>
      <c r="W417" s="70">
        <v>0</v>
      </c>
      <c r="X417" s="70">
        <v>0</v>
      </c>
      <c r="Y417" s="70">
        <v>0</v>
      </c>
      <c r="Z417" s="38"/>
      <c r="AA417" s="40"/>
    </row>
    <row r="418" spans="1:27" s="2" customFormat="1" x14ac:dyDescent="0.2">
      <c r="A418" s="16" t="s">
        <v>96</v>
      </c>
      <c r="B418" s="17">
        <v>44977</v>
      </c>
      <c r="C418" s="19">
        <v>18044.34</v>
      </c>
      <c r="D418" s="52">
        <v>18044.34</v>
      </c>
      <c r="E418" s="52">
        <v>0</v>
      </c>
      <c r="F418" s="157">
        <v>62</v>
      </c>
      <c r="G418" s="157">
        <v>74</v>
      </c>
      <c r="H418" s="35">
        <v>291.03774193548389</v>
      </c>
      <c r="I418" s="19">
        <v>1017.0628571428571</v>
      </c>
      <c r="J418" s="111">
        <v>17.74161731821604</v>
      </c>
      <c r="K418" s="53">
        <v>3229</v>
      </c>
      <c r="L418" s="54">
        <v>1.9200991018891299E-2</v>
      </c>
      <c r="M418" s="59"/>
      <c r="N418" s="69">
        <v>374.54</v>
      </c>
      <c r="O418" s="70">
        <f>SUMIF(Facebook!A:A,'Compilado 2023'!B:B,Facebook!B:B)</f>
        <v>328.4</v>
      </c>
      <c r="P418" s="70">
        <v>0</v>
      </c>
      <c r="Q418" s="70">
        <v>57.142857142857146</v>
      </c>
      <c r="R418" s="202">
        <f>IFERROR(VLOOKUP($B:$B,Tabela_Linkedin[],2,),0)</f>
        <v>0</v>
      </c>
      <c r="S418" s="70">
        <f>SUMIF(TikTok!A:A,'Compilado 2023'!B:B,TikTok!B:B)</f>
        <v>0</v>
      </c>
      <c r="T418" s="70">
        <v>0</v>
      </c>
      <c r="U418" s="70">
        <v>0</v>
      </c>
      <c r="V418" s="59"/>
      <c r="W418" s="70">
        <v>0</v>
      </c>
      <c r="X418" s="70">
        <v>0</v>
      </c>
      <c r="Y418" s="70">
        <v>0</v>
      </c>
      <c r="Z418" s="38"/>
      <c r="AA418" s="40"/>
    </row>
    <row r="419" spans="1:27" s="2" customFormat="1" x14ac:dyDescent="0.2">
      <c r="A419" s="16" t="s">
        <v>97</v>
      </c>
      <c r="B419" s="17">
        <v>44978</v>
      </c>
      <c r="C419" s="19">
        <v>23344.45</v>
      </c>
      <c r="D419" s="52">
        <v>23344.45</v>
      </c>
      <c r="E419" s="52">
        <v>0</v>
      </c>
      <c r="F419" s="157">
        <v>79</v>
      </c>
      <c r="G419" s="157">
        <v>103</v>
      </c>
      <c r="H419" s="35">
        <v>295.49936708860758</v>
      </c>
      <c r="I419" s="19">
        <v>1138.3128571428572</v>
      </c>
      <c r="J419" s="111">
        <v>20.507938440222937</v>
      </c>
      <c r="K419" s="53">
        <v>3360</v>
      </c>
      <c r="L419" s="54">
        <v>2.3511904761904762E-2</v>
      </c>
      <c r="M419" s="59"/>
      <c r="N419" s="69">
        <v>415.31</v>
      </c>
      <c r="O419" s="70">
        <f>SUMIF(Facebook!A:A,'Compilado 2023'!B:B,Facebook!B:B)</f>
        <v>370.48</v>
      </c>
      <c r="P419" s="70">
        <v>0</v>
      </c>
      <c r="Q419" s="70">
        <v>57.142857142857146</v>
      </c>
      <c r="R419" s="202">
        <f>IFERROR(VLOOKUP($B:$B,Tabela_Linkedin[],2,),0)</f>
        <v>0</v>
      </c>
      <c r="S419" s="70">
        <f>SUMIF(TikTok!A:A,'Compilado 2023'!B:B,TikTok!B:B)</f>
        <v>0</v>
      </c>
      <c r="T419" s="70">
        <v>0</v>
      </c>
      <c r="U419" s="70">
        <v>0</v>
      </c>
      <c r="V419" s="59"/>
      <c r="W419" s="70">
        <v>0</v>
      </c>
      <c r="X419" s="70">
        <v>0</v>
      </c>
      <c r="Y419" s="70">
        <v>0</v>
      </c>
      <c r="Z419" s="38"/>
      <c r="AA419" s="40"/>
    </row>
    <row r="420" spans="1:27" s="2" customFormat="1" x14ac:dyDescent="0.2">
      <c r="A420" s="16" t="s">
        <v>98</v>
      </c>
      <c r="B420" s="17">
        <v>44979</v>
      </c>
      <c r="C420" s="19">
        <v>44515.35</v>
      </c>
      <c r="D420" s="52">
        <v>44491.9</v>
      </c>
      <c r="E420" s="52">
        <v>23.45</v>
      </c>
      <c r="F420" s="157">
        <v>148</v>
      </c>
      <c r="G420" s="157">
        <v>166</v>
      </c>
      <c r="H420" s="35">
        <v>300.77939189189186</v>
      </c>
      <c r="I420" s="19">
        <v>1322.4428571428571</v>
      </c>
      <c r="J420" s="111">
        <v>33.661454451178017</v>
      </c>
      <c r="K420" s="53">
        <v>5099</v>
      </c>
      <c r="L420" s="54">
        <v>2.9025299078250636E-2</v>
      </c>
      <c r="M420" s="59"/>
      <c r="N420" s="69">
        <v>556.47</v>
      </c>
      <c r="O420" s="70">
        <f>SUMIF(Facebook!A:A,'Compilado 2023'!B:B,Facebook!B:B)</f>
        <v>391.88</v>
      </c>
      <c r="P420" s="70">
        <v>0</v>
      </c>
      <c r="Q420" s="70">
        <v>57.142857142857146</v>
      </c>
      <c r="R420" s="202">
        <f>IFERROR(VLOOKUP($B:$B,Tabela_Linkedin[],2,),0)</f>
        <v>0</v>
      </c>
      <c r="S420" s="70">
        <f>SUMIF(TikTok!A:A,'Compilado 2023'!B:B,TikTok!B:B)</f>
        <v>0</v>
      </c>
      <c r="T420" s="70">
        <v>0</v>
      </c>
      <c r="U420" s="70">
        <v>0</v>
      </c>
      <c r="V420" s="59"/>
      <c r="W420" s="70">
        <v>0</v>
      </c>
      <c r="X420" s="70">
        <v>0</v>
      </c>
      <c r="Y420" s="70">
        <v>0</v>
      </c>
      <c r="Z420" s="38"/>
      <c r="AA420" s="40"/>
    </row>
    <row r="421" spans="1:27" s="2" customFormat="1" x14ac:dyDescent="0.2">
      <c r="A421" s="16" t="s">
        <v>99</v>
      </c>
      <c r="B421" s="17">
        <v>44980</v>
      </c>
      <c r="C421" s="19">
        <v>68916.42</v>
      </c>
      <c r="D421" s="52">
        <v>68817.23</v>
      </c>
      <c r="E421" s="52">
        <v>99.19</v>
      </c>
      <c r="F421" s="157">
        <v>201</v>
      </c>
      <c r="G421" s="157">
        <v>294</v>
      </c>
      <c r="H421" s="35">
        <v>342.86776119402987</v>
      </c>
      <c r="I421" s="19">
        <v>1315.8928571428571</v>
      </c>
      <c r="J421" s="111">
        <v>52.372364228524901</v>
      </c>
      <c r="K421" s="53">
        <v>5529</v>
      </c>
      <c r="L421" s="54">
        <v>3.6353771025501899E-2</v>
      </c>
      <c r="M421" s="59"/>
      <c r="N421" s="69">
        <v>533.99</v>
      </c>
      <c r="O421" s="70">
        <f>SUMIF(Facebook!A:A,'Compilado 2023'!B:B,Facebook!B:B)</f>
        <v>397.99</v>
      </c>
      <c r="P421" s="70">
        <v>0</v>
      </c>
      <c r="Q421" s="70">
        <v>57.142857142857146</v>
      </c>
      <c r="R421" s="202">
        <f>IFERROR(VLOOKUP($B:$B,Tabela_Linkedin[],2,),0)</f>
        <v>0</v>
      </c>
      <c r="S421" s="70">
        <f>SUMIF(TikTok!A:A,'Compilado 2023'!B:B,TikTok!B:B)</f>
        <v>0</v>
      </c>
      <c r="T421" s="70">
        <v>0</v>
      </c>
      <c r="U421" s="70">
        <v>0</v>
      </c>
      <c r="V421" s="59"/>
      <c r="W421" s="70">
        <v>0</v>
      </c>
      <c r="X421" s="70">
        <v>0</v>
      </c>
      <c r="Y421" s="70">
        <v>0</v>
      </c>
      <c r="Z421" s="38"/>
      <c r="AA421" s="40"/>
    </row>
    <row r="422" spans="1:27" s="2" customFormat="1" x14ac:dyDescent="0.2">
      <c r="A422" s="16" t="s">
        <v>100</v>
      </c>
      <c r="B422" s="17">
        <v>44981</v>
      </c>
      <c r="C422" s="19">
        <v>61456.45</v>
      </c>
      <c r="D422" s="52">
        <v>61424.28</v>
      </c>
      <c r="E422" s="52">
        <v>32.17</v>
      </c>
      <c r="F422" s="157">
        <v>194</v>
      </c>
      <c r="G422" s="157">
        <v>250</v>
      </c>
      <c r="H422" s="35">
        <v>316.78582474226801</v>
      </c>
      <c r="I422" s="19">
        <v>1090.8728571428571</v>
      </c>
      <c r="J422" s="111">
        <v>56.336950358232137</v>
      </c>
      <c r="K422" s="53">
        <v>5857</v>
      </c>
      <c r="L422" s="54">
        <v>3.3122759091685161E-2</v>
      </c>
      <c r="M422" s="59"/>
      <c r="N422" s="69">
        <v>499.27</v>
      </c>
      <c r="O422" s="70">
        <f>SUMIF(Facebook!A:A,'Compilado 2023'!B:B,Facebook!B:B)</f>
        <v>302.81</v>
      </c>
      <c r="P422" s="70">
        <v>0</v>
      </c>
      <c r="Q422" s="70">
        <v>57.142857142857146</v>
      </c>
      <c r="R422" s="202">
        <f>IFERROR(VLOOKUP($B:$B,Tabela_Linkedin[],2,),0)</f>
        <v>0</v>
      </c>
      <c r="S422" s="70">
        <f>SUMIF(TikTok!A:A,'Compilado 2023'!B:B,TikTok!B:B)</f>
        <v>0</v>
      </c>
      <c r="T422" s="70">
        <v>0</v>
      </c>
      <c r="U422" s="70">
        <v>0</v>
      </c>
      <c r="V422" s="59"/>
      <c r="W422" s="70">
        <v>0</v>
      </c>
      <c r="X422" s="70">
        <v>0</v>
      </c>
      <c r="Y422" s="70">
        <v>0</v>
      </c>
      <c r="Z422" s="38"/>
      <c r="AA422" s="40"/>
    </row>
    <row r="423" spans="1:27" s="2" customFormat="1" x14ac:dyDescent="0.2">
      <c r="A423" s="16" t="s">
        <v>94</v>
      </c>
      <c r="B423" s="17">
        <v>44982</v>
      </c>
      <c r="C423" s="19">
        <v>34613.06</v>
      </c>
      <c r="D423" s="52">
        <v>34528.199999999997</v>
      </c>
      <c r="E423" s="52">
        <v>84.86</v>
      </c>
      <c r="F423" s="157">
        <v>123</v>
      </c>
      <c r="G423" s="157">
        <v>152</v>
      </c>
      <c r="H423" s="35">
        <v>281.40699186991867</v>
      </c>
      <c r="I423" s="19">
        <v>999.24285714285713</v>
      </c>
      <c r="J423" s="111">
        <v>34.639286888644257</v>
      </c>
      <c r="K423" s="53">
        <v>4521</v>
      </c>
      <c r="L423" s="54">
        <v>2.7206370272063702E-2</v>
      </c>
      <c r="M423" s="59"/>
      <c r="N423" s="69">
        <v>380.31</v>
      </c>
      <c r="O423" s="70">
        <f>SUMIF(Facebook!A:A,'Compilado 2023'!B:B,Facebook!B:B)</f>
        <v>308.73</v>
      </c>
      <c r="P423" s="70">
        <v>0</v>
      </c>
      <c r="Q423" s="70">
        <v>57.142857142857146</v>
      </c>
      <c r="R423" s="202">
        <f>IFERROR(VLOOKUP($B:$B,Tabela_Linkedin[],2,),0)</f>
        <v>0</v>
      </c>
      <c r="S423" s="70">
        <f>SUMIF(TikTok!A:A,'Compilado 2023'!B:B,TikTok!B:B)</f>
        <v>0</v>
      </c>
      <c r="T423" s="70">
        <v>0</v>
      </c>
      <c r="U423" s="70">
        <v>0</v>
      </c>
      <c r="V423" s="59"/>
      <c r="W423" s="70">
        <v>0</v>
      </c>
      <c r="X423" s="70">
        <v>0</v>
      </c>
      <c r="Y423" s="70">
        <v>0</v>
      </c>
      <c r="Z423" s="38"/>
      <c r="AA423" s="40"/>
    </row>
    <row r="424" spans="1:27" s="2" customFormat="1" x14ac:dyDescent="0.2">
      <c r="A424" s="16" t="s">
        <v>95</v>
      </c>
      <c r="B424" s="17">
        <v>44983</v>
      </c>
      <c r="C424" s="19">
        <v>31566.06</v>
      </c>
      <c r="D424" s="52">
        <v>31566.06</v>
      </c>
      <c r="E424" s="52">
        <v>0</v>
      </c>
      <c r="F424" s="157">
        <v>105</v>
      </c>
      <c r="G424" s="157">
        <v>124</v>
      </c>
      <c r="H424" s="35">
        <v>300.62914285714288</v>
      </c>
      <c r="I424" s="19">
        <v>965.83285714285716</v>
      </c>
      <c r="J424" s="111">
        <v>32.682735699610845</v>
      </c>
      <c r="K424" s="53">
        <v>3595</v>
      </c>
      <c r="L424" s="54">
        <v>2.9207232267037551E-2</v>
      </c>
      <c r="M424" s="59"/>
      <c r="N424" s="69">
        <v>338.42</v>
      </c>
      <c r="O424" s="70">
        <f>SUMIF(Facebook!A:A,'Compilado 2023'!B:B,Facebook!B:B)</f>
        <v>320.92</v>
      </c>
      <c r="P424" s="70">
        <v>0</v>
      </c>
      <c r="Q424" s="70">
        <v>57.142857142857146</v>
      </c>
      <c r="R424" s="202">
        <f>IFERROR(VLOOKUP($B:$B,Tabela_Linkedin[],2,),0)</f>
        <v>0</v>
      </c>
      <c r="S424" s="70">
        <f>SUMIF(TikTok!A:A,'Compilado 2023'!B:B,TikTok!B:B)</f>
        <v>0</v>
      </c>
      <c r="T424" s="70">
        <v>0</v>
      </c>
      <c r="U424" s="70">
        <v>0</v>
      </c>
      <c r="V424" s="59"/>
      <c r="W424" s="70">
        <v>0</v>
      </c>
      <c r="X424" s="70">
        <v>0</v>
      </c>
      <c r="Y424" s="70">
        <v>0</v>
      </c>
      <c r="Z424" s="38"/>
      <c r="AA424" s="40"/>
    </row>
    <row r="425" spans="1:27" s="2" customFormat="1" x14ac:dyDescent="0.2">
      <c r="A425" s="16" t="s">
        <v>96</v>
      </c>
      <c r="B425" s="17">
        <v>44984</v>
      </c>
      <c r="C425" s="19">
        <v>54049.19</v>
      </c>
      <c r="D425" s="52">
        <v>54049.19</v>
      </c>
      <c r="E425" s="52">
        <v>0</v>
      </c>
      <c r="F425" s="157">
        <v>174</v>
      </c>
      <c r="G425" s="157">
        <v>229</v>
      </c>
      <c r="H425" s="35">
        <v>310.62752873563221</v>
      </c>
      <c r="I425" s="19">
        <v>1193.4428571428573</v>
      </c>
      <c r="J425" s="111">
        <v>45.28846075579655</v>
      </c>
      <c r="K425" s="53">
        <v>5470</v>
      </c>
      <c r="L425" s="54">
        <v>3.1809872029250459E-2</v>
      </c>
      <c r="M425" s="59"/>
      <c r="N425" s="69">
        <v>596.05999999999995</v>
      </c>
      <c r="O425" s="70">
        <f>SUMIF(Facebook!A:A,'Compilado 2023'!B:B,Facebook!B:B)</f>
        <v>320.97000000000003</v>
      </c>
      <c r="P425" s="70">
        <v>0</v>
      </c>
      <c r="Q425" s="70">
        <v>57.142857142857146</v>
      </c>
      <c r="R425" s="202">
        <f>IFERROR(VLOOKUP($B:$B,Tabela_Linkedin[],2,),0)</f>
        <v>0</v>
      </c>
      <c r="S425" s="70">
        <f>SUMIF(TikTok!A:A,'Compilado 2023'!B:B,TikTok!B:B)</f>
        <v>0</v>
      </c>
      <c r="T425" s="70">
        <v>0</v>
      </c>
      <c r="U425" s="70">
        <v>0</v>
      </c>
      <c r="V425" s="59"/>
      <c r="W425" s="70">
        <v>0</v>
      </c>
      <c r="X425" s="70">
        <v>0</v>
      </c>
      <c r="Y425" s="70">
        <v>0</v>
      </c>
      <c r="Z425" s="38"/>
      <c r="AA425" s="40"/>
    </row>
    <row r="426" spans="1:27" s="2" customFormat="1" x14ac:dyDescent="0.2">
      <c r="A426" s="16" t="s">
        <v>97</v>
      </c>
      <c r="B426" s="17">
        <v>44985</v>
      </c>
      <c r="C426" s="19">
        <v>63122.23</v>
      </c>
      <c r="D426" s="52">
        <v>63122.23</v>
      </c>
      <c r="E426" s="52">
        <v>0</v>
      </c>
      <c r="F426" s="157">
        <v>200</v>
      </c>
      <c r="G426" s="157">
        <v>258</v>
      </c>
      <c r="H426" s="35">
        <v>315.61115000000001</v>
      </c>
      <c r="I426" s="19">
        <v>1224.0428571428572</v>
      </c>
      <c r="J426" s="111">
        <v>51.568643721625058</v>
      </c>
      <c r="K426" s="53">
        <v>5639</v>
      </c>
      <c r="L426" s="54">
        <v>3.5467281432878167E-2</v>
      </c>
      <c r="M426" s="59"/>
      <c r="N426" s="69">
        <v>489.19</v>
      </c>
      <c r="O426" s="70">
        <f>SUMIF(Facebook!A:A,'Compilado 2023'!B:B,Facebook!B:B)</f>
        <v>384.39</v>
      </c>
      <c r="P426" s="70">
        <v>0</v>
      </c>
      <c r="Q426" s="70">
        <v>57.142857142857146</v>
      </c>
      <c r="R426" s="202">
        <f>IFERROR(VLOOKUP($B:$B,Tabela_Linkedin[],2,),0)</f>
        <v>0</v>
      </c>
      <c r="S426" s="70">
        <f>SUMIF(TikTok!A:A,'Compilado 2023'!B:B,TikTok!B:B)</f>
        <v>0</v>
      </c>
      <c r="T426" s="70">
        <v>0</v>
      </c>
      <c r="U426" s="70">
        <v>0</v>
      </c>
      <c r="V426" s="59"/>
      <c r="W426" s="70">
        <v>0</v>
      </c>
      <c r="X426" s="70">
        <v>0</v>
      </c>
      <c r="Y426" s="70">
        <v>0</v>
      </c>
      <c r="Z426" s="38"/>
      <c r="AA426" s="40"/>
    </row>
    <row r="427" spans="1:27" s="2" customFormat="1" x14ac:dyDescent="0.2">
      <c r="A427" s="16" t="s">
        <v>98</v>
      </c>
      <c r="B427" s="17">
        <v>44986</v>
      </c>
      <c r="C427" s="19">
        <v>99349.72</v>
      </c>
      <c r="D427" s="52">
        <v>99349.72</v>
      </c>
      <c r="E427" s="52">
        <v>0</v>
      </c>
      <c r="F427" s="157">
        <v>229</v>
      </c>
      <c r="G427" s="157">
        <v>459</v>
      </c>
      <c r="H427" s="35">
        <v>433.84157205240177</v>
      </c>
      <c r="I427" s="19">
        <v>1517.8629032258063</v>
      </c>
      <c r="J427" s="111">
        <v>65.453684775389846</v>
      </c>
      <c r="K427" s="53">
        <v>6848</v>
      </c>
      <c r="L427" s="54">
        <v>3.3440420560747662E-2</v>
      </c>
      <c r="M427" s="59"/>
      <c r="N427" s="69">
        <v>658.46</v>
      </c>
      <c r="O427" s="70">
        <f>SUMIF(Facebook!A:A,'Compilado 2023'!B:B,Facebook!B:B)</f>
        <v>469.94</v>
      </c>
      <c r="P427" s="70">
        <v>0</v>
      </c>
      <c r="Q427" s="70">
        <v>51.612903225806448</v>
      </c>
      <c r="R427" s="202">
        <f>IFERROR(VLOOKUP($B:$B,Tabela_Linkedin[],2,),0)</f>
        <v>0</v>
      </c>
      <c r="S427" s="70">
        <f>SUMIF(TikTok!A:A,'Compilado 2023'!B:B,TikTok!B:B)</f>
        <v>0</v>
      </c>
      <c r="T427" s="70">
        <v>0</v>
      </c>
      <c r="U427" s="70">
        <v>0</v>
      </c>
      <c r="V427" s="59"/>
      <c r="W427" s="70">
        <v>0</v>
      </c>
      <c r="X427" s="70">
        <v>0</v>
      </c>
      <c r="Y427" s="70">
        <v>0</v>
      </c>
      <c r="Z427" s="38"/>
      <c r="AA427" s="40"/>
    </row>
    <row r="428" spans="1:27" s="2" customFormat="1" x14ac:dyDescent="0.2">
      <c r="A428" s="16" t="s">
        <v>99</v>
      </c>
      <c r="B428" s="17">
        <v>44987</v>
      </c>
      <c r="C428" s="19">
        <v>63060.67</v>
      </c>
      <c r="D428" s="52">
        <v>63060.67</v>
      </c>
      <c r="E428" s="52">
        <v>0</v>
      </c>
      <c r="F428" s="157">
        <v>202</v>
      </c>
      <c r="G428" s="157">
        <v>255</v>
      </c>
      <c r="H428" s="35">
        <v>312.18153465346535</v>
      </c>
      <c r="I428" s="19">
        <v>1570.0229032258062</v>
      </c>
      <c r="J428" s="111">
        <v>40.165445911925268</v>
      </c>
      <c r="K428" s="53">
        <v>6781</v>
      </c>
      <c r="L428" s="54">
        <v>2.9789116649461732E-2</v>
      </c>
      <c r="M428" s="59"/>
      <c r="N428" s="69">
        <v>796.55</v>
      </c>
      <c r="O428" s="70">
        <f>SUMIF(Facebook!A:A,'Compilado 2023'!B:B,Facebook!B:B)</f>
        <v>497.15</v>
      </c>
      <c r="P428" s="70">
        <v>0</v>
      </c>
      <c r="Q428" s="70">
        <v>51.612903225806448</v>
      </c>
      <c r="R428" s="202">
        <f>IFERROR(VLOOKUP($B:$B,Tabela_Linkedin[],2,),0)</f>
        <v>0</v>
      </c>
      <c r="S428" s="70">
        <f>SUMIF(TikTok!A:A,'Compilado 2023'!B:B,TikTok!B:B)</f>
        <v>0</v>
      </c>
      <c r="T428" s="70">
        <v>0</v>
      </c>
      <c r="U428" s="70">
        <v>0</v>
      </c>
      <c r="V428" s="59"/>
      <c r="W428" s="70">
        <v>0</v>
      </c>
      <c r="X428" s="70">
        <v>0</v>
      </c>
      <c r="Y428" s="70">
        <v>0</v>
      </c>
      <c r="Z428" s="38"/>
      <c r="AA428" s="40"/>
    </row>
    <row r="429" spans="1:27" s="2" customFormat="1" x14ac:dyDescent="0.2">
      <c r="A429" s="16" t="s">
        <v>100</v>
      </c>
      <c r="B429" s="17">
        <v>44988</v>
      </c>
      <c r="C429" s="19">
        <v>78154.98</v>
      </c>
      <c r="D429" s="52">
        <v>78154.98</v>
      </c>
      <c r="E429" s="52">
        <v>0</v>
      </c>
      <c r="F429" s="157">
        <v>234</v>
      </c>
      <c r="G429" s="157">
        <v>307</v>
      </c>
      <c r="H429" s="35">
        <v>333.99564102564102</v>
      </c>
      <c r="I429" s="19">
        <v>1651.5729032258064</v>
      </c>
      <c r="J429" s="111">
        <v>47.321544115521547</v>
      </c>
      <c r="K429" s="53">
        <v>6189</v>
      </c>
      <c r="L429" s="54">
        <v>3.7809015996122151E-2</v>
      </c>
      <c r="M429" s="59"/>
      <c r="N429" s="69">
        <v>704.94</v>
      </c>
      <c r="O429" s="70">
        <f>SUMIF(Facebook!A:A,'Compilado 2023'!B:B,Facebook!B:B)</f>
        <v>528.59</v>
      </c>
      <c r="P429" s="70">
        <v>0</v>
      </c>
      <c r="Q429" s="70">
        <v>51.612903225806448</v>
      </c>
      <c r="R429" s="202">
        <f>IFERROR(VLOOKUP($B:$B,Tabela_Linkedin[],2,),0)</f>
        <v>0</v>
      </c>
      <c r="S429" s="70">
        <f>SUMIF(TikTok!A:A,'Compilado 2023'!B:B,TikTok!B:B)</f>
        <v>0</v>
      </c>
      <c r="T429" s="70">
        <v>0</v>
      </c>
      <c r="U429" s="70">
        <v>0</v>
      </c>
      <c r="V429" s="59"/>
      <c r="W429" s="70">
        <v>0</v>
      </c>
      <c r="X429" s="70">
        <v>0</v>
      </c>
      <c r="Y429" s="70">
        <v>0</v>
      </c>
      <c r="Z429" s="38"/>
      <c r="AA429" s="40"/>
    </row>
    <row r="430" spans="1:27" s="2" customFormat="1" x14ac:dyDescent="0.2">
      <c r="A430" s="16" t="s">
        <v>94</v>
      </c>
      <c r="B430" s="17">
        <v>44989</v>
      </c>
      <c r="C430" s="19">
        <v>52294.899999999994</v>
      </c>
      <c r="D430" s="52">
        <v>52272.59</v>
      </c>
      <c r="E430" s="52">
        <v>22.31</v>
      </c>
      <c r="F430" s="157">
        <v>189</v>
      </c>
      <c r="G430" s="157">
        <v>211</v>
      </c>
      <c r="H430" s="35">
        <v>276.69259259259258</v>
      </c>
      <c r="I430" s="19">
        <v>1439.9729032258065</v>
      </c>
      <c r="J430" s="111">
        <v>36.316586154398955</v>
      </c>
      <c r="K430" s="53">
        <v>4758</v>
      </c>
      <c r="L430" s="54">
        <v>3.9722572509457758E-2</v>
      </c>
      <c r="M430" s="59"/>
      <c r="N430" s="69">
        <v>504.42</v>
      </c>
      <c r="O430" s="70">
        <f>SUMIF(Facebook!A:A,'Compilado 2023'!B:B,Facebook!B:B)</f>
        <v>489.92</v>
      </c>
      <c r="P430" s="70">
        <v>0</v>
      </c>
      <c r="Q430" s="70">
        <v>51.612903225806448</v>
      </c>
      <c r="R430" s="202">
        <f>IFERROR(VLOOKUP($B:$B,Tabela_Linkedin[],2,),0)</f>
        <v>0</v>
      </c>
      <c r="S430" s="70">
        <f>SUMIF(TikTok!A:A,'Compilado 2023'!B:B,TikTok!B:B)</f>
        <v>0</v>
      </c>
      <c r="T430" s="70">
        <v>0</v>
      </c>
      <c r="U430" s="70">
        <v>0</v>
      </c>
      <c r="V430" s="59"/>
      <c r="W430" s="70">
        <v>0</v>
      </c>
      <c r="X430" s="70">
        <v>0</v>
      </c>
      <c r="Y430" s="70">
        <v>0</v>
      </c>
      <c r="Z430" s="38"/>
      <c r="AA430" s="40"/>
    </row>
    <row r="431" spans="1:27" s="2" customFormat="1" x14ac:dyDescent="0.2">
      <c r="A431" s="16" t="s">
        <v>95</v>
      </c>
      <c r="B431" s="17">
        <v>44990</v>
      </c>
      <c r="C431" s="19">
        <v>40788.31</v>
      </c>
      <c r="D431" s="52">
        <v>40788.31</v>
      </c>
      <c r="E431" s="52">
        <v>0</v>
      </c>
      <c r="F431" s="157">
        <v>111</v>
      </c>
      <c r="G431" s="157">
        <v>164</v>
      </c>
      <c r="H431" s="35">
        <v>367.46225225225226</v>
      </c>
      <c r="I431" s="19">
        <v>1201.5529032258064</v>
      </c>
      <c r="J431" s="111">
        <v>33.946328863669436</v>
      </c>
      <c r="K431" s="53">
        <v>4189</v>
      </c>
      <c r="L431" s="54">
        <v>2.6497970876104081E-2</v>
      </c>
      <c r="M431" s="59"/>
      <c r="N431" s="69">
        <v>618.39</v>
      </c>
      <c r="O431" s="70">
        <f>SUMIF(Facebook!A:A,'Compilado 2023'!B:B,Facebook!B:B)</f>
        <v>421.82</v>
      </c>
      <c r="P431" s="70">
        <v>0</v>
      </c>
      <c r="Q431" s="70">
        <v>51.612903225806448</v>
      </c>
      <c r="R431" s="202">
        <f>IFERROR(VLOOKUP($B:$B,Tabela_Linkedin[],2,),0)</f>
        <v>0</v>
      </c>
      <c r="S431" s="70">
        <f>SUMIF(TikTok!A:A,'Compilado 2023'!B:B,TikTok!B:B)</f>
        <v>0</v>
      </c>
      <c r="T431" s="70">
        <v>0</v>
      </c>
      <c r="U431" s="70">
        <v>0</v>
      </c>
      <c r="V431" s="59"/>
      <c r="W431" s="70">
        <v>0</v>
      </c>
      <c r="X431" s="70">
        <v>0</v>
      </c>
      <c r="Y431" s="70">
        <v>0</v>
      </c>
      <c r="Z431" s="38"/>
      <c r="AA431" s="40"/>
    </row>
    <row r="432" spans="1:27" s="2" customFormat="1" x14ac:dyDescent="0.2">
      <c r="A432" s="16" t="s">
        <v>96</v>
      </c>
      <c r="B432" s="17">
        <v>44991</v>
      </c>
      <c r="C432" s="19">
        <v>105622.40999999999</v>
      </c>
      <c r="D432" s="52">
        <v>105576.65</v>
      </c>
      <c r="E432" s="52">
        <v>45.76</v>
      </c>
      <c r="F432" s="157">
        <v>266</v>
      </c>
      <c r="G432" s="157">
        <v>475</v>
      </c>
      <c r="H432" s="35">
        <v>397.07672932330826</v>
      </c>
      <c r="I432" s="19">
        <v>1684.5429032258062</v>
      </c>
      <c r="J432" s="111">
        <v>62.700931984420777</v>
      </c>
      <c r="K432" s="53">
        <v>6786</v>
      </c>
      <c r="L432" s="54">
        <v>3.9198349543177129E-2</v>
      </c>
      <c r="M432" s="59"/>
      <c r="N432" s="69">
        <v>890.38</v>
      </c>
      <c r="O432" s="70">
        <f>SUMIF(Facebook!A:A,'Compilado 2023'!B:B,Facebook!B:B)</f>
        <v>504.13</v>
      </c>
      <c r="P432" s="70">
        <v>0</v>
      </c>
      <c r="Q432" s="70">
        <v>51.612903225806448</v>
      </c>
      <c r="R432" s="202">
        <f>IFERROR(VLOOKUP($B:$B,Tabela_Linkedin[],2,),0)</f>
        <v>0</v>
      </c>
      <c r="S432" s="70">
        <f>SUMIF(TikTok!A:A,'Compilado 2023'!B:B,TikTok!B:B)</f>
        <v>0</v>
      </c>
      <c r="T432" s="70">
        <v>0</v>
      </c>
      <c r="U432" s="70">
        <v>0</v>
      </c>
      <c r="V432" s="59"/>
      <c r="W432" s="70">
        <v>0</v>
      </c>
      <c r="X432" s="70">
        <v>0</v>
      </c>
      <c r="Y432" s="70">
        <v>0</v>
      </c>
      <c r="Z432" s="38"/>
      <c r="AA432" s="40"/>
    </row>
    <row r="433" spans="1:27" s="2" customFormat="1" x14ac:dyDescent="0.2">
      <c r="A433" s="16" t="s">
        <v>97</v>
      </c>
      <c r="B433" s="17">
        <v>44992</v>
      </c>
      <c r="C433" s="19">
        <v>99791.739999999991</v>
      </c>
      <c r="D433" s="52">
        <v>99765.15</v>
      </c>
      <c r="E433" s="52">
        <v>26.59</v>
      </c>
      <c r="F433" s="157">
        <v>299</v>
      </c>
      <c r="G433" s="157">
        <v>423</v>
      </c>
      <c r="H433" s="35">
        <v>333.75163879598659</v>
      </c>
      <c r="I433" s="19">
        <v>2390.9829032258062</v>
      </c>
      <c r="J433" s="111">
        <v>41.736701615626558</v>
      </c>
      <c r="K433" s="53">
        <v>7831</v>
      </c>
      <c r="L433" s="54">
        <v>3.8181586004341718E-2</v>
      </c>
      <c r="M433" s="59"/>
      <c r="N433" s="69">
        <v>1272.53</v>
      </c>
      <c r="O433" s="70">
        <f>SUMIF(Facebook!A:A,'Compilado 2023'!B:B,Facebook!B:B)</f>
        <v>712.03</v>
      </c>
      <c r="P433" s="70">
        <v>0</v>
      </c>
      <c r="Q433" s="70">
        <v>51.612903225806448</v>
      </c>
      <c r="R433" s="202">
        <f>IFERROR(VLOOKUP($B:$B,Tabela_Linkedin[],2,),0)</f>
        <v>0</v>
      </c>
      <c r="S433" s="70">
        <f>SUMIF(TikTok!A:A,'Compilado 2023'!B:B,TikTok!B:B)</f>
        <v>0</v>
      </c>
      <c r="T433" s="70">
        <v>0</v>
      </c>
      <c r="U433" s="70">
        <v>0</v>
      </c>
      <c r="V433" s="59"/>
      <c r="W433" s="70">
        <v>0</v>
      </c>
      <c r="X433" s="70">
        <v>0</v>
      </c>
      <c r="Y433" s="70">
        <v>0</v>
      </c>
      <c r="Z433" s="38"/>
      <c r="AA433" s="40"/>
    </row>
    <row r="434" spans="1:27" s="2" customFormat="1" x14ac:dyDescent="0.2">
      <c r="A434" s="16" t="s">
        <v>98</v>
      </c>
      <c r="B434" s="17">
        <v>44993</v>
      </c>
      <c r="C434" s="19">
        <v>169409.17</v>
      </c>
      <c r="D434" s="52">
        <v>169409.17</v>
      </c>
      <c r="E434" s="52">
        <v>0</v>
      </c>
      <c r="F434" s="157">
        <v>455</v>
      </c>
      <c r="G434" s="157">
        <v>704</v>
      </c>
      <c r="H434" s="35">
        <v>372.32784615384617</v>
      </c>
      <c r="I434" s="19">
        <v>2732.8829032258063</v>
      </c>
      <c r="J434" s="111">
        <v>61.98917992426054</v>
      </c>
      <c r="K434" s="53">
        <v>8178</v>
      </c>
      <c r="L434" s="54">
        <v>5.5637075079481534E-2</v>
      </c>
      <c r="M434" s="59"/>
      <c r="N434" s="69">
        <v>1605.07</v>
      </c>
      <c r="O434" s="70">
        <f>SUMIF(Facebook!A:A,'Compilado 2023'!B:B,Facebook!B:B)</f>
        <v>736.22</v>
      </c>
      <c r="P434" s="70">
        <v>0</v>
      </c>
      <c r="Q434" s="70">
        <v>51.612903225806448</v>
      </c>
      <c r="R434" s="202">
        <f>IFERROR(VLOOKUP($B:$B,Tabela_Linkedin[],2,),0)</f>
        <v>0</v>
      </c>
      <c r="S434" s="70">
        <f>SUMIF(TikTok!A:A,'Compilado 2023'!B:B,TikTok!B:B)</f>
        <v>0</v>
      </c>
      <c r="T434" s="70">
        <v>0</v>
      </c>
      <c r="U434" s="70">
        <v>0</v>
      </c>
      <c r="V434" s="59"/>
      <c r="W434" s="70">
        <v>0</v>
      </c>
      <c r="X434" s="70">
        <v>0</v>
      </c>
      <c r="Y434" s="70">
        <v>0</v>
      </c>
      <c r="Z434" s="38"/>
      <c r="AA434" s="40"/>
    </row>
    <row r="435" spans="1:27" s="2" customFormat="1" x14ac:dyDescent="0.2">
      <c r="A435" s="16" t="s">
        <v>99</v>
      </c>
      <c r="B435" s="17">
        <v>44994</v>
      </c>
      <c r="C435" s="19">
        <v>73347.12</v>
      </c>
      <c r="D435" s="52">
        <v>73347.12</v>
      </c>
      <c r="E435" s="52">
        <v>0</v>
      </c>
      <c r="F435" s="157">
        <v>222</v>
      </c>
      <c r="G435" s="157">
        <v>330</v>
      </c>
      <c r="H435" s="35">
        <v>330.39243243243243</v>
      </c>
      <c r="I435" s="19">
        <v>1320.5629032258064</v>
      </c>
      <c r="J435" s="111">
        <v>55.542314433361142</v>
      </c>
      <c r="K435" s="53">
        <v>5944</v>
      </c>
      <c r="L435" s="54">
        <v>3.7348586810228804E-2</v>
      </c>
      <c r="M435" s="59"/>
      <c r="N435" s="69">
        <v>804.32</v>
      </c>
      <c r="O435" s="70">
        <f>SUMIF(Facebook!A:A,'Compilado 2023'!B:B,Facebook!B:B)</f>
        <v>335.75</v>
      </c>
      <c r="P435" s="70">
        <v>0</v>
      </c>
      <c r="Q435" s="70">
        <v>51.612903225806448</v>
      </c>
      <c r="R435" s="202">
        <f>IFERROR(VLOOKUP($B:$B,Tabela_Linkedin[],2,),0)</f>
        <v>0</v>
      </c>
      <c r="S435" s="70">
        <f>SUMIF(TikTok!A:A,'Compilado 2023'!B:B,TikTok!B:B)</f>
        <v>0</v>
      </c>
      <c r="T435" s="70">
        <v>0</v>
      </c>
      <c r="U435" s="70">
        <v>0</v>
      </c>
      <c r="V435" s="59"/>
      <c r="W435" s="70">
        <v>0</v>
      </c>
      <c r="X435" s="70">
        <v>0</v>
      </c>
      <c r="Y435" s="70">
        <v>0</v>
      </c>
      <c r="Z435" s="38"/>
      <c r="AA435" s="40"/>
    </row>
    <row r="436" spans="1:27" s="2" customFormat="1" x14ac:dyDescent="0.2">
      <c r="A436" s="16" t="s">
        <v>100</v>
      </c>
      <c r="B436" s="17">
        <v>44995</v>
      </c>
      <c r="C436" s="19">
        <v>73599.06</v>
      </c>
      <c r="D436" s="52">
        <v>73576.75</v>
      </c>
      <c r="E436" s="52">
        <v>22.31</v>
      </c>
      <c r="F436" s="157">
        <v>244</v>
      </c>
      <c r="G436" s="157">
        <v>281</v>
      </c>
      <c r="H436" s="35">
        <v>301.63549180327868</v>
      </c>
      <c r="I436" s="19">
        <v>1295.6129032258063</v>
      </c>
      <c r="J436" s="111">
        <v>56.80636540185241</v>
      </c>
      <c r="K436" s="53">
        <v>5540</v>
      </c>
      <c r="L436" s="54">
        <v>4.4043321299638991E-2</v>
      </c>
      <c r="M436" s="59"/>
      <c r="N436" s="69">
        <v>625.32000000000005</v>
      </c>
      <c r="O436" s="70">
        <f>SUMIF(Facebook!A:A,'Compilado 2023'!B:B,Facebook!B:B)</f>
        <v>364.34</v>
      </c>
      <c r="P436" s="70">
        <v>0</v>
      </c>
      <c r="Q436" s="70">
        <v>51.612903225806448</v>
      </c>
      <c r="R436" s="202">
        <f>IFERROR(VLOOKUP($B:$B,Tabela_Linkedin[],2,),0)</f>
        <v>0</v>
      </c>
      <c r="S436" s="70">
        <f>SUMIF(TikTok!A:A,'Compilado 2023'!B:B,TikTok!B:B)</f>
        <v>0</v>
      </c>
      <c r="T436" s="70">
        <v>0</v>
      </c>
      <c r="U436" s="70">
        <v>0</v>
      </c>
      <c r="V436" s="59"/>
      <c r="W436" s="70">
        <v>0</v>
      </c>
      <c r="X436" s="70">
        <v>0</v>
      </c>
      <c r="Y436" s="70">
        <v>0</v>
      </c>
      <c r="Z436" s="38"/>
      <c r="AA436" s="40"/>
    </row>
    <row r="437" spans="1:27" s="2" customFormat="1" x14ac:dyDescent="0.2">
      <c r="A437" s="16" t="s">
        <v>94</v>
      </c>
      <c r="B437" s="17">
        <v>44996</v>
      </c>
      <c r="C437" s="19">
        <v>42795.38</v>
      </c>
      <c r="D437" s="52">
        <v>42751</v>
      </c>
      <c r="E437" s="52">
        <v>44.38</v>
      </c>
      <c r="F437" s="157">
        <v>153</v>
      </c>
      <c r="G437" s="157">
        <v>174</v>
      </c>
      <c r="H437" s="35">
        <v>279.7083660130719</v>
      </c>
      <c r="I437" s="19">
        <v>1395.2629032258064</v>
      </c>
      <c r="J437" s="111">
        <v>30.671911294321916</v>
      </c>
      <c r="K437" s="53">
        <v>4609</v>
      </c>
      <c r="L437" s="54">
        <v>3.3195921024083315E-2</v>
      </c>
      <c r="M437" s="59"/>
      <c r="N437" s="69">
        <v>597.41</v>
      </c>
      <c r="O437" s="70">
        <f>SUMIF(Facebook!A:A,'Compilado 2023'!B:B,Facebook!B:B)</f>
        <v>418.66</v>
      </c>
      <c r="P437" s="70">
        <v>0</v>
      </c>
      <c r="Q437" s="70">
        <v>51.612903225806448</v>
      </c>
      <c r="R437" s="202">
        <f>IFERROR(VLOOKUP($B:$B,Tabela_Linkedin[],2,),0)</f>
        <v>0</v>
      </c>
      <c r="S437" s="70">
        <f>SUMIF(TikTok!A:A,'Compilado 2023'!B:B,TikTok!B:B)</f>
        <v>0</v>
      </c>
      <c r="T437" s="70">
        <v>0</v>
      </c>
      <c r="U437" s="70">
        <v>0</v>
      </c>
      <c r="V437" s="59"/>
      <c r="W437" s="70">
        <v>0</v>
      </c>
      <c r="X437" s="70">
        <v>0</v>
      </c>
      <c r="Y437" s="70">
        <v>0</v>
      </c>
      <c r="Z437" s="38"/>
      <c r="AA437" s="40"/>
    </row>
    <row r="438" spans="1:27" s="2" customFormat="1" x14ac:dyDescent="0.2">
      <c r="A438" s="16" t="s">
        <v>95</v>
      </c>
      <c r="B438" s="17">
        <v>44997</v>
      </c>
      <c r="C438" s="19">
        <v>30194.880000000001</v>
      </c>
      <c r="D438" s="52">
        <v>30194.880000000001</v>
      </c>
      <c r="E438" s="52">
        <v>0</v>
      </c>
      <c r="F438" s="157">
        <v>106</v>
      </c>
      <c r="G438" s="157">
        <v>114</v>
      </c>
      <c r="H438" s="35">
        <v>284.85735849056607</v>
      </c>
      <c r="I438" s="19">
        <v>1200.2829032258064</v>
      </c>
      <c r="J438" s="111">
        <v>25.156469294738848</v>
      </c>
      <c r="K438" s="53">
        <v>3753</v>
      </c>
      <c r="L438" s="54">
        <v>2.8244071409539037E-2</v>
      </c>
      <c r="M438" s="59"/>
      <c r="N438" s="69">
        <v>476.96</v>
      </c>
      <c r="O438" s="70">
        <f>SUMIF(Facebook!A:A,'Compilado 2023'!B:B,Facebook!B:B)</f>
        <v>379.36</v>
      </c>
      <c r="P438" s="70">
        <v>0</v>
      </c>
      <c r="Q438" s="70">
        <v>51.612903225806448</v>
      </c>
      <c r="R438" s="202">
        <f>IFERROR(VLOOKUP($B:$B,Tabela_Linkedin[],2,),0)</f>
        <v>0</v>
      </c>
      <c r="S438" s="70">
        <f>SUMIF(TikTok!A:A,'Compilado 2023'!B:B,TikTok!B:B)</f>
        <v>0</v>
      </c>
      <c r="T438" s="70">
        <v>0</v>
      </c>
      <c r="U438" s="70">
        <v>0</v>
      </c>
      <c r="V438" s="59"/>
      <c r="W438" s="70">
        <v>0</v>
      </c>
      <c r="X438" s="70">
        <v>0</v>
      </c>
      <c r="Y438" s="70">
        <v>0</v>
      </c>
      <c r="Z438" s="38"/>
      <c r="AA438" s="40"/>
    </row>
    <row r="439" spans="1:27" s="2" customFormat="1" x14ac:dyDescent="0.2">
      <c r="A439" s="16" t="s">
        <v>96</v>
      </c>
      <c r="B439" s="17">
        <v>44998</v>
      </c>
      <c r="C439" s="19">
        <v>63956.98</v>
      </c>
      <c r="D439" s="52">
        <v>63933.15</v>
      </c>
      <c r="E439" s="52">
        <v>23.83</v>
      </c>
      <c r="F439" s="157">
        <v>232</v>
      </c>
      <c r="G439" s="157">
        <v>300</v>
      </c>
      <c r="H439" s="35">
        <v>275.67663793103452</v>
      </c>
      <c r="I439" s="19">
        <v>1456.3829032258063</v>
      </c>
      <c r="J439" s="111">
        <v>43.914948368549837</v>
      </c>
      <c r="K439" s="53">
        <v>5966</v>
      </c>
      <c r="L439" s="54">
        <v>3.8887026483405966E-2</v>
      </c>
      <c r="M439" s="59"/>
      <c r="N439" s="69">
        <v>666.7</v>
      </c>
      <c r="O439" s="70">
        <f>SUMIF(Facebook!A:A,'Compilado 2023'!B:B,Facebook!B:B)</f>
        <v>435.14</v>
      </c>
      <c r="P439" s="70">
        <v>0</v>
      </c>
      <c r="Q439" s="70">
        <v>51.612903225806448</v>
      </c>
      <c r="R439" s="202">
        <f>IFERROR(VLOOKUP($B:$B,Tabela_Linkedin[],2,),0)</f>
        <v>0</v>
      </c>
      <c r="S439" s="70">
        <f>SUMIF(TikTok!A:A,'Compilado 2023'!B:B,TikTok!B:B)</f>
        <v>0</v>
      </c>
      <c r="T439" s="70">
        <v>0</v>
      </c>
      <c r="U439" s="70">
        <v>0</v>
      </c>
      <c r="V439" s="59"/>
      <c r="W439" s="70">
        <v>0</v>
      </c>
      <c r="X439" s="70">
        <v>0</v>
      </c>
      <c r="Y439" s="70">
        <v>0</v>
      </c>
      <c r="Z439" s="38"/>
      <c r="AA439" s="40"/>
    </row>
    <row r="440" spans="1:27" s="2" customFormat="1" x14ac:dyDescent="0.2">
      <c r="A440" s="16" t="s">
        <v>97</v>
      </c>
      <c r="B440" s="17">
        <v>44999</v>
      </c>
      <c r="C440" s="19">
        <v>68999.23</v>
      </c>
      <c r="D440" s="52">
        <v>68885.48</v>
      </c>
      <c r="E440" s="52">
        <v>113.75</v>
      </c>
      <c r="F440" s="157">
        <v>250</v>
      </c>
      <c r="G440" s="157">
        <v>342</v>
      </c>
      <c r="H440" s="35">
        <v>275.99691999999999</v>
      </c>
      <c r="I440" s="19">
        <v>1674.0929032258064</v>
      </c>
      <c r="J440" s="111">
        <v>41.215890627721741</v>
      </c>
      <c r="K440" s="53">
        <v>6248</v>
      </c>
      <c r="L440" s="54">
        <v>4.0012804097311137E-2</v>
      </c>
      <c r="M440" s="59"/>
      <c r="N440" s="69">
        <v>547.5</v>
      </c>
      <c r="O440" s="70">
        <f>SUMIF(Facebook!A:A,'Compilado 2023'!B:B,Facebook!B:B)</f>
        <v>579.91</v>
      </c>
      <c r="P440" s="70">
        <v>0</v>
      </c>
      <c r="Q440" s="70">
        <v>51.612903225806448</v>
      </c>
      <c r="R440" s="202">
        <f>IFERROR(VLOOKUP($B:$B,Tabela_Linkedin[],2,),0)</f>
        <v>0</v>
      </c>
      <c r="S440" s="70">
        <f>SUMIF(TikTok!A:A,'Compilado 2023'!B:B,TikTok!B:B)</f>
        <v>0</v>
      </c>
      <c r="T440" s="70">
        <v>0</v>
      </c>
      <c r="U440" s="70">
        <v>0</v>
      </c>
      <c r="V440" s="59"/>
      <c r="W440" s="70">
        <v>0</v>
      </c>
      <c r="X440" s="70">
        <v>0</v>
      </c>
      <c r="Y440" s="70">
        <v>0</v>
      </c>
      <c r="Z440" s="38"/>
      <c r="AA440" s="40"/>
    </row>
    <row r="441" spans="1:27" s="2" customFormat="1" x14ac:dyDescent="0.2">
      <c r="A441" s="16" t="s">
        <v>98</v>
      </c>
      <c r="B441" s="17">
        <v>45000</v>
      </c>
      <c r="C441" s="19">
        <v>65612.67</v>
      </c>
      <c r="D441" s="52">
        <v>65588.740000000005</v>
      </c>
      <c r="E441" s="52">
        <v>23.93</v>
      </c>
      <c r="F441" s="157">
        <v>246</v>
      </c>
      <c r="G441" s="157">
        <v>302</v>
      </c>
      <c r="H441" s="35">
        <v>266.71817073170729</v>
      </c>
      <c r="I441" s="19">
        <v>2033.1329032258063</v>
      </c>
      <c r="J441" s="111">
        <v>32.271707322181307</v>
      </c>
      <c r="K441" s="53">
        <v>5702</v>
      </c>
      <c r="L441" s="54">
        <v>4.3142756927393895E-2</v>
      </c>
      <c r="M441" s="59"/>
      <c r="N441" s="69">
        <v>575.14</v>
      </c>
      <c r="O441" s="70">
        <f>SUMIF(Facebook!A:A,'Compilado 2023'!B:B,Facebook!B:B)</f>
        <v>739.43</v>
      </c>
      <c r="P441" s="70">
        <v>0</v>
      </c>
      <c r="Q441" s="70">
        <v>51.612903225806448</v>
      </c>
      <c r="R441" s="202">
        <f>IFERROR(VLOOKUP($B:$B,Tabela_Linkedin[],2,),0)</f>
        <v>0</v>
      </c>
      <c r="S441" s="70">
        <f>SUMIF(TikTok!A:A,'Compilado 2023'!B:B,TikTok!B:B)</f>
        <v>0</v>
      </c>
      <c r="T441" s="70">
        <v>0</v>
      </c>
      <c r="U441" s="70">
        <v>0</v>
      </c>
      <c r="V441" s="59"/>
      <c r="W441" s="70">
        <v>0</v>
      </c>
      <c r="X441" s="70">
        <v>0</v>
      </c>
      <c r="Y441" s="70">
        <v>0</v>
      </c>
      <c r="Z441" s="38"/>
      <c r="AA441" s="40"/>
    </row>
    <row r="442" spans="1:27" s="2" customFormat="1" x14ac:dyDescent="0.2">
      <c r="A442" s="16" t="s">
        <v>99</v>
      </c>
      <c r="B442" s="17">
        <v>45001</v>
      </c>
      <c r="C442" s="19">
        <v>71611.850000000006</v>
      </c>
      <c r="D442" s="52">
        <v>71526.350000000006</v>
      </c>
      <c r="E442" s="52">
        <v>85.5</v>
      </c>
      <c r="F442" s="157">
        <v>243</v>
      </c>
      <c r="G442" s="157">
        <v>329</v>
      </c>
      <c r="H442" s="35">
        <v>294.69897119341567</v>
      </c>
      <c r="I442" s="19">
        <v>1862.0629032258062</v>
      </c>
      <c r="J442" s="111">
        <v>38.458340948601069</v>
      </c>
      <c r="K442" s="53">
        <v>5641</v>
      </c>
      <c r="L442" s="54">
        <v>4.307746853394788E-2</v>
      </c>
      <c r="M442" s="59"/>
      <c r="N442" s="69">
        <v>544.22</v>
      </c>
      <c r="O442" s="70">
        <f>SUMIF(Facebook!A:A,'Compilado 2023'!B:B,Facebook!B:B)</f>
        <v>680.28</v>
      </c>
      <c r="P442" s="70">
        <v>0</v>
      </c>
      <c r="Q442" s="70">
        <v>51.612903225806448</v>
      </c>
      <c r="R442" s="202">
        <f>IFERROR(VLOOKUP($B:$B,Tabela_Linkedin[],2,),0)</f>
        <v>0</v>
      </c>
      <c r="S442" s="70">
        <f>SUMIF(TikTok!A:A,'Compilado 2023'!B:B,TikTok!B:B)</f>
        <v>0</v>
      </c>
      <c r="T442" s="70">
        <v>0</v>
      </c>
      <c r="U442" s="70">
        <v>0</v>
      </c>
      <c r="V442" s="59"/>
      <c r="W442" s="70">
        <v>0</v>
      </c>
      <c r="X442" s="70">
        <v>0</v>
      </c>
      <c r="Y442" s="70">
        <v>0</v>
      </c>
      <c r="Z442" s="38"/>
      <c r="AA442" s="40"/>
    </row>
    <row r="443" spans="1:27" s="2" customFormat="1" x14ac:dyDescent="0.2">
      <c r="A443" s="16" t="s">
        <v>100</v>
      </c>
      <c r="B443" s="17">
        <v>45002</v>
      </c>
      <c r="C443" s="19">
        <v>65077.84</v>
      </c>
      <c r="D443" s="52">
        <v>65077.84</v>
      </c>
      <c r="E443" s="52">
        <v>0</v>
      </c>
      <c r="F443" s="157">
        <v>216</v>
      </c>
      <c r="G443" s="157">
        <v>280</v>
      </c>
      <c r="H443" s="35">
        <v>301.28629629629626</v>
      </c>
      <c r="I443" s="19">
        <v>1120.9429032258063</v>
      </c>
      <c r="J443" s="111">
        <v>58.056337938998944</v>
      </c>
      <c r="K443" s="53">
        <v>5066</v>
      </c>
      <c r="L443" s="54">
        <v>4.2637189103829451E-2</v>
      </c>
      <c r="M443" s="59"/>
      <c r="N443" s="69">
        <v>477.33</v>
      </c>
      <c r="O443" s="70">
        <f>SUMIF(Facebook!A:A,'Compilado 2023'!B:B,Facebook!B:B)</f>
        <v>325.11</v>
      </c>
      <c r="P443" s="70">
        <v>0</v>
      </c>
      <c r="Q443" s="70">
        <v>51.612903225806448</v>
      </c>
      <c r="R443" s="202">
        <f>IFERROR(VLOOKUP($B:$B,Tabela_Linkedin[],2,),0)</f>
        <v>0</v>
      </c>
      <c r="S443" s="70">
        <f>SUMIF(TikTok!A:A,'Compilado 2023'!B:B,TikTok!B:B)</f>
        <v>0</v>
      </c>
      <c r="T443" s="70">
        <v>0</v>
      </c>
      <c r="U443" s="70">
        <v>0</v>
      </c>
      <c r="V443" s="59"/>
      <c r="W443" s="70">
        <v>0</v>
      </c>
      <c r="X443" s="70">
        <v>0</v>
      </c>
      <c r="Y443" s="70">
        <v>0</v>
      </c>
      <c r="Z443" s="38"/>
      <c r="AA443" s="40"/>
    </row>
    <row r="444" spans="1:27" s="2" customFormat="1" x14ac:dyDescent="0.2">
      <c r="A444" s="16" t="s">
        <v>94</v>
      </c>
      <c r="B444" s="17">
        <v>45003</v>
      </c>
      <c r="C444" s="19">
        <v>43165.86</v>
      </c>
      <c r="D444" s="52">
        <v>43165.86</v>
      </c>
      <c r="E444" s="52">
        <v>0</v>
      </c>
      <c r="F444" s="157">
        <v>143</v>
      </c>
      <c r="G444" s="157">
        <v>168</v>
      </c>
      <c r="H444" s="35">
        <v>301.85916083916084</v>
      </c>
      <c r="I444" s="19">
        <v>989.45290322580649</v>
      </c>
      <c r="J444" s="111">
        <v>43.625987512160513</v>
      </c>
      <c r="K444" s="53">
        <v>3989</v>
      </c>
      <c r="L444" s="54">
        <v>3.5848583604913511E-2</v>
      </c>
      <c r="M444" s="59"/>
      <c r="N444" s="69">
        <v>356.3</v>
      </c>
      <c r="O444" s="70">
        <f>SUMIF(Facebook!A:A,'Compilado 2023'!B:B,Facebook!B:B)</f>
        <v>304.56</v>
      </c>
      <c r="P444" s="70">
        <v>0</v>
      </c>
      <c r="Q444" s="70">
        <v>51.612903225806448</v>
      </c>
      <c r="R444" s="202">
        <f>IFERROR(VLOOKUP($B:$B,Tabela_Linkedin[],2,),0)</f>
        <v>0</v>
      </c>
      <c r="S444" s="70">
        <f>SUMIF(TikTok!A:A,'Compilado 2023'!B:B,TikTok!B:B)</f>
        <v>0</v>
      </c>
      <c r="T444" s="70">
        <v>0</v>
      </c>
      <c r="U444" s="70">
        <v>0</v>
      </c>
      <c r="V444" s="59"/>
      <c r="W444" s="70">
        <v>0</v>
      </c>
      <c r="X444" s="70">
        <v>0</v>
      </c>
      <c r="Y444" s="70">
        <v>0</v>
      </c>
      <c r="Z444" s="38"/>
      <c r="AA444" s="40"/>
    </row>
    <row r="445" spans="1:27" s="2" customFormat="1" x14ac:dyDescent="0.2">
      <c r="A445" s="16" t="s">
        <v>95</v>
      </c>
      <c r="B445" s="17">
        <v>45004</v>
      </c>
      <c r="C445" s="19">
        <v>27892.32</v>
      </c>
      <c r="D445" s="52">
        <v>27870.09</v>
      </c>
      <c r="E445" s="52">
        <v>22.23</v>
      </c>
      <c r="F445" s="157">
        <v>95</v>
      </c>
      <c r="G445" s="157">
        <v>107</v>
      </c>
      <c r="H445" s="35">
        <v>293.60336842105261</v>
      </c>
      <c r="I445" s="19">
        <v>946.04290322580653</v>
      </c>
      <c r="J445" s="111">
        <v>29.48314490272384</v>
      </c>
      <c r="K445" s="53">
        <v>3422</v>
      </c>
      <c r="L445" s="54">
        <v>2.7761542957334892E-2</v>
      </c>
      <c r="M445" s="59"/>
      <c r="N445" s="69">
        <v>367.08</v>
      </c>
      <c r="O445" s="70">
        <f>SUMIF(Facebook!A:A,'Compilado 2023'!B:B,Facebook!B:B)</f>
        <v>314.01</v>
      </c>
      <c r="P445" s="70">
        <v>0</v>
      </c>
      <c r="Q445" s="70">
        <v>51.612903225806448</v>
      </c>
      <c r="R445" s="202">
        <f>IFERROR(VLOOKUP($B:$B,Tabela_Linkedin[],2,),0)</f>
        <v>0</v>
      </c>
      <c r="S445" s="70">
        <f>SUMIF(TikTok!A:A,'Compilado 2023'!B:B,TikTok!B:B)</f>
        <v>0</v>
      </c>
      <c r="T445" s="70">
        <v>0</v>
      </c>
      <c r="U445" s="70">
        <v>0</v>
      </c>
      <c r="V445" s="59"/>
      <c r="W445" s="70">
        <v>0</v>
      </c>
      <c r="X445" s="70">
        <v>0</v>
      </c>
      <c r="Y445" s="70">
        <v>0</v>
      </c>
      <c r="Z445" s="38"/>
      <c r="AA445" s="40"/>
    </row>
    <row r="446" spans="1:27" s="2" customFormat="1" x14ac:dyDescent="0.2">
      <c r="A446" s="16" t="s">
        <v>96</v>
      </c>
      <c r="B446" s="17">
        <v>45005</v>
      </c>
      <c r="C446" s="19">
        <v>56319.55</v>
      </c>
      <c r="D446" s="52">
        <v>56319.55</v>
      </c>
      <c r="E446" s="52">
        <v>0</v>
      </c>
      <c r="F446" s="157">
        <v>196</v>
      </c>
      <c r="G446" s="157">
        <v>232</v>
      </c>
      <c r="H446" s="35">
        <v>287.34464285714284</v>
      </c>
      <c r="I446" s="19">
        <v>1314.3629032258063</v>
      </c>
      <c r="J446" s="111">
        <v>42.849314950822496</v>
      </c>
      <c r="K446" s="53">
        <v>5739</v>
      </c>
      <c r="L446" s="54">
        <v>3.4152291339954698E-2</v>
      </c>
      <c r="M446" s="59"/>
      <c r="N446" s="69">
        <v>537.85</v>
      </c>
      <c r="O446" s="70">
        <f>SUMIF(Facebook!A:A,'Compilado 2023'!B:B,Facebook!B:B)</f>
        <v>363.33</v>
      </c>
      <c r="P446" s="70">
        <v>0</v>
      </c>
      <c r="Q446" s="70">
        <v>51.612903225806448</v>
      </c>
      <c r="R446" s="202">
        <f>IFERROR(VLOOKUP($B:$B,Tabela_Linkedin[],2,),0)</f>
        <v>0</v>
      </c>
      <c r="S446" s="70">
        <f>SUMIF(TikTok!A:A,'Compilado 2023'!B:B,TikTok!B:B)</f>
        <v>0</v>
      </c>
      <c r="T446" s="70">
        <v>0</v>
      </c>
      <c r="U446" s="70">
        <v>0</v>
      </c>
      <c r="V446" s="59"/>
      <c r="W446" s="70">
        <v>0</v>
      </c>
      <c r="X446" s="70">
        <v>0</v>
      </c>
      <c r="Y446" s="70">
        <v>0</v>
      </c>
      <c r="Z446" s="38"/>
      <c r="AA446" s="40"/>
    </row>
    <row r="447" spans="1:27" s="2" customFormat="1" x14ac:dyDescent="0.2">
      <c r="A447" s="16" t="s">
        <v>97</v>
      </c>
      <c r="B447" s="17">
        <v>45006</v>
      </c>
      <c r="C447" s="19">
        <v>55669.26</v>
      </c>
      <c r="D447" s="52">
        <v>55669.26</v>
      </c>
      <c r="E447" s="52">
        <v>0</v>
      </c>
      <c r="F447" s="157">
        <v>181</v>
      </c>
      <c r="G447" s="157">
        <v>237</v>
      </c>
      <c r="H447" s="35">
        <v>307.56497237569062</v>
      </c>
      <c r="I447" s="19">
        <v>1345.4829032258065</v>
      </c>
      <c r="J447" s="111">
        <v>41.374929303473486</v>
      </c>
      <c r="K447" s="53">
        <v>5783</v>
      </c>
      <c r="L447" s="54">
        <v>3.1298633927027496E-2</v>
      </c>
      <c r="M447" s="59"/>
      <c r="N447" s="69">
        <v>571.11</v>
      </c>
      <c r="O447" s="70">
        <f>SUMIF(Facebook!A:A,'Compilado 2023'!B:B,Facebook!B:B)</f>
        <v>423.1</v>
      </c>
      <c r="P447" s="70">
        <v>0</v>
      </c>
      <c r="Q447" s="70">
        <v>51.612903225806448</v>
      </c>
      <c r="R447" s="202">
        <f>IFERROR(VLOOKUP($B:$B,Tabela_Linkedin[],2,),0)</f>
        <v>0</v>
      </c>
      <c r="S447" s="70">
        <f>SUMIF(TikTok!A:A,'Compilado 2023'!B:B,TikTok!B:B)</f>
        <v>0</v>
      </c>
      <c r="T447" s="70">
        <v>0</v>
      </c>
      <c r="U447" s="70">
        <v>0</v>
      </c>
      <c r="V447" s="59"/>
      <c r="W447" s="70">
        <v>0</v>
      </c>
      <c r="X447" s="70">
        <v>0</v>
      </c>
      <c r="Y447" s="70">
        <v>0</v>
      </c>
      <c r="Z447" s="38"/>
      <c r="AA447" s="40"/>
    </row>
    <row r="448" spans="1:27" s="2" customFormat="1" x14ac:dyDescent="0.2">
      <c r="A448" s="16" t="s">
        <v>98</v>
      </c>
      <c r="B448" s="17">
        <v>45007</v>
      </c>
      <c r="C448" s="19">
        <v>51887.43</v>
      </c>
      <c r="D448" s="52">
        <v>51833.55</v>
      </c>
      <c r="E448" s="52">
        <v>53.88</v>
      </c>
      <c r="F448" s="157">
        <v>168</v>
      </c>
      <c r="G448" s="157">
        <v>202</v>
      </c>
      <c r="H448" s="35">
        <v>308.85374999999999</v>
      </c>
      <c r="I448" s="19">
        <v>1141.6829032258063</v>
      </c>
      <c r="J448" s="111">
        <v>45.448197440281291</v>
      </c>
      <c r="K448" s="53">
        <v>5328</v>
      </c>
      <c r="L448" s="54">
        <v>3.1531531531531529E-2</v>
      </c>
      <c r="M448" s="59"/>
      <c r="N448" s="69">
        <v>429.16</v>
      </c>
      <c r="O448" s="70">
        <f>SUMIF(Facebook!A:A,'Compilado 2023'!B:B,Facebook!B:B)</f>
        <v>356.38</v>
      </c>
      <c r="P448" s="70">
        <v>0</v>
      </c>
      <c r="Q448" s="70">
        <v>51.612903225806448</v>
      </c>
      <c r="R448" s="202">
        <f>IFERROR(VLOOKUP($B:$B,Tabela_Linkedin[],2,),0)</f>
        <v>0</v>
      </c>
      <c r="S448" s="70">
        <f>SUMIF(TikTok!A:A,'Compilado 2023'!B:B,TikTok!B:B)</f>
        <v>0</v>
      </c>
      <c r="T448" s="70">
        <v>0</v>
      </c>
      <c r="U448" s="70">
        <v>0</v>
      </c>
      <c r="V448" s="59"/>
      <c r="W448" s="70">
        <v>0</v>
      </c>
      <c r="X448" s="70">
        <v>0</v>
      </c>
      <c r="Y448" s="70">
        <v>0</v>
      </c>
      <c r="Z448" s="38"/>
      <c r="AA448" s="40"/>
    </row>
    <row r="449" spans="1:27" s="2" customFormat="1" x14ac:dyDescent="0.2">
      <c r="A449" s="16" t="s">
        <v>99</v>
      </c>
      <c r="B449" s="17">
        <v>45008</v>
      </c>
      <c r="C449" s="19">
        <v>61012.240000000005</v>
      </c>
      <c r="D449" s="52">
        <v>60937.8</v>
      </c>
      <c r="E449" s="52">
        <v>74.44</v>
      </c>
      <c r="F449" s="157">
        <v>196</v>
      </c>
      <c r="G449" s="157">
        <v>274</v>
      </c>
      <c r="H449" s="35">
        <v>311.28693877551024</v>
      </c>
      <c r="I449" s="19">
        <v>1147.5529032258064</v>
      </c>
      <c r="J449" s="111">
        <v>53.167256889414624</v>
      </c>
      <c r="K449" s="53">
        <v>5258</v>
      </c>
      <c r="L449" s="54">
        <v>3.7276531000380371E-2</v>
      </c>
      <c r="M449" s="59"/>
      <c r="N449" s="69">
        <v>410.74</v>
      </c>
      <c r="O449" s="70">
        <f>SUMIF(Facebook!A:A,'Compilado 2023'!B:B,Facebook!B:B)</f>
        <v>378.43</v>
      </c>
      <c r="P449" s="70">
        <v>0</v>
      </c>
      <c r="Q449" s="70">
        <v>51.612903225806448</v>
      </c>
      <c r="R449" s="202">
        <f>IFERROR(VLOOKUP($B:$B,Tabela_Linkedin[],2,),0)</f>
        <v>0</v>
      </c>
      <c r="S449" s="70">
        <f>SUMIF(TikTok!A:A,'Compilado 2023'!B:B,TikTok!B:B)</f>
        <v>0</v>
      </c>
      <c r="T449" s="70">
        <v>0</v>
      </c>
      <c r="U449" s="70">
        <v>0</v>
      </c>
      <c r="V449" s="59"/>
      <c r="W449" s="70">
        <v>0</v>
      </c>
      <c r="X449" s="70">
        <v>0</v>
      </c>
      <c r="Y449" s="70">
        <v>0</v>
      </c>
      <c r="Z449" s="38"/>
      <c r="AA449" s="40"/>
    </row>
    <row r="450" spans="1:27" s="2" customFormat="1" x14ac:dyDescent="0.2">
      <c r="A450" s="16" t="s">
        <v>100</v>
      </c>
      <c r="B450" s="17">
        <v>45009</v>
      </c>
      <c r="C450" s="19">
        <v>63681.1</v>
      </c>
      <c r="D450" s="52">
        <v>63657.65</v>
      </c>
      <c r="E450" s="52">
        <v>23.45</v>
      </c>
      <c r="F450" s="157">
        <v>211</v>
      </c>
      <c r="G450" s="157">
        <v>259</v>
      </c>
      <c r="H450" s="35">
        <v>301.80616113744077</v>
      </c>
      <c r="I450" s="19">
        <v>1145.9629032258063</v>
      </c>
      <c r="J450" s="111">
        <v>55.569948923077796</v>
      </c>
      <c r="K450" s="53">
        <v>5536</v>
      </c>
      <c r="L450" s="54">
        <v>3.8114161849710983E-2</v>
      </c>
      <c r="M450" s="59"/>
      <c r="N450" s="69">
        <v>384.74</v>
      </c>
      <c r="O450" s="70">
        <f>SUMIF(Facebook!A:A,'Compilado 2023'!B:B,Facebook!B:B)</f>
        <v>378.13</v>
      </c>
      <c r="P450" s="70">
        <v>0</v>
      </c>
      <c r="Q450" s="70">
        <v>51.612903225806448</v>
      </c>
      <c r="R450" s="202">
        <f>IFERROR(VLOOKUP($B:$B,Tabela_Linkedin[],2,),0)</f>
        <v>0</v>
      </c>
      <c r="S450" s="70">
        <f>SUMIF(TikTok!A:A,'Compilado 2023'!B:B,TikTok!B:B)</f>
        <v>0</v>
      </c>
      <c r="T450" s="70">
        <v>0</v>
      </c>
      <c r="U450" s="70">
        <v>0</v>
      </c>
      <c r="V450" s="59"/>
      <c r="W450" s="70">
        <v>0</v>
      </c>
      <c r="X450" s="70">
        <v>0</v>
      </c>
      <c r="Y450" s="70">
        <v>0</v>
      </c>
      <c r="Z450" s="38"/>
      <c r="AA450" s="40"/>
    </row>
    <row r="451" spans="1:27" s="2" customFormat="1" x14ac:dyDescent="0.2">
      <c r="A451" s="16" t="s">
        <v>94</v>
      </c>
      <c r="B451" s="17">
        <v>45010</v>
      </c>
      <c r="C451" s="19">
        <v>47069.79</v>
      </c>
      <c r="D451" s="52">
        <v>47069.79</v>
      </c>
      <c r="E451" s="52">
        <v>0</v>
      </c>
      <c r="F451" s="157">
        <v>158</v>
      </c>
      <c r="G451" s="157">
        <v>191</v>
      </c>
      <c r="H451" s="35">
        <v>297.91006329113924</v>
      </c>
      <c r="I451" s="19">
        <v>916.99290322580657</v>
      </c>
      <c r="J451" s="111">
        <v>51.33059354594505</v>
      </c>
      <c r="K451" s="53">
        <v>4104</v>
      </c>
      <c r="L451" s="54">
        <v>3.8499025341130602E-2</v>
      </c>
      <c r="M451" s="59"/>
      <c r="N451" s="69">
        <v>297.32</v>
      </c>
      <c r="O451" s="70">
        <f>SUMIF(Facebook!A:A,'Compilado 2023'!B:B,Facebook!B:B)</f>
        <v>318.22000000000003</v>
      </c>
      <c r="P451" s="70">
        <v>0</v>
      </c>
      <c r="Q451" s="70">
        <v>51.612903225806448</v>
      </c>
      <c r="R451" s="202">
        <f>IFERROR(VLOOKUP($B:$B,Tabela_Linkedin[],2,),0)</f>
        <v>0</v>
      </c>
      <c r="S451" s="70">
        <f>SUMIF(TikTok!A:A,'Compilado 2023'!B:B,TikTok!B:B)</f>
        <v>0</v>
      </c>
      <c r="T451" s="70">
        <v>0</v>
      </c>
      <c r="U451" s="70">
        <v>0</v>
      </c>
      <c r="V451" s="59"/>
      <c r="W451" s="70">
        <v>0</v>
      </c>
      <c r="X451" s="70">
        <v>0</v>
      </c>
      <c r="Y451" s="70">
        <v>0</v>
      </c>
      <c r="Z451" s="38"/>
      <c r="AA451" s="40"/>
    </row>
    <row r="452" spans="1:27" s="2" customFormat="1" x14ac:dyDescent="0.2">
      <c r="A452" s="16" t="s">
        <v>95</v>
      </c>
      <c r="B452" s="17">
        <v>45011</v>
      </c>
      <c r="C452" s="19">
        <v>32540.959999999999</v>
      </c>
      <c r="D452" s="52">
        <v>32540.959999999999</v>
      </c>
      <c r="E452" s="52">
        <v>0</v>
      </c>
      <c r="F452" s="157">
        <v>100</v>
      </c>
      <c r="G452" s="157">
        <v>121</v>
      </c>
      <c r="H452" s="35">
        <v>325.40960000000001</v>
      </c>
      <c r="I452" s="19">
        <v>795.87290322580645</v>
      </c>
      <c r="J452" s="111">
        <v>40.887131435315901</v>
      </c>
      <c r="K452" s="53">
        <v>3295</v>
      </c>
      <c r="L452" s="54">
        <v>3.0349013657056147E-2</v>
      </c>
      <c r="M452" s="59"/>
      <c r="N452" s="69">
        <v>256.68</v>
      </c>
      <c r="O452" s="70">
        <f>SUMIF(Facebook!A:A,'Compilado 2023'!B:B,Facebook!B:B)</f>
        <v>275.27</v>
      </c>
      <c r="P452" s="70">
        <v>0</v>
      </c>
      <c r="Q452" s="70">
        <v>51.612903225806448</v>
      </c>
      <c r="R452" s="202">
        <f>IFERROR(VLOOKUP($B:$B,Tabela_Linkedin[],2,),0)</f>
        <v>0</v>
      </c>
      <c r="S452" s="70">
        <f>SUMIF(TikTok!A:A,'Compilado 2023'!B:B,TikTok!B:B)</f>
        <v>0</v>
      </c>
      <c r="T452" s="70">
        <v>0</v>
      </c>
      <c r="U452" s="70">
        <v>0</v>
      </c>
      <c r="V452" s="59"/>
      <c r="W452" s="70">
        <v>0</v>
      </c>
      <c r="X452" s="70">
        <v>0</v>
      </c>
      <c r="Y452" s="70">
        <v>0</v>
      </c>
      <c r="Z452" s="38"/>
      <c r="AA452" s="40"/>
    </row>
    <row r="453" spans="1:27" s="2" customFormat="1" x14ac:dyDescent="0.2">
      <c r="A453" s="16" t="s">
        <v>96</v>
      </c>
      <c r="B453" s="17">
        <v>45012</v>
      </c>
      <c r="C453" s="19">
        <v>52831.55</v>
      </c>
      <c r="D453" s="52">
        <v>52831.55</v>
      </c>
      <c r="E453" s="52">
        <v>0</v>
      </c>
      <c r="F453" s="157">
        <v>181</v>
      </c>
      <c r="G453" s="157">
        <v>204</v>
      </c>
      <c r="H453" s="35">
        <v>291.88701657458563</v>
      </c>
      <c r="I453" s="19">
        <v>1041.6529032258065</v>
      </c>
      <c r="J453" s="111">
        <v>50.718958144685679</v>
      </c>
      <c r="K453" s="53">
        <v>5141</v>
      </c>
      <c r="L453" s="54">
        <v>3.52071581404396E-2</v>
      </c>
      <c r="M453" s="59"/>
      <c r="N453" s="69">
        <v>419.34</v>
      </c>
      <c r="O453" s="70">
        <f>SUMIF(Facebook!A:A,'Compilado 2023'!B:B,Facebook!B:B)</f>
        <v>304.22000000000003</v>
      </c>
      <c r="P453" s="70">
        <v>0</v>
      </c>
      <c r="Q453" s="70">
        <v>51.612903225806448</v>
      </c>
      <c r="R453" s="202">
        <f>IFERROR(VLOOKUP($B:$B,Tabela_Linkedin[],2,),0)</f>
        <v>0</v>
      </c>
      <c r="S453" s="70">
        <f>SUMIF(TikTok!A:A,'Compilado 2023'!B:B,TikTok!B:B)</f>
        <v>0</v>
      </c>
      <c r="T453" s="70">
        <v>0</v>
      </c>
      <c r="U453" s="70">
        <v>0</v>
      </c>
      <c r="V453" s="59"/>
      <c r="W453" s="70">
        <v>0</v>
      </c>
      <c r="X453" s="70">
        <v>0</v>
      </c>
      <c r="Y453" s="70">
        <v>0</v>
      </c>
      <c r="Z453" s="38"/>
      <c r="AA453" s="40"/>
    </row>
    <row r="454" spans="1:27" s="2" customFormat="1" x14ac:dyDescent="0.2">
      <c r="A454" s="16" t="s">
        <v>97</v>
      </c>
      <c r="B454" s="17">
        <v>45013</v>
      </c>
      <c r="C454" s="19">
        <v>50011.32</v>
      </c>
      <c r="D454" s="52">
        <v>50011.32</v>
      </c>
      <c r="E454" s="52">
        <v>0</v>
      </c>
      <c r="F454" s="157">
        <v>163</v>
      </c>
      <c r="G454" s="157">
        <v>201</v>
      </c>
      <c r="H454" s="35">
        <v>306.81791411042946</v>
      </c>
      <c r="I454" s="19">
        <v>1008.7229032258065</v>
      </c>
      <c r="J454" s="111">
        <v>49.578848502466066</v>
      </c>
      <c r="K454" s="53">
        <v>5182</v>
      </c>
      <c r="L454" s="54">
        <v>3.1455036665380159E-2</v>
      </c>
      <c r="M454" s="59"/>
      <c r="N454" s="69">
        <v>478.03</v>
      </c>
      <c r="O454" s="70">
        <f>SUMIF(Facebook!A:A,'Compilado 2023'!B:B,Facebook!B:B)</f>
        <v>286.68</v>
      </c>
      <c r="P454" s="70">
        <v>0</v>
      </c>
      <c r="Q454" s="70">
        <v>51.612903225806448</v>
      </c>
      <c r="R454" s="202">
        <f>IFERROR(VLOOKUP($B:$B,Tabela_Linkedin[],2,),0)</f>
        <v>0</v>
      </c>
      <c r="S454" s="70">
        <f>SUMIF(TikTok!A:A,'Compilado 2023'!B:B,TikTok!B:B)</f>
        <v>0</v>
      </c>
      <c r="T454" s="70">
        <v>0</v>
      </c>
      <c r="U454" s="70">
        <v>0</v>
      </c>
      <c r="V454" s="59"/>
      <c r="W454" s="70">
        <v>0</v>
      </c>
      <c r="X454" s="70">
        <v>0</v>
      </c>
      <c r="Y454" s="70">
        <v>0</v>
      </c>
      <c r="Z454" s="38"/>
      <c r="AA454" s="40"/>
    </row>
    <row r="455" spans="1:27" s="2" customFormat="1" x14ac:dyDescent="0.2">
      <c r="A455" s="16" t="s">
        <v>98</v>
      </c>
      <c r="B455" s="17">
        <v>45014</v>
      </c>
      <c r="C455" s="19">
        <v>70300.590000000011</v>
      </c>
      <c r="D455" s="52">
        <v>70252.77</v>
      </c>
      <c r="E455" s="52">
        <v>47.82</v>
      </c>
      <c r="F455" s="157">
        <v>300</v>
      </c>
      <c r="G455" s="157">
        <v>412</v>
      </c>
      <c r="H455" s="35">
        <v>234.33530000000005</v>
      </c>
      <c r="I455" s="19">
        <v>1198.0829032258064</v>
      </c>
      <c r="J455" s="111">
        <v>58.677567145576937</v>
      </c>
      <c r="K455" s="53">
        <v>6017</v>
      </c>
      <c r="L455" s="54">
        <v>4.9858733588166858E-2</v>
      </c>
      <c r="M455" s="59"/>
      <c r="N455" s="69">
        <v>499.53</v>
      </c>
      <c r="O455" s="70">
        <f>SUMIF(Facebook!A:A,'Compilado 2023'!B:B,Facebook!B:B)</f>
        <v>359.73</v>
      </c>
      <c r="P455" s="70">
        <v>0</v>
      </c>
      <c r="Q455" s="70">
        <v>51.612903225806448</v>
      </c>
      <c r="R455" s="202">
        <f>IFERROR(VLOOKUP($B:$B,Tabela_Linkedin[],2,),0)</f>
        <v>0</v>
      </c>
      <c r="S455" s="70">
        <f>SUMIF(TikTok!A:A,'Compilado 2023'!B:B,TikTok!B:B)</f>
        <v>0</v>
      </c>
      <c r="T455" s="70">
        <v>0</v>
      </c>
      <c r="U455" s="70">
        <v>0</v>
      </c>
      <c r="V455" s="59"/>
      <c r="W455" s="70">
        <v>0</v>
      </c>
      <c r="X455" s="70">
        <v>0</v>
      </c>
      <c r="Y455" s="70">
        <v>0</v>
      </c>
      <c r="Z455" s="38"/>
      <c r="AA455" s="40"/>
    </row>
    <row r="456" spans="1:27" s="2" customFormat="1" x14ac:dyDescent="0.2">
      <c r="A456" s="16" t="s">
        <v>99</v>
      </c>
      <c r="B456" s="17">
        <v>45015</v>
      </c>
      <c r="C456" s="19">
        <v>72330.13</v>
      </c>
      <c r="D456" s="52">
        <v>72330.13</v>
      </c>
      <c r="E456" s="52">
        <v>0</v>
      </c>
      <c r="F456" s="157">
        <v>254</v>
      </c>
      <c r="G456" s="157">
        <v>338</v>
      </c>
      <c r="H456" s="35">
        <v>284.76429133858272</v>
      </c>
      <c r="I456" s="19">
        <v>903.0729032258065</v>
      </c>
      <c r="J456" s="111">
        <v>80.093345444907456</v>
      </c>
      <c r="K456" s="53">
        <v>6015</v>
      </c>
      <c r="L456" s="54">
        <v>4.2227763923524522E-2</v>
      </c>
      <c r="M456" s="59"/>
      <c r="N456" s="69">
        <v>406.94</v>
      </c>
      <c r="O456" s="70">
        <f>SUMIF(Facebook!A:A,'Compilado 2023'!B:B,Facebook!B:B)</f>
        <v>254.35</v>
      </c>
      <c r="P456" s="70">
        <v>0</v>
      </c>
      <c r="Q456" s="70">
        <v>51.612903225806448</v>
      </c>
      <c r="R456" s="202">
        <f>IFERROR(VLOOKUP($B:$B,Tabela_Linkedin[],2,),0)</f>
        <v>0</v>
      </c>
      <c r="S456" s="70">
        <f>SUMIF(TikTok!A:A,'Compilado 2023'!B:B,TikTok!B:B)</f>
        <v>0</v>
      </c>
      <c r="T456" s="70">
        <v>0</v>
      </c>
      <c r="U456" s="70">
        <v>0</v>
      </c>
      <c r="V456" s="59"/>
      <c r="W456" s="70">
        <v>0</v>
      </c>
      <c r="X456" s="70">
        <v>0</v>
      </c>
      <c r="Y456" s="70">
        <v>0</v>
      </c>
      <c r="Z456" s="38"/>
      <c r="AA456" s="40"/>
    </row>
    <row r="457" spans="1:27" s="2" customFormat="1" x14ac:dyDescent="0.2">
      <c r="A457" s="16" t="s">
        <v>100</v>
      </c>
      <c r="B457" s="17">
        <v>45016</v>
      </c>
      <c r="C457" s="19">
        <v>69001.09</v>
      </c>
      <c r="D457" s="52">
        <v>69001.09</v>
      </c>
      <c r="E457" s="52">
        <v>0</v>
      </c>
      <c r="F457" s="157">
        <v>228</v>
      </c>
      <c r="G457" s="157">
        <v>279</v>
      </c>
      <c r="H457" s="35">
        <v>302.63635964912277</v>
      </c>
      <c r="I457" s="19">
        <v>859.79290322580653</v>
      </c>
      <c r="J457" s="111">
        <v>80.253151359029431</v>
      </c>
      <c r="K457" s="53">
        <v>5353</v>
      </c>
      <c r="L457" s="54">
        <v>4.2592938539136933E-2</v>
      </c>
      <c r="M457" s="59"/>
      <c r="N457" s="69">
        <v>555</v>
      </c>
      <c r="O457" s="70">
        <f>SUMIF(Facebook!A:A,'Compilado 2023'!B:B,Facebook!B:B)</f>
        <v>146.74</v>
      </c>
      <c r="P457" s="70">
        <v>0</v>
      </c>
      <c r="Q457" s="70">
        <v>51.612903225806448</v>
      </c>
      <c r="R457" s="202">
        <f>IFERROR(VLOOKUP($B:$B,Tabela_Linkedin[],2,),0)</f>
        <v>0</v>
      </c>
      <c r="S457" s="70">
        <f>SUMIF(TikTok!A:A,'Compilado 2023'!B:B,TikTok!B:B)</f>
        <v>0</v>
      </c>
      <c r="T457" s="70">
        <v>0</v>
      </c>
      <c r="U457" s="70">
        <v>0</v>
      </c>
      <c r="V457" s="59"/>
      <c r="W457" s="70">
        <v>0</v>
      </c>
      <c r="X457" s="70">
        <v>0</v>
      </c>
      <c r="Y457" s="70">
        <v>0</v>
      </c>
      <c r="Z457" s="38"/>
      <c r="AA457" s="40"/>
    </row>
    <row r="458" spans="1:27" s="2" customFormat="1" x14ac:dyDescent="0.2">
      <c r="A458" s="16" t="s">
        <v>94</v>
      </c>
      <c r="B458" s="17">
        <v>45017</v>
      </c>
      <c r="C458" s="19">
        <v>45316.49</v>
      </c>
      <c r="D458" s="52">
        <v>45316.49</v>
      </c>
      <c r="E458" s="52">
        <v>0</v>
      </c>
      <c r="F458" s="157">
        <v>159</v>
      </c>
      <c r="G458" s="157">
        <v>188</v>
      </c>
      <c r="H458" s="35">
        <v>285.00937106918235</v>
      </c>
      <c r="I458" s="19">
        <v>633.77333333333343</v>
      </c>
      <c r="J458" s="111">
        <v>71.502677087497091</v>
      </c>
      <c r="K458" s="53">
        <v>4276</v>
      </c>
      <c r="L458" s="54">
        <v>3.7184284377923295E-2</v>
      </c>
      <c r="M458" s="59"/>
      <c r="N458" s="69">
        <v>329.7</v>
      </c>
      <c r="O458" s="70">
        <f>SUMIF(Facebook!A:A,'Compilado 2023'!B:B,Facebook!B:B)</f>
        <v>125.37</v>
      </c>
      <c r="P458" s="70">
        <v>0</v>
      </c>
      <c r="Q458" s="70">
        <v>53.333333333333336</v>
      </c>
      <c r="R458" s="202">
        <f>IFERROR(VLOOKUP($B:$B,Tabela_Linkedin[],2,),0)</f>
        <v>0</v>
      </c>
      <c r="S458" s="70">
        <f>SUMIF(TikTok!A:A,'Compilado 2023'!B:B,TikTok!B:B)</f>
        <v>0</v>
      </c>
      <c r="T458" s="70">
        <v>0</v>
      </c>
      <c r="U458" s="70">
        <v>0</v>
      </c>
      <c r="V458" s="59"/>
      <c r="W458" s="70">
        <v>0</v>
      </c>
      <c r="X458" s="70">
        <v>0</v>
      </c>
      <c r="Y458" s="70">
        <v>0</v>
      </c>
      <c r="Z458" s="38"/>
      <c r="AA458" s="40"/>
    </row>
    <row r="459" spans="1:27" s="2" customFormat="1" x14ac:dyDescent="0.2">
      <c r="A459" s="16" t="s">
        <v>95</v>
      </c>
      <c r="B459" s="17">
        <v>45018</v>
      </c>
      <c r="C459" s="19">
        <v>31392.21</v>
      </c>
      <c r="D459" s="52">
        <v>31369.98</v>
      </c>
      <c r="E459" s="52">
        <v>22.23</v>
      </c>
      <c r="F459" s="157">
        <v>114</v>
      </c>
      <c r="G459" s="157">
        <v>138</v>
      </c>
      <c r="H459" s="35">
        <v>275.37026315789473</v>
      </c>
      <c r="I459" s="19">
        <v>613.69333333333338</v>
      </c>
      <c r="J459" s="111">
        <v>51.152926543115989</v>
      </c>
      <c r="K459" s="53">
        <v>3518</v>
      </c>
      <c r="L459" s="54">
        <v>3.2404775440591248E-2</v>
      </c>
      <c r="M459" s="59"/>
      <c r="N459" s="69">
        <v>329.66</v>
      </c>
      <c r="O459" s="70">
        <f>SUMIF(Facebook!A:A,'Compilado 2023'!B:B,Facebook!B:B)</f>
        <v>115.35</v>
      </c>
      <c r="P459" s="70">
        <v>0</v>
      </c>
      <c r="Q459" s="70">
        <v>53.333333333333336</v>
      </c>
      <c r="R459" s="202">
        <f>IFERROR(VLOOKUP($B:$B,Tabela_Linkedin[],2,),0)</f>
        <v>0</v>
      </c>
      <c r="S459" s="70">
        <f>SUMIF(TikTok!A:A,'Compilado 2023'!B:B,TikTok!B:B)</f>
        <v>0</v>
      </c>
      <c r="T459" s="70">
        <v>0</v>
      </c>
      <c r="U459" s="71">
        <v>0</v>
      </c>
      <c r="V459" s="59"/>
      <c r="W459" s="70">
        <v>0</v>
      </c>
      <c r="X459" s="70">
        <v>0</v>
      </c>
      <c r="Y459" s="70">
        <v>0</v>
      </c>
      <c r="Z459" s="38"/>
      <c r="AA459" s="40"/>
    </row>
    <row r="460" spans="1:27" s="2" customFormat="1" x14ac:dyDescent="0.2">
      <c r="A460" s="16" t="s">
        <v>96</v>
      </c>
      <c r="B460" s="17">
        <v>45019</v>
      </c>
      <c r="C460" s="19">
        <v>63954.95</v>
      </c>
      <c r="D460" s="52">
        <v>63954.95</v>
      </c>
      <c r="E460" s="52">
        <v>0</v>
      </c>
      <c r="F460" s="157">
        <v>216</v>
      </c>
      <c r="G460" s="157">
        <v>264</v>
      </c>
      <c r="H460" s="35">
        <v>296.08773148148146</v>
      </c>
      <c r="I460" s="19">
        <v>782.81333333333339</v>
      </c>
      <c r="J460" s="111">
        <v>81.69885115225425</v>
      </c>
      <c r="K460" s="53">
        <v>5346</v>
      </c>
      <c r="L460" s="54">
        <v>4.0404040404040407E-2</v>
      </c>
      <c r="M460" s="59"/>
      <c r="N460" s="69">
        <v>437.12</v>
      </c>
      <c r="O460" s="70">
        <f>SUMIF(Facebook!A:A,'Compilado 2023'!B:B,Facebook!B:B)</f>
        <v>146.88999999999999</v>
      </c>
      <c r="P460" s="70">
        <v>0</v>
      </c>
      <c r="Q460" s="70">
        <v>53.333333333333336</v>
      </c>
      <c r="R460" s="202">
        <f>IFERROR(VLOOKUP($B:$B,Tabela_Linkedin[],2,),0)</f>
        <v>0</v>
      </c>
      <c r="S460" s="70">
        <f>SUMIF(TikTok!A:A,'Compilado 2023'!B:B,TikTok!B:B)</f>
        <v>0</v>
      </c>
      <c r="T460" s="70">
        <v>0</v>
      </c>
      <c r="U460" s="71">
        <v>0</v>
      </c>
      <c r="V460" s="59"/>
      <c r="W460" s="70">
        <v>0</v>
      </c>
      <c r="X460" s="70">
        <v>0</v>
      </c>
      <c r="Y460" s="70">
        <v>0</v>
      </c>
      <c r="Z460" s="38"/>
      <c r="AA460" s="40"/>
    </row>
    <row r="461" spans="1:27" s="2" customFormat="1" x14ac:dyDescent="0.2">
      <c r="A461" s="16" t="s">
        <v>97</v>
      </c>
      <c r="B461" s="17">
        <v>45020</v>
      </c>
      <c r="C461" s="19">
        <v>57968.159999999996</v>
      </c>
      <c r="D461" s="52">
        <v>57944.71</v>
      </c>
      <c r="E461" s="52">
        <v>23.45</v>
      </c>
      <c r="F461" s="157">
        <v>185</v>
      </c>
      <c r="G461" s="157">
        <v>234</v>
      </c>
      <c r="H461" s="35">
        <v>313.3414054054054</v>
      </c>
      <c r="I461" s="19">
        <v>816.10333333333335</v>
      </c>
      <c r="J461" s="111">
        <v>71.030416899820693</v>
      </c>
      <c r="K461" s="53">
        <v>5473</v>
      </c>
      <c r="L461" s="54">
        <v>3.3802302210853279E-2</v>
      </c>
      <c r="M461" s="59"/>
      <c r="N461" s="69">
        <v>592.42999999999995</v>
      </c>
      <c r="O461" s="70">
        <f>SUMIF(Facebook!A:A,'Compilado 2023'!B:B,Facebook!B:B)</f>
        <v>185.43</v>
      </c>
      <c r="P461" s="70">
        <v>0</v>
      </c>
      <c r="Q461" s="70">
        <v>53.333333333333336</v>
      </c>
      <c r="R461" s="202">
        <f>IFERROR(VLOOKUP($B:$B,Tabela_Linkedin[],2,),0)</f>
        <v>0</v>
      </c>
      <c r="S461" s="70">
        <f>SUMIF(TikTok!A:A,'Compilado 2023'!B:B,TikTok!B:B)</f>
        <v>0</v>
      </c>
      <c r="T461" s="70">
        <v>0</v>
      </c>
      <c r="U461" s="71">
        <v>0</v>
      </c>
      <c r="V461" s="59"/>
      <c r="W461" s="70">
        <v>0</v>
      </c>
      <c r="X461" s="70">
        <v>0</v>
      </c>
      <c r="Y461" s="70">
        <v>0</v>
      </c>
      <c r="Z461" s="38"/>
      <c r="AA461" s="40"/>
    </row>
    <row r="462" spans="1:27" s="2" customFormat="1" x14ac:dyDescent="0.2">
      <c r="A462" s="16" t="s">
        <v>98</v>
      </c>
      <c r="B462" s="17">
        <v>45021</v>
      </c>
      <c r="C462" s="19">
        <v>73847.72</v>
      </c>
      <c r="D462" s="52">
        <v>73823.710000000006</v>
      </c>
      <c r="E462" s="52">
        <v>24.01</v>
      </c>
      <c r="F462" s="157">
        <v>287</v>
      </c>
      <c r="G462" s="157">
        <v>412</v>
      </c>
      <c r="H462" s="35">
        <v>257.30912891986065</v>
      </c>
      <c r="I462" s="19">
        <v>1019.4833333333335</v>
      </c>
      <c r="J462" s="111">
        <v>72.436417139400675</v>
      </c>
      <c r="K462" s="53">
        <v>5556</v>
      </c>
      <c r="L462" s="54">
        <v>5.1655867530597553E-2</v>
      </c>
      <c r="M462" s="108" t="s">
        <v>101</v>
      </c>
      <c r="N462" s="69">
        <v>460.87</v>
      </c>
      <c r="O462" s="70">
        <f>SUMIF(Facebook!A:A,'Compilado 2023'!B:B,Facebook!B:B)</f>
        <v>285.60000000000002</v>
      </c>
      <c r="P462" s="70">
        <v>0</v>
      </c>
      <c r="Q462" s="70">
        <v>53.333333333333336</v>
      </c>
      <c r="R462" s="202">
        <f>IFERROR(VLOOKUP($B:$B,Tabela_Linkedin[],2,),0)</f>
        <v>0</v>
      </c>
      <c r="S462" s="70">
        <f>SUMIF(TikTok!A:A,'Compilado 2023'!B:B,TikTok!B:B)</f>
        <v>0</v>
      </c>
      <c r="T462" s="70">
        <v>0</v>
      </c>
      <c r="U462" s="71">
        <v>0</v>
      </c>
      <c r="V462" s="59"/>
      <c r="W462" s="70">
        <v>0</v>
      </c>
      <c r="X462" s="70">
        <v>0</v>
      </c>
      <c r="Y462" s="70">
        <v>0</v>
      </c>
      <c r="Z462" s="38"/>
      <c r="AA462" s="40"/>
    </row>
    <row r="463" spans="1:27" s="2" customFormat="1" x14ac:dyDescent="0.2">
      <c r="A463" s="16" t="s">
        <v>99</v>
      </c>
      <c r="B463" s="17">
        <v>45022</v>
      </c>
      <c r="C463" s="19">
        <v>117256.14</v>
      </c>
      <c r="D463" s="52">
        <v>117256.14</v>
      </c>
      <c r="E463" s="52">
        <v>0</v>
      </c>
      <c r="F463" s="157">
        <v>494</v>
      </c>
      <c r="G463" s="157">
        <v>762</v>
      </c>
      <c r="H463" s="35">
        <v>237.3606072874494</v>
      </c>
      <c r="I463" s="19">
        <v>1154.5033333333333</v>
      </c>
      <c r="J463" s="111">
        <v>101.56414157891849</v>
      </c>
      <c r="K463" s="53">
        <v>6322</v>
      </c>
      <c r="L463" s="54">
        <v>7.8139829167984814E-2</v>
      </c>
      <c r="M463" s="59"/>
      <c r="N463" s="69">
        <v>473.4</v>
      </c>
      <c r="O463" s="70">
        <f>SUMIF(Facebook!A:A,'Compilado 2023'!B:B,Facebook!B:B)</f>
        <v>366.71</v>
      </c>
      <c r="P463" s="70">
        <v>0</v>
      </c>
      <c r="Q463" s="70">
        <v>53.333333333333336</v>
      </c>
      <c r="R463" s="202">
        <f>IFERROR(VLOOKUP($B:$B,Tabela_Linkedin[],2,),0)</f>
        <v>0</v>
      </c>
      <c r="S463" s="70">
        <f>SUMIF(TikTok!A:A,'Compilado 2023'!B:B,TikTok!B:B)</f>
        <v>0</v>
      </c>
      <c r="T463" s="70">
        <v>0</v>
      </c>
      <c r="U463" s="71">
        <v>0</v>
      </c>
      <c r="V463" s="59"/>
      <c r="W463" s="70">
        <v>0</v>
      </c>
      <c r="X463" s="70">
        <v>0</v>
      </c>
      <c r="Y463" s="70">
        <v>0</v>
      </c>
      <c r="Z463" s="38"/>
      <c r="AA463" s="40" t="s">
        <v>102</v>
      </c>
    </row>
    <row r="464" spans="1:27" s="2" customFormat="1" x14ac:dyDescent="0.2">
      <c r="A464" s="16" t="s">
        <v>100</v>
      </c>
      <c r="B464" s="17">
        <v>45023</v>
      </c>
      <c r="C464" s="19">
        <v>34758.99</v>
      </c>
      <c r="D464" s="52">
        <v>34734.199999999997</v>
      </c>
      <c r="E464" s="52">
        <v>24.79</v>
      </c>
      <c r="F464" s="157">
        <v>131</v>
      </c>
      <c r="G464" s="157">
        <v>169</v>
      </c>
      <c r="H464" s="35">
        <v>265.33580152671755</v>
      </c>
      <c r="I464" s="19">
        <v>775.19333333333338</v>
      </c>
      <c r="J464" s="111">
        <v>44.839124003474396</v>
      </c>
      <c r="K464" s="53">
        <v>3733</v>
      </c>
      <c r="L464" s="54">
        <v>3.5092418965979102E-2</v>
      </c>
      <c r="M464" s="59"/>
      <c r="N464" s="69">
        <v>358.73</v>
      </c>
      <c r="O464" s="70">
        <f>SUMIF(Facebook!A:A,'Compilado 2023'!B:B,Facebook!B:B)</f>
        <v>235.38</v>
      </c>
      <c r="P464" s="70">
        <v>0</v>
      </c>
      <c r="Q464" s="70">
        <v>53.333333333333336</v>
      </c>
      <c r="R464" s="202">
        <f>IFERROR(VLOOKUP($B:$B,Tabela_Linkedin[],2,),0)</f>
        <v>0</v>
      </c>
      <c r="S464" s="70">
        <f>SUMIF(TikTok!A:A,'Compilado 2023'!B:B,TikTok!B:B)</f>
        <v>0</v>
      </c>
      <c r="T464" s="70">
        <v>0</v>
      </c>
      <c r="U464" s="71">
        <v>0</v>
      </c>
      <c r="V464" s="59"/>
      <c r="W464" s="70">
        <v>0</v>
      </c>
      <c r="X464" s="70">
        <v>0</v>
      </c>
      <c r="Y464" s="70">
        <v>0</v>
      </c>
      <c r="Z464" s="38"/>
      <c r="AA464" s="40"/>
    </row>
    <row r="465" spans="1:27" s="2" customFormat="1" x14ac:dyDescent="0.2">
      <c r="A465" s="16" t="s">
        <v>94</v>
      </c>
      <c r="B465" s="17">
        <v>45024</v>
      </c>
      <c r="C465" s="19">
        <v>33919.589999999997</v>
      </c>
      <c r="D465" s="52">
        <v>33897.279999999999</v>
      </c>
      <c r="E465" s="52">
        <v>22.31</v>
      </c>
      <c r="F465" s="157">
        <v>121</v>
      </c>
      <c r="G465" s="157">
        <v>143</v>
      </c>
      <c r="H465" s="35">
        <v>280.32719008264462</v>
      </c>
      <c r="I465" s="19">
        <v>818.54333333333341</v>
      </c>
      <c r="J465" s="111">
        <v>41.438966782455005</v>
      </c>
      <c r="K465" s="53">
        <v>3787</v>
      </c>
      <c r="L465" s="54">
        <v>3.1951412727752836E-2</v>
      </c>
      <c r="M465" s="59"/>
      <c r="N465" s="69">
        <v>360.65</v>
      </c>
      <c r="O465" s="70">
        <f>SUMIF(Facebook!A:A,'Compilado 2023'!B:B,Facebook!B:B)</f>
        <v>226.17</v>
      </c>
      <c r="P465" s="70">
        <v>0</v>
      </c>
      <c r="Q465" s="70">
        <v>53.333333333333336</v>
      </c>
      <c r="R465" s="202">
        <f>IFERROR(VLOOKUP($B:$B,Tabela_Linkedin[],2,),0)</f>
        <v>0</v>
      </c>
      <c r="S465" s="70">
        <f>SUMIF(TikTok!A:A,'Compilado 2023'!B:B,TikTok!B:B)</f>
        <v>0</v>
      </c>
      <c r="T465" s="70">
        <v>0</v>
      </c>
      <c r="U465" s="71">
        <v>0</v>
      </c>
      <c r="V465" s="59"/>
      <c r="W465" s="70">
        <v>0</v>
      </c>
      <c r="X465" s="70">
        <v>0</v>
      </c>
      <c r="Y465" s="70">
        <v>0</v>
      </c>
      <c r="Z465" s="38"/>
      <c r="AA465" s="40"/>
    </row>
    <row r="466" spans="1:27" s="2" customFormat="1" x14ac:dyDescent="0.2">
      <c r="A466" s="16" t="s">
        <v>95</v>
      </c>
      <c r="B466" s="17">
        <v>45025</v>
      </c>
      <c r="C466" s="19">
        <v>28990.42</v>
      </c>
      <c r="D466" s="52">
        <v>28990.42</v>
      </c>
      <c r="E466" s="52">
        <v>0</v>
      </c>
      <c r="F466" s="157">
        <v>88</v>
      </c>
      <c r="G466" s="157">
        <v>115</v>
      </c>
      <c r="H466" s="35">
        <v>329.43659090909091</v>
      </c>
      <c r="I466" s="19">
        <v>662.02333333333331</v>
      </c>
      <c r="J466" s="111">
        <v>43.790631750139724</v>
      </c>
      <c r="K466" s="53">
        <v>2946</v>
      </c>
      <c r="L466" s="54">
        <v>2.9871011541072641E-2</v>
      </c>
      <c r="M466" s="59"/>
      <c r="N466" s="69">
        <v>293.31</v>
      </c>
      <c r="O466" s="70">
        <f>SUMIF(Facebook!A:A,'Compilado 2023'!B:B,Facebook!B:B)</f>
        <v>177.73</v>
      </c>
      <c r="P466" s="70">
        <v>0</v>
      </c>
      <c r="Q466" s="70">
        <v>53.333333333333336</v>
      </c>
      <c r="R466" s="202">
        <f>IFERROR(VLOOKUP($B:$B,Tabela_Linkedin[],2,),0)</f>
        <v>0</v>
      </c>
      <c r="S466" s="70">
        <f>SUMIF(TikTok!A:A,'Compilado 2023'!B:B,TikTok!B:B)</f>
        <v>0</v>
      </c>
      <c r="T466" s="70">
        <v>0</v>
      </c>
      <c r="U466" s="71">
        <v>0</v>
      </c>
      <c r="V466" s="59"/>
      <c r="W466" s="70">
        <v>0</v>
      </c>
      <c r="X466" s="70">
        <v>0</v>
      </c>
      <c r="Y466" s="70">
        <v>0</v>
      </c>
      <c r="Z466" s="38"/>
      <c r="AA466" s="40"/>
    </row>
    <row r="467" spans="1:27" s="2" customFormat="1" x14ac:dyDescent="0.2">
      <c r="A467" s="16" t="s">
        <v>96</v>
      </c>
      <c r="B467" s="17">
        <v>45026</v>
      </c>
      <c r="C467" s="19">
        <v>56755.53</v>
      </c>
      <c r="D467" s="52">
        <v>56755.53</v>
      </c>
      <c r="E467" s="52">
        <v>0</v>
      </c>
      <c r="F467" s="157">
        <v>177</v>
      </c>
      <c r="G467" s="157">
        <v>226</v>
      </c>
      <c r="H467" s="35">
        <v>320.6527118644068</v>
      </c>
      <c r="I467" s="19">
        <v>806.06333333333339</v>
      </c>
      <c r="J467" s="111">
        <v>70.410757632774917</v>
      </c>
      <c r="K467" s="53">
        <v>5293</v>
      </c>
      <c r="L467" s="54">
        <v>3.3440392971849614E-2</v>
      </c>
      <c r="M467" s="59"/>
      <c r="N467" s="69">
        <v>483.58</v>
      </c>
      <c r="O467" s="70">
        <f>SUMIF(Facebook!A:A,'Compilado 2023'!B:B,Facebook!B:B)</f>
        <v>141.54</v>
      </c>
      <c r="P467" s="70">
        <v>0</v>
      </c>
      <c r="Q467" s="70">
        <v>53.333333333333336</v>
      </c>
      <c r="R467" s="202">
        <f>IFERROR(VLOOKUP($B:$B,Tabela_Linkedin[],2,),0)</f>
        <v>0</v>
      </c>
      <c r="S467" s="70">
        <f>SUMIF(TikTok!A:A,'Compilado 2023'!B:B,TikTok!B:B)</f>
        <v>0</v>
      </c>
      <c r="T467" s="70">
        <v>0</v>
      </c>
      <c r="U467" s="71">
        <v>0</v>
      </c>
      <c r="V467" s="59"/>
      <c r="W467" s="70">
        <v>0</v>
      </c>
      <c r="X467" s="70">
        <v>0</v>
      </c>
      <c r="Y467" s="70">
        <v>0</v>
      </c>
      <c r="Z467" s="38"/>
      <c r="AA467" s="40" t="s">
        <v>103</v>
      </c>
    </row>
    <row r="468" spans="1:27" s="2" customFormat="1" x14ac:dyDescent="0.2">
      <c r="A468" s="16" t="s">
        <v>97</v>
      </c>
      <c r="B468" s="17">
        <v>45027</v>
      </c>
      <c r="C468" s="19">
        <v>67143.679999999993</v>
      </c>
      <c r="D468" s="52">
        <v>67143.679999999993</v>
      </c>
      <c r="E468" s="52">
        <v>0</v>
      </c>
      <c r="F468" s="157">
        <v>229</v>
      </c>
      <c r="G468" s="157">
        <v>269</v>
      </c>
      <c r="H468" s="35">
        <v>293.20384279475979</v>
      </c>
      <c r="I468" s="19">
        <v>855.90333333333331</v>
      </c>
      <c r="J468" s="111">
        <v>78.447737478142002</v>
      </c>
      <c r="K468" s="53">
        <v>6059</v>
      </c>
      <c r="L468" s="54">
        <v>3.7795015679154977E-2</v>
      </c>
      <c r="M468" s="59"/>
      <c r="N468" s="69">
        <v>553.20000000000005</v>
      </c>
      <c r="O468" s="70">
        <f>SUMIF(Facebook!A:A,'Compilado 2023'!B:B,Facebook!B:B)</f>
        <v>150.93</v>
      </c>
      <c r="P468" s="70">
        <v>0</v>
      </c>
      <c r="Q468" s="70">
        <v>53.333333333333336</v>
      </c>
      <c r="R468" s="202">
        <f>IFERROR(VLOOKUP($B:$B,Tabela_Linkedin[],2,),0)</f>
        <v>0</v>
      </c>
      <c r="S468" s="70">
        <f>SUMIF(TikTok!A:A,'Compilado 2023'!B:B,TikTok!B:B)</f>
        <v>0</v>
      </c>
      <c r="T468" s="70">
        <v>0</v>
      </c>
      <c r="U468" s="71">
        <v>0</v>
      </c>
      <c r="V468" s="59"/>
      <c r="W468" s="70">
        <v>0</v>
      </c>
      <c r="X468" s="70">
        <v>0</v>
      </c>
      <c r="Y468" s="70">
        <v>0</v>
      </c>
      <c r="Z468" s="38"/>
      <c r="AA468" s="40"/>
    </row>
    <row r="469" spans="1:27" s="2" customFormat="1" x14ac:dyDescent="0.2">
      <c r="A469" s="16" t="s">
        <v>98</v>
      </c>
      <c r="B469" s="17">
        <v>45028</v>
      </c>
      <c r="C469" s="19">
        <v>87256.459999999992</v>
      </c>
      <c r="D469" s="52">
        <v>87233.29</v>
      </c>
      <c r="E469" s="52">
        <v>23.17</v>
      </c>
      <c r="F469" s="157">
        <v>267</v>
      </c>
      <c r="G469" s="157">
        <v>357</v>
      </c>
      <c r="H469" s="35">
        <v>326.80322097378274</v>
      </c>
      <c r="I469" s="19">
        <v>1173.3133333333333</v>
      </c>
      <c r="J469" s="111">
        <v>74.367568765376674</v>
      </c>
      <c r="K469" s="53">
        <v>7657</v>
      </c>
      <c r="L469" s="54">
        <v>3.4870053545775111E-2</v>
      </c>
      <c r="M469" s="59"/>
      <c r="N469" s="69">
        <v>1081.6300000000001</v>
      </c>
      <c r="O469" s="70">
        <f>SUMIF(Facebook!A:A,'Compilado 2023'!B:B,Facebook!B:B)</f>
        <v>188</v>
      </c>
      <c r="P469" s="70">
        <v>0</v>
      </c>
      <c r="Q469" s="70">
        <v>53.333333333333336</v>
      </c>
      <c r="R469" s="202">
        <f>IFERROR(VLOOKUP($B:$B,Tabela_Linkedin[],2,),0)</f>
        <v>0</v>
      </c>
      <c r="S469" s="70">
        <f>SUMIF(TikTok!A:A,'Compilado 2023'!B:B,TikTok!B:B)</f>
        <v>0</v>
      </c>
      <c r="T469" s="70">
        <v>0</v>
      </c>
      <c r="U469" s="71">
        <v>0</v>
      </c>
      <c r="V469" s="59"/>
      <c r="W469" s="70">
        <v>0</v>
      </c>
      <c r="X469" s="70">
        <v>0</v>
      </c>
      <c r="Y469" s="70">
        <v>0</v>
      </c>
      <c r="Z469" s="38"/>
      <c r="AA469" s="40"/>
    </row>
    <row r="470" spans="1:27" s="2" customFormat="1" x14ac:dyDescent="0.2">
      <c r="A470" s="16" t="s">
        <v>99</v>
      </c>
      <c r="B470" s="17">
        <v>45029</v>
      </c>
      <c r="C470" s="19">
        <v>94113.84</v>
      </c>
      <c r="D470" s="52">
        <v>94113.84</v>
      </c>
      <c r="E470" s="52">
        <v>0</v>
      </c>
      <c r="F470" s="157">
        <v>283</v>
      </c>
      <c r="G470" s="157">
        <v>404</v>
      </c>
      <c r="H470" s="35">
        <v>332.55773851590106</v>
      </c>
      <c r="I470" s="19">
        <v>1537.1833333333332</v>
      </c>
      <c r="J470" s="111">
        <v>61.224863657555488</v>
      </c>
      <c r="K470" s="53">
        <v>6821</v>
      </c>
      <c r="L470" s="54">
        <v>4.1489517666031372E-2</v>
      </c>
      <c r="M470" s="59"/>
      <c r="N470" s="69">
        <v>1339.11</v>
      </c>
      <c r="O470" s="70">
        <f>SUMIF(Facebook!A:A,'Compilado 2023'!B:B,Facebook!B:B)</f>
        <v>311.8</v>
      </c>
      <c r="P470" s="70">
        <v>0</v>
      </c>
      <c r="Q470" s="70">
        <v>53.333333333333336</v>
      </c>
      <c r="R470" s="202">
        <f>IFERROR(VLOOKUP($B:$B,Tabela_Linkedin[],2,),0)</f>
        <v>0</v>
      </c>
      <c r="S470" s="70">
        <f>SUMIF(TikTok!A:A,'Compilado 2023'!B:B,TikTok!B:B)</f>
        <v>0</v>
      </c>
      <c r="T470" s="70">
        <v>0</v>
      </c>
      <c r="U470" s="71">
        <v>0</v>
      </c>
      <c r="V470" s="59"/>
      <c r="W470" s="70">
        <v>0</v>
      </c>
      <c r="X470" s="70">
        <v>0</v>
      </c>
      <c r="Y470" s="70">
        <v>0</v>
      </c>
      <c r="Z470" s="38"/>
      <c r="AA470" s="40" t="s">
        <v>104</v>
      </c>
    </row>
    <row r="471" spans="1:27" s="2" customFormat="1" x14ac:dyDescent="0.2">
      <c r="A471" s="16" t="s">
        <v>100</v>
      </c>
      <c r="B471" s="17">
        <v>45030</v>
      </c>
      <c r="C471" s="19">
        <v>85203.839999999997</v>
      </c>
      <c r="D471" s="52">
        <v>85157.58</v>
      </c>
      <c r="E471" s="52">
        <v>46.26</v>
      </c>
      <c r="F471" s="157">
        <v>294</v>
      </c>
      <c r="G471" s="157">
        <v>369</v>
      </c>
      <c r="H471" s="35">
        <v>289.8089795918367</v>
      </c>
      <c r="I471" s="19">
        <v>1701.8333333333333</v>
      </c>
      <c r="J471" s="111">
        <v>50.065913230829494</v>
      </c>
      <c r="K471" s="53">
        <v>6830</v>
      </c>
      <c r="L471" s="54">
        <v>4.3045387994143487E-2</v>
      </c>
      <c r="M471" s="59"/>
      <c r="N471" s="69">
        <v>1378.9</v>
      </c>
      <c r="O471" s="70">
        <f>SUMIF(Facebook!A:A,'Compilado 2023'!B:B,Facebook!B:B)</f>
        <v>339.77</v>
      </c>
      <c r="P471" s="70">
        <v>0</v>
      </c>
      <c r="Q471" s="70">
        <v>53.333333333333336</v>
      </c>
      <c r="R471" s="202">
        <f>IFERROR(VLOOKUP($B:$B,Tabela_Linkedin[],2,),0)</f>
        <v>0</v>
      </c>
      <c r="S471" s="70">
        <f>SUMIF(TikTok!A:A,'Compilado 2023'!B:B,TikTok!B:B)</f>
        <v>0</v>
      </c>
      <c r="T471" s="70">
        <v>0</v>
      </c>
      <c r="U471" s="71">
        <v>0</v>
      </c>
      <c r="V471" s="59"/>
      <c r="W471" s="70">
        <v>15</v>
      </c>
      <c r="X471" s="70">
        <v>0</v>
      </c>
      <c r="Y471" s="70">
        <v>0</v>
      </c>
      <c r="Z471" s="38"/>
      <c r="AA471" s="40" t="s">
        <v>105</v>
      </c>
    </row>
    <row r="472" spans="1:27" s="2" customFormat="1" x14ac:dyDescent="0.2">
      <c r="A472" s="16" t="s">
        <v>94</v>
      </c>
      <c r="B472" s="17">
        <v>45031</v>
      </c>
      <c r="C472" s="19">
        <v>54715.27</v>
      </c>
      <c r="D472" s="52">
        <v>54715.27</v>
      </c>
      <c r="E472" s="52">
        <v>0</v>
      </c>
      <c r="F472" s="157">
        <v>186</v>
      </c>
      <c r="G472" s="157">
        <v>225</v>
      </c>
      <c r="H472" s="35">
        <v>294.16811827956985</v>
      </c>
      <c r="I472" s="19">
        <v>1609.0033333333333</v>
      </c>
      <c r="J472" s="111">
        <v>34.005690893534506</v>
      </c>
      <c r="K472" s="53">
        <v>5083</v>
      </c>
      <c r="L472" s="54">
        <v>3.6592563446783397E-2</v>
      </c>
      <c r="M472" s="59"/>
      <c r="N472" s="69">
        <v>1072.79</v>
      </c>
      <c r="O472" s="70">
        <f>SUMIF(Facebook!A:A,'Compilado 2023'!B:B,Facebook!B:B)</f>
        <v>412.78</v>
      </c>
      <c r="P472" s="70">
        <v>0</v>
      </c>
      <c r="Q472" s="70">
        <v>53.333333333333336</v>
      </c>
      <c r="R472" s="202">
        <f>IFERROR(VLOOKUP($B:$B,Tabela_Linkedin[],2,),0)</f>
        <v>0</v>
      </c>
      <c r="S472" s="70">
        <f>SUMIF(TikTok!A:A,'Compilado 2023'!B:B,TikTok!B:B)</f>
        <v>0</v>
      </c>
      <c r="T472" s="70">
        <v>0</v>
      </c>
      <c r="U472" s="71">
        <v>0</v>
      </c>
      <c r="V472" s="59"/>
      <c r="W472" s="70">
        <v>0</v>
      </c>
      <c r="X472" s="70">
        <v>0</v>
      </c>
      <c r="Y472" s="70">
        <v>0</v>
      </c>
      <c r="Z472" s="38"/>
      <c r="AA472" s="40"/>
    </row>
    <row r="473" spans="1:27" s="2" customFormat="1" x14ac:dyDescent="0.2">
      <c r="A473" s="16" t="s">
        <v>95</v>
      </c>
      <c r="B473" s="17">
        <v>45032</v>
      </c>
      <c r="C473" s="19">
        <v>39182.629999999997</v>
      </c>
      <c r="D473" s="52">
        <v>39098.39</v>
      </c>
      <c r="E473" s="52">
        <v>84.24</v>
      </c>
      <c r="F473" s="157">
        <v>137</v>
      </c>
      <c r="G473" s="157">
        <v>166</v>
      </c>
      <c r="H473" s="35">
        <v>286.00459854014599</v>
      </c>
      <c r="I473" s="19">
        <v>1545.3133333333333</v>
      </c>
      <c r="J473" s="111">
        <v>25.355783293140117</v>
      </c>
      <c r="K473" s="53">
        <v>4517</v>
      </c>
      <c r="L473" s="54">
        <v>3.0329864954615895E-2</v>
      </c>
      <c r="M473" s="59"/>
      <c r="N473" s="69">
        <v>975.99</v>
      </c>
      <c r="O473" s="70">
        <f>SUMIF(Facebook!A:A,'Compilado 2023'!B:B,Facebook!B:B)</f>
        <v>433.15</v>
      </c>
      <c r="P473" s="70">
        <v>0</v>
      </c>
      <c r="Q473" s="70">
        <v>53.333333333333336</v>
      </c>
      <c r="R473" s="202">
        <f>IFERROR(VLOOKUP($B:$B,Tabela_Linkedin[],2,),0)</f>
        <v>0</v>
      </c>
      <c r="S473" s="70">
        <f>SUMIF(TikTok!A:A,'Compilado 2023'!B:B,TikTok!B:B)</f>
        <v>0</v>
      </c>
      <c r="T473" s="70">
        <v>0</v>
      </c>
      <c r="U473" s="71">
        <v>0</v>
      </c>
      <c r="V473" s="59"/>
      <c r="W473" s="70">
        <v>0</v>
      </c>
      <c r="X473" s="70">
        <v>0</v>
      </c>
      <c r="Y473" s="70">
        <v>0</v>
      </c>
      <c r="Z473" s="38"/>
      <c r="AA473" s="40"/>
    </row>
    <row r="474" spans="1:27" s="2" customFormat="1" x14ac:dyDescent="0.2">
      <c r="A474" s="16" t="s">
        <v>96</v>
      </c>
      <c r="B474" s="17">
        <v>45033</v>
      </c>
      <c r="C474" s="19">
        <v>79877.94</v>
      </c>
      <c r="D474" s="52">
        <v>79811.199999999997</v>
      </c>
      <c r="E474" s="52">
        <v>66.739999999999995</v>
      </c>
      <c r="F474" s="157">
        <v>249</v>
      </c>
      <c r="G474" s="157">
        <v>341</v>
      </c>
      <c r="H474" s="35">
        <v>320.79493975903614</v>
      </c>
      <c r="I474" s="19">
        <v>1908.5033333333333</v>
      </c>
      <c r="J474" s="111">
        <v>41.853707355327302</v>
      </c>
      <c r="K474" s="53">
        <v>6740</v>
      </c>
      <c r="L474" s="54">
        <v>3.6943620178041543E-2</v>
      </c>
      <c r="M474" s="59"/>
      <c r="N474" s="69">
        <v>1604.34</v>
      </c>
      <c r="O474" s="70">
        <f>SUMIF(Facebook!A:A,'Compilado 2023'!B:B,Facebook!B:B)</f>
        <v>390.84</v>
      </c>
      <c r="P474" s="70">
        <v>0</v>
      </c>
      <c r="Q474" s="70">
        <v>53.333333333333336</v>
      </c>
      <c r="R474" s="202">
        <f>IFERROR(VLOOKUP($B:$B,Tabela_Linkedin[],2,),0)</f>
        <v>0</v>
      </c>
      <c r="S474" s="70">
        <f>SUMIF(TikTok!A:A,'Compilado 2023'!B:B,TikTok!B:B)</f>
        <v>0</v>
      </c>
      <c r="T474" s="70">
        <v>0</v>
      </c>
      <c r="U474" s="71">
        <v>0</v>
      </c>
      <c r="V474" s="59"/>
      <c r="W474" s="70">
        <v>0</v>
      </c>
      <c r="X474" s="70">
        <v>0</v>
      </c>
      <c r="Y474" s="70">
        <v>0</v>
      </c>
      <c r="Z474" s="38"/>
      <c r="AA474" s="40" t="s">
        <v>106</v>
      </c>
    </row>
    <row r="475" spans="1:27" s="2" customFormat="1" x14ac:dyDescent="0.2">
      <c r="A475" s="16" t="s">
        <v>97</v>
      </c>
      <c r="B475" s="17">
        <v>45034</v>
      </c>
      <c r="C475" s="19">
        <v>112196.78</v>
      </c>
      <c r="D475" s="52">
        <v>112196.78</v>
      </c>
      <c r="E475" s="52">
        <v>0</v>
      </c>
      <c r="F475" s="157">
        <v>438</v>
      </c>
      <c r="G475" s="157">
        <v>602</v>
      </c>
      <c r="H475" s="35">
        <v>256.15703196347033</v>
      </c>
      <c r="I475" s="19">
        <v>2408.813333333333</v>
      </c>
      <c r="J475" s="111">
        <v>46.577614980543672</v>
      </c>
      <c r="K475" s="53">
        <v>7567</v>
      </c>
      <c r="L475" s="54">
        <v>5.7882912647019953E-2</v>
      </c>
      <c r="M475" s="59"/>
      <c r="N475" s="69">
        <v>1698.94</v>
      </c>
      <c r="O475" s="70">
        <f>SUMIF(Facebook!A:A,'Compilado 2023'!B:B,Facebook!B:B)</f>
        <v>588.30999999999995</v>
      </c>
      <c r="P475" s="70">
        <v>0</v>
      </c>
      <c r="Q475" s="70">
        <v>53.333333333333336</v>
      </c>
      <c r="R475" s="202">
        <f>IFERROR(VLOOKUP($B:$B,Tabela_Linkedin[],2,),0)</f>
        <v>0</v>
      </c>
      <c r="S475" s="70">
        <f>SUMIF(TikTok!A:A,'Compilado 2023'!B:B,TikTok!B:B)</f>
        <v>0</v>
      </c>
      <c r="T475" s="70">
        <v>0</v>
      </c>
      <c r="U475" s="71">
        <v>0</v>
      </c>
      <c r="V475" s="59"/>
      <c r="W475" s="70">
        <v>0</v>
      </c>
      <c r="X475" s="70">
        <v>0</v>
      </c>
      <c r="Y475" s="70">
        <v>0</v>
      </c>
      <c r="Z475" s="38"/>
      <c r="AA475" s="40" t="s">
        <v>107</v>
      </c>
    </row>
    <row r="476" spans="1:27" s="2" customFormat="1" x14ac:dyDescent="0.2">
      <c r="A476" s="16" t="s">
        <v>98</v>
      </c>
      <c r="B476" s="17">
        <v>45035</v>
      </c>
      <c r="C476" s="19">
        <v>119408.18</v>
      </c>
      <c r="D476" s="52">
        <v>119385.87</v>
      </c>
      <c r="E476" s="52">
        <v>22.31</v>
      </c>
      <c r="F476" s="157">
        <v>490</v>
      </c>
      <c r="G476" s="157">
        <v>733</v>
      </c>
      <c r="H476" s="35">
        <v>243.6901632653061</v>
      </c>
      <c r="I476" s="19">
        <v>2302.3733333333334</v>
      </c>
      <c r="J476" s="111">
        <v>51.863083311134012</v>
      </c>
      <c r="K476" s="53">
        <v>7195</v>
      </c>
      <c r="L476" s="54">
        <v>6.8102849200833912E-2</v>
      </c>
      <c r="M476" s="59"/>
      <c r="N476" s="69">
        <v>1545.65</v>
      </c>
      <c r="O476" s="70">
        <f>SUMIF(Facebook!A:A,'Compilado 2023'!B:B,Facebook!B:B)</f>
        <v>610.66</v>
      </c>
      <c r="P476" s="70">
        <v>0</v>
      </c>
      <c r="Q476" s="70">
        <v>53.333333333333336</v>
      </c>
      <c r="R476" s="202">
        <f>IFERROR(VLOOKUP($B:$B,Tabela_Linkedin[],2,),0)</f>
        <v>0</v>
      </c>
      <c r="S476" s="70">
        <f>SUMIF(TikTok!A:A,'Compilado 2023'!B:B,TikTok!B:B)</f>
        <v>0</v>
      </c>
      <c r="T476" s="70">
        <v>0</v>
      </c>
      <c r="U476" s="71">
        <v>0</v>
      </c>
      <c r="V476" s="59"/>
      <c r="W476" s="70">
        <v>0</v>
      </c>
      <c r="X476" s="70">
        <v>0</v>
      </c>
      <c r="Y476" s="70">
        <v>0</v>
      </c>
      <c r="Z476" s="38"/>
      <c r="AA476" s="40"/>
    </row>
    <row r="477" spans="1:27" s="2" customFormat="1" x14ac:dyDescent="0.2">
      <c r="A477" s="16" t="s">
        <v>99</v>
      </c>
      <c r="B477" s="17">
        <v>45036</v>
      </c>
      <c r="C477" s="19">
        <v>121632.08</v>
      </c>
      <c r="D477" s="52">
        <v>121632.08</v>
      </c>
      <c r="E477" s="52">
        <v>0</v>
      </c>
      <c r="F477" s="157">
        <v>471</v>
      </c>
      <c r="G477" s="157">
        <v>651</v>
      </c>
      <c r="H477" s="35">
        <v>258.24220806794057</v>
      </c>
      <c r="I477" s="19">
        <v>2133.9933333333333</v>
      </c>
      <c r="J477" s="111">
        <v>56.997403928159727</v>
      </c>
      <c r="K477" s="53">
        <v>6997</v>
      </c>
      <c r="L477" s="54">
        <v>6.7314563384307566E-2</v>
      </c>
      <c r="M477" s="59"/>
      <c r="N477" s="69">
        <v>1369.74</v>
      </c>
      <c r="O477" s="70">
        <f>SUMIF(Facebook!A:A,'Compilado 2023'!B:B,Facebook!B:B)</f>
        <v>522.82000000000005</v>
      </c>
      <c r="P477" s="70">
        <v>0</v>
      </c>
      <c r="Q477" s="70">
        <v>53.333333333333336</v>
      </c>
      <c r="R477" s="202">
        <f>IFERROR(VLOOKUP($B:$B,Tabela_Linkedin[],2,),0)</f>
        <v>129.66999999999999</v>
      </c>
      <c r="S477" s="70">
        <f>SUMIF(TikTok!A:A,'Compilado 2023'!B:B,TikTok!B:B)</f>
        <v>0</v>
      </c>
      <c r="T477" s="70">
        <v>0</v>
      </c>
      <c r="U477" s="71">
        <v>0</v>
      </c>
      <c r="V477" s="59"/>
      <c r="W477" s="70">
        <v>0</v>
      </c>
      <c r="X477" s="70">
        <v>0</v>
      </c>
      <c r="Y477" s="70">
        <v>0</v>
      </c>
      <c r="Z477" s="38"/>
      <c r="AA477" s="40" t="s">
        <v>108</v>
      </c>
    </row>
    <row r="478" spans="1:27" s="2" customFormat="1" x14ac:dyDescent="0.2">
      <c r="A478" s="16" t="s">
        <v>100</v>
      </c>
      <c r="B478" s="17">
        <v>45037</v>
      </c>
      <c r="C478" s="19">
        <v>57623.18</v>
      </c>
      <c r="D478" s="52">
        <v>57623.18</v>
      </c>
      <c r="E478" s="52">
        <v>0</v>
      </c>
      <c r="F478" s="157">
        <v>188</v>
      </c>
      <c r="G478" s="157">
        <v>234</v>
      </c>
      <c r="H478" s="35">
        <v>306.50627659574468</v>
      </c>
      <c r="I478" s="19">
        <v>1198.3333333333333</v>
      </c>
      <c r="J478" s="111">
        <v>48.086102920723228</v>
      </c>
      <c r="K478" s="53">
        <v>4424</v>
      </c>
      <c r="L478" s="54">
        <v>4.2495479204339964E-2</v>
      </c>
      <c r="M478" s="59"/>
      <c r="N478" s="69">
        <v>779.57</v>
      </c>
      <c r="O478" s="70">
        <f>SUMIF(Facebook!A:A,'Compilado 2023'!B:B,Facebook!B:B)</f>
        <v>327.8</v>
      </c>
      <c r="P478" s="70">
        <v>0</v>
      </c>
      <c r="Q478" s="70">
        <v>53.333333333333336</v>
      </c>
      <c r="R478" s="202">
        <f>IFERROR(VLOOKUP($B:$B,Tabela_Linkedin[],2,),0)</f>
        <v>0</v>
      </c>
      <c r="S478" s="70">
        <f>SUMIF(TikTok!A:A,'Compilado 2023'!B:B,TikTok!B:B)</f>
        <v>0</v>
      </c>
      <c r="T478" s="70">
        <v>0</v>
      </c>
      <c r="U478" s="71">
        <v>0</v>
      </c>
      <c r="V478" s="59"/>
      <c r="W478" s="70">
        <v>0</v>
      </c>
      <c r="X478" s="70">
        <v>0</v>
      </c>
      <c r="Y478" s="70">
        <v>0</v>
      </c>
      <c r="Z478" s="38"/>
      <c r="AA478" s="40"/>
    </row>
    <row r="479" spans="1:27" s="2" customFormat="1" x14ac:dyDescent="0.2">
      <c r="A479" s="16" t="s">
        <v>94</v>
      </c>
      <c r="B479" s="17">
        <v>45038</v>
      </c>
      <c r="C479" s="19">
        <v>58465.83</v>
      </c>
      <c r="D479" s="52">
        <v>58465.83</v>
      </c>
      <c r="E479" s="52">
        <v>0</v>
      </c>
      <c r="F479" s="157">
        <v>164</v>
      </c>
      <c r="G479" s="157">
        <v>256</v>
      </c>
      <c r="H479" s="35">
        <v>356.49896341463415</v>
      </c>
      <c r="I479" s="19">
        <v>1076.9833333333333</v>
      </c>
      <c r="J479" s="111">
        <v>54.286661817731627</v>
      </c>
      <c r="K479" s="53">
        <v>4464</v>
      </c>
      <c r="L479" s="54">
        <v>3.6738351254480286E-2</v>
      </c>
      <c r="M479" s="59"/>
      <c r="N479" s="69">
        <v>841.37</v>
      </c>
      <c r="O479" s="70">
        <f>SUMIF(Facebook!A:A,'Compilado 2023'!B:B,Facebook!B:B)</f>
        <v>269.92</v>
      </c>
      <c r="P479" s="70">
        <v>0</v>
      </c>
      <c r="Q479" s="70">
        <v>53.333333333333336</v>
      </c>
      <c r="R479" s="202">
        <f>IFERROR(VLOOKUP($B:$B,Tabela_Linkedin[],2,),0)</f>
        <v>3.52</v>
      </c>
      <c r="S479" s="70">
        <f>SUMIF(TikTok!A:A,'Compilado 2023'!B:B,TikTok!B:B)</f>
        <v>0</v>
      </c>
      <c r="T479" s="70">
        <v>0</v>
      </c>
      <c r="U479" s="71">
        <v>0</v>
      </c>
      <c r="V479" s="59"/>
      <c r="W479" s="70">
        <v>0</v>
      </c>
      <c r="X479" s="70">
        <v>0</v>
      </c>
      <c r="Y479" s="70">
        <v>0</v>
      </c>
      <c r="Z479" s="38"/>
      <c r="AA479" s="40"/>
    </row>
    <row r="480" spans="1:27" s="2" customFormat="1" x14ac:dyDescent="0.2">
      <c r="A480" s="16" t="s">
        <v>95</v>
      </c>
      <c r="B480" s="17">
        <v>45039</v>
      </c>
      <c r="C480" s="19">
        <v>57441.25</v>
      </c>
      <c r="D480" s="52">
        <v>57418.16</v>
      </c>
      <c r="E480" s="52">
        <v>23.09</v>
      </c>
      <c r="F480" s="157">
        <v>175</v>
      </c>
      <c r="G480" s="157">
        <v>229</v>
      </c>
      <c r="H480" s="35">
        <v>328.23571428571427</v>
      </c>
      <c r="I480" s="19">
        <v>995.24333333333334</v>
      </c>
      <c r="J480" s="111">
        <v>57.715784749458258</v>
      </c>
      <c r="K480" s="53">
        <v>4080</v>
      </c>
      <c r="L480" s="54">
        <v>4.2892156862745098E-2</v>
      </c>
      <c r="M480" s="59"/>
      <c r="N480" s="69">
        <v>761.07</v>
      </c>
      <c r="O480" s="70">
        <f>SUMIF(Facebook!A:A,'Compilado 2023'!B:B,Facebook!B:B)</f>
        <v>190.55</v>
      </c>
      <c r="P480" s="70">
        <v>0</v>
      </c>
      <c r="Q480" s="70">
        <v>53.333333333333336</v>
      </c>
      <c r="R480" s="202">
        <f>IFERROR(VLOOKUP($B:$B,Tabela_Linkedin[],2,),0)</f>
        <v>2.13</v>
      </c>
      <c r="S480" s="70">
        <f>SUMIF(TikTok!A:A,'Compilado 2023'!B:B,TikTok!B:B)</f>
        <v>0</v>
      </c>
      <c r="T480" s="70">
        <v>0</v>
      </c>
      <c r="U480" s="71">
        <v>0</v>
      </c>
      <c r="V480" s="59"/>
      <c r="W480" s="70">
        <v>0</v>
      </c>
      <c r="X480" s="70">
        <v>0</v>
      </c>
      <c r="Y480" s="70">
        <v>0</v>
      </c>
      <c r="Z480" s="38"/>
      <c r="AA480" s="40" t="s">
        <v>109</v>
      </c>
    </row>
    <row r="481" spans="1:27" s="2" customFormat="1" x14ac:dyDescent="0.2">
      <c r="A481" s="16" t="s">
        <v>96</v>
      </c>
      <c r="B481" s="17">
        <v>45040</v>
      </c>
      <c r="C481" s="19">
        <v>63580.01</v>
      </c>
      <c r="D481" s="52">
        <v>63525.07</v>
      </c>
      <c r="E481" s="52">
        <v>54.94</v>
      </c>
      <c r="F481" s="157">
        <v>217</v>
      </c>
      <c r="G481" s="157">
        <v>257</v>
      </c>
      <c r="H481" s="35">
        <v>292.99543778801842</v>
      </c>
      <c r="I481" s="19">
        <v>979.01333333333332</v>
      </c>
      <c r="J481" s="111">
        <v>64.942945959197019</v>
      </c>
      <c r="K481" s="53">
        <v>6453</v>
      </c>
      <c r="L481" s="54">
        <v>3.3627770029443671E-2</v>
      </c>
      <c r="M481" s="59"/>
      <c r="N481" s="69">
        <v>751.01</v>
      </c>
      <c r="O481" s="70">
        <f>SUMIF(Facebook!A:A,'Compilado 2023'!B:B,Facebook!B:B)</f>
        <v>135.77000000000001</v>
      </c>
      <c r="P481" s="70">
        <v>0</v>
      </c>
      <c r="Q481" s="70">
        <v>53.333333333333336</v>
      </c>
      <c r="R481" s="202">
        <f>IFERROR(VLOOKUP($B:$B,Tabela_Linkedin[],2,),0)</f>
        <v>65.89</v>
      </c>
      <c r="S481" s="70">
        <f>SUMIF(TikTok!A:A,'Compilado 2023'!B:B,TikTok!B:B)</f>
        <v>0</v>
      </c>
      <c r="T481" s="70">
        <v>0</v>
      </c>
      <c r="U481" s="71">
        <v>0</v>
      </c>
      <c r="V481" s="59"/>
      <c r="W481" s="70">
        <v>0</v>
      </c>
      <c r="X481" s="70">
        <v>0</v>
      </c>
      <c r="Y481" s="70">
        <v>0</v>
      </c>
      <c r="Z481" s="38"/>
      <c r="AA481" s="40" t="s">
        <v>110</v>
      </c>
    </row>
    <row r="482" spans="1:27" s="2" customFormat="1" x14ac:dyDescent="0.2">
      <c r="A482" s="16" t="s">
        <v>97</v>
      </c>
      <c r="B482" s="17">
        <v>45041</v>
      </c>
      <c r="C482" s="19">
        <v>73111.960000000006</v>
      </c>
      <c r="D482" s="52">
        <v>73089.83</v>
      </c>
      <c r="E482" s="52">
        <v>22.13</v>
      </c>
      <c r="F482" s="157">
        <v>221</v>
      </c>
      <c r="G482" s="157">
        <v>272</v>
      </c>
      <c r="H482" s="35">
        <v>330.8233484162896</v>
      </c>
      <c r="I482" s="19">
        <v>1163.9433333333334</v>
      </c>
      <c r="J482" s="111">
        <v>62.814020155620405</v>
      </c>
      <c r="K482" s="53">
        <v>6523</v>
      </c>
      <c r="L482" s="54">
        <v>3.3880116510807912E-2</v>
      </c>
      <c r="M482" s="59"/>
      <c r="N482" s="69">
        <v>796.8</v>
      </c>
      <c r="O482" s="70">
        <f>SUMIF(Facebook!A:A,'Compilado 2023'!B:B,Facebook!B:B)</f>
        <v>164.15</v>
      </c>
      <c r="P482" s="70">
        <v>0</v>
      </c>
      <c r="Q482" s="70">
        <v>53.333333333333336</v>
      </c>
      <c r="R482" s="202">
        <f>IFERROR(VLOOKUP($B:$B,Tabela_Linkedin[],2,),0)</f>
        <v>106.95</v>
      </c>
      <c r="S482" s="70">
        <f>SUMIF(TikTok!A:A,'Compilado 2023'!B:B,TikTok!B:B)</f>
        <v>0</v>
      </c>
      <c r="T482" s="70">
        <v>0</v>
      </c>
      <c r="U482" s="71">
        <v>0</v>
      </c>
      <c r="V482" s="59"/>
      <c r="W482" s="70">
        <v>0</v>
      </c>
      <c r="X482" s="70">
        <v>0</v>
      </c>
      <c r="Y482" s="70">
        <v>0</v>
      </c>
      <c r="Z482" s="38"/>
      <c r="AA482" s="40"/>
    </row>
    <row r="483" spans="1:27" s="2" customFormat="1" x14ac:dyDescent="0.2">
      <c r="A483" s="16" t="s">
        <v>98</v>
      </c>
      <c r="B483" s="17">
        <v>45042</v>
      </c>
      <c r="C483" s="19">
        <v>61907.360000000001</v>
      </c>
      <c r="D483" s="52">
        <v>61861.08</v>
      </c>
      <c r="E483" s="52">
        <v>46.28</v>
      </c>
      <c r="F483" s="157">
        <v>204</v>
      </c>
      <c r="G483" s="157">
        <v>270</v>
      </c>
      <c r="H483" s="35">
        <v>303.46745098039219</v>
      </c>
      <c r="I483" s="19">
        <v>1541.0433333333335</v>
      </c>
      <c r="J483" s="111">
        <v>40.172368070982209</v>
      </c>
      <c r="K483" s="53">
        <v>6616</v>
      </c>
      <c r="L483" s="54">
        <v>3.0834340991535671E-2</v>
      </c>
      <c r="M483" s="59"/>
      <c r="N483" s="69">
        <v>1138.58</v>
      </c>
      <c r="O483" s="70">
        <f>SUMIF(Facebook!A:A,'Compilado 2023'!B:B,Facebook!B:B)</f>
        <v>202.05</v>
      </c>
      <c r="P483" s="70">
        <v>0</v>
      </c>
      <c r="Q483" s="70">
        <v>53.333333333333336</v>
      </c>
      <c r="R483" s="202">
        <f>IFERROR(VLOOKUP($B:$B,Tabela_Linkedin[],2,),0)</f>
        <v>114.16</v>
      </c>
      <c r="S483" s="70">
        <f>SUMIF(TikTok!A:A,'Compilado 2023'!B:B,TikTok!B:B)</f>
        <v>0</v>
      </c>
      <c r="T483" s="70">
        <v>0</v>
      </c>
      <c r="U483" s="71">
        <v>0</v>
      </c>
      <c r="V483" s="59"/>
      <c r="W483" s="70">
        <v>0</v>
      </c>
      <c r="X483" s="70">
        <v>0</v>
      </c>
      <c r="Y483" s="70">
        <v>0</v>
      </c>
      <c r="Z483" s="38"/>
      <c r="AA483" s="40"/>
    </row>
    <row r="484" spans="1:27" s="2" customFormat="1" x14ac:dyDescent="0.2">
      <c r="A484" s="16" t="s">
        <v>99</v>
      </c>
      <c r="B484" s="17">
        <v>45043</v>
      </c>
      <c r="C484" s="19">
        <v>72297.61</v>
      </c>
      <c r="D484" s="52">
        <v>72297.61</v>
      </c>
      <c r="E484" s="52">
        <v>0</v>
      </c>
      <c r="F484" s="157">
        <v>214</v>
      </c>
      <c r="G484" s="157">
        <v>295</v>
      </c>
      <c r="H484" s="35">
        <v>337.83929906542056</v>
      </c>
      <c r="I484" s="19">
        <v>1734.0133333333333</v>
      </c>
      <c r="J484" s="111">
        <v>41.693802815818408</v>
      </c>
      <c r="K484" s="53">
        <v>6734</v>
      </c>
      <c r="L484" s="54">
        <v>3.1779031779031776E-2</v>
      </c>
      <c r="M484" s="59"/>
      <c r="N484" s="69">
        <v>1323.75</v>
      </c>
      <c r="O484" s="70">
        <f>SUMIF(Facebook!A:A,'Compilado 2023'!B:B,Facebook!B:B)</f>
        <v>194.34</v>
      </c>
      <c r="P484" s="70">
        <v>0</v>
      </c>
      <c r="Q484" s="70">
        <v>53.333333333333336</v>
      </c>
      <c r="R484" s="202">
        <f>IFERROR(VLOOKUP($B:$B,Tabela_Linkedin[],2,),0)</f>
        <v>129.1</v>
      </c>
      <c r="S484" s="70">
        <f>SUMIF(TikTok!A:A,'Compilado 2023'!B:B,TikTok!B:B)</f>
        <v>0</v>
      </c>
      <c r="T484" s="70">
        <v>0</v>
      </c>
      <c r="U484" s="71">
        <v>0</v>
      </c>
      <c r="V484" s="59"/>
      <c r="W484" s="70">
        <v>0</v>
      </c>
      <c r="X484" s="70">
        <v>0</v>
      </c>
      <c r="Y484" s="70">
        <v>0</v>
      </c>
      <c r="Z484" s="38"/>
      <c r="AA484" s="40"/>
    </row>
    <row r="485" spans="1:27" s="2" customFormat="1" x14ac:dyDescent="0.2">
      <c r="A485" s="16" t="s">
        <v>100</v>
      </c>
      <c r="B485" s="17">
        <v>45044</v>
      </c>
      <c r="C485" s="19">
        <v>83524.69</v>
      </c>
      <c r="D485" s="52">
        <v>83524.69</v>
      </c>
      <c r="E485" s="52">
        <v>0</v>
      </c>
      <c r="F485" s="157">
        <v>262</v>
      </c>
      <c r="G485" s="157">
        <v>362</v>
      </c>
      <c r="H485" s="35">
        <v>318.79652671755724</v>
      </c>
      <c r="I485" s="19">
        <v>1594.4633333333334</v>
      </c>
      <c r="J485" s="111">
        <v>52.384202417114224</v>
      </c>
      <c r="K485" s="53">
        <v>6476</v>
      </c>
      <c r="L485" s="54">
        <v>4.045707226683138E-2</v>
      </c>
      <c r="M485" s="59"/>
      <c r="N485" s="69">
        <v>1248.6099999999999</v>
      </c>
      <c r="O485" s="70">
        <f>SUMIF(Facebook!A:A,'Compilado 2023'!B:B,Facebook!B:B)</f>
        <v>179.35</v>
      </c>
      <c r="P485" s="70">
        <v>0</v>
      </c>
      <c r="Q485" s="70">
        <v>53.333333333333336</v>
      </c>
      <c r="R485" s="202">
        <f>IFERROR(VLOOKUP($B:$B,Tabela_Linkedin[],2,),0)</f>
        <v>93.03</v>
      </c>
      <c r="S485" s="70">
        <f>SUMIF(TikTok!A:A,'Compilado 2023'!B:B,TikTok!B:B)</f>
        <v>0</v>
      </c>
      <c r="T485" s="70">
        <v>0</v>
      </c>
      <c r="U485" s="71">
        <v>0</v>
      </c>
      <c r="V485" s="59"/>
      <c r="W485" s="70">
        <v>0</v>
      </c>
      <c r="X485" s="70">
        <v>0</v>
      </c>
      <c r="Y485" s="70">
        <v>0</v>
      </c>
      <c r="Z485" s="38"/>
      <c r="AA485" s="40" t="s">
        <v>111</v>
      </c>
    </row>
    <row r="486" spans="1:27" s="2" customFormat="1" x14ac:dyDescent="0.2">
      <c r="A486" s="16" t="s">
        <v>94</v>
      </c>
      <c r="B486" s="17">
        <v>45045</v>
      </c>
      <c r="C486" s="19">
        <v>48457.47</v>
      </c>
      <c r="D486" s="52">
        <v>48457.47</v>
      </c>
      <c r="E486" s="52">
        <v>0</v>
      </c>
      <c r="F486" s="157">
        <v>173</v>
      </c>
      <c r="G486" s="157">
        <v>197</v>
      </c>
      <c r="H486" s="35">
        <v>280.10098265895954</v>
      </c>
      <c r="I486" s="19">
        <v>1348.5033333333333</v>
      </c>
      <c r="J486" s="111">
        <v>35.934260451710664</v>
      </c>
      <c r="K486" s="53">
        <v>4866</v>
      </c>
      <c r="L486" s="54">
        <v>3.5552815454171806E-2</v>
      </c>
      <c r="M486" s="59"/>
      <c r="N486" s="69">
        <v>816.18</v>
      </c>
      <c r="O486" s="70">
        <f>SUMIF(Facebook!A:A,'Compilado 2023'!B:B,Facebook!B:B)</f>
        <v>222.33</v>
      </c>
      <c r="P486" s="70">
        <v>0</v>
      </c>
      <c r="Q486" s="70">
        <v>53.333333333333336</v>
      </c>
      <c r="R486" s="202">
        <f>IFERROR(VLOOKUP($B:$B,Tabela_Linkedin[],2,),0)</f>
        <v>104.15</v>
      </c>
      <c r="S486" s="70">
        <f>SUMIF(TikTok!A:A,'Compilado 2023'!B:B,TikTok!B:B)</f>
        <v>0</v>
      </c>
      <c r="T486" s="70">
        <v>0</v>
      </c>
      <c r="U486" s="71">
        <v>0</v>
      </c>
      <c r="V486" s="59"/>
      <c r="W486" s="70">
        <v>0</v>
      </c>
      <c r="X486" s="70">
        <v>0</v>
      </c>
      <c r="Y486" s="70">
        <v>0</v>
      </c>
      <c r="Z486" s="38"/>
      <c r="AA486" s="40"/>
    </row>
    <row r="487" spans="1:27" s="2" customFormat="1" x14ac:dyDescent="0.2">
      <c r="A487" s="16" t="s">
        <v>95</v>
      </c>
      <c r="B487" s="17">
        <v>45046</v>
      </c>
      <c r="C487" s="19">
        <v>35392.46</v>
      </c>
      <c r="D487" s="52">
        <v>35392.46</v>
      </c>
      <c r="E487" s="52">
        <v>0</v>
      </c>
      <c r="F487" s="157">
        <v>115</v>
      </c>
      <c r="G487" s="157">
        <v>134</v>
      </c>
      <c r="H487" s="35">
        <v>307.76052173913041</v>
      </c>
      <c r="I487" s="19">
        <v>1295.0033333333333</v>
      </c>
      <c r="J487" s="111">
        <v>27.330014594557028</v>
      </c>
      <c r="K487" s="53">
        <v>4288</v>
      </c>
      <c r="L487" s="54">
        <v>2.681902985074627E-2</v>
      </c>
      <c r="M487" s="59"/>
      <c r="N487" s="69">
        <v>1004.03</v>
      </c>
      <c r="O487" s="70">
        <f>SUMIF(Facebook!A:A,'Compilado 2023'!B:B,Facebook!B:B)</f>
        <v>238.97</v>
      </c>
      <c r="P487" s="70">
        <v>0</v>
      </c>
      <c r="Q487" s="70">
        <v>53.333333333333336</v>
      </c>
      <c r="R487" s="202">
        <f>IFERROR(VLOOKUP($B:$B,Tabela_Linkedin[],2,),0)</f>
        <v>23.4</v>
      </c>
      <c r="S487" s="70">
        <f>SUMIF(TikTok!A:A,'Compilado 2023'!B:B,TikTok!B:B)</f>
        <v>0</v>
      </c>
      <c r="T487" s="70">
        <v>0</v>
      </c>
      <c r="U487" s="71">
        <v>0</v>
      </c>
      <c r="V487" s="59"/>
      <c r="W487" s="70">
        <v>0</v>
      </c>
      <c r="X487" s="70">
        <v>0</v>
      </c>
      <c r="Y487" s="70">
        <v>0</v>
      </c>
      <c r="Z487" s="38"/>
      <c r="AA487" s="40"/>
    </row>
    <row r="488" spans="1:27" s="2" customFormat="1" x14ac:dyDescent="0.2">
      <c r="A488" s="16" t="s">
        <v>96</v>
      </c>
      <c r="B488" s="17">
        <v>45047</v>
      </c>
      <c r="C488" s="19">
        <v>42406.14</v>
      </c>
      <c r="D488" s="52">
        <v>42344.4</v>
      </c>
      <c r="E488" s="52">
        <v>61.74</v>
      </c>
      <c r="F488" s="157">
        <v>140</v>
      </c>
      <c r="G488" s="157">
        <v>162</v>
      </c>
      <c r="H488" s="35">
        <v>302.90100000000001</v>
      </c>
      <c r="I488" s="19">
        <v>1662.0529032258062</v>
      </c>
      <c r="J488" s="111">
        <v>25.514314206061531</v>
      </c>
      <c r="K488" s="53">
        <v>4948</v>
      </c>
      <c r="L488" s="54">
        <v>2.8294260307194827E-2</v>
      </c>
      <c r="M488" s="59"/>
      <c r="N488" s="69">
        <v>1106.3599999999999</v>
      </c>
      <c r="O488" s="70">
        <f>SUMIF(Facebook!A:A,'Compilado 2023'!B:B,Facebook!B:B)</f>
        <v>233.27</v>
      </c>
      <c r="P488" s="70">
        <v>0</v>
      </c>
      <c r="Q488" s="70">
        <v>51.612903225806448</v>
      </c>
      <c r="R488" s="202">
        <f>IFERROR(VLOOKUP($B:$B,Tabela_Linkedin[],2,),0)</f>
        <v>52.11</v>
      </c>
      <c r="S488" s="70">
        <f>SUMIF(TikTok!A:A,'Compilado 2023'!B:B,TikTok!B:B)</f>
        <v>0</v>
      </c>
      <c r="T488" s="70">
        <v>0</v>
      </c>
      <c r="U488" s="71">
        <v>0</v>
      </c>
      <c r="V488" s="59"/>
      <c r="W488" s="70">
        <v>0</v>
      </c>
      <c r="X488" s="70">
        <v>0</v>
      </c>
      <c r="Y488" s="70">
        <v>0</v>
      </c>
      <c r="Z488" s="38"/>
      <c r="AA488" s="40"/>
    </row>
    <row r="489" spans="1:27" s="2" customFormat="1" x14ac:dyDescent="0.2">
      <c r="A489" s="16" t="s">
        <v>97</v>
      </c>
      <c r="B489" s="17">
        <v>45048</v>
      </c>
      <c r="C489" s="19">
        <v>112788.95</v>
      </c>
      <c r="D489" s="52">
        <v>112788.95</v>
      </c>
      <c r="E489" s="52">
        <v>0</v>
      </c>
      <c r="F489" s="157">
        <v>319</v>
      </c>
      <c r="G489" s="157">
        <v>456</v>
      </c>
      <c r="H489" s="35">
        <v>353.57037617554857</v>
      </c>
      <c r="I489" s="19">
        <v>2723.8429032258064</v>
      </c>
      <c r="J489" s="111">
        <v>41.40802315229918</v>
      </c>
      <c r="K489" s="53">
        <v>8840</v>
      </c>
      <c r="L489" s="54">
        <v>3.608597285067873E-2</v>
      </c>
      <c r="M489" s="59"/>
      <c r="N489" s="69">
        <v>2322.44</v>
      </c>
      <c r="O489" s="70">
        <f>SUMIF(Facebook!A:A,'Compilado 2023'!B:B,Facebook!B:B)</f>
        <v>239.97</v>
      </c>
      <c r="P489" s="70">
        <v>0</v>
      </c>
      <c r="Q489" s="70">
        <v>51.612903225806448</v>
      </c>
      <c r="R489" s="202">
        <f>IFERROR(VLOOKUP($B:$B,Tabela_Linkedin[],2,),0)</f>
        <v>150</v>
      </c>
      <c r="S489" s="70">
        <f>SUMIF(TikTok!A:A,'Compilado 2023'!B:B,TikTok!B:B)</f>
        <v>0</v>
      </c>
      <c r="T489" s="70">
        <v>0</v>
      </c>
      <c r="U489" s="71">
        <v>0</v>
      </c>
      <c r="V489" s="59"/>
      <c r="W489" s="70">
        <v>0</v>
      </c>
      <c r="X489" s="70">
        <v>0</v>
      </c>
      <c r="Y489" s="70">
        <v>0</v>
      </c>
      <c r="Z489" s="38"/>
      <c r="AA489" s="40" t="s">
        <v>112</v>
      </c>
    </row>
    <row r="490" spans="1:27" s="2" customFormat="1" x14ac:dyDescent="0.2">
      <c r="A490" s="16" t="s">
        <v>98</v>
      </c>
      <c r="B490" s="17">
        <v>45049</v>
      </c>
      <c r="C490" s="19">
        <v>120576.68</v>
      </c>
      <c r="D490" s="52">
        <v>120576.68</v>
      </c>
      <c r="E490" s="52">
        <v>0</v>
      </c>
      <c r="F490" s="157">
        <v>359</v>
      </c>
      <c r="G490" s="157">
        <v>438</v>
      </c>
      <c r="H490" s="35">
        <v>335.86818941504174</v>
      </c>
      <c r="I490" s="19">
        <v>652.06290322580651</v>
      </c>
      <c r="J490" s="111">
        <v>184.91571810556567</v>
      </c>
      <c r="K490" s="53">
        <v>0</v>
      </c>
      <c r="L490" s="54">
        <v>0</v>
      </c>
      <c r="M490" s="59"/>
      <c r="N490" s="69">
        <v>2455.9699999999998</v>
      </c>
      <c r="O490" s="70">
        <f>SUMIF(Facebook!A:A,'Compilado 2023'!B:B,Facebook!B:B)</f>
        <v>239.81</v>
      </c>
      <c r="P490" s="70">
        <v>0</v>
      </c>
      <c r="Q490" s="70">
        <v>51.612903225806448</v>
      </c>
      <c r="R490" s="202">
        <f>IFERROR(VLOOKUP($B:$B,Tabela_Linkedin[],2,),0)</f>
        <v>120.83</v>
      </c>
      <c r="S490" s="70">
        <f>SUMIF(TikTok!A:A,'Compilado 2023'!B:B,TikTok!B:B)</f>
        <v>0</v>
      </c>
      <c r="T490" s="70">
        <v>0</v>
      </c>
      <c r="U490" s="71">
        <v>0</v>
      </c>
      <c r="V490" s="59"/>
      <c r="W490" s="70">
        <v>0</v>
      </c>
      <c r="X490" s="70">
        <v>0</v>
      </c>
      <c r="Y490" s="70">
        <v>0</v>
      </c>
      <c r="Z490" s="38"/>
      <c r="AA490" s="40" t="s">
        <v>113</v>
      </c>
    </row>
    <row r="491" spans="1:27" s="2" customFormat="1" x14ac:dyDescent="0.2">
      <c r="A491" s="16" t="s">
        <v>99</v>
      </c>
      <c r="B491" s="17">
        <v>45050</v>
      </c>
      <c r="C491" s="19">
        <v>120773.06</v>
      </c>
      <c r="D491" s="52">
        <v>120724.16</v>
      </c>
      <c r="E491" s="52">
        <v>48.9</v>
      </c>
      <c r="F491" s="157">
        <v>385</v>
      </c>
      <c r="G491" s="157">
        <v>465</v>
      </c>
      <c r="H491" s="35">
        <v>313.69625974025973</v>
      </c>
      <c r="I491" s="19">
        <v>2187.2629032258064</v>
      </c>
      <c r="J491" s="111">
        <v>55.216526473284105</v>
      </c>
      <c r="K491" s="53">
        <v>8727</v>
      </c>
      <c r="L491" s="54">
        <v>4.4115961957144491E-2</v>
      </c>
      <c r="M491" s="59"/>
      <c r="N491" s="69">
        <v>1673.25</v>
      </c>
      <c r="O491" s="70">
        <f>SUMIF(Facebook!A:A,'Compilado 2023'!B:B,Facebook!B:B)</f>
        <v>247.47</v>
      </c>
      <c r="P491" s="70">
        <v>0</v>
      </c>
      <c r="Q491" s="70">
        <v>51.612903225806448</v>
      </c>
      <c r="R491" s="202">
        <f>IFERROR(VLOOKUP($B:$B,Tabela_Linkedin[],2,),0)</f>
        <v>96.41</v>
      </c>
      <c r="S491" s="70">
        <f>SUMIF(TikTok!A:A,'Compilado 2023'!B:B,TikTok!B:B)</f>
        <v>0</v>
      </c>
      <c r="T491" s="70">
        <v>0</v>
      </c>
      <c r="U491" s="71">
        <v>0</v>
      </c>
      <c r="V491" s="59"/>
      <c r="W491" s="70">
        <v>0</v>
      </c>
      <c r="X491" s="70">
        <v>0</v>
      </c>
      <c r="Y491" s="70">
        <v>0</v>
      </c>
      <c r="Z491" s="38"/>
      <c r="AA491" s="40"/>
    </row>
    <row r="492" spans="1:27" s="2" customFormat="1" x14ac:dyDescent="0.2">
      <c r="A492" s="16" t="s">
        <v>100</v>
      </c>
      <c r="B492" s="17">
        <v>45051</v>
      </c>
      <c r="C492" s="19">
        <v>162231.12</v>
      </c>
      <c r="D492" s="52">
        <v>162168.91</v>
      </c>
      <c r="E492" s="52">
        <v>62.21</v>
      </c>
      <c r="F492" s="157">
        <v>430</v>
      </c>
      <c r="G492" s="157">
        <v>686</v>
      </c>
      <c r="H492" s="35">
        <v>377.28167441860467</v>
      </c>
      <c r="I492" s="19">
        <v>2109.5629032258066</v>
      </c>
      <c r="J492" s="111">
        <v>76.902717502249729</v>
      </c>
      <c r="K492" s="53">
        <v>8992</v>
      </c>
      <c r="L492" s="54">
        <v>4.7820284697508895E-2</v>
      </c>
      <c r="M492" s="59"/>
      <c r="N492" s="69">
        <v>1517.77</v>
      </c>
      <c r="O492" s="70">
        <f>SUMIF(Facebook!A:A,'Compilado 2023'!B:B,Facebook!B:B)</f>
        <v>294.55</v>
      </c>
      <c r="P492" s="70">
        <v>0</v>
      </c>
      <c r="Q492" s="70">
        <v>51.612903225806448</v>
      </c>
      <c r="R492" s="202">
        <f>IFERROR(VLOOKUP($B:$B,Tabela_Linkedin[],2,),0)</f>
        <v>71.19</v>
      </c>
      <c r="S492" s="70">
        <f>SUMIF(TikTok!A:A,'Compilado 2023'!B:B,TikTok!B:B)</f>
        <v>0</v>
      </c>
      <c r="T492" s="70">
        <v>0</v>
      </c>
      <c r="U492" s="71">
        <v>0</v>
      </c>
      <c r="V492" s="59"/>
      <c r="W492" s="70">
        <v>0</v>
      </c>
      <c r="X492" s="70">
        <v>0</v>
      </c>
      <c r="Y492" s="70">
        <v>0</v>
      </c>
      <c r="Z492" s="38"/>
      <c r="AA492" s="40"/>
    </row>
    <row r="493" spans="1:27" s="2" customFormat="1" x14ac:dyDescent="0.2">
      <c r="A493" s="16" t="s">
        <v>94</v>
      </c>
      <c r="B493" s="17">
        <v>45052</v>
      </c>
      <c r="C493" s="19">
        <v>87353.95</v>
      </c>
      <c r="D493" s="52">
        <v>87353.95</v>
      </c>
      <c r="E493" s="52">
        <v>0</v>
      </c>
      <c r="F493" s="157">
        <v>312</v>
      </c>
      <c r="G493" s="157">
        <v>348</v>
      </c>
      <c r="H493" s="35">
        <v>279.98060897435897</v>
      </c>
      <c r="I493" s="19">
        <v>1808.8629032258066</v>
      </c>
      <c r="J493" s="111">
        <v>48.292189443555252</v>
      </c>
      <c r="K493" s="53">
        <v>6631</v>
      </c>
      <c r="L493" s="54">
        <v>4.7051726738048562E-2</v>
      </c>
      <c r="M493" s="59"/>
      <c r="N493" s="69">
        <v>1202.47</v>
      </c>
      <c r="O493" s="70">
        <f>SUMIF(Facebook!A:A,'Compilado 2023'!B:B,Facebook!B:B)</f>
        <v>285.54000000000002</v>
      </c>
      <c r="P493" s="70">
        <v>0</v>
      </c>
      <c r="Q493" s="70">
        <v>51.612903225806448</v>
      </c>
      <c r="R493" s="202">
        <f>IFERROR(VLOOKUP($B:$B,Tabela_Linkedin[],2,),0)</f>
        <v>58.47</v>
      </c>
      <c r="S493" s="70">
        <f>SUMIF(TikTok!A:A,'Compilado 2023'!B:B,TikTok!B:B)</f>
        <v>0</v>
      </c>
      <c r="T493" s="70">
        <v>0</v>
      </c>
      <c r="U493" s="71">
        <v>0</v>
      </c>
      <c r="V493" s="59"/>
      <c r="W493" s="70">
        <v>0</v>
      </c>
      <c r="X493" s="70">
        <v>0</v>
      </c>
      <c r="Y493" s="70">
        <v>0</v>
      </c>
      <c r="Z493" s="38"/>
      <c r="AA493" s="40"/>
    </row>
    <row r="494" spans="1:27" s="2" customFormat="1" x14ac:dyDescent="0.2">
      <c r="A494" s="16" t="s">
        <v>95</v>
      </c>
      <c r="B494" s="17">
        <v>45053</v>
      </c>
      <c r="C494" s="19">
        <v>78208.12</v>
      </c>
      <c r="D494" s="52">
        <v>78208.12</v>
      </c>
      <c r="E494" s="52">
        <v>0</v>
      </c>
      <c r="F494" s="157">
        <v>260</v>
      </c>
      <c r="G494" s="157">
        <v>294</v>
      </c>
      <c r="H494" s="35">
        <v>300.80046153846155</v>
      </c>
      <c r="I494" s="19">
        <v>1714.1729032258065</v>
      </c>
      <c r="J494" s="111">
        <v>45.624405713580288</v>
      </c>
      <c r="K494" s="53">
        <v>6344</v>
      </c>
      <c r="L494" s="54">
        <v>4.0983606557377046E-2</v>
      </c>
      <c r="M494" s="59"/>
      <c r="N494" s="69">
        <v>1282.32</v>
      </c>
      <c r="O494" s="70">
        <f>SUMIF(Facebook!A:A,'Compilado 2023'!B:B,Facebook!B:B)</f>
        <v>238.1</v>
      </c>
      <c r="P494" s="70">
        <v>0</v>
      </c>
      <c r="Q494" s="70">
        <v>51.612903225806448</v>
      </c>
      <c r="R494" s="202">
        <f>IFERROR(VLOOKUP($B:$B,Tabela_Linkedin[],2,),0)</f>
        <v>57.88</v>
      </c>
      <c r="S494" s="70">
        <f>SUMIF(TikTok!A:A,'Compilado 2023'!B:B,TikTok!B:B)</f>
        <v>0</v>
      </c>
      <c r="T494" s="70">
        <v>0</v>
      </c>
      <c r="U494" s="71">
        <v>0</v>
      </c>
      <c r="V494" s="59"/>
      <c r="W494" s="70">
        <v>0</v>
      </c>
      <c r="X494" s="70">
        <v>0</v>
      </c>
      <c r="Y494" s="70">
        <v>0</v>
      </c>
      <c r="Z494" s="38"/>
      <c r="AA494" s="40"/>
    </row>
    <row r="495" spans="1:27" s="2" customFormat="1" x14ac:dyDescent="0.2">
      <c r="A495" s="16" t="s">
        <v>96</v>
      </c>
      <c r="B495" s="17">
        <v>45054</v>
      </c>
      <c r="C495" s="19">
        <v>229192.53999999998</v>
      </c>
      <c r="D495" s="52">
        <v>229170.33</v>
      </c>
      <c r="E495" s="52">
        <v>22.21</v>
      </c>
      <c r="F495" s="157">
        <v>664</v>
      </c>
      <c r="G495" s="157">
        <v>963</v>
      </c>
      <c r="H495" s="35">
        <v>345.16948795180718</v>
      </c>
      <c r="I495" s="19">
        <v>721.96290322580649</v>
      </c>
      <c r="J495" s="111">
        <v>317.45750228431893</v>
      </c>
      <c r="K495" s="53">
        <v>0</v>
      </c>
      <c r="L495" s="54">
        <v>0</v>
      </c>
      <c r="M495" s="59"/>
      <c r="N495" s="69">
        <v>2356.86</v>
      </c>
      <c r="O495" s="70">
        <f>SUMIF(Facebook!A:A,'Compilado 2023'!B:B,Facebook!B:B)</f>
        <v>322.42</v>
      </c>
      <c r="P495" s="70">
        <v>0</v>
      </c>
      <c r="Q495" s="70">
        <v>51.612903225806448</v>
      </c>
      <c r="R495" s="202">
        <f>IFERROR(VLOOKUP($B:$B,Tabela_Linkedin[],2,),0)</f>
        <v>25.51</v>
      </c>
      <c r="S495" s="70">
        <f>SUMIF(TikTok!A:A,'Compilado 2023'!B:B,TikTok!B:B)</f>
        <v>0</v>
      </c>
      <c r="T495" s="70">
        <v>0</v>
      </c>
      <c r="U495" s="71">
        <v>0</v>
      </c>
      <c r="V495" s="59"/>
      <c r="W495" s="70">
        <v>0</v>
      </c>
      <c r="X495" s="70">
        <v>0</v>
      </c>
      <c r="Y495" s="70">
        <v>0</v>
      </c>
      <c r="Z495" s="38"/>
      <c r="AA495" s="40"/>
    </row>
    <row r="496" spans="1:27" s="2" customFormat="1" x14ac:dyDescent="0.2">
      <c r="A496" s="16" t="s">
        <v>97</v>
      </c>
      <c r="B496" s="17">
        <v>45055</v>
      </c>
      <c r="C496" s="19">
        <v>242645.95</v>
      </c>
      <c r="D496" s="52">
        <v>242645.95</v>
      </c>
      <c r="E496" s="52">
        <v>0</v>
      </c>
      <c r="F496" s="157">
        <v>753</v>
      </c>
      <c r="G496" s="157">
        <v>990</v>
      </c>
      <c r="H496" s="35">
        <v>322.2389774236388</v>
      </c>
      <c r="I496" s="19">
        <v>813.30290322580652</v>
      </c>
      <c r="J496" s="111">
        <v>298.34634677632704</v>
      </c>
      <c r="K496" s="53">
        <v>0</v>
      </c>
      <c r="L496" s="54">
        <v>0</v>
      </c>
      <c r="M496" s="59"/>
      <c r="N496" s="69">
        <v>2350.35</v>
      </c>
      <c r="O496" s="70">
        <f>SUMIF(Facebook!A:A,'Compilado 2023'!B:B,Facebook!B:B)</f>
        <v>365.06</v>
      </c>
      <c r="P496" s="70">
        <v>0</v>
      </c>
      <c r="Q496" s="70">
        <v>51.612903225806448</v>
      </c>
      <c r="R496" s="202">
        <f>IFERROR(VLOOKUP($B:$B,Tabela_Linkedin[],2,),0)</f>
        <v>31.57</v>
      </c>
      <c r="S496" s="70">
        <f>SUMIF(TikTok!A:A,'Compilado 2023'!B:B,TikTok!B:B)</f>
        <v>0</v>
      </c>
      <c r="T496" s="70">
        <v>0</v>
      </c>
      <c r="U496" s="71">
        <v>0</v>
      </c>
      <c r="V496" s="59"/>
      <c r="W496" s="70">
        <v>0</v>
      </c>
      <c r="X496" s="70">
        <v>0</v>
      </c>
      <c r="Y496" s="70">
        <v>0</v>
      </c>
      <c r="Z496" s="38"/>
      <c r="AA496" s="40"/>
    </row>
    <row r="497" spans="1:27" s="2" customFormat="1" x14ac:dyDescent="0.2">
      <c r="A497" s="16" t="s">
        <v>98</v>
      </c>
      <c r="B497" s="17">
        <v>45056</v>
      </c>
      <c r="C497" s="19">
        <v>299456.12</v>
      </c>
      <c r="D497" s="52">
        <v>299456.12</v>
      </c>
      <c r="E497" s="52">
        <v>0</v>
      </c>
      <c r="F497" s="157">
        <v>875</v>
      </c>
      <c r="G497" s="157">
        <v>1191</v>
      </c>
      <c r="H497" s="35">
        <v>342.23556571428571</v>
      </c>
      <c r="I497" s="19">
        <v>937.64290322580655</v>
      </c>
      <c r="J497" s="111">
        <v>319.37117955009347</v>
      </c>
      <c r="K497" s="53">
        <v>0</v>
      </c>
      <c r="L497" s="54">
        <v>0</v>
      </c>
      <c r="M497" s="59"/>
      <c r="N497" s="69">
        <v>3269.82</v>
      </c>
      <c r="O497" s="70">
        <f>SUMIF(Facebook!A:A,'Compilado 2023'!B:B,Facebook!B:B)</f>
        <v>429.85</v>
      </c>
      <c r="P497" s="70">
        <v>0</v>
      </c>
      <c r="Q497" s="70">
        <v>51.612903225806448</v>
      </c>
      <c r="R497" s="202">
        <f>IFERROR(VLOOKUP($B:$B,Tabela_Linkedin[],2,),0)</f>
        <v>26.33</v>
      </c>
      <c r="S497" s="70">
        <f>SUMIF(TikTok!A:A,'Compilado 2023'!B:B,TikTok!B:B)</f>
        <v>0</v>
      </c>
      <c r="T497" s="70">
        <v>0</v>
      </c>
      <c r="U497" s="71">
        <v>0</v>
      </c>
      <c r="V497" s="59"/>
      <c r="W497" s="70">
        <v>0</v>
      </c>
      <c r="X497" s="70">
        <v>0</v>
      </c>
      <c r="Y497" s="70">
        <v>0</v>
      </c>
      <c r="Z497" s="38"/>
      <c r="AA497" s="40" t="s">
        <v>114</v>
      </c>
    </row>
    <row r="498" spans="1:27" s="2" customFormat="1" x14ac:dyDescent="0.2">
      <c r="A498" s="16" t="s">
        <v>99</v>
      </c>
      <c r="B498" s="17">
        <v>45057</v>
      </c>
      <c r="C498" s="19">
        <v>305603.63</v>
      </c>
      <c r="D498" s="52">
        <v>305603.63</v>
      </c>
      <c r="E498" s="52">
        <v>0</v>
      </c>
      <c r="F498" s="157">
        <v>909</v>
      </c>
      <c r="G498" s="157">
        <v>1282</v>
      </c>
      <c r="H498" s="35">
        <v>336.1976127612761</v>
      </c>
      <c r="I498" s="19">
        <v>1031.6329032258066</v>
      </c>
      <c r="J498" s="111">
        <v>296.23292262626552</v>
      </c>
      <c r="K498" s="53">
        <v>0</v>
      </c>
      <c r="L498" s="54">
        <v>0</v>
      </c>
      <c r="M498" s="59"/>
      <c r="N498" s="69">
        <v>4506.1000000000004</v>
      </c>
      <c r="O498" s="70">
        <f>SUMIF(Facebook!A:A,'Compilado 2023'!B:B,Facebook!B:B)</f>
        <v>483.97</v>
      </c>
      <c r="P498" s="70">
        <v>0</v>
      </c>
      <c r="Q498" s="70">
        <v>51.612903225806448</v>
      </c>
      <c r="R498" s="202">
        <f>IFERROR(VLOOKUP($B:$B,Tabela_Linkedin[],2,),0)</f>
        <v>12.08</v>
      </c>
      <c r="S498" s="70">
        <f>SUMIF(TikTok!A:A,'Compilado 2023'!B:B,TikTok!B:B)</f>
        <v>0</v>
      </c>
      <c r="T498" s="70">
        <v>0</v>
      </c>
      <c r="U498" s="71">
        <v>0</v>
      </c>
      <c r="V498" s="59"/>
      <c r="W498" s="70">
        <v>0</v>
      </c>
      <c r="X498" s="70">
        <v>0</v>
      </c>
      <c r="Y498" s="70">
        <v>0</v>
      </c>
      <c r="Z498" s="38"/>
      <c r="AA498" s="40" t="s">
        <v>115</v>
      </c>
    </row>
    <row r="499" spans="1:27" s="2" customFormat="1" x14ac:dyDescent="0.2">
      <c r="A499" s="16" t="s">
        <v>100</v>
      </c>
      <c r="B499" s="17">
        <v>45058</v>
      </c>
      <c r="C499" s="19">
        <v>527321.22</v>
      </c>
      <c r="D499" s="52">
        <v>527299.01</v>
      </c>
      <c r="E499" s="52">
        <v>22.21</v>
      </c>
      <c r="F499" s="157">
        <v>1596</v>
      </c>
      <c r="G499" s="157">
        <v>1998</v>
      </c>
      <c r="H499" s="35">
        <v>330.40176691729323</v>
      </c>
      <c r="I499" s="19">
        <v>1068.7029032258063</v>
      </c>
      <c r="J499" s="111">
        <v>493.42171562210331</v>
      </c>
      <c r="K499" s="53">
        <v>0</v>
      </c>
      <c r="L499" s="54">
        <v>0</v>
      </c>
      <c r="M499" s="59"/>
      <c r="N499" s="69">
        <v>2374.61</v>
      </c>
      <c r="O499" s="70">
        <f>SUMIF(Facebook!A:A,'Compilado 2023'!B:B,Facebook!B:B)</f>
        <v>489.52</v>
      </c>
      <c r="P499" s="70">
        <v>0</v>
      </c>
      <c r="Q499" s="70">
        <v>51.612903225806448</v>
      </c>
      <c r="R499" s="202">
        <f>IFERROR(VLOOKUP($B:$B,Tabela_Linkedin[],2,),0)</f>
        <v>38.049999999999997</v>
      </c>
      <c r="S499" s="70">
        <f>SUMIF(TikTok!A:A,'Compilado 2023'!B:B,TikTok!B:B)</f>
        <v>0</v>
      </c>
      <c r="T499" s="70">
        <v>0</v>
      </c>
      <c r="U499" s="71">
        <v>0</v>
      </c>
      <c r="V499" s="59"/>
      <c r="W499" s="70">
        <v>0</v>
      </c>
      <c r="X499" s="70">
        <v>0</v>
      </c>
      <c r="Y499" s="70">
        <v>0</v>
      </c>
      <c r="Z499" s="38"/>
      <c r="AA499" s="40" t="s">
        <v>116</v>
      </c>
    </row>
    <row r="500" spans="1:27" s="2" customFormat="1" x14ac:dyDescent="0.2">
      <c r="A500" s="16" t="s">
        <v>94</v>
      </c>
      <c r="B500" s="17">
        <v>45059</v>
      </c>
      <c r="C500" s="19">
        <v>570509.35</v>
      </c>
      <c r="D500" s="52">
        <v>570509.35</v>
      </c>
      <c r="E500" s="52">
        <v>0</v>
      </c>
      <c r="F500" s="157">
        <v>1824</v>
      </c>
      <c r="G500" s="157">
        <v>2038</v>
      </c>
      <c r="H500" s="35">
        <v>312.77924890350874</v>
      </c>
      <c r="I500" s="19">
        <v>1037.9929032258065</v>
      </c>
      <c r="J500" s="111">
        <v>549.62740903816234</v>
      </c>
      <c r="K500" s="53">
        <v>0</v>
      </c>
      <c r="L500" s="54">
        <v>0</v>
      </c>
      <c r="M500" s="59"/>
      <c r="N500" s="69">
        <v>5078.95</v>
      </c>
      <c r="O500" s="70">
        <f>SUMIF(Facebook!A:A,'Compilado 2023'!B:B,Facebook!B:B)</f>
        <v>491.74</v>
      </c>
      <c r="P500" s="70">
        <v>0</v>
      </c>
      <c r="Q500" s="70">
        <v>51.612903225806448</v>
      </c>
      <c r="R500" s="202">
        <f>IFERROR(VLOOKUP($B:$B,Tabela_Linkedin[],2,),0)</f>
        <v>2.9</v>
      </c>
      <c r="S500" s="70">
        <f>SUMIF(TikTok!A:A,'Compilado 2023'!B:B,TikTok!B:B)</f>
        <v>0</v>
      </c>
      <c r="T500" s="70">
        <v>0</v>
      </c>
      <c r="U500" s="71">
        <v>0</v>
      </c>
      <c r="V500" s="59"/>
      <c r="W500" s="70">
        <v>0</v>
      </c>
      <c r="X500" s="70">
        <v>0</v>
      </c>
      <c r="Y500" s="70">
        <v>0</v>
      </c>
      <c r="Z500" s="38"/>
      <c r="AA500" s="40"/>
    </row>
    <row r="501" spans="1:27" s="2" customFormat="1" x14ac:dyDescent="0.2">
      <c r="A501" s="16" t="s">
        <v>95</v>
      </c>
      <c r="B501" s="17">
        <v>45060</v>
      </c>
      <c r="C501" s="19">
        <v>513678.94</v>
      </c>
      <c r="D501" s="52">
        <v>513678.94</v>
      </c>
      <c r="E501" s="52">
        <v>0</v>
      </c>
      <c r="F501" s="157">
        <v>1648</v>
      </c>
      <c r="G501" s="157">
        <v>1893</v>
      </c>
      <c r="H501" s="35">
        <v>311.69838592233009</v>
      </c>
      <c r="I501" s="19">
        <v>391.95290322580644</v>
      </c>
      <c r="J501" s="111">
        <v>1310.5629165452729</v>
      </c>
      <c r="K501" s="53">
        <v>0</v>
      </c>
      <c r="L501" s="54">
        <v>0</v>
      </c>
      <c r="M501" s="59"/>
      <c r="N501" s="69">
        <v>3910.66</v>
      </c>
      <c r="O501" s="70">
        <f>SUMIF(Facebook!A:A,'Compilado 2023'!B:B,Facebook!B:B)</f>
        <v>170.17</v>
      </c>
      <c r="P501" s="70">
        <v>0</v>
      </c>
      <c r="Q501" s="70">
        <v>51.612903225806448</v>
      </c>
      <c r="R501" s="202">
        <f>IFERROR(VLOOKUP($B:$B,Tabela_Linkedin[],2,),0)</f>
        <v>0</v>
      </c>
      <c r="S501" s="70">
        <f>SUMIF(TikTok!A:A,'Compilado 2023'!B:B,TikTok!B:B)</f>
        <v>0</v>
      </c>
      <c r="T501" s="70">
        <v>0</v>
      </c>
      <c r="U501" s="71">
        <v>0</v>
      </c>
      <c r="V501" s="59"/>
      <c r="W501" s="70">
        <v>0</v>
      </c>
      <c r="X501" s="70">
        <v>0</v>
      </c>
      <c r="Y501" s="70">
        <v>0</v>
      </c>
      <c r="Z501" s="38"/>
      <c r="AA501" s="40" t="s">
        <v>117</v>
      </c>
    </row>
    <row r="502" spans="1:27" s="2" customFormat="1" x14ac:dyDescent="0.2">
      <c r="A502" s="16" t="s">
        <v>96</v>
      </c>
      <c r="B502" s="17">
        <v>45061</v>
      </c>
      <c r="C502" s="19">
        <v>157142.85999999999</v>
      </c>
      <c r="D502" s="52">
        <v>157142.85999999999</v>
      </c>
      <c r="E502" s="52">
        <v>0</v>
      </c>
      <c r="F502" s="157">
        <v>653</v>
      </c>
      <c r="G502" s="157">
        <v>948</v>
      </c>
      <c r="H502" s="35">
        <v>240.64756508422661</v>
      </c>
      <c r="I502" s="19">
        <v>1098.1529032258063</v>
      </c>
      <c r="J502" s="111">
        <v>143.09743164034387</v>
      </c>
      <c r="K502" s="53">
        <v>8833</v>
      </c>
      <c r="L502" s="54">
        <v>7.3927318012000448E-2</v>
      </c>
      <c r="M502" s="59"/>
      <c r="N502" s="69">
        <v>720.2</v>
      </c>
      <c r="O502" s="70">
        <f>SUMIF(Facebook!A:A,'Compilado 2023'!B:B,Facebook!B:B)</f>
        <v>197.7</v>
      </c>
      <c r="P502" s="70">
        <v>0</v>
      </c>
      <c r="Q502" s="70">
        <v>51.612903225806448</v>
      </c>
      <c r="R502" s="202">
        <f>IFERROR(VLOOKUP($B:$B,Tabela_Linkedin[],2,),0)</f>
        <v>2.76</v>
      </c>
      <c r="S502" s="70">
        <f>SUMIF(TikTok!A:A,'Compilado 2023'!B:B,TikTok!B:B)</f>
        <v>0</v>
      </c>
      <c r="T502" s="70">
        <v>0</v>
      </c>
      <c r="U502" s="71">
        <v>0</v>
      </c>
      <c r="V502" s="59"/>
      <c r="W502" s="70">
        <v>0</v>
      </c>
      <c r="X502" s="70">
        <v>0</v>
      </c>
      <c r="Y502" s="70">
        <v>0</v>
      </c>
      <c r="Z502" s="38"/>
      <c r="AA502" s="40" t="s">
        <v>118</v>
      </c>
    </row>
    <row r="503" spans="1:27" s="2" customFormat="1" x14ac:dyDescent="0.2">
      <c r="A503" s="16" t="s">
        <v>97</v>
      </c>
      <c r="B503" s="17">
        <v>45062</v>
      </c>
      <c r="C503" s="19">
        <v>129970.04</v>
      </c>
      <c r="D503" s="52">
        <v>129970.04</v>
      </c>
      <c r="E503" s="52">
        <v>0</v>
      </c>
      <c r="F503" s="157">
        <v>619</v>
      </c>
      <c r="G503" s="157">
        <v>872</v>
      </c>
      <c r="H503" s="35">
        <v>209.96775444264944</v>
      </c>
      <c r="I503" s="19">
        <v>1259.4629032258065</v>
      </c>
      <c r="J503" s="111">
        <v>103.19481396960045</v>
      </c>
      <c r="K503" s="53">
        <v>7942</v>
      </c>
      <c r="L503" s="54">
        <v>7.7940065474691511E-2</v>
      </c>
      <c r="M503" s="59"/>
      <c r="N503" s="69">
        <v>680.41</v>
      </c>
      <c r="O503" s="70">
        <f>SUMIF(Facebook!A:A,'Compilado 2023'!B:B,Facebook!B:B)</f>
        <v>287.60000000000002</v>
      </c>
      <c r="P503" s="70">
        <v>0</v>
      </c>
      <c r="Q503" s="70">
        <v>51.612903225806448</v>
      </c>
      <c r="R503" s="202">
        <f>IFERROR(VLOOKUP($B:$B,Tabela_Linkedin[],2,),0)</f>
        <v>1.26</v>
      </c>
      <c r="S503" s="70">
        <f>SUMIF(TikTok!A:A,'Compilado 2023'!B:B,TikTok!B:B)</f>
        <v>0</v>
      </c>
      <c r="T503" s="70">
        <v>0</v>
      </c>
      <c r="U503" s="71">
        <v>0</v>
      </c>
      <c r="V503" s="59"/>
      <c r="W503" s="70">
        <v>0</v>
      </c>
      <c r="X503" s="70">
        <v>0</v>
      </c>
      <c r="Y503" s="70">
        <v>0</v>
      </c>
      <c r="Z503" s="38"/>
      <c r="AA503" s="40"/>
    </row>
    <row r="504" spans="1:27" s="2" customFormat="1" x14ac:dyDescent="0.2">
      <c r="A504" s="16" t="s">
        <v>98</v>
      </c>
      <c r="B504" s="17">
        <v>45063</v>
      </c>
      <c r="C504" s="19">
        <v>82948.320000000007</v>
      </c>
      <c r="D504" s="52">
        <v>82948.320000000007</v>
      </c>
      <c r="E504" s="52">
        <v>0</v>
      </c>
      <c r="F504" s="157">
        <v>333</v>
      </c>
      <c r="G504" s="157">
        <v>412</v>
      </c>
      <c r="H504" s="35">
        <v>249.09405405405408</v>
      </c>
      <c r="I504" s="19">
        <v>985.58290322580638</v>
      </c>
      <c r="J504" s="111">
        <v>84.16168718888153</v>
      </c>
      <c r="K504" s="53">
        <v>6354</v>
      </c>
      <c r="L504" s="54">
        <v>5.2407932011331447E-2</v>
      </c>
      <c r="M504" s="59"/>
      <c r="N504" s="69">
        <v>632.01</v>
      </c>
      <c r="O504" s="70">
        <f>SUMIF(Facebook!A:A,'Compilado 2023'!B:B,Facebook!B:B)</f>
        <v>168.73</v>
      </c>
      <c r="P504" s="70">
        <v>0</v>
      </c>
      <c r="Q504" s="70">
        <v>51.612903225806448</v>
      </c>
      <c r="R504" s="202">
        <f>IFERROR(VLOOKUP($B:$B,Tabela_Linkedin[],2,),0)</f>
        <v>3.34</v>
      </c>
      <c r="S504" s="70">
        <f>SUMIF(TikTok!A:A,'Compilado 2023'!B:B,TikTok!B:B)</f>
        <v>0</v>
      </c>
      <c r="T504" s="70">
        <v>0</v>
      </c>
      <c r="U504" s="71">
        <v>0</v>
      </c>
      <c r="V504" s="59"/>
      <c r="W504" s="70">
        <v>0</v>
      </c>
      <c r="X504" s="70">
        <v>0</v>
      </c>
      <c r="Y504" s="70">
        <v>0</v>
      </c>
      <c r="Z504" s="38"/>
      <c r="AA504" s="40" t="s">
        <v>119</v>
      </c>
    </row>
    <row r="505" spans="1:27" s="2" customFormat="1" x14ac:dyDescent="0.2">
      <c r="A505" s="16" t="s">
        <v>99</v>
      </c>
      <c r="B505" s="17">
        <v>45064</v>
      </c>
      <c r="C505" s="19">
        <v>56528.28</v>
      </c>
      <c r="D505" s="52">
        <v>56505.78</v>
      </c>
      <c r="E505" s="52">
        <v>22.5</v>
      </c>
      <c r="F505" s="157">
        <v>213</v>
      </c>
      <c r="G505" s="157">
        <v>239</v>
      </c>
      <c r="H505" s="35">
        <v>265.39098591549293</v>
      </c>
      <c r="I505" s="19">
        <v>849.10290322580647</v>
      </c>
      <c r="J505" s="111">
        <v>66.574121682124471</v>
      </c>
      <c r="K505" s="53">
        <v>5749</v>
      </c>
      <c r="L505" s="54">
        <v>3.7049921725517479E-2</v>
      </c>
      <c r="M505" s="59"/>
      <c r="N505" s="69">
        <v>426.97</v>
      </c>
      <c r="O505" s="70">
        <f>SUMIF(Facebook!A:A,'Compilado 2023'!B:B,Facebook!B:B)</f>
        <v>194.51</v>
      </c>
      <c r="P505" s="70">
        <v>0</v>
      </c>
      <c r="Q505" s="70">
        <v>51.612903225806448</v>
      </c>
      <c r="R505" s="202">
        <f>IFERROR(VLOOKUP($B:$B,Tabela_Linkedin[],2,),0)</f>
        <v>1.45</v>
      </c>
      <c r="S505" s="70">
        <f>SUMIF(TikTok!A:A,'Compilado 2023'!B:B,TikTok!B:B)</f>
        <v>0</v>
      </c>
      <c r="T505" s="70">
        <v>0</v>
      </c>
      <c r="U505" s="71">
        <v>0</v>
      </c>
      <c r="V505" s="59"/>
      <c r="W505" s="70">
        <v>0</v>
      </c>
      <c r="X505" s="70">
        <v>0</v>
      </c>
      <c r="Y505" s="70">
        <v>0</v>
      </c>
      <c r="Z505" s="38"/>
      <c r="AA505" s="40"/>
    </row>
    <row r="506" spans="1:27" s="2" customFormat="1" x14ac:dyDescent="0.2">
      <c r="A506" s="16" t="s">
        <v>100</v>
      </c>
      <c r="B506" s="17">
        <v>45065</v>
      </c>
      <c r="C506" s="19">
        <v>80530.759999999995</v>
      </c>
      <c r="D506" s="52">
        <v>80530.759999999995</v>
      </c>
      <c r="E506" s="52">
        <v>0</v>
      </c>
      <c r="F506" s="157">
        <v>241</v>
      </c>
      <c r="G506" s="157">
        <v>306</v>
      </c>
      <c r="H506" s="35">
        <v>334.1525311203319</v>
      </c>
      <c r="I506" s="19">
        <v>603.5529032258064</v>
      </c>
      <c r="J506" s="111">
        <v>133.42783966341247</v>
      </c>
      <c r="K506" s="53">
        <v>5291</v>
      </c>
      <c r="L506" s="54">
        <v>4.5549045549045548E-2</v>
      </c>
      <c r="M506" s="59"/>
      <c r="N506" s="69">
        <v>361.34</v>
      </c>
      <c r="O506" s="70">
        <f>SUMIF(Facebook!A:A,'Compilado 2023'!B:B,Facebook!B:B)</f>
        <v>96.03</v>
      </c>
      <c r="P506" s="70">
        <v>0</v>
      </c>
      <c r="Q506" s="70">
        <v>51.612903225806448</v>
      </c>
      <c r="R506" s="202">
        <f>IFERROR(VLOOKUP($B:$B,Tabela_Linkedin[],2,),0)</f>
        <v>1.43</v>
      </c>
      <c r="S506" s="70">
        <f>SUMIF(TikTok!A:A,'Compilado 2023'!B:B,TikTok!B:B)</f>
        <v>0</v>
      </c>
      <c r="T506" s="70">
        <v>0</v>
      </c>
      <c r="U506" s="71">
        <v>0</v>
      </c>
      <c r="V506" s="59"/>
      <c r="W506" s="70">
        <v>0</v>
      </c>
      <c r="X506" s="70">
        <v>0</v>
      </c>
      <c r="Y506" s="70">
        <v>0</v>
      </c>
      <c r="Z506" s="38"/>
      <c r="AA506" s="40" t="s">
        <v>120</v>
      </c>
    </row>
    <row r="507" spans="1:27" s="2" customFormat="1" x14ac:dyDescent="0.2">
      <c r="A507" s="16" t="s">
        <v>94</v>
      </c>
      <c r="B507" s="17">
        <v>45066</v>
      </c>
      <c r="C507" s="19">
        <v>39327.93</v>
      </c>
      <c r="D507" s="52">
        <v>39327.93</v>
      </c>
      <c r="E507" s="52">
        <v>0</v>
      </c>
      <c r="F507" s="157">
        <v>161</v>
      </c>
      <c r="G507" s="157">
        <v>168</v>
      </c>
      <c r="H507" s="35">
        <v>244.27285714285713</v>
      </c>
      <c r="I507" s="19">
        <v>623.62290322580645</v>
      </c>
      <c r="J507" s="111">
        <v>63.063639575405112</v>
      </c>
      <c r="K507" s="53">
        <v>3979</v>
      </c>
      <c r="L507" s="54">
        <v>4.046242774566474E-2</v>
      </c>
      <c r="M507" s="59"/>
      <c r="N507" s="69">
        <v>372.43</v>
      </c>
      <c r="O507" s="70">
        <f>SUMIF(Facebook!A:A,'Compilado 2023'!B:B,Facebook!B:B)</f>
        <v>104.64</v>
      </c>
      <c r="P507" s="70">
        <v>0</v>
      </c>
      <c r="Q507" s="70">
        <v>51.612903225806448</v>
      </c>
      <c r="R507" s="202">
        <f>IFERROR(VLOOKUP($B:$B,Tabela_Linkedin[],2,),0)</f>
        <v>1.43</v>
      </c>
      <c r="S507" s="70">
        <f>SUMIF(TikTok!A:A,'Compilado 2023'!B:B,TikTok!B:B)</f>
        <v>0</v>
      </c>
      <c r="T507" s="70">
        <v>0</v>
      </c>
      <c r="U507" s="71">
        <v>0</v>
      </c>
      <c r="V507" s="59"/>
      <c r="W507" s="70">
        <v>0</v>
      </c>
      <c r="X507" s="70">
        <v>0</v>
      </c>
      <c r="Y507" s="70">
        <v>0</v>
      </c>
      <c r="Z507" s="38"/>
      <c r="AA507" s="40"/>
    </row>
    <row r="508" spans="1:27" s="2" customFormat="1" x14ac:dyDescent="0.2">
      <c r="A508" s="16" t="s">
        <v>95</v>
      </c>
      <c r="B508" s="17">
        <v>45067</v>
      </c>
      <c r="C508" s="19">
        <v>32806.550000000003</v>
      </c>
      <c r="D508" s="52">
        <v>32806.550000000003</v>
      </c>
      <c r="E508" s="52">
        <v>0</v>
      </c>
      <c r="F508" s="157">
        <v>119</v>
      </c>
      <c r="G508" s="157">
        <v>136</v>
      </c>
      <c r="H508" s="35">
        <v>275.68529411764706</v>
      </c>
      <c r="I508" s="19">
        <v>541.36290322580646</v>
      </c>
      <c r="J508" s="111">
        <v>60.599922537204492</v>
      </c>
      <c r="K508" s="53">
        <v>3383</v>
      </c>
      <c r="L508" s="54">
        <v>3.5175879396984924E-2</v>
      </c>
      <c r="M508" s="59"/>
      <c r="N508" s="69">
        <v>297.41000000000003</v>
      </c>
      <c r="O508" s="70">
        <f>SUMIF(Facebook!A:A,'Compilado 2023'!B:B,Facebook!B:B)</f>
        <v>101.63</v>
      </c>
      <c r="P508" s="70">
        <v>0</v>
      </c>
      <c r="Q508" s="70">
        <v>51.612903225806448</v>
      </c>
      <c r="R508" s="202">
        <f>IFERROR(VLOOKUP($B:$B,Tabela_Linkedin[],2,),0)</f>
        <v>2.61</v>
      </c>
      <c r="S508" s="70">
        <f>SUMIF(TikTok!A:A,'Compilado 2023'!B:B,TikTok!B:B)</f>
        <v>0</v>
      </c>
      <c r="T508" s="70">
        <v>0</v>
      </c>
      <c r="U508" s="71">
        <v>0</v>
      </c>
      <c r="V508" s="59"/>
      <c r="W508" s="70">
        <v>0</v>
      </c>
      <c r="X508" s="70">
        <v>0</v>
      </c>
      <c r="Y508" s="70">
        <v>0</v>
      </c>
      <c r="Z508" s="38"/>
      <c r="AA508" s="40"/>
    </row>
    <row r="509" spans="1:27" s="2" customFormat="1" x14ac:dyDescent="0.2">
      <c r="A509" s="16" t="s">
        <v>96</v>
      </c>
      <c r="B509" s="17">
        <v>45068</v>
      </c>
      <c r="C509" s="19">
        <v>73944.570000000007</v>
      </c>
      <c r="D509" s="52">
        <v>73944.570000000007</v>
      </c>
      <c r="E509" s="52">
        <v>0</v>
      </c>
      <c r="F509" s="157">
        <v>230</v>
      </c>
      <c r="G509" s="157">
        <v>273</v>
      </c>
      <c r="H509" s="35">
        <v>321.49813043478264</v>
      </c>
      <c r="I509" s="19">
        <v>624.65290322580643</v>
      </c>
      <c r="J509" s="111">
        <v>118.37705326932533</v>
      </c>
      <c r="K509" s="53">
        <v>5743</v>
      </c>
      <c r="L509" s="54">
        <v>4.0048755006094373E-2</v>
      </c>
      <c r="M509" s="59"/>
      <c r="N509" s="69">
        <v>346.89</v>
      </c>
      <c r="O509" s="70">
        <f>SUMIF(Facebook!A:A,'Compilado 2023'!B:B,Facebook!B:B)</f>
        <v>119.32</v>
      </c>
      <c r="P509" s="70">
        <v>0</v>
      </c>
      <c r="Q509" s="70">
        <v>51.612903225806448</v>
      </c>
      <c r="R509" s="202">
        <f>IFERROR(VLOOKUP($B:$B,Tabela_Linkedin[],2,),0)</f>
        <v>0</v>
      </c>
      <c r="S509" s="70">
        <f>SUMIF(TikTok!A:A,'Compilado 2023'!B:B,TikTok!B:B)</f>
        <v>0</v>
      </c>
      <c r="T509" s="70">
        <v>0</v>
      </c>
      <c r="U509" s="71">
        <v>0</v>
      </c>
      <c r="V509" s="59"/>
      <c r="W509" s="70">
        <v>0</v>
      </c>
      <c r="X509" s="70">
        <v>0</v>
      </c>
      <c r="Y509" s="70">
        <v>0</v>
      </c>
      <c r="Z509" s="38"/>
      <c r="AA509" s="40" t="s">
        <v>121</v>
      </c>
    </row>
    <row r="510" spans="1:27" s="2" customFormat="1" x14ac:dyDescent="0.2">
      <c r="A510" s="16" t="s">
        <v>97</v>
      </c>
      <c r="B510" s="17">
        <v>45069</v>
      </c>
      <c r="C510" s="19">
        <v>64301.17</v>
      </c>
      <c r="D510" s="52">
        <v>64277.84</v>
      </c>
      <c r="E510" s="52">
        <v>23.33</v>
      </c>
      <c r="F510" s="157">
        <v>219</v>
      </c>
      <c r="G510" s="157">
        <v>264</v>
      </c>
      <c r="H510" s="35">
        <v>293.61264840182645</v>
      </c>
      <c r="I510" s="19">
        <v>734.65290322580643</v>
      </c>
      <c r="J510" s="111">
        <v>87.525918318240258</v>
      </c>
      <c r="K510" s="53">
        <v>6136</v>
      </c>
      <c r="L510" s="54">
        <v>3.5691003911342896E-2</v>
      </c>
      <c r="M510" s="59"/>
      <c r="N510" s="69">
        <v>414.94</v>
      </c>
      <c r="O510" s="70">
        <f>SUMIF(Facebook!A:A,'Compilado 2023'!B:B,Facebook!B:B)</f>
        <v>137.79</v>
      </c>
      <c r="P510" s="70">
        <v>0</v>
      </c>
      <c r="Q510" s="70">
        <v>51.612903225806448</v>
      </c>
      <c r="R510" s="202">
        <f>IFERROR(VLOOKUP($B:$B,Tabela_Linkedin[],2,),0)</f>
        <v>1.1200000000000001</v>
      </c>
      <c r="S510" s="70">
        <f>SUMIF(TikTok!A:A,'Compilado 2023'!B:B,TikTok!B:B)</f>
        <v>0</v>
      </c>
      <c r="T510" s="70">
        <v>0</v>
      </c>
      <c r="U510" s="71">
        <v>0</v>
      </c>
      <c r="V510" s="59"/>
      <c r="W510" s="70">
        <v>0</v>
      </c>
      <c r="X510" s="70">
        <v>0</v>
      </c>
      <c r="Y510" s="70">
        <v>0</v>
      </c>
      <c r="Z510" s="38"/>
      <c r="AA510" s="40"/>
    </row>
    <row r="511" spans="1:27" s="2" customFormat="1" x14ac:dyDescent="0.2">
      <c r="A511" s="16" t="s">
        <v>98</v>
      </c>
      <c r="B511" s="17">
        <v>45070</v>
      </c>
      <c r="C511" s="19">
        <v>63601.87</v>
      </c>
      <c r="D511" s="52">
        <v>63557.29</v>
      </c>
      <c r="E511" s="52">
        <v>44.58</v>
      </c>
      <c r="F511" s="157">
        <v>246</v>
      </c>
      <c r="G511" s="157">
        <v>303</v>
      </c>
      <c r="H511" s="35">
        <v>258.54418699186994</v>
      </c>
      <c r="I511" s="19">
        <v>867.02290322580643</v>
      </c>
      <c r="J511" s="111">
        <v>73.356620411485949</v>
      </c>
      <c r="K511" s="53">
        <v>6345</v>
      </c>
      <c r="L511" s="54">
        <v>3.8770685579196218E-2</v>
      </c>
      <c r="M511" s="59"/>
      <c r="N511" s="69">
        <v>439.74</v>
      </c>
      <c r="O511" s="70">
        <f>SUMIF(Facebook!A:A,'Compilado 2023'!B:B,Facebook!B:B)</f>
        <v>190.57</v>
      </c>
      <c r="P511" s="70">
        <v>0</v>
      </c>
      <c r="Q511" s="70">
        <v>51.612903225806448</v>
      </c>
      <c r="R511" s="202">
        <f>IFERROR(VLOOKUP($B:$B,Tabela_Linkedin[],2,),0)</f>
        <v>6.58</v>
      </c>
      <c r="S511" s="70">
        <f>SUMIF(TikTok!A:A,'Compilado 2023'!B:B,TikTok!B:B)</f>
        <v>0</v>
      </c>
      <c r="T511" s="70">
        <v>0</v>
      </c>
      <c r="U511" s="71">
        <v>0</v>
      </c>
      <c r="V511" s="59"/>
      <c r="W511" s="70">
        <v>0</v>
      </c>
      <c r="X511" s="70">
        <v>0</v>
      </c>
      <c r="Y511" s="70">
        <v>0</v>
      </c>
      <c r="Z511" s="38"/>
      <c r="AA511" s="40" t="s">
        <v>122</v>
      </c>
    </row>
    <row r="512" spans="1:27" s="2" customFormat="1" x14ac:dyDescent="0.2">
      <c r="A512" s="16" t="s">
        <v>99</v>
      </c>
      <c r="B512" s="17">
        <v>45071</v>
      </c>
      <c r="C512" s="19">
        <v>76398.84</v>
      </c>
      <c r="D512" s="52">
        <v>76398.84</v>
      </c>
      <c r="E512" s="52">
        <v>0</v>
      </c>
      <c r="F512" s="157">
        <v>273</v>
      </c>
      <c r="G512" s="157">
        <v>391</v>
      </c>
      <c r="H512" s="35">
        <v>279.84923076923076</v>
      </c>
      <c r="I512" s="19">
        <v>992.92290322580641</v>
      </c>
      <c r="J512" s="111">
        <v>76.943375716075806</v>
      </c>
      <c r="K512" s="53">
        <v>6574</v>
      </c>
      <c r="L512" s="54">
        <v>4.1527228475813811E-2</v>
      </c>
      <c r="M512" s="59"/>
      <c r="N512" s="69">
        <v>483.56</v>
      </c>
      <c r="O512" s="70">
        <f>SUMIF(Facebook!A:A,'Compilado 2023'!B:B,Facebook!B:B)</f>
        <v>234.83</v>
      </c>
      <c r="P512" s="70">
        <v>0</v>
      </c>
      <c r="Q512" s="70">
        <v>51.612903225806448</v>
      </c>
      <c r="R512" s="202">
        <f>IFERROR(VLOOKUP($B:$B,Tabela_Linkedin[],2,),0)</f>
        <v>1.01</v>
      </c>
      <c r="S512" s="70">
        <f>SUMIF(TikTok!A:A,'Compilado 2023'!B:B,TikTok!B:B)</f>
        <v>0</v>
      </c>
      <c r="T512" s="70">
        <v>0</v>
      </c>
      <c r="U512" s="71">
        <v>0</v>
      </c>
      <c r="V512" s="59"/>
      <c r="W512" s="70">
        <v>0</v>
      </c>
      <c r="X512" s="70">
        <v>0</v>
      </c>
      <c r="Y512" s="70">
        <v>0</v>
      </c>
      <c r="Z512" s="38"/>
      <c r="AA512" s="40" t="s">
        <v>123</v>
      </c>
    </row>
    <row r="513" spans="1:27" s="2" customFormat="1" x14ac:dyDescent="0.2">
      <c r="A513" s="16" t="s">
        <v>100</v>
      </c>
      <c r="B513" s="17">
        <v>45072</v>
      </c>
      <c r="C513" s="19">
        <v>77451</v>
      </c>
      <c r="D513" s="52">
        <v>77451</v>
      </c>
      <c r="E513" s="52">
        <v>0</v>
      </c>
      <c r="F513" s="157">
        <v>291</v>
      </c>
      <c r="G513" s="157">
        <v>345</v>
      </c>
      <c r="H513" s="35">
        <v>266.15463917525773</v>
      </c>
      <c r="I513" s="19">
        <v>870.98290322580647</v>
      </c>
      <c r="J513" s="111">
        <v>88.92367429159566</v>
      </c>
      <c r="K513" s="53">
        <v>6805</v>
      </c>
      <c r="L513" s="54">
        <v>4.276267450404115E-2</v>
      </c>
      <c r="M513" s="59"/>
      <c r="N513" s="69">
        <v>367.61</v>
      </c>
      <c r="O513" s="70">
        <f>SUMIF(Facebook!A:A,'Compilado 2023'!B:B,Facebook!B:B)</f>
        <v>230.14</v>
      </c>
      <c r="P513" s="70">
        <v>0</v>
      </c>
      <c r="Q513" s="70">
        <v>51.612903225806448</v>
      </c>
      <c r="R513" s="202">
        <f>IFERROR(VLOOKUP($B:$B,Tabela_Linkedin[],2,),0)</f>
        <v>1.1100000000000001</v>
      </c>
      <c r="S513" s="70">
        <f>SUMIF(TikTok!A:A,'Compilado 2023'!B:B,TikTok!B:B)</f>
        <v>0</v>
      </c>
      <c r="T513" s="70">
        <v>0</v>
      </c>
      <c r="U513" s="71">
        <v>0</v>
      </c>
      <c r="V513" s="59"/>
      <c r="W513" s="70">
        <v>0</v>
      </c>
      <c r="X513" s="70">
        <v>0</v>
      </c>
      <c r="Y513" s="70">
        <v>0</v>
      </c>
      <c r="Z513" s="38"/>
      <c r="AA513" s="40"/>
    </row>
    <row r="514" spans="1:27" s="2" customFormat="1" x14ac:dyDescent="0.2">
      <c r="A514" s="16" t="s">
        <v>94</v>
      </c>
      <c r="B514" s="17">
        <v>45073</v>
      </c>
      <c r="C514" s="19">
        <v>55588.34</v>
      </c>
      <c r="D514" s="52">
        <v>55449.1</v>
      </c>
      <c r="E514" s="52">
        <v>139.24</v>
      </c>
      <c r="F514" s="157">
        <v>207</v>
      </c>
      <c r="G514" s="157">
        <v>248</v>
      </c>
      <c r="H514" s="35">
        <v>268.54270531400965</v>
      </c>
      <c r="I514" s="19">
        <v>865.9329032258064</v>
      </c>
      <c r="J514" s="111">
        <v>64.194742794644</v>
      </c>
      <c r="K514" s="53">
        <v>4432</v>
      </c>
      <c r="L514" s="54">
        <v>4.6705776173285196E-2</v>
      </c>
      <c r="M514" s="59"/>
      <c r="N514" s="69">
        <v>365.87</v>
      </c>
      <c r="O514" s="70">
        <f>SUMIF(Facebook!A:A,'Compilado 2023'!B:B,Facebook!B:B)</f>
        <v>229.64</v>
      </c>
      <c r="P514" s="70">
        <v>0</v>
      </c>
      <c r="Q514" s="70">
        <v>51.612903225806448</v>
      </c>
      <c r="R514" s="202">
        <f>IFERROR(VLOOKUP($B:$B,Tabela_Linkedin[],2,),0)</f>
        <v>0</v>
      </c>
      <c r="S514" s="70">
        <f>SUMIF(TikTok!A:A,'Compilado 2023'!B:B,TikTok!B:B)</f>
        <v>0</v>
      </c>
      <c r="T514" s="70">
        <v>0</v>
      </c>
      <c r="U514" s="71">
        <v>0</v>
      </c>
      <c r="V514" s="59"/>
      <c r="W514" s="70">
        <v>0</v>
      </c>
      <c r="X514" s="70">
        <v>0</v>
      </c>
      <c r="Y514" s="70">
        <v>0</v>
      </c>
      <c r="Z514" s="38"/>
      <c r="AA514" s="40"/>
    </row>
    <row r="515" spans="1:27" s="2" customFormat="1" x14ac:dyDescent="0.2">
      <c r="A515" s="16" t="s">
        <v>95</v>
      </c>
      <c r="B515" s="17">
        <v>45074</v>
      </c>
      <c r="C515" s="19">
        <v>35907.269999999997</v>
      </c>
      <c r="D515" s="52">
        <v>35907.269999999997</v>
      </c>
      <c r="E515" s="52">
        <v>0</v>
      </c>
      <c r="F515" s="157">
        <v>128</v>
      </c>
      <c r="G515" s="157">
        <v>152</v>
      </c>
      <c r="H515" s="35">
        <v>280.52554687499997</v>
      </c>
      <c r="I515" s="19">
        <v>875.97290322580648</v>
      </c>
      <c r="J515" s="111">
        <v>40.991302205547669</v>
      </c>
      <c r="K515" s="53">
        <v>3985</v>
      </c>
      <c r="L515" s="54">
        <v>3.2120451693851942E-2</v>
      </c>
      <c r="M515" s="59"/>
      <c r="N515" s="69">
        <v>397.45</v>
      </c>
      <c r="O515" s="70">
        <f>SUMIF(Facebook!A:A,'Compilado 2023'!B:B,Facebook!B:B)</f>
        <v>218.2</v>
      </c>
      <c r="P515" s="70">
        <v>0</v>
      </c>
      <c r="Q515" s="70">
        <v>51.612903225806448</v>
      </c>
      <c r="R515" s="202">
        <f>IFERROR(VLOOKUP($B:$B,Tabela_Linkedin[],2,),0)</f>
        <v>2.13</v>
      </c>
      <c r="S515" s="70">
        <f>SUMIF(TikTok!A:A,'Compilado 2023'!B:B,TikTok!B:B)</f>
        <v>0</v>
      </c>
      <c r="T515" s="70">
        <v>0</v>
      </c>
      <c r="U515" s="71">
        <v>0</v>
      </c>
      <c r="V515" s="59"/>
      <c r="W515" s="70">
        <v>0</v>
      </c>
      <c r="X515" s="70">
        <v>0</v>
      </c>
      <c r="Y515" s="70">
        <v>0</v>
      </c>
      <c r="Z515" s="38"/>
      <c r="AA515" s="40"/>
    </row>
    <row r="516" spans="1:27" s="2" customFormat="1" x14ac:dyDescent="0.2">
      <c r="A516" s="16" t="s">
        <v>96</v>
      </c>
      <c r="B516" s="17">
        <v>45075</v>
      </c>
      <c r="C516" s="19">
        <v>85134.89</v>
      </c>
      <c r="D516" s="52">
        <v>85087.69</v>
      </c>
      <c r="E516" s="52">
        <v>47.2</v>
      </c>
      <c r="F516" s="157">
        <v>288</v>
      </c>
      <c r="G516" s="157">
        <v>371</v>
      </c>
      <c r="H516" s="35">
        <v>295.60725694444443</v>
      </c>
      <c r="I516" s="19">
        <v>921.88290322580644</v>
      </c>
      <c r="J516" s="111">
        <v>92.348919480012327</v>
      </c>
      <c r="K516" s="53">
        <v>6289</v>
      </c>
      <c r="L516" s="54">
        <v>4.5794243917951977E-2</v>
      </c>
      <c r="M516" s="59"/>
      <c r="N516" s="69">
        <v>471.42</v>
      </c>
      <c r="O516" s="70">
        <f>SUMIF(Facebook!A:A,'Compilado 2023'!B:B,Facebook!B:B)</f>
        <v>203.37</v>
      </c>
      <c r="P516" s="70">
        <v>0</v>
      </c>
      <c r="Q516" s="70">
        <v>51.612903225806448</v>
      </c>
      <c r="R516" s="202">
        <f>IFERROR(VLOOKUP($B:$B,Tabela_Linkedin[],2,),0)</f>
        <v>1.52</v>
      </c>
      <c r="S516" s="70">
        <f>SUMIF(TikTok!A:A,'Compilado 2023'!B:B,TikTok!B:B)</f>
        <v>0</v>
      </c>
      <c r="T516" s="70">
        <v>0</v>
      </c>
      <c r="U516" s="71">
        <v>0</v>
      </c>
      <c r="V516" s="59"/>
      <c r="W516" s="70">
        <v>0</v>
      </c>
      <c r="X516" s="70">
        <v>0</v>
      </c>
      <c r="Y516" s="70">
        <v>0</v>
      </c>
      <c r="Z516" s="38"/>
      <c r="AA516" s="40" t="s">
        <v>124</v>
      </c>
    </row>
    <row r="517" spans="1:27" s="2" customFormat="1" x14ac:dyDescent="0.2">
      <c r="A517" s="16" t="s">
        <v>97</v>
      </c>
      <c r="B517" s="17">
        <v>45076</v>
      </c>
      <c r="C517" s="19">
        <v>71453.259999999995</v>
      </c>
      <c r="D517" s="52">
        <v>71428.23</v>
      </c>
      <c r="E517" s="52">
        <v>25.03</v>
      </c>
      <c r="F517" s="157">
        <v>233</v>
      </c>
      <c r="G517" s="157">
        <v>265</v>
      </c>
      <c r="H517" s="35">
        <v>306.66635193133044</v>
      </c>
      <c r="I517" s="19">
        <v>716.37290322580645</v>
      </c>
      <c r="J517" s="111">
        <v>99.7431082027922</v>
      </c>
      <c r="K517" s="53">
        <v>5843</v>
      </c>
      <c r="L517" s="54">
        <v>3.9876775628957729E-2</v>
      </c>
      <c r="M517" s="59"/>
      <c r="N517" s="69">
        <v>422.43</v>
      </c>
      <c r="O517" s="70">
        <f>SUMIF(Facebook!A:A,'Compilado 2023'!B:B,Facebook!B:B)</f>
        <v>125.06</v>
      </c>
      <c r="P517" s="70">
        <v>0</v>
      </c>
      <c r="Q517" s="70">
        <v>51.612903225806448</v>
      </c>
      <c r="R517" s="202">
        <f>IFERROR(VLOOKUP($B:$B,Tabela_Linkedin[],2,),0)</f>
        <v>1</v>
      </c>
      <c r="S517" s="70">
        <f>SUMIF(TikTok!A:A,'Compilado 2023'!B:B,TikTok!B:B)</f>
        <v>0</v>
      </c>
      <c r="T517" s="70">
        <v>0</v>
      </c>
      <c r="U517" s="71">
        <v>0</v>
      </c>
      <c r="V517" s="59"/>
      <c r="W517" s="70">
        <v>0</v>
      </c>
      <c r="X517" s="70">
        <v>0</v>
      </c>
      <c r="Y517" s="70">
        <v>0</v>
      </c>
      <c r="Z517" s="38"/>
      <c r="AA517" s="40"/>
    </row>
    <row r="518" spans="1:27" s="2" customFormat="1" x14ac:dyDescent="0.2">
      <c r="A518" s="16" t="s">
        <v>98</v>
      </c>
      <c r="B518" s="17">
        <v>45077</v>
      </c>
      <c r="C518" s="19">
        <v>79730.649999999994</v>
      </c>
      <c r="D518" s="52">
        <v>79730.649999999994</v>
      </c>
      <c r="E518" s="52">
        <v>0</v>
      </c>
      <c r="F518" s="157">
        <v>265</v>
      </c>
      <c r="G518" s="157">
        <v>300</v>
      </c>
      <c r="H518" s="35">
        <v>300.87037735849054</v>
      </c>
      <c r="I518" s="19">
        <v>684.02290322580643</v>
      </c>
      <c r="J518" s="111">
        <v>116.56137480776675</v>
      </c>
      <c r="K518" s="53">
        <v>5640</v>
      </c>
      <c r="L518" s="54">
        <v>4.6985815602836878E-2</v>
      </c>
      <c r="M518" s="59"/>
      <c r="N518" s="69">
        <v>373.62</v>
      </c>
      <c r="O518" s="70">
        <f>SUMIF(Facebook!A:A,'Compilado 2023'!B:B,Facebook!B:B)</f>
        <v>131.03</v>
      </c>
      <c r="P518" s="70">
        <v>0</v>
      </c>
      <c r="Q518" s="70">
        <v>51.612903225806448</v>
      </c>
      <c r="R518" s="202">
        <f>IFERROR(VLOOKUP($B:$B,Tabela_Linkedin[],2,),0)</f>
        <v>1.07</v>
      </c>
      <c r="S518" s="70">
        <f>SUMIF(TikTok!A:A,'Compilado 2023'!B:B,TikTok!B:B)</f>
        <v>0</v>
      </c>
      <c r="T518" s="70">
        <v>0</v>
      </c>
      <c r="U518" s="71">
        <v>0</v>
      </c>
      <c r="V518" s="59"/>
      <c r="W518" s="70">
        <v>0</v>
      </c>
      <c r="X518" s="70">
        <v>0</v>
      </c>
      <c r="Y518" s="70">
        <v>0</v>
      </c>
      <c r="Z518" s="38"/>
      <c r="AA518" s="40"/>
    </row>
    <row r="519" spans="1:27" s="2" customFormat="1" x14ac:dyDescent="0.2">
      <c r="A519" s="16" t="s">
        <v>99</v>
      </c>
      <c r="B519" s="17">
        <v>45078</v>
      </c>
      <c r="C519" s="19">
        <v>69394.260000000009</v>
      </c>
      <c r="D519" s="52">
        <v>69353.710000000006</v>
      </c>
      <c r="E519" s="52">
        <v>40.549999999999997</v>
      </c>
      <c r="F519" s="157">
        <v>238</v>
      </c>
      <c r="G519" s="157">
        <v>269</v>
      </c>
      <c r="H519" s="35">
        <v>291.57252100840338</v>
      </c>
      <c r="I519" s="19">
        <v>947.40333333333331</v>
      </c>
      <c r="J519" s="111">
        <v>73.246797386540763</v>
      </c>
      <c r="K519" s="53">
        <v>6421</v>
      </c>
      <c r="L519" s="54">
        <v>3.7065877589160565E-2</v>
      </c>
      <c r="M519" s="59"/>
      <c r="N519" s="69">
        <v>644.13</v>
      </c>
      <c r="O519" s="70">
        <f>SUMIF(Facebook!A:A,'Compilado 2023'!B:B,Facebook!B:B)</f>
        <v>133.30000000000001</v>
      </c>
      <c r="P519" s="71">
        <v>0</v>
      </c>
      <c r="Q519" s="70">
        <v>53.333333333333336</v>
      </c>
      <c r="R519" s="202">
        <f>IFERROR(VLOOKUP($B:$B,Tabela_Linkedin[],2,),0)</f>
        <v>0.3</v>
      </c>
      <c r="S519" s="70">
        <f>SUMIF(TikTok!A:A,'Compilado 2023'!B:B,TikTok!B:B)</f>
        <v>0</v>
      </c>
      <c r="T519" s="70">
        <v>0</v>
      </c>
      <c r="U519" s="71">
        <v>0</v>
      </c>
      <c r="V519" s="59"/>
      <c r="W519" s="70">
        <v>0</v>
      </c>
      <c r="X519" s="70">
        <v>0</v>
      </c>
      <c r="Y519" s="70">
        <v>0</v>
      </c>
      <c r="Z519" s="38"/>
      <c r="AA519" s="40" t="s">
        <v>125</v>
      </c>
    </row>
    <row r="520" spans="1:27" s="2" customFormat="1" x14ac:dyDescent="0.2">
      <c r="A520" s="16" t="s">
        <v>100</v>
      </c>
      <c r="B520" s="17">
        <v>45079</v>
      </c>
      <c r="C520" s="19">
        <v>92678.05</v>
      </c>
      <c r="D520" s="52">
        <v>92678.05</v>
      </c>
      <c r="E520" s="52">
        <v>0</v>
      </c>
      <c r="F520" s="157">
        <v>290</v>
      </c>
      <c r="G520" s="157">
        <v>331</v>
      </c>
      <c r="H520" s="35">
        <v>319.57948275862071</v>
      </c>
      <c r="I520" s="19">
        <v>1038.4633333333334</v>
      </c>
      <c r="J520" s="111">
        <v>89.245375378363548</v>
      </c>
      <c r="K520" s="53">
        <v>6907</v>
      </c>
      <c r="L520" s="54">
        <v>4.1986390618213409E-2</v>
      </c>
      <c r="M520" s="59"/>
      <c r="N520" s="69">
        <v>717.73</v>
      </c>
      <c r="O520" s="70">
        <f>SUMIF(Facebook!A:A,'Compilado 2023'!B:B,Facebook!B:B)</f>
        <v>193.38</v>
      </c>
      <c r="P520" s="71">
        <v>0</v>
      </c>
      <c r="Q520" s="70">
        <v>53.333333333333336</v>
      </c>
      <c r="R520" s="202">
        <f>IFERROR(VLOOKUP($B:$B,Tabela_Linkedin[],2,),0)</f>
        <v>0</v>
      </c>
      <c r="S520" s="70">
        <f>SUMIF(TikTok!A:A,'Compilado 2023'!B:B,TikTok!B:B)</f>
        <v>0</v>
      </c>
      <c r="T520" s="70">
        <v>0</v>
      </c>
      <c r="U520" s="71">
        <v>0</v>
      </c>
      <c r="V520" s="59"/>
      <c r="W520" s="70">
        <v>0</v>
      </c>
      <c r="X520" s="70">
        <v>0</v>
      </c>
      <c r="Y520" s="70">
        <v>0</v>
      </c>
      <c r="Z520" s="38"/>
      <c r="AA520" s="40"/>
    </row>
    <row r="521" spans="1:27" s="2" customFormat="1" x14ac:dyDescent="0.2">
      <c r="A521" s="16" t="s">
        <v>94</v>
      </c>
      <c r="B521" s="17">
        <v>45080</v>
      </c>
      <c r="C521" s="19">
        <v>46583.77</v>
      </c>
      <c r="D521" s="52">
        <v>46583.77</v>
      </c>
      <c r="E521" s="52">
        <v>0</v>
      </c>
      <c r="F521" s="157">
        <v>161</v>
      </c>
      <c r="G521" s="157">
        <v>185</v>
      </c>
      <c r="H521" s="35">
        <v>289.3401863354037</v>
      </c>
      <c r="I521" s="19">
        <v>1115.3833333333334</v>
      </c>
      <c r="J521" s="111">
        <v>41.76480731587047</v>
      </c>
      <c r="K521" s="53">
        <v>4733</v>
      </c>
      <c r="L521" s="54">
        <v>3.4016480033805196E-2</v>
      </c>
      <c r="M521" s="59"/>
      <c r="N521" s="69">
        <v>804.5</v>
      </c>
      <c r="O521" s="70">
        <f>SUMIF(Facebook!A:A,'Compilado 2023'!B:B,Facebook!B:B)</f>
        <v>226.99</v>
      </c>
      <c r="P521" s="71">
        <v>0</v>
      </c>
      <c r="Q521" s="70">
        <v>53.333333333333336</v>
      </c>
      <c r="R521" s="202">
        <f>IFERROR(VLOOKUP($B:$B,Tabela_Linkedin[],2,),0)</f>
        <v>2.9</v>
      </c>
      <c r="S521" s="70">
        <f>SUMIF(TikTok!A:A,'Compilado 2023'!B:B,TikTok!B:B)</f>
        <v>0</v>
      </c>
      <c r="T521" s="70">
        <v>0</v>
      </c>
      <c r="U521" s="71">
        <v>0</v>
      </c>
      <c r="V521" s="59"/>
      <c r="W521" s="70">
        <v>0</v>
      </c>
      <c r="X521" s="70">
        <v>0</v>
      </c>
      <c r="Y521" s="70">
        <v>0</v>
      </c>
      <c r="Z521" s="38"/>
      <c r="AA521" s="40"/>
    </row>
    <row r="522" spans="1:27" s="2" customFormat="1" x14ac:dyDescent="0.2">
      <c r="A522" s="16" t="s">
        <v>95</v>
      </c>
      <c r="B522" s="17">
        <v>45081</v>
      </c>
      <c r="C522" s="19">
        <v>53461.599999999999</v>
      </c>
      <c r="D522" s="52">
        <v>53461.599999999999</v>
      </c>
      <c r="E522" s="52">
        <v>0</v>
      </c>
      <c r="F522" s="157">
        <v>147</v>
      </c>
      <c r="G522" s="157">
        <v>169</v>
      </c>
      <c r="H522" s="35">
        <v>363.68435374149658</v>
      </c>
      <c r="I522" s="19">
        <v>1119.2833333333333</v>
      </c>
      <c r="J522" s="111">
        <v>47.764134788629626</v>
      </c>
      <c r="K522" s="53">
        <v>4285</v>
      </c>
      <c r="L522" s="54">
        <v>3.4305717619603264E-2</v>
      </c>
      <c r="M522" s="59"/>
      <c r="N522" s="69">
        <v>740.84</v>
      </c>
      <c r="O522" s="70">
        <f>SUMIF(Facebook!A:A,'Compilado 2023'!B:B,Facebook!B:B)</f>
        <v>213.08</v>
      </c>
      <c r="P522" s="71">
        <v>0</v>
      </c>
      <c r="Q522" s="70">
        <v>53.333333333333336</v>
      </c>
      <c r="R522" s="202">
        <f>IFERROR(VLOOKUP($B:$B,Tabela_Linkedin[],2,),0)</f>
        <v>0</v>
      </c>
      <c r="S522" s="70">
        <f>SUMIF(TikTok!A:A,'Compilado 2023'!B:B,TikTok!B:B)</f>
        <v>0</v>
      </c>
      <c r="T522" s="70">
        <v>0</v>
      </c>
      <c r="U522" s="71">
        <v>0</v>
      </c>
      <c r="V522" s="59"/>
      <c r="W522" s="70">
        <v>0</v>
      </c>
      <c r="X522" s="70">
        <v>0</v>
      </c>
      <c r="Y522" s="70">
        <v>0</v>
      </c>
      <c r="Z522" s="38"/>
      <c r="AA522" s="40"/>
    </row>
    <row r="523" spans="1:27" s="2" customFormat="1" x14ac:dyDescent="0.2">
      <c r="A523" s="16" t="s">
        <v>96</v>
      </c>
      <c r="B523" s="17">
        <v>45082</v>
      </c>
      <c r="C523" s="19">
        <v>108978.5</v>
      </c>
      <c r="D523" s="52">
        <v>108978.5</v>
      </c>
      <c r="E523" s="52">
        <v>0</v>
      </c>
      <c r="F523" s="157">
        <v>341</v>
      </c>
      <c r="G523" s="157">
        <v>380</v>
      </c>
      <c r="H523" s="35">
        <v>319.58504398826977</v>
      </c>
      <c r="I523" s="19">
        <v>1374.9833333333333</v>
      </c>
      <c r="J523" s="111">
        <v>79.258051612746826</v>
      </c>
      <c r="K523" s="53">
        <v>7503</v>
      </c>
      <c r="L523" s="54">
        <v>4.5448487271757966E-2</v>
      </c>
      <c r="M523" s="59"/>
      <c r="N523" s="69">
        <v>1099.1300000000001</v>
      </c>
      <c r="O523" s="70">
        <f>SUMIF(Facebook!A:A,'Compilado 2023'!B:B,Facebook!B:B)</f>
        <v>186.79</v>
      </c>
      <c r="P523" s="71">
        <v>0</v>
      </c>
      <c r="Q523" s="70">
        <v>53.333333333333336</v>
      </c>
      <c r="R523" s="202">
        <f>IFERROR(VLOOKUP($B:$B,Tabela_Linkedin[],2,),0)</f>
        <v>1.24</v>
      </c>
      <c r="S523" s="70">
        <f>SUMIF(TikTok!A:A,'Compilado 2023'!B:B,TikTok!B:B)</f>
        <v>0</v>
      </c>
      <c r="T523" s="70">
        <v>0</v>
      </c>
      <c r="U523" s="71">
        <v>0</v>
      </c>
      <c r="V523" s="59"/>
      <c r="W523" s="70">
        <v>0</v>
      </c>
      <c r="X523" s="70">
        <v>0</v>
      </c>
      <c r="Y523" s="70">
        <v>0</v>
      </c>
      <c r="Z523" s="38"/>
      <c r="AA523" s="40" t="s">
        <v>126</v>
      </c>
    </row>
    <row r="524" spans="1:27" s="2" customFormat="1" x14ac:dyDescent="0.2">
      <c r="A524" s="16" t="s">
        <v>97</v>
      </c>
      <c r="B524" s="17">
        <v>45083</v>
      </c>
      <c r="C524" s="19">
        <v>110507.95</v>
      </c>
      <c r="D524" s="52">
        <v>110507.95</v>
      </c>
      <c r="E524" s="52">
        <v>0</v>
      </c>
      <c r="F524" s="157">
        <v>350</v>
      </c>
      <c r="G524" s="157">
        <v>392</v>
      </c>
      <c r="H524" s="35">
        <v>315.73699999999997</v>
      </c>
      <c r="I524" s="19">
        <v>1530.3733333333332</v>
      </c>
      <c r="J524" s="111">
        <v>72.209798480545061</v>
      </c>
      <c r="K524" s="53">
        <v>7839</v>
      </c>
      <c r="L524" s="54">
        <v>4.4648552111238679E-2</v>
      </c>
      <c r="M524" s="59"/>
      <c r="N524" s="69">
        <v>1276.1600000000001</v>
      </c>
      <c r="O524" s="70">
        <f>SUMIF(Facebook!A:A,'Compilado 2023'!B:B,Facebook!B:B)</f>
        <v>212.64</v>
      </c>
      <c r="P524" s="71">
        <v>0</v>
      </c>
      <c r="Q524" s="70">
        <v>53.333333333333336</v>
      </c>
      <c r="R524" s="202">
        <f>IFERROR(VLOOKUP($B:$B,Tabela_Linkedin[],2,),0)</f>
        <v>0</v>
      </c>
      <c r="S524" s="70">
        <f>SUMIF(TikTok!A:A,'Compilado 2023'!B:B,TikTok!B:B)</f>
        <v>0</v>
      </c>
      <c r="T524" s="70">
        <v>0</v>
      </c>
      <c r="U524" s="71">
        <v>0</v>
      </c>
      <c r="V524" s="59"/>
      <c r="W524" s="70">
        <v>0</v>
      </c>
      <c r="X524" s="70">
        <v>0</v>
      </c>
      <c r="Y524" s="70">
        <v>0</v>
      </c>
      <c r="Z524" s="38"/>
      <c r="AA524" s="40"/>
    </row>
    <row r="525" spans="1:27" s="2" customFormat="1" x14ac:dyDescent="0.2">
      <c r="A525" s="16" t="s">
        <v>98</v>
      </c>
      <c r="B525" s="17">
        <v>45084</v>
      </c>
      <c r="C525" s="19">
        <v>112268.97</v>
      </c>
      <c r="D525" s="52">
        <v>112268.97</v>
      </c>
      <c r="E525" s="52">
        <v>0</v>
      </c>
      <c r="F525" s="157">
        <v>362</v>
      </c>
      <c r="G525" s="157">
        <v>407</v>
      </c>
      <c r="H525" s="35">
        <v>310.13527624309393</v>
      </c>
      <c r="I525" s="19">
        <v>1770.4633333333334</v>
      </c>
      <c r="J525" s="111">
        <v>63.412197183788045</v>
      </c>
      <c r="K525" s="53">
        <v>7176</v>
      </c>
      <c r="L525" s="54">
        <v>5.0445930880713488E-2</v>
      </c>
      <c r="M525" s="59"/>
      <c r="N525" s="69">
        <v>1472.66</v>
      </c>
      <c r="O525" s="70">
        <f>SUMIF(Facebook!A:A,'Compilado 2023'!B:B,Facebook!B:B)</f>
        <v>221.71</v>
      </c>
      <c r="P525" s="71">
        <v>0</v>
      </c>
      <c r="Q525" s="70">
        <v>53.333333333333336</v>
      </c>
      <c r="R525" s="202">
        <f>IFERROR(VLOOKUP($B:$B,Tabela_Linkedin[],2,),0)</f>
        <v>0</v>
      </c>
      <c r="S525" s="70">
        <f>SUMIF(TikTok!A:A,'Compilado 2023'!B:B,TikTok!B:B)</f>
        <v>17.68</v>
      </c>
      <c r="T525" s="70">
        <v>0</v>
      </c>
      <c r="U525" s="71">
        <v>0</v>
      </c>
      <c r="V525" s="59"/>
      <c r="W525" s="70">
        <v>0</v>
      </c>
      <c r="X525" s="70">
        <v>0</v>
      </c>
      <c r="Y525" s="70">
        <v>0</v>
      </c>
      <c r="Z525" s="38"/>
      <c r="AA525" s="40"/>
    </row>
    <row r="526" spans="1:27" s="2" customFormat="1" x14ac:dyDescent="0.2">
      <c r="A526" s="16" t="s">
        <v>99</v>
      </c>
      <c r="B526" s="17">
        <v>45085</v>
      </c>
      <c r="C526" s="19">
        <v>89754.78</v>
      </c>
      <c r="D526" s="52">
        <v>89754.78</v>
      </c>
      <c r="E526" s="52">
        <v>0</v>
      </c>
      <c r="F526" s="157">
        <v>279</v>
      </c>
      <c r="G526" s="157">
        <v>309</v>
      </c>
      <c r="H526" s="35">
        <v>321.70172043010751</v>
      </c>
      <c r="I526" s="19">
        <v>1875.6733333333332</v>
      </c>
      <c r="J526" s="111">
        <v>47.852031803690053</v>
      </c>
      <c r="K526" s="53">
        <v>5948</v>
      </c>
      <c r="L526" s="54">
        <v>4.6906523201075995E-2</v>
      </c>
      <c r="M526" s="59"/>
      <c r="N526" s="69">
        <v>1515.41</v>
      </c>
      <c r="O526" s="70">
        <f>SUMIF(Facebook!A:A,'Compilado 2023'!B:B,Facebook!B:B)</f>
        <v>242.75</v>
      </c>
      <c r="P526" s="71">
        <v>0</v>
      </c>
      <c r="Q526" s="70">
        <v>53.333333333333336</v>
      </c>
      <c r="R526" s="202">
        <f>IFERROR(VLOOKUP($B:$B,Tabela_Linkedin[],2,),0)</f>
        <v>0</v>
      </c>
      <c r="S526" s="70">
        <f>SUMIF(TikTok!A:A,'Compilado 2023'!B:B,TikTok!B:B)</f>
        <v>34.22</v>
      </c>
      <c r="T526" s="70">
        <v>0</v>
      </c>
      <c r="U526" s="71">
        <v>0</v>
      </c>
      <c r="V526" s="59"/>
      <c r="W526" s="70">
        <v>0</v>
      </c>
      <c r="X526" s="70">
        <v>0</v>
      </c>
      <c r="Y526" s="70">
        <v>0</v>
      </c>
      <c r="Z526" s="38"/>
      <c r="AA526" s="40"/>
    </row>
    <row r="527" spans="1:27" s="2" customFormat="1" x14ac:dyDescent="0.2">
      <c r="A527" s="16" t="s">
        <v>100</v>
      </c>
      <c r="B527" s="17">
        <v>45086</v>
      </c>
      <c r="C527" s="19">
        <v>115721.65</v>
      </c>
      <c r="D527" s="52">
        <v>115721.65</v>
      </c>
      <c r="E527" s="52">
        <v>0</v>
      </c>
      <c r="F527" s="157">
        <v>369</v>
      </c>
      <c r="G527" s="157">
        <v>402</v>
      </c>
      <c r="H527" s="35">
        <v>313.60880758807588</v>
      </c>
      <c r="I527" s="19">
        <v>2595.2033333333334</v>
      </c>
      <c r="J527" s="111">
        <v>44.590590846446197</v>
      </c>
      <c r="K527" s="53">
        <v>7013</v>
      </c>
      <c r="L527" s="54">
        <v>5.2616569228575501E-2</v>
      </c>
      <c r="M527" s="59"/>
      <c r="N527" s="69">
        <v>2148.1999999999998</v>
      </c>
      <c r="O527" s="70">
        <f>SUMIF(Facebook!A:A,'Compilado 2023'!B:B,Facebook!B:B)</f>
        <v>270.39</v>
      </c>
      <c r="P527" s="71">
        <v>0</v>
      </c>
      <c r="Q527" s="70">
        <v>53.333333333333336</v>
      </c>
      <c r="R527" s="202">
        <f>IFERROR(VLOOKUP($B:$B,Tabela_Linkedin[],2,),0)</f>
        <v>0</v>
      </c>
      <c r="S527" s="70">
        <f>SUMIF(TikTok!A:A,'Compilado 2023'!B:B,TikTok!B:B)</f>
        <v>32.79</v>
      </c>
      <c r="T527" s="70">
        <v>0</v>
      </c>
      <c r="U527" s="71">
        <v>0</v>
      </c>
      <c r="V527" s="59"/>
      <c r="W527" s="70">
        <v>0</v>
      </c>
      <c r="X527" s="70">
        <v>0</v>
      </c>
      <c r="Y527" s="70">
        <v>0</v>
      </c>
      <c r="Z527" s="38"/>
      <c r="AA527" s="40"/>
    </row>
    <row r="528" spans="1:27" s="2" customFormat="1" x14ac:dyDescent="0.2">
      <c r="A528" s="16" t="s">
        <v>94</v>
      </c>
      <c r="B528" s="17">
        <v>45087</v>
      </c>
      <c r="C528" s="19">
        <v>102935.45</v>
      </c>
      <c r="D528" s="52">
        <v>102909.64</v>
      </c>
      <c r="E528" s="52">
        <v>25.81</v>
      </c>
      <c r="F528" s="157">
        <v>305</v>
      </c>
      <c r="G528" s="157">
        <v>362</v>
      </c>
      <c r="H528" s="35">
        <v>337.49327868852458</v>
      </c>
      <c r="I528" s="19">
        <v>2192.5433333333331</v>
      </c>
      <c r="J528" s="111">
        <v>46.947966060724006</v>
      </c>
      <c r="K528" s="53">
        <v>5485</v>
      </c>
      <c r="L528" s="54">
        <v>5.5606198723792161E-2</v>
      </c>
      <c r="M528" s="59"/>
      <c r="N528" s="69">
        <v>1565.7</v>
      </c>
      <c r="O528" s="70">
        <f>SUMIF(Facebook!A:A,'Compilado 2023'!B:B,Facebook!B:B)</f>
        <v>397.99</v>
      </c>
      <c r="P528" s="71">
        <v>0</v>
      </c>
      <c r="Q528" s="70">
        <v>53.333333333333336</v>
      </c>
      <c r="R528" s="202">
        <f>IFERROR(VLOOKUP($B:$B,Tabela_Linkedin[],2,),0)</f>
        <v>0.93</v>
      </c>
      <c r="S528" s="70">
        <f>SUMIF(TikTok!A:A,'Compilado 2023'!B:B,TikTok!B:B)</f>
        <v>32.08</v>
      </c>
      <c r="T528" s="70">
        <v>0</v>
      </c>
      <c r="U528" s="71">
        <v>0</v>
      </c>
      <c r="V528" s="59"/>
      <c r="W528" s="70">
        <v>0</v>
      </c>
      <c r="X528" s="70">
        <v>0</v>
      </c>
      <c r="Y528" s="70">
        <v>0</v>
      </c>
      <c r="Z528" s="38"/>
      <c r="AA528" s="40"/>
    </row>
    <row r="529" spans="1:27" s="2" customFormat="1" x14ac:dyDescent="0.2">
      <c r="A529" s="16" t="s">
        <v>95</v>
      </c>
      <c r="B529" s="17">
        <v>45088</v>
      </c>
      <c r="C529" s="19">
        <v>136501.45000000001</v>
      </c>
      <c r="D529" s="52">
        <v>136501.45000000001</v>
      </c>
      <c r="E529" s="52">
        <v>0</v>
      </c>
      <c r="F529" s="157">
        <v>389</v>
      </c>
      <c r="G529" s="157">
        <v>456</v>
      </c>
      <c r="H529" s="35">
        <v>350.90347043701803</v>
      </c>
      <c r="I529" s="19">
        <v>2302.2233333333334</v>
      </c>
      <c r="J529" s="111">
        <v>59.29114175137947</v>
      </c>
      <c r="K529" s="53">
        <v>5470</v>
      </c>
      <c r="L529" s="54">
        <v>7.1115173674588666E-2</v>
      </c>
      <c r="M529" s="59"/>
      <c r="N529" s="69">
        <v>1561.26</v>
      </c>
      <c r="O529" s="70">
        <f>SUMIF(Facebook!A:A,'Compilado 2023'!B:B,Facebook!B:B)</f>
        <v>446.79</v>
      </c>
      <c r="P529" s="71">
        <v>0</v>
      </c>
      <c r="Q529" s="70">
        <v>53.333333333333336</v>
      </c>
      <c r="R529" s="202">
        <f>IFERROR(VLOOKUP($B:$B,Tabela_Linkedin[],2,),0)</f>
        <v>0</v>
      </c>
      <c r="S529" s="70">
        <f>SUMIF(TikTok!A:A,'Compilado 2023'!B:B,TikTok!B:B)</f>
        <v>27.05</v>
      </c>
      <c r="T529" s="70">
        <v>0</v>
      </c>
      <c r="U529" s="71">
        <v>0</v>
      </c>
      <c r="V529" s="59"/>
      <c r="W529" s="70">
        <v>0</v>
      </c>
      <c r="X529" s="70">
        <v>0</v>
      </c>
      <c r="Y529" s="70">
        <v>0</v>
      </c>
      <c r="Z529" s="38"/>
      <c r="AA529" s="40"/>
    </row>
    <row r="530" spans="1:27" s="2" customFormat="1" x14ac:dyDescent="0.2">
      <c r="A530" s="16" t="s">
        <v>96</v>
      </c>
      <c r="B530" s="17">
        <v>45089</v>
      </c>
      <c r="C530" s="19">
        <v>353104.17</v>
      </c>
      <c r="D530" s="52">
        <v>353104.17</v>
      </c>
      <c r="E530" s="52">
        <v>0</v>
      </c>
      <c r="F530" s="157">
        <v>1156</v>
      </c>
      <c r="G530" s="157">
        <v>1261</v>
      </c>
      <c r="H530" s="35">
        <v>305.45343425605535</v>
      </c>
      <c r="I530" s="19">
        <v>1205.2733333333333</v>
      </c>
      <c r="J530" s="111">
        <v>292.96605196055111</v>
      </c>
      <c r="K530" s="53">
        <v>0</v>
      </c>
      <c r="L530" s="54">
        <v>0</v>
      </c>
      <c r="M530" s="59"/>
      <c r="N530" s="69">
        <v>3859.45</v>
      </c>
      <c r="O530" s="70">
        <f>SUMIF(Facebook!A:A,'Compilado 2023'!B:B,Facebook!B:B)</f>
        <v>573.47</v>
      </c>
      <c r="P530" s="71">
        <v>0</v>
      </c>
      <c r="Q530" s="70">
        <v>53.333333333333336</v>
      </c>
      <c r="R530" s="202">
        <f>IFERROR(VLOOKUP($B:$B,Tabela_Linkedin[],2,),0)</f>
        <v>0</v>
      </c>
      <c r="S530" s="70">
        <f>SUMIF(TikTok!A:A,'Compilado 2023'!B:B,TikTok!B:B)</f>
        <v>5.07</v>
      </c>
      <c r="T530" s="70">
        <v>0</v>
      </c>
      <c r="U530" s="71">
        <v>0</v>
      </c>
      <c r="V530" s="59"/>
      <c r="W530" s="70">
        <v>0</v>
      </c>
      <c r="X530" s="70">
        <v>0</v>
      </c>
      <c r="Y530" s="70">
        <v>0</v>
      </c>
      <c r="Z530" s="38"/>
      <c r="AA530" s="40" t="s">
        <v>127</v>
      </c>
    </row>
    <row r="531" spans="1:27" s="2" customFormat="1" x14ac:dyDescent="0.2">
      <c r="A531" s="16" t="s">
        <v>97</v>
      </c>
      <c r="B531" s="17">
        <v>45090</v>
      </c>
      <c r="C531" s="19">
        <v>76630.16</v>
      </c>
      <c r="D531" s="52">
        <v>76630.16</v>
      </c>
      <c r="E531" s="52">
        <v>0</v>
      </c>
      <c r="F531" s="157">
        <v>278</v>
      </c>
      <c r="G531" s="157">
        <v>340</v>
      </c>
      <c r="H531" s="35">
        <v>275.64805755395685</v>
      </c>
      <c r="I531" s="19">
        <v>1206.4533333333331</v>
      </c>
      <c r="J531" s="111">
        <v>63.51688696344106</v>
      </c>
      <c r="K531" s="53">
        <v>6199</v>
      </c>
      <c r="L531" s="54">
        <v>4.4845942894015167E-2</v>
      </c>
      <c r="M531" s="59"/>
      <c r="N531" s="69">
        <v>553.01</v>
      </c>
      <c r="O531" s="70">
        <f>SUMIF(Facebook!A:A,'Compilado 2023'!B:B,Facebook!B:B)</f>
        <v>313.11</v>
      </c>
      <c r="P531" s="71">
        <v>0</v>
      </c>
      <c r="Q531" s="70">
        <v>53.333333333333336</v>
      </c>
      <c r="R531" s="202">
        <f>IFERROR(VLOOKUP($B:$B,Tabela_Linkedin[],2,),0)</f>
        <v>1</v>
      </c>
      <c r="S531" s="70">
        <f>SUMIF(TikTok!A:A,'Compilado 2023'!B:B,TikTok!B:B)</f>
        <v>0</v>
      </c>
      <c r="T531" s="70">
        <v>0</v>
      </c>
      <c r="U531" s="71">
        <v>0</v>
      </c>
      <c r="V531" s="59"/>
      <c r="W531" s="70">
        <v>0</v>
      </c>
      <c r="X531" s="70">
        <v>0</v>
      </c>
      <c r="Y531" s="70">
        <v>0</v>
      </c>
      <c r="Z531" s="38"/>
      <c r="AA531" s="40" t="s">
        <v>128</v>
      </c>
    </row>
    <row r="532" spans="1:27" s="2" customFormat="1" x14ac:dyDescent="0.2">
      <c r="A532" s="16" t="s">
        <v>98</v>
      </c>
      <c r="B532" s="17">
        <v>45091</v>
      </c>
      <c r="C532" s="19">
        <v>62688.640000000007</v>
      </c>
      <c r="D532" s="52">
        <v>62634.73</v>
      </c>
      <c r="E532" s="52">
        <v>53.91</v>
      </c>
      <c r="F532" s="157">
        <v>266</v>
      </c>
      <c r="G532" s="157">
        <v>309</v>
      </c>
      <c r="H532" s="35">
        <v>235.67157894736846</v>
      </c>
      <c r="I532" s="19">
        <v>1009.1733333333333</v>
      </c>
      <c r="J532" s="111">
        <v>62.118803509142808</v>
      </c>
      <c r="K532" s="53">
        <v>5766</v>
      </c>
      <c r="L532" s="54">
        <v>4.6132500867152273E-2</v>
      </c>
      <c r="M532" s="59"/>
      <c r="N532" s="69">
        <v>576.76</v>
      </c>
      <c r="O532" s="70">
        <f>SUMIF(Facebook!A:A,'Compilado 2023'!B:B,Facebook!B:B)</f>
        <v>201.79</v>
      </c>
      <c r="P532" s="71">
        <v>0</v>
      </c>
      <c r="Q532" s="70">
        <v>53.333333333333336</v>
      </c>
      <c r="R532" s="202">
        <f>IFERROR(VLOOKUP($B:$B,Tabela_Linkedin[],2,),0)</f>
        <v>0.21</v>
      </c>
      <c r="S532" s="70">
        <f>SUMIF(TikTok!A:A,'Compilado 2023'!B:B,TikTok!B:B)</f>
        <v>0</v>
      </c>
      <c r="T532" s="70">
        <v>0</v>
      </c>
      <c r="U532" s="71">
        <v>0</v>
      </c>
      <c r="V532" s="59"/>
      <c r="W532" s="70">
        <v>0</v>
      </c>
      <c r="X532" s="70">
        <v>0</v>
      </c>
      <c r="Y532" s="70">
        <v>0</v>
      </c>
      <c r="Z532" s="38"/>
      <c r="AA532" s="40"/>
    </row>
    <row r="533" spans="1:27" s="2" customFormat="1" x14ac:dyDescent="0.2">
      <c r="A533" s="16" t="s">
        <v>99</v>
      </c>
      <c r="B533" s="17">
        <v>45092</v>
      </c>
      <c r="C533" s="19">
        <v>61925.090000000004</v>
      </c>
      <c r="D533" s="52">
        <v>61901.54</v>
      </c>
      <c r="E533" s="52">
        <v>23.55</v>
      </c>
      <c r="F533" s="157">
        <v>222</v>
      </c>
      <c r="G533" s="157">
        <v>278</v>
      </c>
      <c r="H533" s="35">
        <v>278.94184684684689</v>
      </c>
      <c r="I533" s="19">
        <v>1113.1433333333332</v>
      </c>
      <c r="J533" s="111">
        <v>55.630832207891778</v>
      </c>
      <c r="K533" s="53">
        <v>5253</v>
      </c>
      <c r="L533" s="54">
        <v>4.22615648201028E-2</v>
      </c>
      <c r="M533" s="59"/>
      <c r="N533" s="69">
        <v>615.70000000000005</v>
      </c>
      <c r="O533" s="70">
        <f>SUMIF(Facebook!A:A,'Compilado 2023'!B:B,Facebook!B:B)</f>
        <v>233.3</v>
      </c>
      <c r="P533" s="71">
        <v>0</v>
      </c>
      <c r="Q533" s="70">
        <v>53.333333333333336</v>
      </c>
      <c r="R533" s="202">
        <f>IFERROR(VLOOKUP($B:$B,Tabela_Linkedin[],2,),0)</f>
        <v>0</v>
      </c>
      <c r="S533" s="70">
        <f>SUMIF(TikTok!A:A,'Compilado 2023'!B:B,TikTok!B:B)</f>
        <v>9.0399999999999991</v>
      </c>
      <c r="T533" s="70">
        <v>0</v>
      </c>
      <c r="U533" s="71">
        <v>0</v>
      </c>
      <c r="V533" s="59"/>
      <c r="W533" s="70">
        <v>0</v>
      </c>
      <c r="X533" s="70">
        <v>0</v>
      </c>
      <c r="Y533" s="70">
        <v>0</v>
      </c>
      <c r="Z533" s="38"/>
      <c r="AA533" s="40"/>
    </row>
    <row r="534" spans="1:27" s="2" customFormat="1" x14ac:dyDescent="0.2">
      <c r="A534" s="16" t="s">
        <v>100</v>
      </c>
      <c r="B534" s="17">
        <v>45093</v>
      </c>
      <c r="C534" s="19">
        <v>66215.08</v>
      </c>
      <c r="D534" s="52">
        <v>66215.08</v>
      </c>
      <c r="E534" s="52">
        <v>0</v>
      </c>
      <c r="F534" s="157">
        <v>252</v>
      </c>
      <c r="G534" s="157">
        <v>282</v>
      </c>
      <c r="H534" s="35">
        <v>262.758253968254</v>
      </c>
      <c r="I534" s="19">
        <v>1265.9833333333333</v>
      </c>
      <c r="J534" s="111">
        <v>52.303279400729345</v>
      </c>
      <c r="K534" s="53">
        <v>4757</v>
      </c>
      <c r="L534" s="54">
        <v>5.2974563800714733E-2</v>
      </c>
      <c r="M534" s="59"/>
      <c r="N534" s="69">
        <v>544.71</v>
      </c>
      <c r="O534" s="70">
        <f>SUMIF(Facebook!A:A,'Compilado 2023'!B:B,Facebook!B:B)</f>
        <v>316.07</v>
      </c>
      <c r="P534" s="71">
        <v>0</v>
      </c>
      <c r="Q534" s="70">
        <v>53.333333333333336</v>
      </c>
      <c r="R534" s="202">
        <f>IFERROR(VLOOKUP($B:$B,Tabela_Linkedin[],2,),0)</f>
        <v>0</v>
      </c>
      <c r="S534" s="70">
        <f>SUMIF(TikTok!A:A,'Compilado 2023'!B:B,TikTok!B:B)</f>
        <v>58.88</v>
      </c>
      <c r="T534" s="70">
        <v>0</v>
      </c>
      <c r="U534" s="71">
        <v>0</v>
      </c>
      <c r="V534" s="59"/>
      <c r="W534" s="70">
        <v>0</v>
      </c>
      <c r="X534" s="70">
        <v>0</v>
      </c>
      <c r="Y534" s="70">
        <v>0</v>
      </c>
      <c r="Z534" s="38"/>
      <c r="AA534" s="40"/>
    </row>
    <row r="535" spans="1:27" s="2" customFormat="1" x14ac:dyDescent="0.2">
      <c r="A535" s="16" t="s">
        <v>94</v>
      </c>
      <c r="B535" s="17">
        <v>45094</v>
      </c>
      <c r="C535" s="19">
        <v>38195.82</v>
      </c>
      <c r="D535" s="52">
        <v>38195.82</v>
      </c>
      <c r="E535" s="52">
        <v>0</v>
      </c>
      <c r="F535" s="157">
        <v>154</v>
      </c>
      <c r="G535" s="157">
        <v>175</v>
      </c>
      <c r="H535" s="35">
        <v>248.0248051948052</v>
      </c>
      <c r="I535" s="19">
        <v>834.41333333333341</v>
      </c>
      <c r="J535" s="111">
        <v>45.775658746264838</v>
      </c>
      <c r="K535" s="53">
        <v>3433</v>
      </c>
      <c r="L535" s="54">
        <v>4.485872414797553E-2</v>
      </c>
      <c r="M535" s="59"/>
      <c r="N535" s="69">
        <v>417.07</v>
      </c>
      <c r="O535" s="70">
        <f>SUMIF(Facebook!A:A,'Compilado 2023'!B:B,Facebook!B:B)</f>
        <v>170.52</v>
      </c>
      <c r="P535" s="71">
        <v>0</v>
      </c>
      <c r="Q535" s="70">
        <v>53.333333333333336</v>
      </c>
      <c r="R535" s="202">
        <f>IFERROR(VLOOKUP($B:$B,Tabela_Linkedin[],2,),0)</f>
        <v>2.2400000000000002</v>
      </c>
      <c r="S535" s="70">
        <f>SUMIF(TikTok!A:A,'Compilado 2023'!B:B,TikTok!B:B)</f>
        <v>45.36</v>
      </c>
      <c r="T535" s="70">
        <v>0</v>
      </c>
      <c r="U535" s="71">
        <v>0</v>
      </c>
      <c r="V535" s="59"/>
      <c r="W535" s="70">
        <v>0</v>
      </c>
      <c r="X535" s="70">
        <v>0</v>
      </c>
      <c r="Y535" s="70">
        <v>0</v>
      </c>
      <c r="Z535" s="38"/>
      <c r="AA535" s="40"/>
    </row>
    <row r="536" spans="1:27" s="2" customFormat="1" x14ac:dyDescent="0.2">
      <c r="A536" s="16" t="s">
        <v>95</v>
      </c>
      <c r="B536" s="17">
        <v>45095</v>
      </c>
      <c r="C536" s="19">
        <v>30682.55</v>
      </c>
      <c r="D536" s="52">
        <v>30682.55</v>
      </c>
      <c r="E536" s="52">
        <v>0</v>
      </c>
      <c r="F536" s="157">
        <v>122</v>
      </c>
      <c r="G536" s="157">
        <v>137</v>
      </c>
      <c r="H536" s="35">
        <v>251.49631147540984</v>
      </c>
      <c r="I536" s="19">
        <v>883.74333333333345</v>
      </c>
      <c r="J536" s="111">
        <v>34.718847478340237</v>
      </c>
      <c r="K536" s="53">
        <v>3013</v>
      </c>
      <c r="L536" s="54">
        <v>4.0491204779289747E-2</v>
      </c>
      <c r="M536" s="59"/>
      <c r="N536" s="69">
        <v>494.97</v>
      </c>
      <c r="O536" s="70">
        <f>SUMIF(Facebook!A:A,'Compilado 2023'!B:B,Facebook!B:B)</f>
        <v>173.34</v>
      </c>
      <c r="P536" s="71">
        <v>0</v>
      </c>
      <c r="Q536" s="70">
        <v>53.333333333333336</v>
      </c>
      <c r="R536" s="202">
        <f>IFERROR(VLOOKUP($B:$B,Tabela_Linkedin[],2,),0)</f>
        <v>0</v>
      </c>
      <c r="S536" s="70">
        <f>SUMIF(TikTok!A:A,'Compilado 2023'!B:B,TikTok!B:B)</f>
        <v>18.28</v>
      </c>
      <c r="T536" s="70">
        <v>0</v>
      </c>
      <c r="U536" s="71">
        <v>0</v>
      </c>
      <c r="V536" s="59"/>
      <c r="W536" s="70">
        <v>0</v>
      </c>
      <c r="X536" s="70">
        <v>0</v>
      </c>
      <c r="Y536" s="70">
        <v>0</v>
      </c>
      <c r="Z536" s="38"/>
      <c r="AA536" s="40" t="s">
        <v>129</v>
      </c>
    </row>
    <row r="537" spans="1:27" s="2" customFormat="1" x14ac:dyDescent="0.2">
      <c r="A537" s="16" t="s">
        <v>96</v>
      </c>
      <c r="B537" s="17">
        <v>45096</v>
      </c>
      <c r="C537" s="19">
        <v>53247.97</v>
      </c>
      <c r="D537" s="52">
        <v>53247.97</v>
      </c>
      <c r="E537" s="52">
        <v>0</v>
      </c>
      <c r="F537" s="157">
        <v>199</v>
      </c>
      <c r="G537" s="157">
        <v>226</v>
      </c>
      <c r="H537" s="35">
        <v>267.57773869346732</v>
      </c>
      <c r="I537" s="19">
        <v>751.06333333333339</v>
      </c>
      <c r="J537" s="111">
        <v>70.896777457737699</v>
      </c>
      <c r="K537" s="53">
        <v>4806</v>
      </c>
      <c r="L537" s="54">
        <v>4.1406575114440285E-2</v>
      </c>
      <c r="M537" s="59"/>
      <c r="N537" s="69">
        <v>396.89</v>
      </c>
      <c r="O537" s="70">
        <f>SUMIF(Facebook!A:A,'Compilado 2023'!B:B,Facebook!B:B)</f>
        <v>139.24</v>
      </c>
      <c r="P537" s="71">
        <v>0</v>
      </c>
      <c r="Q537" s="70">
        <v>53.333333333333336</v>
      </c>
      <c r="R537" s="202">
        <f>IFERROR(VLOOKUP($B:$B,Tabela_Linkedin[],2,),0)</f>
        <v>0</v>
      </c>
      <c r="S537" s="70">
        <f>SUMIF(TikTok!A:A,'Compilado 2023'!B:B,TikTok!B:B)</f>
        <v>38.14</v>
      </c>
      <c r="T537" s="70">
        <v>0</v>
      </c>
      <c r="U537" s="71">
        <v>0</v>
      </c>
      <c r="V537" s="59"/>
      <c r="W537" s="70">
        <v>0</v>
      </c>
      <c r="X537" s="70">
        <v>0</v>
      </c>
      <c r="Y537" s="70">
        <v>0</v>
      </c>
      <c r="Z537" s="38"/>
      <c r="AA537" s="40"/>
    </row>
    <row r="538" spans="1:27" s="2" customFormat="1" x14ac:dyDescent="0.2">
      <c r="A538" s="16" t="s">
        <v>97</v>
      </c>
      <c r="B538" s="17">
        <v>45097</v>
      </c>
      <c r="C538" s="19">
        <v>65109.03</v>
      </c>
      <c r="D538" s="52">
        <v>65109.03</v>
      </c>
      <c r="E538" s="52">
        <v>0</v>
      </c>
      <c r="F538" s="157">
        <v>206</v>
      </c>
      <c r="G538" s="157">
        <v>256</v>
      </c>
      <c r="H538" s="35">
        <v>316.06325242718447</v>
      </c>
      <c r="I538" s="19">
        <v>681.79333333333341</v>
      </c>
      <c r="J538" s="111">
        <v>95.496724325064278</v>
      </c>
      <c r="K538" s="53">
        <v>4779</v>
      </c>
      <c r="L538" s="54">
        <v>4.3105252144800169E-2</v>
      </c>
      <c r="M538" s="59"/>
      <c r="N538" s="69">
        <v>430.55</v>
      </c>
      <c r="O538" s="70">
        <f>SUMIF(Facebook!A:A,'Compilado 2023'!B:B,Facebook!B:B)</f>
        <v>95.42</v>
      </c>
      <c r="P538" s="71">
        <v>0</v>
      </c>
      <c r="Q538" s="70">
        <v>53.333333333333336</v>
      </c>
      <c r="R538" s="202">
        <f>IFERROR(VLOOKUP($B:$B,Tabela_Linkedin[],2,),0)</f>
        <v>0</v>
      </c>
      <c r="S538" s="70">
        <f>SUMIF(TikTok!A:A,'Compilado 2023'!B:B,TikTok!B:B)</f>
        <v>27.87</v>
      </c>
      <c r="T538" s="70">
        <v>0</v>
      </c>
      <c r="U538" s="71">
        <v>0</v>
      </c>
      <c r="V538" s="59"/>
      <c r="W538" s="70">
        <v>0</v>
      </c>
      <c r="X538" s="70">
        <v>0</v>
      </c>
      <c r="Y538" s="70">
        <v>0</v>
      </c>
      <c r="Z538" s="38"/>
      <c r="AA538" s="40"/>
    </row>
    <row r="539" spans="1:27" s="2" customFormat="1" x14ac:dyDescent="0.2">
      <c r="A539" s="16" t="s">
        <v>98</v>
      </c>
      <c r="B539" s="17">
        <v>45098</v>
      </c>
      <c r="C539" s="19">
        <v>53562.32</v>
      </c>
      <c r="D539" s="52">
        <v>53562.32</v>
      </c>
      <c r="E539" s="52">
        <v>0</v>
      </c>
      <c r="F539" s="157">
        <v>183</v>
      </c>
      <c r="G539" s="157">
        <v>208</v>
      </c>
      <c r="H539" s="35">
        <v>292.69027322404372</v>
      </c>
      <c r="I539" s="19">
        <v>652.72333333333336</v>
      </c>
      <c r="J539" s="111">
        <v>82.059759877845124</v>
      </c>
      <c r="K539" s="53">
        <v>4767</v>
      </c>
      <c r="L539" s="54">
        <v>3.8388923851478921E-2</v>
      </c>
      <c r="M539" s="59"/>
      <c r="N539" s="69">
        <v>454.33</v>
      </c>
      <c r="O539" s="70">
        <f>SUMIF(Facebook!A:A,'Compilado 2023'!B:B,Facebook!B:B)</f>
        <v>78.47</v>
      </c>
      <c r="P539" s="71">
        <v>0</v>
      </c>
      <c r="Q539" s="70">
        <v>53.333333333333336</v>
      </c>
      <c r="R539" s="202">
        <f>IFERROR(VLOOKUP($B:$B,Tabela_Linkedin[],2,),0)</f>
        <v>0</v>
      </c>
      <c r="S539" s="70">
        <f>SUMIF(TikTok!A:A,'Compilado 2023'!B:B,TikTok!B:B)</f>
        <v>19.79</v>
      </c>
      <c r="T539" s="70">
        <v>0</v>
      </c>
      <c r="U539" s="71">
        <v>0</v>
      </c>
      <c r="V539" s="59"/>
      <c r="W539" s="70">
        <v>0</v>
      </c>
      <c r="X539" s="70">
        <v>0</v>
      </c>
      <c r="Y539" s="70">
        <v>0</v>
      </c>
      <c r="Z539" s="38"/>
      <c r="AA539" s="40" t="s">
        <v>130</v>
      </c>
    </row>
    <row r="540" spans="1:27" s="2" customFormat="1" x14ac:dyDescent="0.2">
      <c r="A540" s="16" t="s">
        <v>99</v>
      </c>
      <c r="B540" s="17">
        <v>45099</v>
      </c>
      <c r="C540" s="19">
        <v>56647.799999999996</v>
      </c>
      <c r="D540" s="52">
        <v>56609.27</v>
      </c>
      <c r="E540" s="52">
        <v>38.53</v>
      </c>
      <c r="F540" s="157">
        <v>216</v>
      </c>
      <c r="G540" s="157">
        <v>243</v>
      </c>
      <c r="H540" s="35">
        <v>262.25833333333333</v>
      </c>
      <c r="I540" s="19">
        <v>665.21333333333337</v>
      </c>
      <c r="J540" s="111">
        <v>85.157343007756893</v>
      </c>
      <c r="K540" s="53">
        <v>4751</v>
      </c>
      <c r="L540" s="54">
        <v>4.5464112818354031E-2</v>
      </c>
      <c r="M540" s="59"/>
      <c r="N540" s="69">
        <v>474.16</v>
      </c>
      <c r="O540" s="70">
        <f>SUMIF(Facebook!A:A,'Compilado 2023'!B:B,Facebook!B:B)</f>
        <v>77.62</v>
      </c>
      <c r="P540" s="71">
        <v>0</v>
      </c>
      <c r="Q540" s="70">
        <v>53.333333333333336</v>
      </c>
      <c r="R540" s="202">
        <f>IFERROR(VLOOKUP($B:$B,Tabela_Linkedin[],2,),0)</f>
        <v>0</v>
      </c>
      <c r="S540" s="70">
        <f>SUMIF(TikTok!A:A,'Compilado 2023'!B:B,TikTok!B:B)</f>
        <v>20</v>
      </c>
      <c r="T540" s="70">
        <v>0</v>
      </c>
      <c r="U540" s="71">
        <v>0</v>
      </c>
      <c r="V540" s="59"/>
      <c r="W540" s="70">
        <v>0</v>
      </c>
      <c r="X540" s="70">
        <v>0</v>
      </c>
      <c r="Y540" s="70">
        <v>0</v>
      </c>
      <c r="Z540" s="38"/>
      <c r="AA540" s="40"/>
    </row>
    <row r="541" spans="1:27" s="2" customFormat="1" x14ac:dyDescent="0.2">
      <c r="A541" s="16" t="s">
        <v>100</v>
      </c>
      <c r="B541" s="17">
        <v>45100</v>
      </c>
      <c r="C541" s="19">
        <v>55563.08</v>
      </c>
      <c r="D541" s="52">
        <v>55563.08</v>
      </c>
      <c r="E541" s="52">
        <v>0</v>
      </c>
      <c r="F541" s="157">
        <v>198</v>
      </c>
      <c r="G541" s="157">
        <v>243</v>
      </c>
      <c r="H541" s="35">
        <v>280.62161616161615</v>
      </c>
      <c r="I541" s="19">
        <v>629.98333333333335</v>
      </c>
      <c r="J541" s="111">
        <v>88.197698351808256</v>
      </c>
      <c r="K541" s="53">
        <v>4391</v>
      </c>
      <c r="L541" s="54">
        <v>4.5092234115235712E-2</v>
      </c>
      <c r="M541" s="59"/>
      <c r="N541" s="69">
        <v>441.79</v>
      </c>
      <c r="O541" s="70">
        <f>SUMIF(Facebook!A:A,'Compilado 2023'!B:B,Facebook!B:B)</f>
        <v>86.13</v>
      </c>
      <c r="P541" s="71">
        <v>0</v>
      </c>
      <c r="Q541" s="70">
        <v>53.333333333333336</v>
      </c>
      <c r="R541" s="202">
        <f>IFERROR(VLOOKUP($B:$B,Tabela_Linkedin[],2,),0)</f>
        <v>1.45</v>
      </c>
      <c r="S541" s="70">
        <f>SUMIF(TikTok!A:A,'Compilado 2023'!B:B,TikTok!B:B)</f>
        <v>20</v>
      </c>
      <c r="T541" s="70">
        <v>0</v>
      </c>
      <c r="U541" s="71">
        <v>0</v>
      </c>
      <c r="V541" s="59"/>
      <c r="W541" s="70">
        <v>0</v>
      </c>
      <c r="X541" s="70">
        <v>0</v>
      </c>
      <c r="Y541" s="70">
        <v>0</v>
      </c>
      <c r="Z541" s="38"/>
      <c r="AA541" s="40"/>
    </row>
    <row r="542" spans="1:27" s="2" customFormat="1" x14ac:dyDescent="0.2">
      <c r="A542" s="16" t="s">
        <v>94</v>
      </c>
      <c r="B542" s="17">
        <v>45101</v>
      </c>
      <c r="C542" s="19">
        <v>31043.460000000003</v>
      </c>
      <c r="D542" s="52">
        <v>31017.65</v>
      </c>
      <c r="E542" s="52">
        <v>25.81</v>
      </c>
      <c r="F542" s="157">
        <v>126</v>
      </c>
      <c r="G542" s="157">
        <v>133</v>
      </c>
      <c r="H542" s="35">
        <v>246.37666666666669</v>
      </c>
      <c r="I542" s="19">
        <v>618.57333333333338</v>
      </c>
      <c r="J542" s="111">
        <v>50.185577565581013</v>
      </c>
      <c r="K542" s="53">
        <v>3355</v>
      </c>
      <c r="L542" s="54">
        <v>3.7555886736214607E-2</v>
      </c>
      <c r="M542" s="59"/>
      <c r="N542" s="69">
        <v>372.46</v>
      </c>
      <c r="O542" s="70">
        <f>SUMIF(Facebook!A:A,'Compilado 2023'!B:B,Facebook!B:B)</f>
        <v>110.59</v>
      </c>
      <c r="P542" s="71">
        <v>0</v>
      </c>
      <c r="Q542" s="70">
        <v>53.333333333333336</v>
      </c>
      <c r="R542" s="202">
        <f>IFERROR(VLOOKUP($B:$B,Tabela_Linkedin[],2,),0)</f>
        <v>0</v>
      </c>
      <c r="S542" s="70">
        <f>SUMIF(TikTok!A:A,'Compilado 2023'!B:B,TikTok!B:B)</f>
        <v>20</v>
      </c>
      <c r="T542" s="70">
        <v>0</v>
      </c>
      <c r="U542" s="71">
        <v>0</v>
      </c>
      <c r="V542" s="59"/>
      <c r="W542" s="70">
        <v>0</v>
      </c>
      <c r="X542" s="70">
        <v>0</v>
      </c>
      <c r="Y542" s="70">
        <v>0</v>
      </c>
      <c r="Z542" s="38"/>
      <c r="AA542" s="40"/>
    </row>
    <row r="543" spans="1:27" s="2" customFormat="1" x14ac:dyDescent="0.2">
      <c r="A543" s="16" t="s">
        <v>95</v>
      </c>
      <c r="B543" s="17">
        <v>45102</v>
      </c>
      <c r="C543" s="19">
        <v>24508.92</v>
      </c>
      <c r="D543" s="52">
        <v>24508.92</v>
      </c>
      <c r="E543" s="52">
        <v>0</v>
      </c>
      <c r="F543" s="157">
        <v>90</v>
      </c>
      <c r="G543" s="157">
        <v>109</v>
      </c>
      <c r="H543" s="35">
        <v>272.32133333333331</v>
      </c>
      <c r="I543" s="19">
        <v>648.01333333333332</v>
      </c>
      <c r="J543" s="111">
        <v>37.82162918458468</v>
      </c>
      <c r="K543" s="53">
        <v>2929</v>
      </c>
      <c r="L543" s="54">
        <v>3.0727210652099692E-2</v>
      </c>
      <c r="M543" s="59"/>
      <c r="N543" s="69">
        <v>391.29</v>
      </c>
      <c r="O543" s="70">
        <f>SUMIF(Facebook!A:A,'Compilado 2023'!B:B,Facebook!B:B)</f>
        <v>112.36</v>
      </c>
      <c r="P543" s="71">
        <v>0</v>
      </c>
      <c r="Q543" s="70">
        <v>53.333333333333336</v>
      </c>
      <c r="R543" s="202">
        <f>IFERROR(VLOOKUP($B:$B,Tabela_Linkedin[],2,),0)</f>
        <v>0</v>
      </c>
      <c r="S543" s="70">
        <f>SUMIF(TikTok!A:A,'Compilado 2023'!B:B,TikTok!B:B)</f>
        <v>20</v>
      </c>
      <c r="T543" s="70">
        <v>0</v>
      </c>
      <c r="U543" s="71">
        <v>0</v>
      </c>
      <c r="V543" s="59"/>
      <c r="W543" s="70">
        <v>0</v>
      </c>
      <c r="X543" s="70">
        <v>0</v>
      </c>
      <c r="Y543" s="70">
        <v>0</v>
      </c>
      <c r="Z543" s="38"/>
      <c r="AA543" s="40"/>
    </row>
    <row r="544" spans="1:27" s="2" customFormat="1" x14ac:dyDescent="0.2">
      <c r="A544" s="16" t="s">
        <v>96</v>
      </c>
      <c r="B544" s="17">
        <v>45103</v>
      </c>
      <c r="C544" s="19">
        <v>116688.49</v>
      </c>
      <c r="D544" s="52">
        <v>116688.49</v>
      </c>
      <c r="E544" s="52">
        <v>0</v>
      </c>
      <c r="F544" s="157">
        <v>522</v>
      </c>
      <c r="G544" s="157">
        <v>755</v>
      </c>
      <c r="H544" s="35">
        <v>223.54116858237549</v>
      </c>
      <c r="I544" s="19">
        <v>1204.6433333333332</v>
      </c>
      <c r="J544" s="111">
        <v>96.86559230532967</v>
      </c>
      <c r="K544" s="53">
        <v>6587</v>
      </c>
      <c r="L544" s="54">
        <v>7.9247001669955977E-2</v>
      </c>
      <c r="M544" s="59"/>
      <c r="N544" s="69">
        <v>636.51</v>
      </c>
      <c r="O544" s="70">
        <f>SUMIF(Facebook!A:A,'Compilado 2023'!B:B,Facebook!B:B)</f>
        <v>254.73</v>
      </c>
      <c r="P544" s="71">
        <v>0</v>
      </c>
      <c r="Q544" s="70">
        <v>53.333333333333336</v>
      </c>
      <c r="R544" s="202">
        <f>IFERROR(VLOOKUP($B:$B,Tabela_Linkedin[],2,),0)</f>
        <v>0</v>
      </c>
      <c r="S544" s="70">
        <f>SUMIF(TikTok!A:A,'Compilado 2023'!B:B,TikTok!B:B)</f>
        <v>69.75</v>
      </c>
      <c r="T544" s="70">
        <v>0</v>
      </c>
      <c r="U544" s="71">
        <v>0</v>
      </c>
      <c r="V544" s="59"/>
      <c r="W544" s="70">
        <v>0</v>
      </c>
      <c r="X544" s="70">
        <v>0</v>
      </c>
      <c r="Y544" s="70">
        <v>0</v>
      </c>
      <c r="Z544" s="38"/>
      <c r="AA544" s="40" t="s">
        <v>131</v>
      </c>
    </row>
    <row r="545" spans="1:27" s="2" customFormat="1" x14ac:dyDescent="0.2">
      <c r="A545" s="16" t="s">
        <v>97</v>
      </c>
      <c r="B545" s="17">
        <v>45104</v>
      </c>
      <c r="C545" s="19">
        <v>105816.79000000001</v>
      </c>
      <c r="D545" s="52">
        <v>105795.52</v>
      </c>
      <c r="E545" s="52">
        <v>21.27</v>
      </c>
      <c r="F545" s="157">
        <v>504</v>
      </c>
      <c r="G545" s="157">
        <v>704</v>
      </c>
      <c r="H545" s="35">
        <v>209.95394841269842</v>
      </c>
      <c r="I545" s="19">
        <v>1086.2433333333333</v>
      </c>
      <c r="J545" s="111">
        <v>97.415364267674832</v>
      </c>
      <c r="K545" s="53">
        <v>6722</v>
      </c>
      <c r="L545" s="54">
        <v>7.4977685212734305E-2</v>
      </c>
      <c r="M545" s="59"/>
      <c r="N545" s="69">
        <v>558.16999999999996</v>
      </c>
      <c r="O545" s="70">
        <f>SUMIF(Facebook!A:A,'Compilado 2023'!B:B,Facebook!B:B)</f>
        <v>234.69</v>
      </c>
      <c r="P545" s="71">
        <v>0</v>
      </c>
      <c r="Q545" s="70">
        <v>53.333333333333336</v>
      </c>
      <c r="R545" s="202">
        <f>IFERROR(VLOOKUP($B:$B,Tabela_Linkedin[],2,),0)</f>
        <v>0</v>
      </c>
      <c r="S545" s="70">
        <f>SUMIF(TikTok!A:A,'Compilado 2023'!B:B,TikTok!B:B)</f>
        <v>75.28</v>
      </c>
      <c r="T545" s="70">
        <v>0</v>
      </c>
      <c r="U545" s="71">
        <v>0</v>
      </c>
      <c r="V545" s="59"/>
      <c r="W545" s="70">
        <v>0</v>
      </c>
      <c r="X545" s="70">
        <v>0</v>
      </c>
      <c r="Y545" s="70">
        <v>0</v>
      </c>
      <c r="Z545" s="38"/>
      <c r="AA545" s="40" t="s">
        <v>132</v>
      </c>
    </row>
    <row r="546" spans="1:27" s="2" customFormat="1" x14ac:dyDescent="0.2">
      <c r="A546" s="16" t="s">
        <v>98</v>
      </c>
      <c r="B546" s="17">
        <v>45105</v>
      </c>
      <c r="C546" s="19">
        <v>68415.91</v>
      </c>
      <c r="D546" s="52">
        <v>68415.91</v>
      </c>
      <c r="E546" s="52">
        <v>0</v>
      </c>
      <c r="F546" s="157">
        <v>220</v>
      </c>
      <c r="G546" s="157">
        <v>291</v>
      </c>
      <c r="H546" s="35">
        <v>310.9814090909091</v>
      </c>
      <c r="I546" s="19">
        <v>1088.9033333333332</v>
      </c>
      <c r="J546" s="111">
        <v>62.830104294534877</v>
      </c>
      <c r="K546" s="53">
        <v>5691</v>
      </c>
      <c r="L546" s="54">
        <v>3.8657529432437179E-2</v>
      </c>
      <c r="M546" s="59"/>
      <c r="N546" s="69">
        <v>617.79</v>
      </c>
      <c r="O546" s="70">
        <f>SUMIF(Facebook!A:A,'Compilado 2023'!B:B,Facebook!B:B)</f>
        <v>227.28</v>
      </c>
      <c r="P546" s="71">
        <v>0</v>
      </c>
      <c r="Q546" s="70">
        <v>53.333333333333336</v>
      </c>
      <c r="R546" s="202">
        <f>IFERROR(VLOOKUP($B:$B,Tabela_Linkedin[],2,),0)</f>
        <v>0</v>
      </c>
      <c r="S546" s="70">
        <f>SUMIF(TikTok!A:A,'Compilado 2023'!B:B,TikTok!B:B)</f>
        <v>39.799999999999997</v>
      </c>
      <c r="T546" s="70">
        <v>0</v>
      </c>
      <c r="U546" s="71">
        <v>0</v>
      </c>
      <c r="V546" s="59"/>
      <c r="W546" s="70">
        <v>0</v>
      </c>
      <c r="X546" s="70">
        <v>0</v>
      </c>
      <c r="Y546" s="70">
        <v>0</v>
      </c>
      <c r="Z546" s="38"/>
      <c r="AA546" s="40" t="s">
        <v>133</v>
      </c>
    </row>
    <row r="547" spans="1:27" s="2" customFormat="1" x14ac:dyDescent="0.2">
      <c r="A547" s="16" t="s">
        <v>99</v>
      </c>
      <c r="B547" s="17">
        <v>45106</v>
      </c>
      <c r="C547" s="19">
        <v>72459.34</v>
      </c>
      <c r="D547" s="52">
        <v>72434.87</v>
      </c>
      <c r="E547" s="52">
        <v>24.47</v>
      </c>
      <c r="F547" s="157">
        <v>294</v>
      </c>
      <c r="G547" s="157">
        <v>386</v>
      </c>
      <c r="H547" s="35">
        <v>246.46034013605441</v>
      </c>
      <c r="I547" s="19">
        <v>1583.6333333333332</v>
      </c>
      <c r="J547" s="111">
        <v>45.755124292239366</v>
      </c>
      <c r="K547" s="53">
        <v>5634</v>
      </c>
      <c r="L547" s="54">
        <v>5.2183173588924388E-2</v>
      </c>
      <c r="M547" s="59"/>
      <c r="N547" s="69">
        <v>602.17999999999995</v>
      </c>
      <c r="O547" s="70">
        <f>SUMIF(Facebook!A:A,'Compilado 2023'!B:B,Facebook!B:B)</f>
        <v>472.36</v>
      </c>
      <c r="P547" s="71">
        <v>0</v>
      </c>
      <c r="Q547" s="70">
        <v>53.333333333333336</v>
      </c>
      <c r="R547" s="202">
        <f>IFERROR(VLOOKUP($B:$B,Tabela_Linkedin[],2,),0)</f>
        <v>1.4</v>
      </c>
      <c r="S547" s="70">
        <f>SUMIF(TikTok!A:A,'Compilado 2023'!B:B,TikTok!B:B)</f>
        <v>49.32</v>
      </c>
      <c r="T547" s="70">
        <v>0</v>
      </c>
      <c r="U547" s="71">
        <v>0</v>
      </c>
      <c r="V547" s="59"/>
      <c r="W547" s="70">
        <v>0</v>
      </c>
      <c r="X547" s="70">
        <v>0</v>
      </c>
      <c r="Y547" s="70">
        <v>0</v>
      </c>
      <c r="Z547" s="38"/>
      <c r="AA547" s="40" t="s">
        <v>134</v>
      </c>
    </row>
    <row r="548" spans="1:27" s="2" customFormat="1" x14ac:dyDescent="0.2">
      <c r="A548" s="16" t="s">
        <v>100</v>
      </c>
      <c r="B548" s="17">
        <v>45107</v>
      </c>
      <c r="C548" s="19">
        <v>95968.51</v>
      </c>
      <c r="D548" s="52">
        <v>95968.51</v>
      </c>
      <c r="E548" s="52">
        <v>0</v>
      </c>
      <c r="F548" s="157">
        <v>327</v>
      </c>
      <c r="G548" s="157">
        <v>493</v>
      </c>
      <c r="H548" s="35">
        <v>293.48168195718654</v>
      </c>
      <c r="I548" s="19">
        <v>1555.0733333333333</v>
      </c>
      <c r="J548" s="111">
        <v>61.713173226557373</v>
      </c>
      <c r="K548" s="53">
        <v>5181</v>
      </c>
      <c r="L548" s="54">
        <v>6.3115228720324268E-2</v>
      </c>
      <c r="M548" s="59"/>
      <c r="N548" s="69">
        <v>464.24</v>
      </c>
      <c r="O548" s="70">
        <f>SUMIF(Facebook!A:A,'Compilado 2023'!B:B,Facebook!B:B)</f>
        <v>506</v>
      </c>
      <c r="P548" s="71">
        <v>0</v>
      </c>
      <c r="Q548" s="70">
        <v>53.333333333333336</v>
      </c>
      <c r="R548" s="202">
        <f>IFERROR(VLOOKUP($B:$B,Tabela_Linkedin[],2,),0)</f>
        <v>5.0599999999999996</v>
      </c>
      <c r="S548" s="70">
        <f>SUMIF(TikTok!A:A,'Compilado 2023'!B:B,TikTok!B:B)</f>
        <v>62.2</v>
      </c>
      <c r="T548" s="70">
        <v>0</v>
      </c>
      <c r="U548" s="71">
        <v>0</v>
      </c>
      <c r="V548" s="59"/>
      <c r="W548" s="70">
        <v>0</v>
      </c>
      <c r="X548" s="70">
        <v>0</v>
      </c>
      <c r="Y548" s="70">
        <v>0</v>
      </c>
      <c r="Z548" s="38"/>
      <c r="AA548" s="40"/>
    </row>
    <row r="549" spans="1:27" s="2" customFormat="1" x14ac:dyDescent="0.2">
      <c r="A549" s="16" t="s">
        <v>94</v>
      </c>
      <c r="B549" s="17">
        <v>45108</v>
      </c>
      <c r="C549" s="19">
        <v>42346.6</v>
      </c>
      <c r="D549" s="52">
        <v>42324.13</v>
      </c>
      <c r="E549" s="52">
        <v>22.47</v>
      </c>
      <c r="F549" s="157">
        <v>157</v>
      </c>
      <c r="G549" s="157">
        <v>177</v>
      </c>
      <c r="H549" s="35">
        <v>269.72356687898088</v>
      </c>
      <c r="I549" s="19">
        <v>2004.7429032258062</v>
      </c>
      <c r="J549" s="111">
        <v>21.123207335893607</v>
      </c>
      <c r="K549" s="53">
        <v>3927</v>
      </c>
      <c r="L549" s="54">
        <v>3.9979628214922333E-2</v>
      </c>
      <c r="M549" s="59"/>
      <c r="N549" s="69">
        <v>468.71</v>
      </c>
      <c r="O549" s="70">
        <f>SUMIF(Facebook!A:A,'Compilado 2023'!B:B,Facebook!B:B)</f>
        <v>364.33</v>
      </c>
      <c r="P549" s="71">
        <v>0</v>
      </c>
      <c r="Q549" s="70">
        <v>51.612903225806448</v>
      </c>
      <c r="R549" s="202">
        <f>IFERROR(VLOOKUP($B:$B,Tabela_Linkedin[],2,),0)</f>
        <v>5.42</v>
      </c>
      <c r="S549" s="70">
        <f>SUMIF(TikTok!A:A,'Compilado 2023'!B:B,TikTok!B:B)</f>
        <v>40.590000000000003</v>
      </c>
      <c r="T549" s="70">
        <v>0</v>
      </c>
      <c r="U549" s="71">
        <v>0</v>
      </c>
      <c r="V549" s="59"/>
      <c r="W549" s="70">
        <v>0</v>
      </c>
      <c r="X549" s="70">
        <v>0</v>
      </c>
      <c r="Y549" s="70">
        <v>0</v>
      </c>
      <c r="Z549" s="38"/>
      <c r="AA549" s="40" t="s">
        <v>135</v>
      </c>
    </row>
    <row r="550" spans="1:27" s="2" customFormat="1" x14ac:dyDescent="0.2">
      <c r="A550" s="16" t="s">
        <v>95</v>
      </c>
      <c r="B550" s="17">
        <v>45109</v>
      </c>
      <c r="C550" s="19">
        <v>29860.62</v>
      </c>
      <c r="D550" s="52">
        <v>29860.62</v>
      </c>
      <c r="E550" s="52">
        <v>0</v>
      </c>
      <c r="F550" s="157">
        <v>116</v>
      </c>
      <c r="G550" s="157">
        <v>128</v>
      </c>
      <c r="H550" s="35">
        <v>257.41913793103447</v>
      </c>
      <c r="I550" s="19">
        <v>1523.1329032258063</v>
      </c>
      <c r="J550" s="111">
        <v>19.604737010643596</v>
      </c>
      <c r="K550" s="53">
        <v>3239</v>
      </c>
      <c r="L550" s="54">
        <v>3.5813522692188945E-2</v>
      </c>
      <c r="M550" s="59"/>
      <c r="N550" s="69">
        <v>446.52</v>
      </c>
      <c r="O550" s="70">
        <f>SUMIF(Facebook!A:A,'Compilado 2023'!B:B,Facebook!B:B)</f>
        <v>250.25</v>
      </c>
      <c r="P550" s="71">
        <v>0</v>
      </c>
      <c r="Q550" s="70">
        <v>51.612903225806448</v>
      </c>
      <c r="R550" s="202">
        <f>IFERROR(VLOOKUP($B:$B,Tabela_Linkedin[],2,),0)</f>
        <v>4.8</v>
      </c>
      <c r="S550" s="70">
        <f>SUMIF(TikTok!A:A,'Compilado 2023'!B:B,TikTok!B:B)</f>
        <v>41.71</v>
      </c>
      <c r="T550" s="70">
        <v>0</v>
      </c>
      <c r="U550" s="70">
        <v>0</v>
      </c>
      <c r="V550" s="59"/>
      <c r="W550" s="70">
        <v>0</v>
      </c>
      <c r="X550" s="70">
        <v>0</v>
      </c>
      <c r="Y550" s="70">
        <v>0</v>
      </c>
      <c r="Z550" s="38"/>
      <c r="AA550" s="40"/>
    </row>
    <row r="551" spans="1:27" s="2" customFormat="1" x14ac:dyDescent="0.2">
      <c r="A551" s="16" t="s">
        <v>96</v>
      </c>
      <c r="B551" s="17">
        <v>45110</v>
      </c>
      <c r="C551" s="19">
        <v>63094.61</v>
      </c>
      <c r="D551" s="52">
        <v>63069.1</v>
      </c>
      <c r="E551" s="52">
        <v>25.51</v>
      </c>
      <c r="F551" s="157">
        <v>223</v>
      </c>
      <c r="G551" s="157">
        <v>248</v>
      </c>
      <c r="H551" s="35">
        <v>282.93547085201794</v>
      </c>
      <c r="I551" s="19">
        <v>1513.3329032258064</v>
      </c>
      <c r="J551" s="111">
        <v>41.69248541778753</v>
      </c>
      <c r="K551" s="53">
        <v>5686</v>
      </c>
      <c r="L551" s="54">
        <v>3.9219134716848403E-2</v>
      </c>
      <c r="M551" s="59"/>
      <c r="N551" s="69">
        <v>532.65</v>
      </c>
      <c r="O551" s="70">
        <f>SUMIF(Facebook!A:A,'Compilado 2023'!B:B,Facebook!B:B)</f>
        <v>231.35</v>
      </c>
      <c r="P551" s="71">
        <v>0</v>
      </c>
      <c r="Q551" s="70">
        <v>51.612903225806448</v>
      </c>
      <c r="R551" s="202">
        <f>IFERROR(VLOOKUP($B:$B,Tabela_Linkedin[],2,),0)</f>
        <v>4.8600000000000003</v>
      </c>
      <c r="S551" s="70">
        <f>SUMIF(TikTok!A:A,'Compilado 2023'!B:B,TikTok!B:B)</f>
        <v>41.34</v>
      </c>
      <c r="T551" s="70">
        <v>0</v>
      </c>
      <c r="U551" s="70">
        <v>0</v>
      </c>
      <c r="V551" s="59"/>
      <c r="W551" s="70">
        <v>0</v>
      </c>
      <c r="X551" s="70">
        <v>0</v>
      </c>
      <c r="Y551" s="70">
        <v>0</v>
      </c>
      <c r="Z551" s="38"/>
      <c r="AA551" s="40" t="s">
        <v>10</v>
      </c>
    </row>
    <row r="552" spans="1:27" s="2" customFormat="1" x14ac:dyDescent="0.2">
      <c r="A552" s="16" t="s">
        <v>97</v>
      </c>
      <c r="B552" s="17">
        <v>45111</v>
      </c>
      <c r="C552" s="19">
        <v>51297.189999999995</v>
      </c>
      <c r="D552" s="52">
        <v>51273.24</v>
      </c>
      <c r="E552" s="52">
        <v>23.95</v>
      </c>
      <c r="F552" s="157">
        <v>182</v>
      </c>
      <c r="G552" s="157">
        <v>212</v>
      </c>
      <c r="H552" s="35">
        <v>281.85269230769228</v>
      </c>
      <c r="I552" s="19">
        <v>1642.3029032258064</v>
      </c>
      <c r="J552" s="111">
        <v>31.23491403397157</v>
      </c>
      <c r="K552" s="53">
        <v>5430</v>
      </c>
      <c r="L552" s="54">
        <v>3.3517495395948435E-2</v>
      </c>
      <c r="M552" s="59"/>
      <c r="N552" s="69">
        <v>713.77</v>
      </c>
      <c r="O552" s="70">
        <f>SUMIF(Facebook!A:A,'Compilado 2023'!B:B,Facebook!B:B)</f>
        <v>232.43</v>
      </c>
      <c r="P552" s="71">
        <v>0</v>
      </c>
      <c r="Q552" s="70">
        <v>51.612903225806448</v>
      </c>
      <c r="R552" s="202">
        <f>IFERROR(VLOOKUP($B:$B,Tabela_Linkedin[],2,),0)</f>
        <v>5.17</v>
      </c>
      <c r="S552" s="70">
        <f>SUMIF(TikTok!A:A,'Compilado 2023'!B:B,TikTok!B:B)</f>
        <v>41.86</v>
      </c>
      <c r="T552" s="70">
        <v>0</v>
      </c>
      <c r="U552" s="70">
        <v>0</v>
      </c>
      <c r="V552" s="59"/>
      <c r="W552" s="70">
        <v>0</v>
      </c>
      <c r="X552" s="70">
        <v>0</v>
      </c>
      <c r="Y552" s="70">
        <v>0</v>
      </c>
      <c r="Z552" s="38"/>
      <c r="AA552" s="40"/>
    </row>
    <row r="553" spans="1:27" s="2" customFormat="1" x14ac:dyDescent="0.2">
      <c r="A553" s="16" t="s">
        <v>98</v>
      </c>
      <c r="B553" s="17">
        <v>45112</v>
      </c>
      <c r="C553" s="19">
        <v>57068.22</v>
      </c>
      <c r="D553" s="52">
        <v>57068.22</v>
      </c>
      <c r="E553" s="52">
        <v>0</v>
      </c>
      <c r="F553" s="157">
        <v>196</v>
      </c>
      <c r="G553" s="157">
        <v>222</v>
      </c>
      <c r="H553" s="35">
        <v>291.16438775510204</v>
      </c>
      <c r="I553" s="19">
        <v>1657.3129032258062</v>
      </c>
      <c r="J553" s="111">
        <v>34.434185535466476</v>
      </c>
      <c r="K553" s="53">
        <v>5074</v>
      </c>
      <c r="L553" s="54">
        <v>3.8628301143082383E-2</v>
      </c>
      <c r="M553" s="59"/>
      <c r="N553" s="69">
        <v>745.55</v>
      </c>
      <c r="O553" s="70">
        <f>SUMIF(Facebook!A:A,'Compilado 2023'!B:B,Facebook!B:B)</f>
        <v>245.91</v>
      </c>
      <c r="P553" s="71">
        <v>0</v>
      </c>
      <c r="Q553" s="70">
        <v>51.612903225806448</v>
      </c>
      <c r="R553" s="202">
        <f>IFERROR(VLOOKUP($B:$B,Tabela_Linkedin[],2,),0)</f>
        <v>0</v>
      </c>
      <c r="S553" s="70">
        <f>SUMIF(TikTok!A:A,'Compilado 2023'!B:B,TikTok!B:B)</f>
        <v>35.07</v>
      </c>
      <c r="T553" s="70">
        <v>0</v>
      </c>
      <c r="U553" s="70">
        <v>0</v>
      </c>
      <c r="V553" s="59"/>
      <c r="W553" s="70">
        <v>0</v>
      </c>
      <c r="X553" s="70">
        <v>0</v>
      </c>
      <c r="Y553" s="70">
        <v>0</v>
      </c>
      <c r="Z553" s="38"/>
      <c r="AA553" s="40"/>
    </row>
    <row r="554" spans="1:27" s="2" customFormat="1" x14ac:dyDescent="0.2">
      <c r="A554" s="16" t="s">
        <v>99</v>
      </c>
      <c r="B554" s="17">
        <v>45113</v>
      </c>
      <c r="C554" s="19">
        <v>67730.460000000006</v>
      </c>
      <c r="D554" s="52">
        <v>67730.460000000006</v>
      </c>
      <c r="E554" s="52">
        <v>0</v>
      </c>
      <c r="F554" s="157">
        <v>248</v>
      </c>
      <c r="G554" s="157">
        <v>290</v>
      </c>
      <c r="H554" s="35">
        <v>273.10669354838711</v>
      </c>
      <c r="I554" s="19">
        <v>2166.2329032258062</v>
      </c>
      <c r="J554" s="111">
        <v>31.266471808797856</v>
      </c>
      <c r="K554" s="53">
        <v>5305</v>
      </c>
      <c r="L554" s="54">
        <v>4.6748350612629594E-2</v>
      </c>
      <c r="M554" s="59"/>
      <c r="N554" s="69">
        <v>798.92</v>
      </c>
      <c r="O554" s="70">
        <f>SUMIF(Facebook!A:A,'Compilado 2023'!B:B,Facebook!B:B)</f>
        <v>346.48</v>
      </c>
      <c r="P554" s="71">
        <v>0</v>
      </c>
      <c r="Q554" s="70">
        <v>51.612903225806448</v>
      </c>
      <c r="R554" s="202">
        <f>IFERROR(VLOOKUP($B:$B,Tabela_Linkedin[],2,),0)</f>
        <v>5.55</v>
      </c>
      <c r="S554" s="70">
        <f>SUMIF(TikTok!A:A,'Compilado 2023'!B:B,TikTok!B:B)</f>
        <v>17.22</v>
      </c>
      <c r="T554" s="70">
        <v>0</v>
      </c>
      <c r="U554" s="70">
        <v>0</v>
      </c>
      <c r="V554" s="59"/>
      <c r="W554" s="70">
        <v>0</v>
      </c>
      <c r="X554" s="70">
        <v>0</v>
      </c>
      <c r="Y554" s="70">
        <v>0</v>
      </c>
      <c r="Z554" s="38"/>
      <c r="AA554" s="40" t="s">
        <v>136</v>
      </c>
    </row>
    <row r="555" spans="1:27" s="2" customFormat="1" x14ac:dyDescent="0.2">
      <c r="A555" s="16" t="s">
        <v>100</v>
      </c>
      <c r="B555" s="17">
        <v>45114</v>
      </c>
      <c r="C555" s="19">
        <v>58300.55</v>
      </c>
      <c r="D555" s="52">
        <v>58300.55</v>
      </c>
      <c r="E555" s="52">
        <v>0</v>
      </c>
      <c r="F555" s="157">
        <v>230</v>
      </c>
      <c r="G555" s="157">
        <v>273</v>
      </c>
      <c r="H555" s="35">
        <v>253.48065217391306</v>
      </c>
      <c r="I555" s="19">
        <v>2886.3629032258068</v>
      </c>
      <c r="J555" s="111">
        <v>20.198620878491457</v>
      </c>
      <c r="K555" s="53">
        <v>5122</v>
      </c>
      <c r="L555" s="54">
        <v>4.4904334244435767E-2</v>
      </c>
      <c r="M555" s="59"/>
      <c r="N555" s="69">
        <v>719.43</v>
      </c>
      <c r="O555" s="70">
        <f>SUMIF(Facebook!A:A,'Compilado 2023'!B:B,Facebook!B:B)</f>
        <v>402.54</v>
      </c>
      <c r="P555" s="71">
        <v>0</v>
      </c>
      <c r="Q555" s="70">
        <v>51.612903225806448</v>
      </c>
      <c r="R555" s="202">
        <f>IFERROR(VLOOKUP($B:$B,Tabela_Linkedin[],2,),0)</f>
        <v>5.0199999999999996</v>
      </c>
      <c r="S555" s="70">
        <f>SUMIF(TikTok!A:A,'Compilado 2023'!B:B,TikTok!B:B)</f>
        <v>5.24</v>
      </c>
      <c r="T555" s="70">
        <v>0</v>
      </c>
      <c r="U555" s="70">
        <v>0</v>
      </c>
      <c r="V555" s="59"/>
      <c r="W555" s="70">
        <v>0</v>
      </c>
      <c r="X555" s="70">
        <v>0</v>
      </c>
      <c r="Y555" s="70">
        <v>0</v>
      </c>
      <c r="Z555" s="38"/>
      <c r="AA555" s="40" t="s">
        <v>137</v>
      </c>
    </row>
    <row r="556" spans="1:27" s="2" customFormat="1" x14ac:dyDescent="0.2">
      <c r="A556" s="16" t="s">
        <v>94</v>
      </c>
      <c r="B556" s="17">
        <v>45115</v>
      </c>
      <c r="C556" s="19">
        <v>35975.949999999997</v>
      </c>
      <c r="D556" s="52">
        <v>35975.949999999997</v>
      </c>
      <c r="E556" s="52">
        <v>0</v>
      </c>
      <c r="F556" s="157">
        <v>139</v>
      </c>
      <c r="G556" s="157">
        <v>154</v>
      </c>
      <c r="H556" s="35">
        <v>258.81978417266185</v>
      </c>
      <c r="I556" s="19">
        <v>2913.6129032258063</v>
      </c>
      <c r="J556" s="111">
        <v>12.347539359181594</v>
      </c>
      <c r="K556" s="53">
        <v>4070</v>
      </c>
      <c r="L556" s="54">
        <v>3.4152334152334152E-2</v>
      </c>
      <c r="M556" s="59"/>
      <c r="N556" s="69">
        <v>843.49</v>
      </c>
      <c r="O556" s="70">
        <f>SUMIF(Facebook!A:A,'Compilado 2023'!B:B,Facebook!B:B)</f>
        <v>485.3</v>
      </c>
      <c r="P556" s="71">
        <v>0</v>
      </c>
      <c r="Q556" s="70">
        <v>51.612903225806448</v>
      </c>
      <c r="R556" s="202">
        <f>IFERROR(VLOOKUP($B:$B,Tabela_Linkedin[],2,),0)</f>
        <v>3.04</v>
      </c>
      <c r="S556" s="70">
        <f>SUMIF(TikTok!A:A,'Compilado 2023'!B:B,TikTok!B:B)</f>
        <v>0</v>
      </c>
      <c r="T556" s="70">
        <v>0</v>
      </c>
      <c r="U556" s="70">
        <v>0</v>
      </c>
      <c r="V556" s="59"/>
      <c r="W556" s="70">
        <v>0</v>
      </c>
      <c r="X556" s="70">
        <v>0</v>
      </c>
      <c r="Y556" s="70">
        <v>0</v>
      </c>
      <c r="Z556" s="38"/>
      <c r="AA556" s="40"/>
    </row>
    <row r="557" spans="1:27" s="2" customFormat="1" x14ac:dyDescent="0.2">
      <c r="A557" s="16" t="s">
        <v>95</v>
      </c>
      <c r="B557" s="17">
        <v>45116</v>
      </c>
      <c r="C557" s="19">
        <v>29340.36</v>
      </c>
      <c r="D557" s="52">
        <v>29303.97</v>
      </c>
      <c r="E557" s="52">
        <v>36.39</v>
      </c>
      <c r="F557" s="157">
        <v>102</v>
      </c>
      <c r="G557" s="157">
        <v>122</v>
      </c>
      <c r="H557" s="35">
        <v>287.65058823529415</v>
      </c>
      <c r="I557" s="19">
        <v>2724.0729032258064</v>
      </c>
      <c r="J557" s="111">
        <v>10.77076900741371</v>
      </c>
      <c r="K557" s="53">
        <v>3898</v>
      </c>
      <c r="L557" s="54">
        <v>2.6167265264238071E-2</v>
      </c>
      <c r="M557" s="59"/>
      <c r="N557" s="69">
        <v>1026.8499999999999</v>
      </c>
      <c r="O557" s="70">
        <f>SUMIF(Facebook!A:A,'Compilado 2023'!B:B,Facebook!B:B)</f>
        <v>456.99</v>
      </c>
      <c r="P557" s="71">
        <v>0</v>
      </c>
      <c r="Q557" s="70">
        <v>51.612903225806448</v>
      </c>
      <c r="R557" s="202">
        <f>IFERROR(VLOOKUP($B:$B,Tabela_Linkedin[],2,),0)</f>
        <v>4.66</v>
      </c>
      <c r="S557" s="70">
        <f>SUMIF(TikTok!A:A,'Compilado 2023'!B:B,TikTok!B:B)</f>
        <v>0</v>
      </c>
      <c r="T557" s="70">
        <v>0</v>
      </c>
      <c r="U557" s="70">
        <v>0</v>
      </c>
      <c r="V557" s="59"/>
      <c r="W557" s="70">
        <v>0</v>
      </c>
      <c r="X557" s="70">
        <v>0</v>
      </c>
      <c r="Y557" s="70">
        <v>0</v>
      </c>
      <c r="Z557" s="38"/>
      <c r="AA557" s="40"/>
    </row>
    <row r="558" spans="1:27" s="2" customFormat="1" x14ac:dyDescent="0.2">
      <c r="A558" s="16" t="s">
        <v>96</v>
      </c>
      <c r="B558" s="17">
        <v>45117</v>
      </c>
      <c r="C558" s="19">
        <v>61533.279999999999</v>
      </c>
      <c r="D558" s="52">
        <v>61533.279999999999</v>
      </c>
      <c r="E558" s="52">
        <v>0</v>
      </c>
      <c r="F558" s="157">
        <v>227</v>
      </c>
      <c r="G558" s="157">
        <v>268</v>
      </c>
      <c r="H558" s="35">
        <v>271.07171806167401</v>
      </c>
      <c r="I558" s="19">
        <v>3480.3329032258066</v>
      </c>
      <c r="J558" s="111">
        <v>17.680285682719266</v>
      </c>
      <c r="K558" s="53">
        <v>5968</v>
      </c>
      <c r="L558" s="54">
        <v>3.8036193029490614E-2</v>
      </c>
      <c r="M558" s="59"/>
      <c r="N558" s="69">
        <v>1164.1400000000001</v>
      </c>
      <c r="O558" s="70">
        <f>SUMIF(Facebook!A:A,'Compilado 2023'!B:B,Facebook!B:B)</f>
        <v>529.69000000000005</v>
      </c>
      <c r="P558" s="71">
        <v>0</v>
      </c>
      <c r="Q558" s="70">
        <v>51.612903225806448</v>
      </c>
      <c r="R558" s="202">
        <f>IFERROR(VLOOKUP($B:$B,Tabela_Linkedin[],2,),0)</f>
        <v>0</v>
      </c>
      <c r="S558" s="70">
        <f>SUMIF(TikTok!A:A,'Compilado 2023'!B:B,TikTok!B:B)</f>
        <v>0</v>
      </c>
      <c r="T558" s="70">
        <v>0</v>
      </c>
      <c r="U558" s="70">
        <v>0</v>
      </c>
      <c r="V558" s="59"/>
      <c r="W558" s="70">
        <v>0</v>
      </c>
      <c r="X558" s="70">
        <v>0</v>
      </c>
      <c r="Y558" s="70">
        <v>0</v>
      </c>
      <c r="Z558" s="38"/>
      <c r="AA558" s="40" t="s">
        <v>138</v>
      </c>
    </row>
    <row r="559" spans="1:27" s="2" customFormat="1" x14ac:dyDescent="0.2">
      <c r="A559" s="16" t="s">
        <v>97</v>
      </c>
      <c r="B559" s="17">
        <v>45118</v>
      </c>
      <c r="C559" s="19">
        <v>63601.54</v>
      </c>
      <c r="D559" s="52">
        <v>63601.54</v>
      </c>
      <c r="E559" s="52">
        <v>0</v>
      </c>
      <c r="F559" s="157">
        <v>229</v>
      </c>
      <c r="G559" s="157">
        <v>262</v>
      </c>
      <c r="H559" s="35">
        <v>277.73598253275111</v>
      </c>
      <c r="I559" s="19">
        <v>2949.1029032258061</v>
      </c>
      <c r="J559" s="111">
        <v>21.566402423744172</v>
      </c>
      <c r="K559" s="53">
        <v>5753</v>
      </c>
      <c r="L559" s="54">
        <v>3.9805318964018774E-2</v>
      </c>
      <c r="M559" s="59"/>
      <c r="N559" s="69">
        <v>877.59</v>
      </c>
      <c r="O559" s="70">
        <f>SUMIF(Facebook!A:A,'Compilado 2023'!B:B,Facebook!B:B)</f>
        <v>396.19</v>
      </c>
      <c r="P559" s="71">
        <v>0</v>
      </c>
      <c r="Q559" s="70">
        <v>51.612903225806448</v>
      </c>
      <c r="R559" s="202">
        <f>IFERROR(VLOOKUP($B:$B,Tabela_Linkedin[],2,),0)</f>
        <v>0</v>
      </c>
      <c r="S559" s="70">
        <f>SUMIF(TikTok!A:A,'Compilado 2023'!B:B,TikTok!B:B)</f>
        <v>0</v>
      </c>
      <c r="T559" s="70">
        <v>0</v>
      </c>
      <c r="U559" s="70">
        <v>0</v>
      </c>
      <c r="V559" s="59"/>
      <c r="W559" s="70">
        <v>0</v>
      </c>
      <c r="X559" s="70">
        <v>0</v>
      </c>
      <c r="Y559" s="70">
        <v>0</v>
      </c>
      <c r="Z559" s="38"/>
      <c r="AA559" s="40"/>
    </row>
    <row r="560" spans="1:27" s="2" customFormat="1" x14ac:dyDescent="0.2">
      <c r="A560" s="16" t="s">
        <v>98</v>
      </c>
      <c r="B560" s="17">
        <v>45119</v>
      </c>
      <c r="C560" s="19">
        <v>62310.720000000001</v>
      </c>
      <c r="D560" s="52">
        <v>62310.720000000001</v>
      </c>
      <c r="E560" s="52">
        <v>0</v>
      </c>
      <c r="F560" s="157">
        <v>211</v>
      </c>
      <c r="G560" s="157">
        <v>243</v>
      </c>
      <c r="H560" s="35">
        <v>295.31146919431279</v>
      </c>
      <c r="I560" s="19">
        <v>2735.4529032258065</v>
      </c>
      <c r="J560" s="111">
        <v>22.778940893670494</v>
      </c>
      <c r="K560" s="53">
        <v>5662</v>
      </c>
      <c r="L560" s="54">
        <v>3.7265983751324623E-2</v>
      </c>
      <c r="M560" s="59"/>
      <c r="N560" s="69">
        <v>1237.43</v>
      </c>
      <c r="O560" s="70">
        <f>SUMIF(Facebook!A:A,'Compilado 2023'!B:B,Facebook!B:B)</f>
        <v>360.56</v>
      </c>
      <c r="P560" s="71">
        <v>0</v>
      </c>
      <c r="Q560" s="70">
        <v>51.612903225806448</v>
      </c>
      <c r="R560" s="202">
        <f>IFERROR(VLOOKUP($B:$B,Tabela_Linkedin[],2,),0)</f>
        <v>0.97</v>
      </c>
      <c r="S560" s="70">
        <f>SUMIF(TikTok!A:A,'Compilado 2023'!B:B,TikTok!B:B)</f>
        <v>0</v>
      </c>
      <c r="T560" s="70">
        <v>0</v>
      </c>
      <c r="U560" s="70">
        <v>0</v>
      </c>
      <c r="V560" s="59"/>
      <c r="W560" s="70">
        <v>0</v>
      </c>
      <c r="X560" s="70">
        <v>0</v>
      </c>
      <c r="Y560" s="70">
        <v>0</v>
      </c>
      <c r="Z560" s="38"/>
      <c r="AA560" s="40" t="s">
        <v>139</v>
      </c>
    </row>
    <row r="561" spans="1:27" s="2" customFormat="1" x14ac:dyDescent="0.2">
      <c r="A561" s="16" t="s">
        <v>99</v>
      </c>
      <c r="B561" s="17">
        <v>45120</v>
      </c>
      <c r="C561" s="19">
        <v>60212.45</v>
      </c>
      <c r="D561" s="52">
        <v>60212.45</v>
      </c>
      <c r="E561" s="52">
        <v>0</v>
      </c>
      <c r="F561" s="157">
        <v>206</v>
      </c>
      <c r="G561" s="157">
        <v>229</v>
      </c>
      <c r="H561" s="35">
        <v>292.29344660194175</v>
      </c>
      <c r="I561" s="19">
        <v>2107.3429032258064</v>
      </c>
      <c r="J561" s="111">
        <v>28.572687391230939</v>
      </c>
      <c r="K561" s="53">
        <v>5299</v>
      </c>
      <c r="L561" s="54">
        <v>3.8875259482921302E-2</v>
      </c>
      <c r="M561" s="59"/>
      <c r="N561" s="69">
        <v>770.22</v>
      </c>
      <c r="O561" s="70">
        <f>SUMIF(Facebook!A:A,'Compilado 2023'!B:B,Facebook!B:B)</f>
        <v>204.85</v>
      </c>
      <c r="P561" s="71">
        <v>0</v>
      </c>
      <c r="Q561" s="70">
        <v>51.612903225806448</v>
      </c>
      <c r="R561" s="202">
        <f>IFERROR(VLOOKUP($B:$B,Tabela_Linkedin[],2,),0)</f>
        <v>1.1200000000000001</v>
      </c>
      <c r="S561" s="70">
        <f>SUMIF(TikTok!A:A,'Compilado 2023'!B:B,TikTok!B:B)</f>
        <v>0</v>
      </c>
      <c r="T561" s="70">
        <v>0</v>
      </c>
      <c r="U561" s="70">
        <v>0</v>
      </c>
      <c r="V561" s="59"/>
      <c r="W561" s="70">
        <v>0</v>
      </c>
      <c r="X561" s="70">
        <v>0</v>
      </c>
      <c r="Y561" s="70">
        <v>0</v>
      </c>
      <c r="Z561" s="38"/>
      <c r="AA561" s="40"/>
    </row>
    <row r="562" spans="1:27" s="2" customFormat="1" x14ac:dyDescent="0.2">
      <c r="A562" s="16" t="s">
        <v>100</v>
      </c>
      <c r="B562" s="17">
        <v>45121</v>
      </c>
      <c r="C562" s="19">
        <v>67998.05</v>
      </c>
      <c r="D562" s="52">
        <v>67998.05</v>
      </c>
      <c r="E562" s="52">
        <v>0</v>
      </c>
      <c r="F562" s="157">
        <v>234</v>
      </c>
      <c r="G562" s="157">
        <v>267</v>
      </c>
      <c r="H562" s="35">
        <v>290.58995726495726</v>
      </c>
      <c r="I562" s="19">
        <v>2233.8129032258066</v>
      </c>
      <c r="J562" s="111">
        <v>30.440351518162203</v>
      </c>
      <c r="K562" s="53">
        <v>5028</v>
      </c>
      <c r="L562" s="54">
        <v>4.6539379474940336E-2</v>
      </c>
      <c r="M562" s="59"/>
      <c r="N562" s="69">
        <v>704.24</v>
      </c>
      <c r="O562" s="70">
        <f>SUMIF(Facebook!A:A,'Compilado 2023'!B:B,Facebook!B:B)</f>
        <v>203.34</v>
      </c>
      <c r="P562" s="71">
        <v>0</v>
      </c>
      <c r="Q562" s="70">
        <v>51.612903225806448</v>
      </c>
      <c r="R562" s="202">
        <f>IFERROR(VLOOKUP($B:$B,Tabela_Linkedin[],2,),0)</f>
        <v>1.05</v>
      </c>
      <c r="S562" s="70">
        <f>SUMIF(TikTok!A:A,'Compilado 2023'!B:B,TikTok!B:B)</f>
        <v>0</v>
      </c>
      <c r="T562" s="70">
        <v>0</v>
      </c>
      <c r="U562" s="70">
        <v>0</v>
      </c>
      <c r="V562" s="59"/>
      <c r="W562" s="70">
        <v>0</v>
      </c>
      <c r="X562" s="70">
        <v>0</v>
      </c>
      <c r="Y562" s="70">
        <v>0</v>
      </c>
      <c r="Z562" s="38"/>
      <c r="AA562" s="40"/>
    </row>
    <row r="563" spans="1:27" s="2" customFormat="1" x14ac:dyDescent="0.2">
      <c r="A563" s="16" t="s">
        <v>94</v>
      </c>
      <c r="B563" s="17">
        <v>45122</v>
      </c>
      <c r="C563" s="19">
        <v>38647.75</v>
      </c>
      <c r="D563" s="52">
        <v>38647.75</v>
      </c>
      <c r="E563" s="52">
        <v>0</v>
      </c>
      <c r="F563" s="157">
        <v>145</v>
      </c>
      <c r="G563" s="157">
        <v>166</v>
      </c>
      <c r="H563" s="35">
        <v>266.53620689655173</v>
      </c>
      <c r="I563" s="19">
        <v>2012.7029032258063</v>
      </c>
      <c r="J563" s="111">
        <v>19.201914966216993</v>
      </c>
      <c r="K563" s="53">
        <v>3757</v>
      </c>
      <c r="L563" s="54">
        <v>3.8594623369709875E-2</v>
      </c>
      <c r="M563" s="59"/>
      <c r="N563" s="69">
        <v>587.48</v>
      </c>
      <c r="O563" s="70">
        <f>SUMIF(Facebook!A:A,'Compilado 2023'!B:B,Facebook!B:B)</f>
        <v>212.55</v>
      </c>
      <c r="P563" s="71">
        <v>0</v>
      </c>
      <c r="Q563" s="70">
        <v>51.612903225806448</v>
      </c>
      <c r="R563" s="202">
        <f>IFERROR(VLOOKUP($B:$B,Tabela_Linkedin[],2,),0)</f>
        <v>2.34</v>
      </c>
      <c r="S563" s="70">
        <f>SUMIF(TikTok!A:A,'Compilado 2023'!B:B,TikTok!B:B)</f>
        <v>0</v>
      </c>
      <c r="T563" s="70">
        <v>0</v>
      </c>
      <c r="U563" s="70">
        <v>0</v>
      </c>
      <c r="V563" s="59"/>
      <c r="W563" s="70">
        <v>0</v>
      </c>
      <c r="X563" s="70">
        <v>0</v>
      </c>
      <c r="Y563" s="70">
        <v>0</v>
      </c>
      <c r="Z563" s="38"/>
      <c r="AA563" s="40"/>
    </row>
    <row r="564" spans="1:27" s="2" customFormat="1" x14ac:dyDescent="0.2">
      <c r="A564" s="16" t="s">
        <v>95</v>
      </c>
      <c r="B564" s="17">
        <v>45123</v>
      </c>
      <c r="C564" s="19">
        <v>26806.639999999999</v>
      </c>
      <c r="D564" s="52">
        <v>26806.639999999999</v>
      </c>
      <c r="E564" s="52">
        <v>0</v>
      </c>
      <c r="F564" s="157">
        <v>99</v>
      </c>
      <c r="G564" s="157">
        <v>106</v>
      </c>
      <c r="H564" s="35">
        <v>270.77414141414141</v>
      </c>
      <c r="I564" s="19">
        <v>1798.8329032258061</v>
      </c>
      <c r="J564" s="111">
        <v>14.902240198035216</v>
      </c>
      <c r="K564" s="53">
        <v>3159</v>
      </c>
      <c r="L564" s="54">
        <v>3.1339031339031341E-2</v>
      </c>
      <c r="M564" s="59"/>
      <c r="N564" s="69">
        <v>610.47</v>
      </c>
      <c r="O564" s="70">
        <f>SUMIF(Facebook!A:A,'Compilado 2023'!B:B,Facebook!B:B)</f>
        <v>220.22</v>
      </c>
      <c r="P564" s="71">
        <v>0</v>
      </c>
      <c r="Q564" s="70">
        <v>51.612903225806448</v>
      </c>
      <c r="R564" s="202">
        <f>IFERROR(VLOOKUP($B:$B,Tabela_Linkedin[],2,),0)</f>
        <v>4.95</v>
      </c>
      <c r="S564" s="70">
        <f>SUMIF(TikTok!A:A,'Compilado 2023'!B:B,TikTok!B:B)</f>
        <v>0</v>
      </c>
      <c r="T564" s="70">
        <v>0</v>
      </c>
      <c r="U564" s="70">
        <v>0</v>
      </c>
      <c r="V564" s="59"/>
      <c r="W564" s="70">
        <v>0</v>
      </c>
      <c r="X564" s="70">
        <v>0</v>
      </c>
      <c r="Y564" s="70">
        <v>0</v>
      </c>
      <c r="Z564" s="38"/>
      <c r="AA564" s="40" t="s">
        <v>140</v>
      </c>
    </row>
    <row r="565" spans="1:27" s="2" customFormat="1" x14ac:dyDescent="0.2">
      <c r="A565" s="16" t="s">
        <v>96</v>
      </c>
      <c r="B565" s="17">
        <v>45124</v>
      </c>
      <c r="C565" s="19">
        <v>67591.179999999993</v>
      </c>
      <c r="D565" s="52">
        <v>67591.179999999993</v>
      </c>
      <c r="E565" s="52">
        <v>0</v>
      </c>
      <c r="F565" s="157">
        <v>227</v>
      </c>
      <c r="G565" s="157">
        <v>264</v>
      </c>
      <c r="H565" s="35">
        <v>297.75850220264311</v>
      </c>
      <c r="I565" s="19">
        <v>1861.3429032258066</v>
      </c>
      <c r="J565" s="111">
        <v>36.313126336292399</v>
      </c>
      <c r="K565" s="53">
        <v>5415</v>
      </c>
      <c r="L565" s="54">
        <v>4.1920590951061862E-2</v>
      </c>
      <c r="M565" s="59"/>
      <c r="N565" s="69">
        <v>985.29</v>
      </c>
      <c r="O565" s="70">
        <f>SUMIF(Facebook!A:A,'Compilado 2023'!B:B,Facebook!B:B)</f>
        <v>184.37</v>
      </c>
      <c r="P565" s="71">
        <v>0</v>
      </c>
      <c r="Q565" s="70">
        <v>51.612903225806448</v>
      </c>
      <c r="R565" s="202">
        <f>IFERROR(VLOOKUP($B:$B,Tabela_Linkedin[],2,),0)</f>
        <v>2.1800000000000002</v>
      </c>
      <c r="S565" s="70">
        <f>SUMIF(TikTok!A:A,'Compilado 2023'!B:B,TikTok!B:B)</f>
        <v>0</v>
      </c>
      <c r="T565" s="70">
        <v>0</v>
      </c>
      <c r="U565" s="70">
        <v>0</v>
      </c>
      <c r="V565" s="59"/>
      <c r="W565" s="70">
        <v>0</v>
      </c>
      <c r="X565" s="70">
        <v>0</v>
      </c>
      <c r="Y565" s="70">
        <v>0</v>
      </c>
      <c r="Z565" s="38"/>
      <c r="AA565" s="40"/>
    </row>
    <row r="566" spans="1:27" s="2" customFormat="1" x14ac:dyDescent="0.2">
      <c r="A566" s="16" t="s">
        <v>97</v>
      </c>
      <c r="B566" s="17">
        <v>45125</v>
      </c>
      <c r="C566" s="19">
        <v>40260.420000000006</v>
      </c>
      <c r="D566" s="52">
        <v>40213.870000000003</v>
      </c>
      <c r="E566" s="52">
        <v>46.55</v>
      </c>
      <c r="F566" s="157">
        <v>147</v>
      </c>
      <c r="G566" s="157">
        <v>174</v>
      </c>
      <c r="H566" s="35">
        <v>273.88040816326537</v>
      </c>
      <c r="I566" s="19">
        <v>1531.7929032258066</v>
      </c>
      <c r="J566" s="111">
        <v>26.283200500025483</v>
      </c>
      <c r="K566" s="53">
        <v>5161</v>
      </c>
      <c r="L566" s="54">
        <v>2.8482852160434023E-2</v>
      </c>
      <c r="M566" s="59"/>
      <c r="N566" s="69">
        <v>898.43</v>
      </c>
      <c r="O566" s="70">
        <f>SUMIF(Facebook!A:A,'Compilado 2023'!B:B,Facebook!B:B)</f>
        <v>182.08</v>
      </c>
      <c r="P566" s="71">
        <v>0</v>
      </c>
      <c r="Q566" s="70">
        <v>51.612903225806448</v>
      </c>
      <c r="R566" s="202">
        <f>IFERROR(VLOOKUP($B:$B,Tabela_Linkedin[],2,),0)</f>
        <v>0.38</v>
      </c>
      <c r="S566" s="70">
        <f>SUMIF(TikTok!A:A,'Compilado 2023'!B:B,TikTok!B:B)</f>
        <v>0</v>
      </c>
      <c r="T566" s="70">
        <v>0</v>
      </c>
      <c r="U566" s="70">
        <v>0</v>
      </c>
      <c r="V566" s="59"/>
      <c r="W566" s="70">
        <v>0</v>
      </c>
      <c r="X566" s="70">
        <v>0</v>
      </c>
      <c r="Y566" s="70">
        <v>0</v>
      </c>
      <c r="Z566" s="38"/>
      <c r="AA566" s="40" t="s">
        <v>141</v>
      </c>
    </row>
    <row r="567" spans="1:27" s="2" customFormat="1" x14ac:dyDescent="0.2">
      <c r="A567" s="16" t="s">
        <v>98</v>
      </c>
      <c r="B567" s="17">
        <v>45126</v>
      </c>
      <c r="C567" s="19">
        <v>47614.62</v>
      </c>
      <c r="D567" s="52">
        <v>47614.62</v>
      </c>
      <c r="E567" s="52">
        <v>0</v>
      </c>
      <c r="F567" s="157">
        <v>177</v>
      </c>
      <c r="G567" s="157">
        <v>199</v>
      </c>
      <c r="H567" s="35">
        <v>269.00915254237287</v>
      </c>
      <c r="I567" s="19">
        <v>1457.7429032258062</v>
      </c>
      <c r="J567" s="111">
        <v>32.6632493937269</v>
      </c>
      <c r="K567" s="53">
        <v>5204</v>
      </c>
      <c r="L567" s="54">
        <v>3.4012298232129132E-2</v>
      </c>
      <c r="M567" s="59"/>
      <c r="N567" s="69">
        <v>885.31</v>
      </c>
      <c r="O567" s="70">
        <f>SUMIF(Facebook!A:A,'Compilado 2023'!B:B,Facebook!B:B)</f>
        <v>206.11</v>
      </c>
      <c r="P567" s="71">
        <v>0</v>
      </c>
      <c r="Q567" s="70">
        <v>51.612903225806448</v>
      </c>
      <c r="R567" s="202">
        <f>IFERROR(VLOOKUP($B:$B,Tabela_Linkedin[],2,),0)</f>
        <v>0.42</v>
      </c>
      <c r="S567" s="70">
        <f>SUMIF(TikTok!A:A,'Compilado 2023'!B:B,TikTok!B:B)</f>
        <v>19.3</v>
      </c>
      <c r="T567" s="70">
        <v>0</v>
      </c>
      <c r="U567" s="70">
        <v>0</v>
      </c>
      <c r="V567" s="59"/>
      <c r="W567" s="70">
        <v>0</v>
      </c>
      <c r="X567" s="70">
        <v>0</v>
      </c>
      <c r="Y567" s="70">
        <v>0</v>
      </c>
      <c r="Z567" s="38"/>
      <c r="AA567" s="40"/>
    </row>
    <row r="568" spans="1:27" s="2" customFormat="1" x14ac:dyDescent="0.2">
      <c r="A568" s="16" t="s">
        <v>99</v>
      </c>
      <c r="B568" s="17">
        <v>45127</v>
      </c>
      <c r="C568" s="19">
        <v>48753.4</v>
      </c>
      <c r="D568" s="52">
        <v>48753.4</v>
      </c>
      <c r="E568" s="52">
        <v>0</v>
      </c>
      <c r="F568" s="157">
        <v>172</v>
      </c>
      <c r="G568" s="157">
        <v>201</v>
      </c>
      <c r="H568" s="35">
        <v>283.45</v>
      </c>
      <c r="I568" s="19">
        <v>1402.1629032258063</v>
      </c>
      <c r="J568" s="111">
        <v>34.770139680516628</v>
      </c>
      <c r="K568" s="53">
        <v>5012</v>
      </c>
      <c r="L568" s="54">
        <v>3.4317637669592976E-2</v>
      </c>
      <c r="M568" s="59"/>
      <c r="N568" s="69">
        <v>851.39</v>
      </c>
      <c r="O568" s="70">
        <f>SUMIF(Facebook!A:A,'Compilado 2023'!B:B,Facebook!B:B)</f>
        <v>234.62</v>
      </c>
      <c r="P568" s="71">
        <v>0</v>
      </c>
      <c r="Q568" s="70">
        <v>51.612903225806448</v>
      </c>
      <c r="R568" s="202">
        <f>IFERROR(VLOOKUP($B:$B,Tabela_Linkedin[],2,),0)</f>
        <v>0</v>
      </c>
      <c r="S568" s="70">
        <f>SUMIF(TikTok!A:A,'Compilado 2023'!B:B,TikTok!B:B)</f>
        <v>19.75</v>
      </c>
      <c r="T568" s="70">
        <v>0</v>
      </c>
      <c r="U568" s="70">
        <v>0</v>
      </c>
      <c r="V568" s="59"/>
      <c r="W568" s="70">
        <v>0</v>
      </c>
      <c r="X568" s="70">
        <v>0</v>
      </c>
      <c r="Y568" s="70">
        <v>0</v>
      </c>
      <c r="Z568" s="38"/>
      <c r="AA568" s="40"/>
    </row>
    <row r="569" spans="1:27" s="2" customFormat="1" x14ac:dyDescent="0.2">
      <c r="A569" s="16" t="s">
        <v>100</v>
      </c>
      <c r="B569" s="17">
        <v>45128</v>
      </c>
      <c r="C569" s="19">
        <v>49015.22</v>
      </c>
      <c r="D569" s="52">
        <v>49015.22</v>
      </c>
      <c r="E569" s="52">
        <v>0</v>
      </c>
      <c r="F569" s="157">
        <v>178</v>
      </c>
      <c r="G569" s="157">
        <v>206</v>
      </c>
      <c r="H569" s="35">
        <v>275.36640449438204</v>
      </c>
      <c r="I569" s="19">
        <v>468.61290322580641</v>
      </c>
      <c r="J569" s="111">
        <v>104.59639430026847</v>
      </c>
      <c r="K569" s="53">
        <v>5214</v>
      </c>
      <c r="L569" s="54">
        <v>3.4138856923667048E-2</v>
      </c>
      <c r="M569" s="59"/>
      <c r="N569" s="69">
        <v>743.38</v>
      </c>
      <c r="O569" s="70">
        <f>SUMIF(Facebook!A:A,'Compilado 2023'!B:B,Facebook!B:B)</f>
        <v>247.42</v>
      </c>
      <c r="P569" s="71">
        <v>0</v>
      </c>
      <c r="Q569" s="70">
        <v>51.612903225806448</v>
      </c>
      <c r="R569" s="202">
        <f>IFERROR(VLOOKUP($B:$B,Tabela_Linkedin[],2,),0)</f>
        <v>1.01</v>
      </c>
      <c r="S569" s="70">
        <f>SUMIF(TikTok!A:A,'Compilado 2023'!B:B,TikTok!B:B)</f>
        <v>19.68</v>
      </c>
      <c r="T569" s="70">
        <v>0</v>
      </c>
      <c r="U569" s="70">
        <v>0</v>
      </c>
      <c r="V569" s="59"/>
      <c r="W569" s="70">
        <v>0</v>
      </c>
      <c r="X569" s="70">
        <v>0</v>
      </c>
      <c r="Y569" s="70">
        <v>0</v>
      </c>
      <c r="Z569" s="38"/>
      <c r="AA569" s="40"/>
    </row>
    <row r="570" spans="1:27" s="2" customFormat="1" x14ac:dyDescent="0.2">
      <c r="A570" s="16" t="s">
        <v>94</v>
      </c>
      <c r="B570" s="17">
        <v>45129</v>
      </c>
      <c r="C570" s="19">
        <v>33277.61</v>
      </c>
      <c r="D570" s="52">
        <v>33277.61</v>
      </c>
      <c r="E570" s="52">
        <v>0</v>
      </c>
      <c r="F570" s="157">
        <v>130</v>
      </c>
      <c r="G570" s="157">
        <v>143</v>
      </c>
      <c r="H570" s="35">
        <v>255.9816153846154</v>
      </c>
      <c r="I570" s="19">
        <v>767.97290322580648</v>
      </c>
      <c r="J570" s="111">
        <v>43.331750196159476</v>
      </c>
      <c r="K570" s="53">
        <v>3862</v>
      </c>
      <c r="L570" s="54">
        <v>3.3661315380631794E-2</v>
      </c>
      <c r="M570" s="59"/>
      <c r="N570" s="69">
        <v>505.57</v>
      </c>
      <c r="O570" s="70">
        <f>SUMIF(Facebook!A:A,'Compilado 2023'!B:B,Facebook!B:B)</f>
        <v>260.13</v>
      </c>
      <c r="P570" s="71">
        <v>0</v>
      </c>
      <c r="Q570" s="70">
        <v>51.612903225806448</v>
      </c>
      <c r="R570" s="202">
        <f>IFERROR(VLOOKUP($B:$B,Tabela_Linkedin[],2,),0)</f>
        <v>0.99</v>
      </c>
      <c r="S570" s="70">
        <f>SUMIF(TikTok!A:A,'Compilado 2023'!B:B,TikTok!B:B)</f>
        <v>19.489999999999998</v>
      </c>
      <c r="T570" s="70">
        <v>0</v>
      </c>
      <c r="U570" s="70">
        <v>0</v>
      </c>
      <c r="V570" s="59"/>
      <c r="W570" s="70">
        <v>0</v>
      </c>
      <c r="X570" s="70">
        <v>0</v>
      </c>
      <c r="Y570" s="70">
        <v>0</v>
      </c>
      <c r="Z570" s="38"/>
      <c r="AA570" s="40"/>
    </row>
    <row r="571" spans="1:27" s="2" customFormat="1" x14ac:dyDescent="0.2">
      <c r="A571" s="16" t="s">
        <v>95</v>
      </c>
      <c r="B571" s="17">
        <v>45130</v>
      </c>
      <c r="C571" s="19">
        <v>24143.34</v>
      </c>
      <c r="D571" s="52">
        <v>24143.34</v>
      </c>
      <c r="E571" s="52">
        <v>0</v>
      </c>
      <c r="F571" s="157">
        <v>80</v>
      </c>
      <c r="G571" s="157">
        <v>100</v>
      </c>
      <c r="H571" s="35">
        <v>301.79174999999998</v>
      </c>
      <c r="I571" s="19">
        <v>794.99290322580646</v>
      </c>
      <c r="J571" s="111">
        <v>30.369252231101271</v>
      </c>
      <c r="K571" s="53">
        <v>3401</v>
      </c>
      <c r="L571" s="54">
        <v>2.3522493384298737E-2</v>
      </c>
      <c r="M571" s="59"/>
      <c r="N571" s="69">
        <v>565.17999999999995</v>
      </c>
      <c r="O571" s="70">
        <f>SUMIF(Facebook!A:A,'Compilado 2023'!B:B,Facebook!B:B)</f>
        <v>274.10000000000002</v>
      </c>
      <c r="P571" s="71">
        <v>0</v>
      </c>
      <c r="Q571" s="70">
        <v>51.612903225806448</v>
      </c>
      <c r="R571" s="202">
        <f>IFERROR(VLOOKUP($B:$B,Tabela_Linkedin[],2,),0)</f>
        <v>2.69</v>
      </c>
      <c r="S571" s="70">
        <f>SUMIF(TikTok!A:A,'Compilado 2023'!B:B,TikTok!B:B)</f>
        <v>19.95</v>
      </c>
      <c r="T571" s="70">
        <v>0</v>
      </c>
      <c r="U571" s="70">
        <v>0</v>
      </c>
      <c r="V571" s="59"/>
      <c r="W571" s="70">
        <v>0</v>
      </c>
      <c r="X571" s="70">
        <v>0</v>
      </c>
      <c r="Y571" s="70">
        <v>0</v>
      </c>
      <c r="Z571" s="38"/>
      <c r="AA571" s="40"/>
    </row>
    <row r="572" spans="1:27" s="2" customFormat="1" x14ac:dyDescent="0.2">
      <c r="A572" s="16" t="s">
        <v>96</v>
      </c>
      <c r="B572" s="17">
        <v>45131</v>
      </c>
      <c r="C572" s="19">
        <v>58669.01</v>
      </c>
      <c r="D572" s="52">
        <v>58669.01</v>
      </c>
      <c r="E572" s="52">
        <v>0</v>
      </c>
      <c r="F572" s="157">
        <v>246</v>
      </c>
      <c r="G572" s="157">
        <f>IFERROR(_xlfn.XLOOKUP($B:$B,'Estatísticos Mensais'!$A:$A,'Estatísticos Mensais'!F:F),0)</f>
        <v>325</v>
      </c>
      <c r="H572" s="35">
        <f t="shared" ref="H572:H589" si="0">IFERROR(C572/F572,0)</f>
        <v>238.4919105691057</v>
      </c>
      <c r="I572" s="19">
        <f t="shared" ref="I572:I589" ca="1" si="1">SUM(N572:U572)</f>
        <v>1319.2629032258064</v>
      </c>
      <c r="J572" s="111">
        <f t="shared" ref="J572:J589" ca="1" si="2">IF(I572&gt;0,C572/I572,0)</f>
        <v>44.471052628361633</v>
      </c>
      <c r="K572" s="53">
        <f>IFERROR(_xlfn.XLOOKUP($B:$B,Google!A:A,Google!B:B),0)</f>
        <v>5839</v>
      </c>
      <c r="L572" s="54">
        <f t="shared" ref="L572:L589" si="3">IFERROR(F572/K572,0)</f>
        <v>4.2130501798253124E-2</v>
      </c>
      <c r="M572" s="59"/>
      <c r="N572" s="69">
        <v>840.42</v>
      </c>
      <c r="O572" s="70">
        <f>SUMIF(Facebook!A:A,'Compilado 2023'!B:B,Facebook!B:B)</f>
        <v>406.98</v>
      </c>
      <c r="P572" s="71">
        <v>0</v>
      </c>
      <c r="Q572" s="70">
        <f ca="1">_xlfn.XLOOKUP(B:B,'E-mail'!A:A,'E-mail'!C:C)</f>
        <v>51.612903225806448</v>
      </c>
      <c r="R572" s="202">
        <f>IFERROR(VLOOKUP($B:$B,Tabela_Linkedin[],2,),0)</f>
        <v>0.32</v>
      </c>
      <c r="S572" s="70">
        <f>SUMIF(TikTok!A:A,'Compilado 2023'!B:B,TikTok!B:B)</f>
        <v>19.93</v>
      </c>
      <c r="T572" s="70">
        <v>0</v>
      </c>
      <c r="U572" s="70">
        <v>0</v>
      </c>
      <c r="V572" s="59"/>
      <c r="W572" s="70">
        <v>0</v>
      </c>
      <c r="X572" s="70">
        <v>0</v>
      </c>
      <c r="Y572" s="70">
        <v>0</v>
      </c>
      <c r="Z572" s="38"/>
      <c r="AA572" s="40" t="s">
        <v>142</v>
      </c>
    </row>
    <row r="573" spans="1:27" s="2" customFormat="1" x14ac:dyDescent="0.2">
      <c r="A573" s="16" t="s">
        <v>97</v>
      </c>
      <c r="B573" s="17">
        <v>45132</v>
      </c>
      <c r="C573" s="19">
        <v>69821.009999999995</v>
      </c>
      <c r="D573" s="52">
        <v>69821.009999999995</v>
      </c>
      <c r="E573" s="52">
        <v>0</v>
      </c>
      <c r="F573" s="157">
        <v>283</v>
      </c>
      <c r="G573" s="157">
        <f>IFERROR(_xlfn.XLOOKUP($B:$B,'Estatísticos Mensais'!$A:$A,'Estatísticos Mensais'!F:F),0)</f>
        <v>360</v>
      </c>
      <c r="H573" s="35">
        <f t="shared" si="0"/>
        <v>246.71734982332154</v>
      </c>
      <c r="I573" s="19">
        <f t="shared" ca="1" si="1"/>
        <v>1250.2429032258065</v>
      </c>
      <c r="J573" s="111">
        <f t="shared" ca="1" si="2"/>
        <v>55.845955869736791</v>
      </c>
      <c r="K573" s="53">
        <f>IFERROR(_xlfn.XLOOKUP($B:$B,Google!A:A,Google!B:B),0)</f>
        <v>5278</v>
      </c>
      <c r="L573" s="54">
        <f t="shared" si="3"/>
        <v>5.3618794998105346E-2</v>
      </c>
      <c r="M573" s="59"/>
      <c r="N573" s="69">
        <v>712.09</v>
      </c>
      <c r="O573" s="70">
        <f>SUMIF(Facebook!A:A,'Compilado 2023'!B:B,Facebook!B:B)</f>
        <v>485.58</v>
      </c>
      <c r="P573" s="71">
        <v>0</v>
      </c>
      <c r="Q573" s="70">
        <f ca="1">_xlfn.XLOOKUP(B:B,'E-mail'!A:A,'E-mail'!C:C)</f>
        <v>51.612903225806448</v>
      </c>
      <c r="R573" s="202">
        <f>IFERROR(VLOOKUP($B:$B,Tabela_Linkedin[],2,),0)</f>
        <v>0.96</v>
      </c>
      <c r="S573" s="70">
        <f>SUMIF(TikTok!A:A,'Compilado 2023'!B:B,TikTok!B:B)</f>
        <v>0</v>
      </c>
      <c r="T573" s="70">
        <v>0</v>
      </c>
      <c r="U573" s="70">
        <v>0</v>
      </c>
      <c r="V573" s="59"/>
      <c r="W573" s="70">
        <v>0</v>
      </c>
      <c r="X573" s="70">
        <v>0</v>
      </c>
      <c r="Y573" s="70">
        <v>0</v>
      </c>
      <c r="Z573" s="38"/>
      <c r="AA573" s="40"/>
    </row>
    <row r="574" spans="1:27" s="2" customFormat="1" x14ac:dyDescent="0.2">
      <c r="A574" s="16" t="s">
        <v>98</v>
      </c>
      <c r="B574" s="17">
        <v>45133</v>
      </c>
      <c r="C574" s="19">
        <v>38679.120000000003</v>
      </c>
      <c r="D574" s="52">
        <v>38679.120000000003</v>
      </c>
      <c r="E574" s="52">
        <v>0</v>
      </c>
      <c r="F574" s="157">
        <v>139</v>
      </c>
      <c r="G574" s="157">
        <f>IFERROR(_xlfn.XLOOKUP($B:$B,'Estatísticos Mensais'!$A:$A,'Estatísticos Mensais'!F:F),0)</f>
        <v>187</v>
      </c>
      <c r="H574" s="35">
        <f t="shared" si="0"/>
        <v>278.26705035971224</v>
      </c>
      <c r="I574" s="19">
        <f t="shared" ca="1" si="1"/>
        <v>1314.4929032258065</v>
      </c>
      <c r="J574" s="111">
        <f t="shared" ca="1" si="2"/>
        <v>29.425126529842984</v>
      </c>
      <c r="K574" s="53">
        <f>IFERROR(_xlfn.XLOOKUP($B:$B,Google!A:A,Google!B:B),0)</f>
        <v>4620</v>
      </c>
      <c r="L574" s="54">
        <f t="shared" si="3"/>
        <v>3.0086580086580085E-2</v>
      </c>
      <c r="M574" s="59"/>
      <c r="N574" s="69">
        <v>726.96</v>
      </c>
      <c r="O574" s="70">
        <f>SUMIF(Facebook!A:A,'Compilado 2023'!B:B,Facebook!B:B)</f>
        <v>534.07000000000005</v>
      </c>
      <c r="P574" s="71">
        <v>0</v>
      </c>
      <c r="Q574" s="70">
        <f ca="1">_xlfn.XLOOKUP(B:B,'E-mail'!A:A,'E-mail'!C:C)</f>
        <v>51.612903225806448</v>
      </c>
      <c r="R574" s="202">
        <f>IFERROR(VLOOKUP($B:$B,Tabela_Linkedin[],2,),0)</f>
        <v>1.85</v>
      </c>
      <c r="S574" s="70">
        <f>SUMIF(TikTok!A:A,'Compilado 2023'!B:B,TikTok!B:B)</f>
        <v>0</v>
      </c>
      <c r="T574" s="70">
        <v>0</v>
      </c>
      <c r="U574" s="70">
        <v>0</v>
      </c>
      <c r="V574" s="59"/>
      <c r="W574" s="70">
        <v>0</v>
      </c>
      <c r="X574" s="70">
        <v>0</v>
      </c>
      <c r="Y574" s="70">
        <v>0</v>
      </c>
      <c r="Z574" s="38"/>
      <c r="AA574" s="40" t="s">
        <v>143</v>
      </c>
    </row>
    <row r="575" spans="1:27" s="2" customFormat="1" x14ac:dyDescent="0.2">
      <c r="A575" s="16" t="s">
        <v>99</v>
      </c>
      <c r="B575" s="17">
        <v>45134</v>
      </c>
      <c r="C575" s="19">
        <v>55341.440000000002</v>
      </c>
      <c r="D575" s="52">
        <v>55341.440000000002</v>
      </c>
      <c r="E575" s="52">
        <v>0</v>
      </c>
      <c r="F575" s="157">
        <v>228</v>
      </c>
      <c r="G575" s="157">
        <f>IFERROR(_xlfn.XLOOKUP($B:$B,'Estatísticos Mensais'!$A:$A,'Estatísticos Mensais'!F:F),0)</f>
        <v>274</v>
      </c>
      <c r="H575" s="35">
        <f t="shared" si="0"/>
        <v>242.72561403508772</v>
      </c>
      <c r="I575" s="19">
        <f t="shared" ca="1" si="1"/>
        <v>1130.2129032258065</v>
      </c>
      <c r="J575" s="111">
        <f t="shared" ca="1" si="2"/>
        <v>48.965500077062273</v>
      </c>
      <c r="K575" s="53">
        <f>IFERROR(_xlfn.XLOOKUP($B:$B,Google!A:A,Google!B:B),0)</f>
        <v>4169</v>
      </c>
      <c r="L575" s="54">
        <f t="shared" si="3"/>
        <v>5.4689373950587671E-2</v>
      </c>
      <c r="M575" s="59"/>
      <c r="N575" s="69">
        <v>711.19</v>
      </c>
      <c r="O575" s="70">
        <f>SUMIF(Facebook!A:A,'Compilado 2023'!B:B,Facebook!B:B)</f>
        <v>366.41</v>
      </c>
      <c r="P575" s="71">
        <v>0</v>
      </c>
      <c r="Q575" s="70">
        <f ca="1">_xlfn.XLOOKUP(B:B,'E-mail'!A:A,'E-mail'!C:C)</f>
        <v>51.612903225806448</v>
      </c>
      <c r="R575" s="202">
        <f>IFERROR(VLOOKUP($B:$B,Tabela_Linkedin[],2,),0)</f>
        <v>1</v>
      </c>
      <c r="S575" s="70">
        <f>SUMIF(TikTok!A:A,'Compilado 2023'!B:B,TikTok!B:B)</f>
        <v>0</v>
      </c>
      <c r="T575" s="70">
        <v>0</v>
      </c>
      <c r="U575" s="70">
        <v>0</v>
      </c>
      <c r="V575" s="59"/>
      <c r="W575" s="70">
        <v>0</v>
      </c>
      <c r="X575" s="70">
        <v>0</v>
      </c>
      <c r="Y575" s="70">
        <v>0</v>
      </c>
      <c r="Z575" s="38"/>
      <c r="AA575" s="40" t="s">
        <v>144</v>
      </c>
    </row>
    <row r="576" spans="1:27" s="2" customFormat="1" x14ac:dyDescent="0.2">
      <c r="A576" s="16" t="s">
        <v>100</v>
      </c>
      <c r="B576" s="17">
        <v>45135</v>
      </c>
      <c r="C576" s="19">
        <v>56585.719999999994</v>
      </c>
      <c r="D576" s="52">
        <v>56559.63</v>
      </c>
      <c r="E576" s="52">
        <v>26.09</v>
      </c>
      <c r="F576" s="157">
        <v>218</v>
      </c>
      <c r="G576" s="157">
        <f>IFERROR(_xlfn.XLOOKUP($B:$B,'Estatísticos Mensais'!$A:$A,'Estatísticos Mensais'!F:F),0)</f>
        <v>245</v>
      </c>
      <c r="H576" s="35">
        <f t="shared" si="0"/>
        <v>259.56752293577978</v>
      </c>
      <c r="I576" s="19">
        <f t="shared" ca="1" si="1"/>
        <v>1091.9329032258063</v>
      </c>
      <c r="J576" s="111">
        <f t="shared" ca="1" si="2"/>
        <v>51.82160903186773</v>
      </c>
      <c r="K576" s="53">
        <f>IFERROR(_xlfn.XLOOKUP($B:$B,Google!A:A,Google!B:B),0)</f>
        <v>0</v>
      </c>
      <c r="L576" s="54">
        <f t="shared" si="3"/>
        <v>0</v>
      </c>
      <c r="M576" s="59"/>
      <c r="N576" s="69">
        <v>703.64</v>
      </c>
      <c r="O576" s="70">
        <f>SUMIF(Facebook!A:A,'Compilado 2023'!B:B,Facebook!B:B)</f>
        <v>335.52</v>
      </c>
      <c r="P576" s="71">
        <v>0</v>
      </c>
      <c r="Q576" s="70">
        <f ca="1">_xlfn.XLOOKUP(B:B,'E-mail'!A:A,'E-mail'!C:C)</f>
        <v>51.612903225806448</v>
      </c>
      <c r="R576" s="202">
        <f>IFERROR(VLOOKUP($B:$B,Tabela_Linkedin[],2,),0)</f>
        <v>1.1599999999999999</v>
      </c>
      <c r="S576" s="70">
        <f>SUMIF(TikTok!A:A,'Compilado 2023'!B:B,TikTok!B:B)</f>
        <v>0</v>
      </c>
      <c r="T576" s="70">
        <v>0</v>
      </c>
      <c r="U576" s="70">
        <v>0</v>
      </c>
      <c r="V576" s="59"/>
      <c r="W576" s="70">
        <v>0</v>
      </c>
      <c r="X576" s="70">
        <v>0</v>
      </c>
      <c r="Y576" s="70">
        <v>0</v>
      </c>
      <c r="Z576" s="38"/>
      <c r="AA576" s="40"/>
    </row>
    <row r="577" spans="1:27" s="2" customFormat="1" x14ac:dyDescent="0.2">
      <c r="A577" s="16" t="s">
        <v>94</v>
      </c>
      <c r="B577" s="17">
        <v>45136</v>
      </c>
      <c r="C577" s="19">
        <v>43999.29</v>
      </c>
      <c r="D577" s="52">
        <v>43999.29</v>
      </c>
      <c r="E577" s="52">
        <v>0</v>
      </c>
      <c r="F577" s="157">
        <v>164</v>
      </c>
      <c r="G577" s="157">
        <f>IFERROR(_xlfn.XLOOKUP($B:$B,'Estatísticos Mensais'!$A:$A,'Estatísticos Mensais'!F:F),0)</f>
        <v>198</v>
      </c>
      <c r="H577" s="35">
        <f t="shared" si="0"/>
        <v>268.28835365853661</v>
      </c>
      <c r="I577" s="19">
        <f t="shared" ca="1" si="1"/>
        <v>854.5529032258064</v>
      </c>
      <c r="J577" s="111">
        <f t="shared" ca="1" si="2"/>
        <v>51.488082053093983</v>
      </c>
      <c r="K577" s="53">
        <f>IFERROR(_xlfn.XLOOKUP($B:$B,Google!A:A,Google!B:B),0)</f>
        <v>0</v>
      </c>
      <c r="L577" s="54">
        <f t="shared" si="3"/>
        <v>0</v>
      </c>
      <c r="M577" s="59"/>
      <c r="N577" s="69">
        <v>471.07</v>
      </c>
      <c r="O577" s="70">
        <f>SUMIF(Facebook!A:A,'Compilado 2023'!B:B,Facebook!B:B)</f>
        <v>330.82</v>
      </c>
      <c r="P577" s="71">
        <v>0</v>
      </c>
      <c r="Q577" s="70">
        <f ca="1">_xlfn.XLOOKUP(B:B,'E-mail'!A:A,'E-mail'!C:C)</f>
        <v>51.612903225806448</v>
      </c>
      <c r="R577" s="202">
        <f>IFERROR(VLOOKUP($B:$B,Tabela_Linkedin[],2,),0)</f>
        <v>1.05</v>
      </c>
      <c r="S577" s="70">
        <f>SUMIF(TikTok!A:A,'Compilado 2023'!B:B,TikTok!B:B)</f>
        <v>0</v>
      </c>
      <c r="T577" s="70">
        <v>0</v>
      </c>
      <c r="U577" s="70">
        <v>0</v>
      </c>
      <c r="V577" s="59"/>
      <c r="W577" s="70">
        <v>0</v>
      </c>
      <c r="X577" s="70">
        <v>0</v>
      </c>
      <c r="Y577" s="70">
        <v>0</v>
      </c>
      <c r="Z577" s="38"/>
      <c r="AA577" s="40"/>
    </row>
    <row r="578" spans="1:27" s="2" customFormat="1" x14ac:dyDescent="0.2">
      <c r="A578" s="16" t="s">
        <v>95</v>
      </c>
      <c r="B578" s="17">
        <v>45137</v>
      </c>
      <c r="C578" s="19">
        <v>39462.46</v>
      </c>
      <c r="D578" s="52">
        <v>39462.46</v>
      </c>
      <c r="E578" s="52">
        <v>0</v>
      </c>
      <c r="F578" s="157">
        <v>147</v>
      </c>
      <c r="G578" s="157">
        <f>IFERROR(_xlfn.XLOOKUP($B:$B,'Estatísticos Mensais'!$A:$A,'Estatísticos Mensais'!F:F),0)</f>
        <v>187</v>
      </c>
      <c r="H578" s="35">
        <f t="shared" si="0"/>
        <v>268.45210884353742</v>
      </c>
      <c r="I578" s="19">
        <f t="shared" ca="1" si="1"/>
        <v>940.27290322580654</v>
      </c>
      <c r="J578" s="111">
        <f t="shared" ca="1" si="2"/>
        <v>41.969155831903294</v>
      </c>
      <c r="K578" s="53">
        <f>IFERROR(_xlfn.XLOOKUP($B:$B,Google!A:A,Google!B:B),0)</f>
        <v>0</v>
      </c>
      <c r="L578" s="54">
        <f t="shared" si="3"/>
        <v>0</v>
      </c>
      <c r="M578" s="59"/>
      <c r="N578" s="69">
        <v>531.39</v>
      </c>
      <c r="O578" s="70">
        <f>SUMIF(Facebook!A:A,'Compilado 2023'!B:B,Facebook!B:B)</f>
        <v>352.29</v>
      </c>
      <c r="P578" s="71">
        <v>0</v>
      </c>
      <c r="Q578" s="70">
        <f ca="1">_xlfn.XLOOKUP(B:B,'E-mail'!A:A,'E-mail'!C:C)</f>
        <v>51.612903225806448</v>
      </c>
      <c r="R578" s="202">
        <f>IFERROR(VLOOKUP($B:$B,Tabela_Linkedin[],2,),0)</f>
        <v>4.9800000000000004</v>
      </c>
      <c r="S578" s="70">
        <f>SUMIF(TikTok!A:A,'Compilado 2023'!B:B,TikTok!B:B)</f>
        <v>0</v>
      </c>
      <c r="T578" s="70">
        <v>0</v>
      </c>
      <c r="U578" s="70">
        <v>0</v>
      </c>
      <c r="V578" s="59"/>
      <c r="W578" s="70">
        <v>0</v>
      </c>
      <c r="X578" s="70">
        <v>0</v>
      </c>
      <c r="Y578" s="70">
        <v>0</v>
      </c>
      <c r="Z578" s="38"/>
      <c r="AA578" s="40"/>
    </row>
    <row r="579" spans="1:27" s="2" customFormat="1" x14ac:dyDescent="0.2">
      <c r="A579" s="16" t="s">
        <v>96</v>
      </c>
      <c r="B579" s="17">
        <v>45138</v>
      </c>
      <c r="C579" s="19">
        <v>51227.97</v>
      </c>
      <c r="D579" s="52">
        <v>51227.97</v>
      </c>
      <c r="E579" s="52">
        <v>0</v>
      </c>
      <c r="F579" s="157">
        <v>182</v>
      </c>
      <c r="G579" s="157">
        <f>IFERROR(_xlfn.XLOOKUP($B:$B,'Estatísticos Mensais'!$A:$A,'Estatísticos Mensais'!F:F),0)</f>
        <v>212</v>
      </c>
      <c r="H579" s="35">
        <f t="shared" si="0"/>
        <v>281.47236263736266</v>
      </c>
      <c r="I579" s="19">
        <f t="shared" ca="1" si="1"/>
        <v>1043.8829032258066</v>
      </c>
      <c r="J579" s="111">
        <f t="shared" ca="1" si="2"/>
        <v>49.074441052435432</v>
      </c>
      <c r="K579" s="53">
        <f>IFERROR(_xlfn.XLOOKUP($B:$B,Google!A:A,Google!B:B),0)</f>
        <v>0</v>
      </c>
      <c r="L579" s="54">
        <f t="shared" si="3"/>
        <v>0</v>
      </c>
      <c r="M579" s="59"/>
      <c r="N579" s="69">
        <v>782.9</v>
      </c>
      <c r="O579" s="70">
        <f>SUMIF(Facebook!A:A,'Compilado 2023'!B:B,Facebook!B:B)</f>
        <v>207.22</v>
      </c>
      <c r="P579" s="71">
        <v>0</v>
      </c>
      <c r="Q579" s="70">
        <f ca="1">_xlfn.XLOOKUP(B:B,'E-mail'!A:A,'E-mail'!C:C)</f>
        <v>51.612903225806448</v>
      </c>
      <c r="R579" s="202">
        <f>IFERROR(VLOOKUP($B:$B,Tabela_Linkedin[],2,),0)</f>
        <v>2.15</v>
      </c>
      <c r="S579" s="70">
        <f>SUMIF(TikTok!A:A,'Compilado 2023'!B:B,TikTok!B:B)</f>
        <v>0</v>
      </c>
      <c r="T579" s="70">
        <v>0</v>
      </c>
      <c r="U579" s="70">
        <v>0</v>
      </c>
      <c r="V579" s="59"/>
      <c r="W579" s="70">
        <v>0</v>
      </c>
      <c r="X579" s="70">
        <v>0</v>
      </c>
      <c r="Y579" s="70">
        <v>0</v>
      </c>
      <c r="Z579" s="38"/>
      <c r="AA579" s="40" t="s">
        <v>145</v>
      </c>
    </row>
    <row r="580" spans="1:27" s="2" customFormat="1" x14ac:dyDescent="0.2">
      <c r="A580" s="16" t="s">
        <v>97</v>
      </c>
      <c r="B580" s="17">
        <v>45139</v>
      </c>
      <c r="C580" s="19">
        <f t="shared" ref="C580:C586" si="4">D580+E580</f>
        <v>37837.360000000001</v>
      </c>
      <c r="D580" s="52">
        <f>IFERROR(_xlfn.XLOOKUP($B:$B,'Estatísticos Mensais'!$A:$A,'Estatísticos Mensais'!C:C),0)</f>
        <v>37837.360000000001</v>
      </c>
      <c r="E580" s="52">
        <f>IFERROR(_xlfn.XLOOKUP($B:$B,'Estatísticos Mensais'!$A:$A,'Estatísticos Mensais'!D:D),0)</f>
        <v>0</v>
      </c>
      <c r="F580" s="157">
        <f>IFERROR(_xlfn.XLOOKUP($B:$B,'Estatísticos Mensais'!$A:$A,'Estatísticos Mensais'!E:E),0)</f>
        <v>129</v>
      </c>
      <c r="G580" s="157">
        <f>IFERROR(_xlfn.XLOOKUP($B:$B,'Estatísticos Mensais'!$A:$A,'Estatísticos Mensais'!F:F),0)</f>
        <v>150</v>
      </c>
      <c r="H580" s="35">
        <f t="shared" si="0"/>
        <v>293.31286821705424</v>
      </c>
      <c r="I580" s="19">
        <f t="shared" ca="1" si="1"/>
        <v>995.34290322580637</v>
      </c>
      <c r="J580" s="111">
        <f t="shared" ca="1" si="2"/>
        <v>38.014396724357923</v>
      </c>
      <c r="K580" s="53">
        <f>IFERROR(_xlfn.XLOOKUP($B:$B,Google!A:A,Google!B:B),0)</f>
        <v>0</v>
      </c>
      <c r="L580" s="54">
        <f t="shared" si="3"/>
        <v>0</v>
      </c>
      <c r="M580" s="59"/>
      <c r="N580" s="69">
        <v>730.78</v>
      </c>
      <c r="O580" s="70">
        <f>SUMIF(Facebook!A:A,'Compilado 2023'!B:B,Facebook!B:B)</f>
        <v>209.52</v>
      </c>
      <c r="P580" s="71">
        <v>0</v>
      </c>
      <c r="Q580" s="70">
        <f ca="1">_xlfn.XLOOKUP(B:B,'E-mail'!A:A,'E-mail'!C:C)</f>
        <v>51.612903225806448</v>
      </c>
      <c r="R580" s="202">
        <f>IFERROR(VLOOKUP($B:$B,Tabela_Linkedin[],2,),0)</f>
        <v>3.43</v>
      </c>
      <c r="S580" s="70">
        <f>SUMIF(TikTok!A:A,'Compilado 2023'!B:B,TikTok!B:B)</f>
        <v>0</v>
      </c>
      <c r="T580" s="70">
        <v>0</v>
      </c>
      <c r="U580" s="70">
        <v>0</v>
      </c>
      <c r="V580" s="59"/>
      <c r="W580" s="70">
        <v>0</v>
      </c>
      <c r="X580" s="70">
        <v>0</v>
      </c>
      <c r="Y580" s="70">
        <v>0</v>
      </c>
      <c r="Z580" s="38"/>
      <c r="AA580" s="40" t="s">
        <v>146</v>
      </c>
    </row>
    <row r="581" spans="1:27" s="2" customFormat="1" x14ac:dyDescent="0.2">
      <c r="A581" s="16" t="str">
        <f t="shared" ref="A581:A612" si="5">TEXT(B581,"DDDD")</f>
        <v>quarta-feira</v>
      </c>
      <c r="B581" s="17">
        <v>45140</v>
      </c>
      <c r="C581" s="19">
        <f t="shared" si="4"/>
        <v>61652.53</v>
      </c>
      <c r="D581" s="52">
        <f>IFERROR(_xlfn.XLOOKUP($B:$B,'Estatísticos Mensais'!$A:$A,'Estatísticos Mensais'!C:C),0)</f>
        <v>61652.53</v>
      </c>
      <c r="E581" s="52">
        <f>IFERROR(_xlfn.XLOOKUP($B:$B,'Estatísticos Mensais'!$A:$A,'Estatísticos Mensais'!D:D),0)</f>
        <v>0</v>
      </c>
      <c r="F581" s="157">
        <f>IFERROR(_xlfn.XLOOKUP($B:$B,'Estatísticos Mensais'!$A:$A,'Estatísticos Mensais'!E:E),0)</f>
        <v>234</v>
      </c>
      <c r="G581" s="157">
        <f>IFERROR(_xlfn.XLOOKUP($B:$B,'Estatísticos Mensais'!$A:$A,'Estatísticos Mensais'!F:F),0)</f>
        <v>268</v>
      </c>
      <c r="H581" s="35">
        <f t="shared" si="0"/>
        <v>263.47235042735042</v>
      </c>
      <c r="I581" s="19">
        <f t="shared" ca="1" si="1"/>
        <v>1095.8229032258064</v>
      </c>
      <c r="J581" s="111">
        <f t="shared" ca="1" si="2"/>
        <v>56.26139937257345</v>
      </c>
      <c r="K581" s="53">
        <f>IFERROR(_xlfn.XLOOKUP($B:$B,Google!A:A,Google!B:B),0)</f>
        <v>0</v>
      </c>
      <c r="L581" s="54">
        <f t="shared" si="3"/>
        <v>0</v>
      </c>
      <c r="M581" s="59"/>
      <c r="N581" s="69">
        <v>837.01</v>
      </c>
      <c r="O581" s="70">
        <f>SUMIF(Facebook!A:A,'Compilado 2023'!B:B,Facebook!B:B)</f>
        <v>206.07</v>
      </c>
      <c r="P581" s="71">
        <v>0</v>
      </c>
      <c r="Q581" s="70">
        <f ca="1">_xlfn.XLOOKUP(B:B,'E-mail'!A:A,'E-mail'!C:C)</f>
        <v>51.612903225806448</v>
      </c>
      <c r="R581" s="202">
        <f>IFERROR(VLOOKUP($B:$B,Tabela_Linkedin[],2,),0)</f>
        <v>1.1299999999999999</v>
      </c>
      <c r="S581" s="70">
        <f>SUMIF(TikTok!A:A,'Compilado 2023'!B:B,TikTok!B:B)</f>
        <v>0</v>
      </c>
      <c r="T581" s="70">
        <v>0</v>
      </c>
      <c r="U581" s="70">
        <v>0</v>
      </c>
      <c r="V581" s="59"/>
      <c r="W581" s="70">
        <v>0</v>
      </c>
      <c r="X581" s="70">
        <v>0</v>
      </c>
      <c r="Y581" s="70">
        <v>0</v>
      </c>
      <c r="Z581" s="38"/>
      <c r="AA581" s="40" t="s">
        <v>147</v>
      </c>
    </row>
    <row r="582" spans="1:27" s="2" customFormat="1" x14ac:dyDescent="0.2">
      <c r="A582" s="16" t="str">
        <f t="shared" si="5"/>
        <v>quinta-feira</v>
      </c>
      <c r="B582" s="17">
        <v>45141</v>
      </c>
      <c r="C582" s="19">
        <f t="shared" si="4"/>
        <v>35391.74</v>
      </c>
      <c r="D582" s="52">
        <f>IFERROR(_xlfn.XLOOKUP($B:$B,'Estatísticos Mensais'!$A:$A,'Estatísticos Mensais'!C:C),0)</f>
        <v>35391.74</v>
      </c>
      <c r="E582" s="52">
        <f>IFERROR(_xlfn.XLOOKUP($B:$B,'Estatísticos Mensais'!$A:$A,'Estatísticos Mensais'!D:D),0)</f>
        <v>0</v>
      </c>
      <c r="F582" s="157">
        <f>IFERROR(_xlfn.XLOOKUP($B:$B,'Estatísticos Mensais'!$A:$A,'Estatísticos Mensais'!E:E),0)</f>
        <v>134</v>
      </c>
      <c r="G582" s="157">
        <f>IFERROR(_xlfn.XLOOKUP($B:$B,'Estatísticos Mensais'!$A:$A,'Estatísticos Mensais'!F:F),0)</f>
        <v>160</v>
      </c>
      <c r="H582" s="35">
        <f t="shared" si="0"/>
        <v>264.11746268656714</v>
      </c>
      <c r="I582" s="19">
        <f t="shared" ca="1" si="1"/>
        <v>1142.8929032258063</v>
      </c>
      <c r="J582" s="111">
        <f t="shared" ca="1" si="2"/>
        <v>30.966803538727984</v>
      </c>
      <c r="K582" s="53">
        <f>IFERROR(_xlfn.XLOOKUP($B:$B,Google!A:A,Google!B:B),0)</f>
        <v>0</v>
      </c>
      <c r="L582" s="54">
        <f t="shared" si="3"/>
        <v>0</v>
      </c>
      <c r="M582" s="59"/>
      <c r="N582" s="69">
        <v>865.25</v>
      </c>
      <c r="O582" s="70">
        <f>SUMIF(Facebook!A:A,'Compilado 2023'!B:B,Facebook!B:B)</f>
        <v>211.03</v>
      </c>
      <c r="P582" s="71">
        <v>0</v>
      </c>
      <c r="Q582" s="70">
        <f ca="1">_xlfn.XLOOKUP(B:B,'E-mail'!A:A,'E-mail'!C:C)</f>
        <v>51.612903225806448</v>
      </c>
      <c r="R582" s="202">
        <f>IFERROR(VLOOKUP($B:$B,Tabela_Linkedin[],2,),0)</f>
        <v>0</v>
      </c>
      <c r="S582" s="70">
        <f>SUMIF(TikTok!A:A,'Compilado 2023'!B:B,TikTok!B:B)</f>
        <v>15</v>
      </c>
      <c r="T582" s="70">
        <v>0</v>
      </c>
      <c r="U582" s="70">
        <v>0</v>
      </c>
      <c r="V582" s="59"/>
      <c r="W582" s="70">
        <v>0</v>
      </c>
      <c r="X582" s="70">
        <v>0</v>
      </c>
      <c r="Y582" s="70">
        <v>0</v>
      </c>
      <c r="Z582" s="38"/>
      <c r="AA582" s="40"/>
    </row>
    <row r="583" spans="1:27" s="2" customFormat="1" x14ac:dyDescent="0.2">
      <c r="A583" s="16" t="str">
        <f t="shared" si="5"/>
        <v>sexta-feira</v>
      </c>
      <c r="B583" s="17">
        <v>45142</v>
      </c>
      <c r="C583" s="19">
        <f t="shared" si="4"/>
        <v>78988.06</v>
      </c>
      <c r="D583" s="52">
        <f>IFERROR(_xlfn.XLOOKUP($B:$B,'Estatísticos Mensais'!$A:$A,'Estatísticos Mensais'!C:C),0)</f>
        <v>78988.06</v>
      </c>
      <c r="E583" s="52">
        <f>IFERROR(_xlfn.XLOOKUP($B:$B,'Estatísticos Mensais'!$A:$A,'Estatísticos Mensais'!D:D),0)</f>
        <v>0</v>
      </c>
      <c r="F583" s="157">
        <f>IFERROR(_xlfn.XLOOKUP($B:$B,'Estatísticos Mensais'!$A:$A,'Estatísticos Mensais'!E:E),0)</f>
        <v>247</v>
      </c>
      <c r="G583" s="157">
        <f>IFERROR(_xlfn.XLOOKUP($B:$B,'Estatísticos Mensais'!$A:$A,'Estatísticos Mensais'!F:F),0)</f>
        <v>299</v>
      </c>
      <c r="H583" s="35">
        <f t="shared" si="0"/>
        <v>319.78971659919029</v>
      </c>
      <c r="I583" s="19">
        <f t="shared" ca="1" si="1"/>
        <v>1006.6529032258065</v>
      </c>
      <c r="J583" s="111">
        <f t="shared" ca="1" si="2"/>
        <v>78.466033075436187</v>
      </c>
      <c r="K583" s="53">
        <f>IFERROR(_xlfn.XLOOKUP($B:$B,Google!A:A,Google!B:B),0)</f>
        <v>0</v>
      </c>
      <c r="L583" s="54">
        <f t="shared" si="3"/>
        <v>0</v>
      </c>
      <c r="M583" s="59"/>
      <c r="N583" s="69">
        <v>732.61</v>
      </c>
      <c r="O583" s="70">
        <f>SUMIF(Facebook!A:A,'Compilado 2023'!B:B,Facebook!B:B)</f>
        <v>204.09</v>
      </c>
      <c r="P583" s="71">
        <v>0</v>
      </c>
      <c r="Q583" s="70">
        <f ca="1">_xlfn.XLOOKUP(B:B,'E-mail'!A:A,'E-mail'!C:C)</f>
        <v>51.612903225806448</v>
      </c>
      <c r="R583" s="202">
        <f>IFERROR(VLOOKUP($B:$B,Tabela_Linkedin[],2,),0)</f>
        <v>0</v>
      </c>
      <c r="S583" s="70">
        <f>SUMIF(TikTok!A:A,'Compilado 2023'!B:B,TikTok!B:B)</f>
        <v>18.34</v>
      </c>
      <c r="T583" s="70">
        <v>0</v>
      </c>
      <c r="U583" s="70">
        <v>0</v>
      </c>
      <c r="V583" s="59"/>
      <c r="W583" s="70">
        <v>0</v>
      </c>
      <c r="X583" s="70">
        <v>0</v>
      </c>
      <c r="Y583" s="70">
        <v>0</v>
      </c>
      <c r="Z583" s="38"/>
      <c r="AA583" s="40" t="s">
        <v>148</v>
      </c>
    </row>
    <row r="584" spans="1:27" s="2" customFormat="1" x14ac:dyDescent="0.2">
      <c r="A584" s="16" t="str">
        <f t="shared" si="5"/>
        <v>sábado</v>
      </c>
      <c r="B584" s="17">
        <v>45143</v>
      </c>
      <c r="C584" s="19">
        <f t="shared" si="4"/>
        <v>46373.909999999996</v>
      </c>
      <c r="D584" s="52">
        <f>IFERROR(_xlfn.XLOOKUP($B:$B,'Estatísticos Mensais'!$A:$A,'Estatísticos Mensais'!C:C),0)</f>
        <v>46350.6</v>
      </c>
      <c r="E584" s="52">
        <f>IFERROR(_xlfn.XLOOKUP($B:$B,'Estatísticos Mensais'!$A:$A,'Estatísticos Mensais'!D:D),0)</f>
        <v>23.31</v>
      </c>
      <c r="F584" s="157">
        <f>IFERROR(_xlfn.XLOOKUP($B:$B,'Estatísticos Mensais'!$A:$A,'Estatísticos Mensais'!E:E),0)</f>
        <v>283</v>
      </c>
      <c r="G584" s="157">
        <f>IFERROR(_xlfn.XLOOKUP($B:$B,'Estatísticos Mensais'!$A:$A,'Estatísticos Mensais'!F:F),0)</f>
        <v>332</v>
      </c>
      <c r="H584" s="35">
        <f t="shared" si="0"/>
        <v>163.865406360424</v>
      </c>
      <c r="I584" s="19">
        <f t="shared" ca="1" si="1"/>
        <v>931.95290322580649</v>
      </c>
      <c r="J584" s="111">
        <f t="shared" ca="1" si="2"/>
        <v>49.759928682537598</v>
      </c>
      <c r="K584" s="53">
        <f>IFERROR(_xlfn.XLOOKUP($B:$B,Google!A:A,Google!B:B),0)</f>
        <v>0</v>
      </c>
      <c r="L584" s="54">
        <f t="shared" si="3"/>
        <v>0</v>
      </c>
      <c r="M584" s="59"/>
      <c r="N584" s="69">
        <v>645.87</v>
      </c>
      <c r="O584" s="70">
        <f>SUMIF(Facebook!A:A,'Compilado 2023'!B:B,Facebook!B:B)</f>
        <v>212.5</v>
      </c>
      <c r="P584" s="71">
        <v>0</v>
      </c>
      <c r="Q584" s="70">
        <f ca="1">_xlfn.XLOOKUP(B:B,'E-mail'!A:A,'E-mail'!C:C)</f>
        <v>51.612903225806448</v>
      </c>
      <c r="R584" s="202">
        <f>IFERROR(VLOOKUP($B:$B,Tabela_Linkedin[],2,),0)</f>
        <v>2.14</v>
      </c>
      <c r="S584" s="70">
        <f>SUMIF(TikTok!A:A,'Compilado 2023'!B:B,TikTok!B:B)</f>
        <v>19.829999999999998</v>
      </c>
      <c r="T584" s="70">
        <v>0</v>
      </c>
      <c r="U584" s="70">
        <v>0</v>
      </c>
      <c r="V584" s="59"/>
      <c r="W584" s="70">
        <v>0</v>
      </c>
      <c r="X584" s="70">
        <v>0</v>
      </c>
      <c r="Y584" s="70">
        <v>0</v>
      </c>
      <c r="Z584" s="38"/>
      <c r="AA584" s="40"/>
    </row>
    <row r="585" spans="1:27" s="2" customFormat="1" x14ac:dyDescent="0.2">
      <c r="A585" s="16" t="str">
        <f t="shared" si="5"/>
        <v>domingo</v>
      </c>
      <c r="B585" s="17">
        <v>45144</v>
      </c>
      <c r="C585" s="19">
        <f t="shared" si="4"/>
        <v>32215.25</v>
      </c>
      <c r="D585" s="52">
        <f>IFERROR(_xlfn.XLOOKUP($B:$B,'Estatísticos Mensais'!$A:$A,'Estatísticos Mensais'!C:C),0)</f>
        <v>32215.25</v>
      </c>
      <c r="E585" s="52">
        <f>IFERROR(_xlfn.XLOOKUP($B:$B,'Estatísticos Mensais'!$A:$A,'Estatísticos Mensais'!D:D),0)</f>
        <v>0</v>
      </c>
      <c r="F585" s="157">
        <f>IFERROR(_xlfn.XLOOKUP($B:$B,'Estatísticos Mensais'!$A:$A,'Estatísticos Mensais'!E:E),0)</f>
        <v>163</v>
      </c>
      <c r="G585" s="157">
        <f>IFERROR(_xlfn.XLOOKUP($B:$B,'Estatísticos Mensais'!$A:$A,'Estatísticos Mensais'!F:F),0)</f>
        <v>185</v>
      </c>
      <c r="H585" s="35">
        <f t="shared" si="0"/>
        <v>197.63957055214723</v>
      </c>
      <c r="I585" s="19">
        <f t="shared" ca="1" si="1"/>
        <v>1012.4029032258064</v>
      </c>
      <c r="J585" s="111">
        <f t="shared" ca="1" si="2"/>
        <v>31.82058239595418</v>
      </c>
      <c r="K585" s="53">
        <f>IFERROR(_xlfn.XLOOKUP($B:$B,Google!A:A,Google!B:B),0)</f>
        <v>0</v>
      </c>
      <c r="L585" s="54">
        <f t="shared" si="3"/>
        <v>0</v>
      </c>
      <c r="M585" s="59"/>
      <c r="N585" s="69">
        <v>711.53</v>
      </c>
      <c r="O585" s="70">
        <f>SUMIF(Facebook!A:A,'Compilado 2023'!B:B,Facebook!B:B)</f>
        <v>228.73</v>
      </c>
      <c r="P585" s="71">
        <v>0</v>
      </c>
      <c r="Q585" s="70">
        <f ca="1">_xlfn.XLOOKUP(B:B,'E-mail'!A:A,'E-mail'!C:C)</f>
        <v>51.612903225806448</v>
      </c>
      <c r="R585" s="202">
        <f>IFERROR(VLOOKUP($B:$B,Tabela_Linkedin[],2,),0)</f>
        <v>0.8</v>
      </c>
      <c r="S585" s="70">
        <f>SUMIF(TikTok!A:A,'Compilado 2023'!B:B,TikTok!B:B)</f>
        <v>19.73</v>
      </c>
      <c r="T585" s="70">
        <v>0</v>
      </c>
      <c r="U585" s="70">
        <v>0</v>
      </c>
      <c r="V585" s="59"/>
      <c r="W585" s="70">
        <v>0</v>
      </c>
      <c r="X585" s="70">
        <v>0</v>
      </c>
      <c r="Y585" s="70">
        <v>0</v>
      </c>
      <c r="Z585" s="38"/>
      <c r="AA585" s="40"/>
    </row>
    <row r="586" spans="1:27" s="2" customFormat="1" x14ac:dyDescent="0.2">
      <c r="A586" s="16" t="str">
        <f t="shared" si="5"/>
        <v>segunda-feira</v>
      </c>
      <c r="B586" s="17">
        <v>45145</v>
      </c>
      <c r="C586" s="19">
        <f t="shared" si="4"/>
        <v>69465.52</v>
      </c>
      <c r="D586" s="52">
        <f>IFERROR(_xlfn.XLOOKUP($B:$B,'Estatísticos Mensais'!$A:$A,'Estatísticos Mensais'!C:C),0)</f>
        <v>69442.070000000007</v>
      </c>
      <c r="E586" s="52">
        <f>IFERROR(_xlfn.XLOOKUP($B:$B,'Estatísticos Mensais'!$A:$A,'Estatísticos Mensais'!D:D),0)</f>
        <v>23.45</v>
      </c>
      <c r="F586" s="157">
        <f>IFERROR(_xlfn.XLOOKUP($B:$B,'Estatísticos Mensais'!$A:$A,'Estatísticos Mensais'!E:E),0)</f>
        <v>255</v>
      </c>
      <c r="G586" s="157">
        <f>IFERROR(_xlfn.XLOOKUP($B:$B,'Estatísticos Mensais'!$A:$A,'Estatísticos Mensais'!F:F),0)</f>
        <v>279</v>
      </c>
      <c r="H586" s="35">
        <f t="shared" si="0"/>
        <v>272.41380392156867</v>
      </c>
      <c r="I586" s="19">
        <f t="shared" ca="1" si="1"/>
        <v>1478.8929032258063</v>
      </c>
      <c r="J586" s="111">
        <f t="shared" ca="1" si="2"/>
        <v>46.971298495299891</v>
      </c>
      <c r="K586" s="53">
        <f>IFERROR(_xlfn.XLOOKUP($B:$B,Google!A:A,Google!B:B),0)</f>
        <v>0</v>
      </c>
      <c r="L586" s="54">
        <f t="shared" si="3"/>
        <v>0</v>
      </c>
      <c r="M586" s="59"/>
      <c r="N586" s="69">
        <v>1005.45</v>
      </c>
      <c r="O586" s="70">
        <f>SUMIF(Facebook!A:A,'Compilado 2023'!B:B,Facebook!B:B)</f>
        <v>399.19</v>
      </c>
      <c r="P586" s="71">
        <v>0</v>
      </c>
      <c r="Q586" s="70">
        <f ca="1">_xlfn.XLOOKUP(B:B,'E-mail'!A:A,'E-mail'!C:C)</f>
        <v>51.612903225806448</v>
      </c>
      <c r="R586" s="202">
        <f>IFERROR(VLOOKUP($B:$B,Tabela_Linkedin[],2,),0)</f>
        <v>3.02</v>
      </c>
      <c r="S586" s="70">
        <f>SUMIF(TikTok!A:A,'Compilado 2023'!B:B,TikTok!B:B)</f>
        <v>19.62</v>
      </c>
      <c r="T586" s="70">
        <v>0</v>
      </c>
      <c r="U586" s="70">
        <v>0</v>
      </c>
      <c r="V586" s="59"/>
      <c r="W586" s="70">
        <v>0</v>
      </c>
      <c r="X586" s="70">
        <v>0</v>
      </c>
      <c r="Y586" s="70">
        <v>0</v>
      </c>
      <c r="Z586" s="38"/>
      <c r="AA586" s="40"/>
    </row>
    <row r="587" spans="1:27" s="2" customFormat="1" x14ac:dyDescent="0.2">
      <c r="A587" s="16" t="str">
        <f t="shared" si="5"/>
        <v>terça-feira</v>
      </c>
      <c r="B587" s="17">
        <v>45146</v>
      </c>
      <c r="C587" s="19">
        <f t="shared" ref="C587:C618" si="6">D587+E587</f>
        <v>88246.83</v>
      </c>
      <c r="D587" s="52">
        <f>IFERROR(_xlfn.XLOOKUP($B:$B,'Estatísticos Mensais'!$A:$A,'Estatísticos Mensais'!C:C),0)</f>
        <v>88217.600000000006</v>
      </c>
      <c r="E587" s="52">
        <f>IFERROR(_xlfn.XLOOKUP($B:$B,'Estatísticos Mensais'!$A:$A,'Estatísticos Mensais'!D:D),0)</f>
        <v>29.23</v>
      </c>
      <c r="F587" s="157">
        <f>IFERROR(_xlfn.XLOOKUP($B:$B,'Estatísticos Mensais'!$A:$A,'Estatísticos Mensais'!E:E),0)</f>
        <v>305</v>
      </c>
      <c r="G587" s="157">
        <f>IFERROR(_xlfn.XLOOKUP($B:$B,'Estatísticos Mensais'!$A:$A,'Estatísticos Mensais'!F:F),0)</f>
        <v>372</v>
      </c>
      <c r="H587" s="35">
        <f t="shared" si="0"/>
        <v>289.33386885245903</v>
      </c>
      <c r="I587" s="19">
        <f t="shared" ca="1" si="1"/>
        <v>1276.1829032258065</v>
      </c>
      <c r="J587" s="111">
        <f t="shared" ca="1" si="2"/>
        <v>69.149045780928859</v>
      </c>
      <c r="K587" s="53">
        <f>IFERROR(_xlfn.XLOOKUP($B:$B,Google!A:A,Google!B:B),0)</f>
        <v>0</v>
      </c>
      <c r="L587" s="54">
        <f t="shared" si="3"/>
        <v>0</v>
      </c>
      <c r="M587" s="59"/>
      <c r="N587" s="69">
        <v>927.51</v>
      </c>
      <c r="O587" s="70">
        <f>SUMIF(Facebook!A:A,'Compilado 2023'!B:B,Facebook!B:B)</f>
        <v>275.42</v>
      </c>
      <c r="P587" s="71">
        <v>0</v>
      </c>
      <c r="Q587" s="70">
        <f ca="1">_xlfn.XLOOKUP(B:B,'E-mail'!A:A,'E-mail'!C:C)</f>
        <v>51.612903225806448</v>
      </c>
      <c r="R587" s="202">
        <f>IFERROR(VLOOKUP($B:$B,Tabela_Linkedin[],2,),0)</f>
        <v>2.16</v>
      </c>
      <c r="S587" s="70">
        <f>SUMIF(TikTok!A:A,'Compilado 2023'!B:B,TikTok!B:B)</f>
        <v>19.48</v>
      </c>
      <c r="T587" s="70">
        <v>0</v>
      </c>
      <c r="U587" s="70">
        <v>0</v>
      </c>
      <c r="V587" s="59"/>
      <c r="W587" s="70">
        <v>0</v>
      </c>
      <c r="X587" s="70">
        <v>0</v>
      </c>
      <c r="Y587" s="70">
        <v>0</v>
      </c>
      <c r="Z587" s="38"/>
      <c r="AA587" s="40"/>
    </row>
    <row r="588" spans="1:27" s="2" customFormat="1" x14ac:dyDescent="0.2">
      <c r="A588" s="16" t="str">
        <f t="shared" si="5"/>
        <v>quarta-feira</v>
      </c>
      <c r="B588" s="17">
        <v>45147</v>
      </c>
      <c r="C588" s="19">
        <f t="shared" si="6"/>
        <v>84697.75</v>
      </c>
      <c r="D588" s="52">
        <f>IFERROR(_xlfn.XLOOKUP($B:$B,'Estatísticos Mensais'!$A:$A,'Estatísticos Mensais'!C:C),0)</f>
        <v>84627.68</v>
      </c>
      <c r="E588" s="52">
        <f>IFERROR(_xlfn.XLOOKUP($B:$B,'Estatísticos Mensais'!$A:$A,'Estatísticos Mensais'!D:D),0)</f>
        <v>70.069999999999993</v>
      </c>
      <c r="F588" s="157">
        <f>IFERROR(_xlfn.XLOOKUP($B:$B,'Estatísticos Mensais'!$A:$A,'Estatísticos Mensais'!E:E),0)</f>
        <v>290</v>
      </c>
      <c r="G588" s="157">
        <f>IFERROR(_xlfn.XLOOKUP($B:$B,'Estatísticos Mensais'!$A:$A,'Estatísticos Mensais'!F:F),0)</f>
        <v>399</v>
      </c>
      <c r="H588" s="35">
        <f t="shared" si="0"/>
        <v>292.06120689655171</v>
      </c>
      <c r="I588" s="19">
        <f t="shared" ca="1" si="1"/>
        <v>1244.2729032258062</v>
      </c>
      <c r="J588" s="111">
        <f t="shared" ca="1" si="2"/>
        <v>68.07007512613923</v>
      </c>
      <c r="K588" s="53">
        <f>IFERROR(_xlfn.XLOOKUP($B:$B,Google!A:A,Google!B:B),0)</f>
        <v>0</v>
      </c>
      <c r="L588" s="54">
        <f t="shared" si="3"/>
        <v>0</v>
      </c>
      <c r="M588" s="59"/>
      <c r="N588" s="69">
        <v>899.78</v>
      </c>
      <c r="O588" s="70">
        <f>SUMIF(Facebook!A:A,'Compilado 2023'!B:B,Facebook!B:B)</f>
        <v>273.81</v>
      </c>
      <c r="P588" s="71">
        <v>0</v>
      </c>
      <c r="Q588" s="70">
        <f ca="1">_xlfn.XLOOKUP(B:B,'E-mail'!A:A,'E-mail'!C:C)</f>
        <v>51.612903225806448</v>
      </c>
      <c r="R588" s="202">
        <f>IFERROR(VLOOKUP($B:$B,Tabela_Linkedin[],2,),0)</f>
        <v>0</v>
      </c>
      <c r="S588" s="70">
        <f>SUMIF(TikTok!A:A,'Compilado 2023'!B:B,TikTok!B:B)</f>
        <v>19.07</v>
      </c>
      <c r="T588" s="70">
        <v>0</v>
      </c>
      <c r="U588" s="70">
        <v>0</v>
      </c>
      <c r="V588" s="59"/>
      <c r="W588" s="70">
        <v>0</v>
      </c>
      <c r="X588" s="70">
        <v>0</v>
      </c>
      <c r="Y588" s="70">
        <v>0</v>
      </c>
      <c r="Z588" s="38"/>
      <c r="AA588" s="40"/>
    </row>
    <row r="589" spans="1:27" s="2" customFormat="1" x14ac:dyDescent="0.2">
      <c r="A589" s="16" t="str">
        <f t="shared" si="5"/>
        <v>quinta-feira</v>
      </c>
      <c r="B589" s="17">
        <v>45148</v>
      </c>
      <c r="C589" s="19">
        <f t="shared" si="6"/>
        <v>84979.81</v>
      </c>
      <c r="D589" s="52">
        <f>IFERROR(_xlfn.XLOOKUP($B:$B,'Estatísticos Mensais'!$A:$A,'Estatísticos Mensais'!C:C),0)</f>
        <v>84933.05</v>
      </c>
      <c r="E589" s="52">
        <f>IFERROR(_xlfn.XLOOKUP($B:$B,'Estatísticos Mensais'!$A:$A,'Estatísticos Mensais'!D:D),0)</f>
        <v>46.76</v>
      </c>
      <c r="F589" s="157">
        <f>IFERROR(_xlfn.XLOOKUP($B:$B,'Estatísticos Mensais'!$A:$A,'Estatísticos Mensais'!E:E),0)</f>
        <v>312</v>
      </c>
      <c r="G589" s="157">
        <f>IFERROR(_xlfn.XLOOKUP($B:$B,'Estatísticos Mensais'!$A:$A,'Estatísticos Mensais'!F:F),0)</f>
        <v>419</v>
      </c>
      <c r="H589" s="35">
        <f t="shared" si="0"/>
        <v>272.37118589743591</v>
      </c>
      <c r="I589" s="19">
        <f t="shared" ca="1" si="1"/>
        <v>1349.4529032258063</v>
      </c>
      <c r="J589" s="111">
        <f t="shared" ca="1" si="2"/>
        <v>62.97352786218741</v>
      </c>
      <c r="K589" s="53">
        <f>IFERROR(_xlfn.XLOOKUP($B:$B,Google!A:A,Google!B:B),0)</f>
        <v>0</v>
      </c>
      <c r="L589" s="54">
        <f t="shared" si="3"/>
        <v>0</v>
      </c>
      <c r="M589" s="59"/>
      <c r="N589" s="69">
        <v>965.39</v>
      </c>
      <c r="O589" s="70">
        <f>SUMIF(Facebook!A:A,'Compilado 2023'!B:B,Facebook!B:B)</f>
        <v>311.58999999999997</v>
      </c>
      <c r="P589" s="71">
        <v>0</v>
      </c>
      <c r="Q589" s="70">
        <f ca="1">_xlfn.XLOOKUP(B:B,'E-mail'!A:A,'E-mail'!C:C)</f>
        <v>51.612903225806448</v>
      </c>
      <c r="R589" s="202">
        <f>IFERROR(VLOOKUP($B:$B,Tabela_Linkedin[],2,),0)</f>
        <v>1.27</v>
      </c>
      <c r="S589" s="70">
        <f>SUMIF(TikTok!A:A,'Compilado 2023'!B:B,TikTok!B:B)</f>
        <v>19.59</v>
      </c>
      <c r="T589" s="70">
        <v>0</v>
      </c>
      <c r="U589" s="70">
        <v>0</v>
      </c>
      <c r="V589" s="59"/>
      <c r="W589" s="70">
        <v>0</v>
      </c>
      <c r="X589" s="70">
        <v>0</v>
      </c>
      <c r="Y589" s="70">
        <v>0</v>
      </c>
      <c r="Z589" s="38"/>
      <c r="AA589" s="40"/>
    </row>
    <row r="590" spans="1:27" s="2" customFormat="1" x14ac:dyDescent="0.2">
      <c r="A590" s="16" t="str">
        <f t="shared" si="5"/>
        <v>sexta-feira</v>
      </c>
      <c r="B590" s="17">
        <v>45149</v>
      </c>
      <c r="C590" s="19">
        <f t="shared" si="6"/>
        <v>0</v>
      </c>
      <c r="D590" s="52">
        <f>IFERROR(_xlfn.XLOOKUP($B:$B,'Estatísticos Mensais'!$A:$A,'Estatísticos Mensais'!C:C),0)</f>
        <v>0</v>
      </c>
      <c r="E590" s="52">
        <f>IFERROR(_xlfn.XLOOKUP($B:$B,'Estatísticos Mensais'!$A:$A,'Estatísticos Mensais'!D:D),0)</f>
        <v>0</v>
      </c>
      <c r="F590" s="157">
        <f>IFERROR(_xlfn.XLOOKUP($B:$B,'Estatísticos Mensais'!$A:$A,'Estatísticos Mensais'!E:E),0)</f>
        <v>0</v>
      </c>
      <c r="G590" s="157">
        <f>IFERROR(_xlfn.XLOOKUP($B:$B,'Estatísticos Mensais'!$A:$A,'Estatísticos Mensais'!F:F),0)</f>
        <v>0</v>
      </c>
      <c r="H590" s="35">
        <f t="shared" ref="H590:H621" si="7">IFERROR(C590/F590,0)</f>
        <v>0</v>
      </c>
      <c r="I590" s="19">
        <f t="shared" ref="I590:I621" ca="1" si="8">SUM(N590:U590)</f>
        <v>92.03290322580645</v>
      </c>
      <c r="J590" s="111">
        <f t="shared" ref="J590:J621" ca="1" si="9">IF(I590&gt;0,C590/I590,0)</f>
        <v>0</v>
      </c>
      <c r="K590" s="53">
        <f>IFERROR(_xlfn.XLOOKUP($B:$B,Google!A:A,Google!B:B),0)</f>
        <v>0</v>
      </c>
      <c r="L590" s="54">
        <f t="shared" ref="L590:L621" si="10">IFERROR(F590/K590,0)</f>
        <v>0</v>
      </c>
      <c r="M590" s="59"/>
      <c r="N590" s="69">
        <f>IFERROR(VLOOKUP(B590,Tabela_Google[],3,),0)</f>
        <v>0</v>
      </c>
      <c r="O590" s="70">
        <f>SUMIF(Facebook!A:A,'Compilado 2023'!B:B,Facebook!B:B)</f>
        <v>37.94</v>
      </c>
      <c r="P590" s="71">
        <v>0</v>
      </c>
      <c r="Q590" s="70">
        <f ca="1">_xlfn.XLOOKUP(B:B,'E-mail'!A:A,'E-mail'!C:C)</f>
        <v>51.612903225806448</v>
      </c>
      <c r="R590" s="202">
        <f>IFERROR(VLOOKUP($B:$B,Tabela_Linkedin[],2,),0)</f>
        <v>0</v>
      </c>
      <c r="S590" s="70">
        <f>SUMIF(TikTok!A:A,'Compilado 2023'!B:B,TikTok!B:B)</f>
        <v>2.48</v>
      </c>
      <c r="T590" s="70">
        <v>0</v>
      </c>
      <c r="U590" s="70">
        <v>0</v>
      </c>
      <c r="V590" s="59"/>
      <c r="W590" s="70">
        <v>0</v>
      </c>
      <c r="X590" s="70">
        <v>0</v>
      </c>
      <c r="Y590" s="70">
        <v>0</v>
      </c>
      <c r="Z590" s="38"/>
      <c r="AA590" s="40"/>
    </row>
    <row r="591" spans="1:27" s="2" customFormat="1" x14ac:dyDescent="0.2">
      <c r="A591" s="16" t="str">
        <f t="shared" si="5"/>
        <v>sábado</v>
      </c>
      <c r="B591" s="17">
        <v>45150</v>
      </c>
      <c r="C591" s="19">
        <f t="shared" si="6"/>
        <v>0</v>
      </c>
      <c r="D591" s="52">
        <f>IFERROR(_xlfn.XLOOKUP($B:$B,'Estatísticos Mensais'!$A:$A,'Estatísticos Mensais'!C:C),0)</f>
        <v>0</v>
      </c>
      <c r="E591" s="52">
        <f>IFERROR(_xlfn.XLOOKUP($B:$B,'Estatísticos Mensais'!$A:$A,'Estatísticos Mensais'!D:D),0)</f>
        <v>0</v>
      </c>
      <c r="F591" s="157">
        <f>IFERROR(_xlfn.XLOOKUP($B:$B,'Estatísticos Mensais'!$A:$A,'Estatísticos Mensais'!E:E),0)</f>
        <v>0</v>
      </c>
      <c r="G591" s="157">
        <f>IFERROR(_xlfn.XLOOKUP($B:$B,'Estatísticos Mensais'!$A:$A,'Estatísticos Mensais'!F:F),0)</f>
        <v>0</v>
      </c>
      <c r="H591" s="35">
        <f t="shared" si="7"/>
        <v>0</v>
      </c>
      <c r="I591" s="19">
        <f t="shared" ca="1" si="8"/>
        <v>51.612903225806448</v>
      </c>
      <c r="J591" s="111">
        <f t="shared" ca="1" si="9"/>
        <v>0</v>
      </c>
      <c r="K591" s="53">
        <f>IFERROR(_xlfn.XLOOKUP($B:$B,Google!A:A,Google!B:B),0)</f>
        <v>0</v>
      </c>
      <c r="L591" s="54">
        <f t="shared" si="10"/>
        <v>0</v>
      </c>
      <c r="M591" s="59"/>
      <c r="N591" s="69">
        <f>IFERROR(VLOOKUP(B591,Tabela_Google[],3,),0)</f>
        <v>0</v>
      </c>
      <c r="O591" s="70">
        <f>SUMIF(Facebook!A:A,'Compilado 2023'!B:B,Facebook!B:B)</f>
        <v>0</v>
      </c>
      <c r="P591" s="71">
        <v>0</v>
      </c>
      <c r="Q591" s="70">
        <f ca="1">_xlfn.XLOOKUP(B:B,'E-mail'!A:A,'E-mail'!C:C)</f>
        <v>51.612903225806448</v>
      </c>
      <c r="R591" s="202">
        <f>IFERROR(VLOOKUP($B:$B,Tabela_Linkedin[],2,),0)</f>
        <v>0</v>
      </c>
      <c r="S591" s="70">
        <f>SUMIF(TikTok!A:A,'Compilado 2023'!B:B,TikTok!B:B)</f>
        <v>0</v>
      </c>
      <c r="T591" s="70">
        <v>0</v>
      </c>
      <c r="U591" s="70">
        <v>0</v>
      </c>
      <c r="V591" s="59"/>
      <c r="W591" s="70">
        <v>0</v>
      </c>
      <c r="X591" s="70">
        <v>0</v>
      </c>
      <c r="Y591" s="70">
        <v>0</v>
      </c>
      <c r="Z591" s="38"/>
      <c r="AA591" s="40"/>
    </row>
    <row r="592" spans="1:27" s="2" customFormat="1" x14ac:dyDescent="0.2">
      <c r="A592" s="16" t="str">
        <f t="shared" si="5"/>
        <v>domingo</v>
      </c>
      <c r="B592" s="17">
        <v>45151</v>
      </c>
      <c r="C592" s="19">
        <f t="shared" si="6"/>
        <v>0</v>
      </c>
      <c r="D592" s="52">
        <f>IFERROR(_xlfn.XLOOKUP($B:$B,'Estatísticos Mensais'!$A:$A,'Estatísticos Mensais'!C:C),0)</f>
        <v>0</v>
      </c>
      <c r="E592" s="52">
        <f>IFERROR(_xlfn.XLOOKUP($B:$B,'Estatísticos Mensais'!$A:$A,'Estatísticos Mensais'!D:D),0)</f>
        <v>0</v>
      </c>
      <c r="F592" s="157">
        <f>IFERROR(_xlfn.XLOOKUP($B:$B,'Estatísticos Mensais'!$A:$A,'Estatísticos Mensais'!E:E),0)</f>
        <v>0</v>
      </c>
      <c r="G592" s="157">
        <f>IFERROR(_xlfn.XLOOKUP($B:$B,'Estatísticos Mensais'!$A:$A,'Estatísticos Mensais'!F:F),0)</f>
        <v>0</v>
      </c>
      <c r="H592" s="35">
        <f t="shared" si="7"/>
        <v>0</v>
      </c>
      <c r="I592" s="19">
        <f t="shared" ca="1" si="8"/>
        <v>51.612903225806448</v>
      </c>
      <c r="J592" s="111">
        <f t="shared" ca="1" si="9"/>
        <v>0</v>
      </c>
      <c r="K592" s="53">
        <f>IFERROR(_xlfn.XLOOKUP($B:$B,Google!A:A,Google!B:B),0)</f>
        <v>0</v>
      </c>
      <c r="L592" s="54">
        <f t="shared" si="10"/>
        <v>0</v>
      </c>
      <c r="M592" s="59"/>
      <c r="N592" s="69">
        <f>IFERROR(VLOOKUP(B592,Tabela_Google[],3,),0)</f>
        <v>0</v>
      </c>
      <c r="O592" s="70">
        <f>SUMIF(Facebook!A:A,'Compilado 2023'!B:B,Facebook!B:B)</f>
        <v>0</v>
      </c>
      <c r="P592" s="71">
        <v>0</v>
      </c>
      <c r="Q592" s="70">
        <f ca="1">_xlfn.XLOOKUP(B:B,'E-mail'!A:A,'E-mail'!C:C)</f>
        <v>51.612903225806448</v>
      </c>
      <c r="R592" s="202">
        <f>IFERROR(VLOOKUP($B:$B,Tabela_Linkedin[],2,),0)</f>
        <v>0</v>
      </c>
      <c r="S592" s="70">
        <f>SUMIF(TikTok!A:A,'Compilado 2023'!B:B,TikTok!B:B)</f>
        <v>0</v>
      </c>
      <c r="T592" s="70">
        <v>0</v>
      </c>
      <c r="U592" s="70">
        <v>0</v>
      </c>
      <c r="V592" s="59"/>
      <c r="W592" s="70">
        <v>0</v>
      </c>
      <c r="X592" s="70">
        <v>0</v>
      </c>
      <c r="Y592" s="70">
        <v>0</v>
      </c>
      <c r="Z592" s="38"/>
      <c r="AA592" s="40"/>
    </row>
    <row r="593" spans="1:27" s="2" customFormat="1" x14ac:dyDescent="0.2">
      <c r="A593" s="16" t="str">
        <f t="shared" si="5"/>
        <v>segunda-feira</v>
      </c>
      <c r="B593" s="17">
        <v>45152</v>
      </c>
      <c r="C593" s="19">
        <f t="shared" si="6"/>
        <v>0</v>
      </c>
      <c r="D593" s="52">
        <f>IFERROR(_xlfn.XLOOKUP($B:$B,'Estatísticos Mensais'!$A:$A,'Estatísticos Mensais'!C:C),0)</f>
        <v>0</v>
      </c>
      <c r="E593" s="52">
        <f>IFERROR(_xlfn.XLOOKUP($B:$B,'Estatísticos Mensais'!$A:$A,'Estatísticos Mensais'!D:D),0)</f>
        <v>0</v>
      </c>
      <c r="F593" s="157">
        <f>IFERROR(_xlfn.XLOOKUP($B:$B,'Estatísticos Mensais'!$A:$A,'Estatísticos Mensais'!E:E),0)</f>
        <v>0</v>
      </c>
      <c r="G593" s="157">
        <f>IFERROR(_xlfn.XLOOKUP($B:$B,'Estatísticos Mensais'!$A:$A,'Estatísticos Mensais'!F:F),0)</f>
        <v>0</v>
      </c>
      <c r="H593" s="35">
        <f t="shared" si="7"/>
        <v>0</v>
      </c>
      <c r="I593" s="19">
        <f t="shared" ca="1" si="8"/>
        <v>51.612903225806448</v>
      </c>
      <c r="J593" s="111">
        <f t="shared" ca="1" si="9"/>
        <v>0</v>
      </c>
      <c r="K593" s="53">
        <f>IFERROR(_xlfn.XLOOKUP($B:$B,Google!A:A,Google!B:B),0)</f>
        <v>0</v>
      </c>
      <c r="L593" s="54">
        <f t="shared" si="10"/>
        <v>0</v>
      </c>
      <c r="M593" s="59"/>
      <c r="N593" s="69">
        <f>IFERROR(VLOOKUP(B593,Tabela_Google[],3,),0)</f>
        <v>0</v>
      </c>
      <c r="O593" s="70">
        <f>SUMIF(Facebook!A:A,'Compilado 2023'!B:B,Facebook!B:B)</f>
        <v>0</v>
      </c>
      <c r="P593" s="71">
        <v>0</v>
      </c>
      <c r="Q593" s="70">
        <f ca="1">_xlfn.XLOOKUP(B:B,'E-mail'!A:A,'E-mail'!C:C)</f>
        <v>51.612903225806448</v>
      </c>
      <c r="R593" s="202">
        <f>IFERROR(VLOOKUP($B:$B,Tabela_Linkedin[],2,),0)</f>
        <v>0</v>
      </c>
      <c r="S593" s="70">
        <f>SUMIF(TikTok!A:A,'Compilado 2023'!B:B,TikTok!B:B)</f>
        <v>0</v>
      </c>
      <c r="T593" s="70">
        <v>0</v>
      </c>
      <c r="U593" s="70">
        <v>0</v>
      </c>
      <c r="V593" s="59"/>
      <c r="W593" s="70">
        <v>0</v>
      </c>
      <c r="X593" s="70">
        <v>0</v>
      </c>
      <c r="Y593" s="70">
        <v>0</v>
      </c>
      <c r="Z593" s="38"/>
      <c r="AA593" s="40"/>
    </row>
    <row r="594" spans="1:27" s="2" customFormat="1" x14ac:dyDescent="0.2">
      <c r="A594" s="16" t="str">
        <f t="shared" si="5"/>
        <v>terça-feira</v>
      </c>
      <c r="B594" s="17">
        <v>45153</v>
      </c>
      <c r="C594" s="19">
        <f t="shared" si="6"/>
        <v>0</v>
      </c>
      <c r="D594" s="52">
        <f>IFERROR(_xlfn.XLOOKUP($B:$B,'Estatísticos Mensais'!$A:$A,'Estatísticos Mensais'!C:C),0)</f>
        <v>0</v>
      </c>
      <c r="E594" s="52">
        <f>IFERROR(_xlfn.XLOOKUP($B:$B,'Estatísticos Mensais'!$A:$A,'Estatísticos Mensais'!D:D),0)</f>
        <v>0</v>
      </c>
      <c r="F594" s="157">
        <f>IFERROR(_xlfn.XLOOKUP($B:$B,'Estatísticos Mensais'!$A:$A,'Estatísticos Mensais'!E:E),0)</f>
        <v>0</v>
      </c>
      <c r="G594" s="157">
        <f>IFERROR(_xlfn.XLOOKUP($B:$B,'Estatísticos Mensais'!$A:$A,'Estatísticos Mensais'!F:F),0)</f>
        <v>0</v>
      </c>
      <c r="H594" s="35">
        <f t="shared" si="7"/>
        <v>0</v>
      </c>
      <c r="I594" s="19">
        <f t="shared" ca="1" si="8"/>
        <v>51.612903225806448</v>
      </c>
      <c r="J594" s="111">
        <f t="shared" ca="1" si="9"/>
        <v>0</v>
      </c>
      <c r="K594" s="53">
        <f>IFERROR(_xlfn.XLOOKUP($B:$B,Google!A:A,Google!B:B),0)</f>
        <v>0</v>
      </c>
      <c r="L594" s="54">
        <f t="shared" si="10"/>
        <v>0</v>
      </c>
      <c r="M594" s="59"/>
      <c r="N594" s="69">
        <f>IFERROR(VLOOKUP(B594,Tabela_Google[],3,),0)</f>
        <v>0</v>
      </c>
      <c r="O594" s="70">
        <f>SUMIF(Facebook!A:A,'Compilado 2023'!B:B,Facebook!B:B)</f>
        <v>0</v>
      </c>
      <c r="P594" s="71">
        <v>0</v>
      </c>
      <c r="Q594" s="70">
        <f ca="1">_xlfn.XLOOKUP(B:B,'E-mail'!A:A,'E-mail'!C:C)</f>
        <v>51.612903225806448</v>
      </c>
      <c r="R594" s="202">
        <f>IFERROR(VLOOKUP($B:$B,Tabela_Linkedin[],2,),0)</f>
        <v>0</v>
      </c>
      <c r="S594" s="70">
        <f>SUMIF(TikTok!A:A,'Compilado 2023'!B:B,TikTok!B:B)</f>
        <v>0</v>
      </c>
      <c r="T594" s="70">
        <v>0</v>
      </c>
      <c r="U594" s="70">
        <v>0</v>
      </c>
      <c r="V594" s="59"/>
      <c r="W594" s="70">
        <v>0</v>
      </c>
      <c r="X594" s="70">
        <v>0</v>
      </c>
      <c r="Y594" s="70">
        <v>0</v>
      </c>
      <c r="Z594" s="38"/>
      <c r="AA594" s="40"/>
    </row>
    <row r="595" spans="1:27" s="2" customFormat="1" x14ac:dyDescent="0.2">
      <c r="A595" s="16" t="str">
        <f t="shared" si="5"/>
        <v>quarta-feira</v>
      </c>
      <c r="B595" s="17">
        <v>45154</v>
      </c>
      <c r="C595" s="19">
        <f t="shared" si="6"/>
        <v>0</v>
      </c>
      <c r="D595" s="52">
        <f>IFERROR(_xlfn.XLOOKUP($B:$B,'Estatísticos Mensais'!$A:$A,'Estatísticos Mensais'!C:C),0)</f>
        <v>0</v>
      </c>
      <c r="E595" s="52">
        <f>IFERROR(_xlfn.XLOOKUP($B:$B,'Estatísticos Mensais'!$A:$A,'Estatísticos Mensais'!D:D),0)</f>
        <v>0</v>
      </c>
      <c r="F595" s="157">
        <f>IFERROR(_xlfn.XLOOKUP($B:$B,'Estatísticos Mensais'!$A:$A,'Estatísticos Mensais'!E:E),0)</f>
        <v>0</v>
      </c>
      <c r="G595" s="157">
        <f>IFERROR(_xlfn.XLOOKUP($B:$B,'Estatísticos Mensais'!$A:$A,'Estatísticos Mensais'!F:F),0)</f>
        <v>0</v>
      </c>
      <c r="H595" s="35">
        <f t="shared" si="7"/>
        <v>0</v>
      </c>
      <c r="I595" s="19">
        <f t="shared" ca="1" si="8"/>
        <v>51.612903225806448</v>
      </c>
      <c r="J595" s="111">
        <f t="shared" ca="1" si="9"/>
        <v>0</v>
      </c>
      <c r="K595" s="53">
        <f>IFERROR(_xlfn.XLOOKUP($B:$B,Google!A:A,Google!B:B),0)</f>
        <v>0</v>
      </c>
      <c r="L595" s="54">
        <f t="shared" si="10"/>
        <v>0</v>
      </c>
      <c r="M595" s="59"/>
      <c r="N595" s="69">
        <f>IFERROR(VLOOKUP(B595,Tabela_Google[],3,),0)</f>
        <v>0</v>
      </c>
      <c r="O595" s="70">
        <f>SUMIF(Facebook!A:A,'Compilado 2023'!B:B,Facebook!B:B)</f>
        <v>0</v>
      </c>
      <c r="P595" s="71">
        <v>0</v>
      </c>
      <c r="Q595" s="70">
        <f ca="1">_xlfn.XLOOKUP(B:B,'E-mail'!A:A,'E-mail'!C:C)</f>
        <v>51.612903225806448</v>
      </c>
      <c r="R595" s="202">
        <f>IFERROR(VLOOKUP($B:$B,Tabela_Linkedin[],2,),0)</f>
        <v>0</v>
      </c>
      <c r="S595" s="70">
        <f>SUMIF(TikTok!A:A,'Compilado 2023'!B:B,TikTok!B:B)</f>
        <v>0</v>
      </c>
      <c r="T595" s="70">
        <v>0</v>
      </c>
      <c r="U595" s="70">
        <v>0</v>
      </c>
      <c r="V595" s="59"/>
      <c r="W595" s="70">
        <v>0</v>
      </c>
      <c r="X595" s="70">
        <v>0</v>
      </c>
      <c r="Y595" s="70">
        <v>0</v>
      </c>
      <c r="Z595" s="38"/>
      <c r="AA595" s="40"/>
    </row>
    <row r="596" spans="1:27" s="2" customFormat="1" x14ac:dyDescent="0.2">
      <c r="A596" s="16" t="str">
        <f t="shared" si="5"/>
        <v>quinta-feira</v>
      </c>
      <c r="B596" s="17">
        <v>45155</v>
      </c>
      <c r="C596" s="19">
        <f t="shared" si="6"/>
        <v>0</v>
      </c>
      <c r="D596" s="52">
        <f>IFERROR(_xlfn.XLOOKUP($B:$B,'Estatísticos Mensais'!$A:$A,'Estatísticos Mensais'!C:C),0)</f>
        <v>0</v>
      </c>
      <c r="E596" s="52">
        <f>IFERROR(_xlfn.XLOOKUP($B:$B,'Estatísticos Mensais'!$A:$A,'Estatísticos Mensais'!D:D),0)</f>
        <v>0</v>
      </c>
      <c r="F596" s="157">
        <f>IFERROR(_xlfn.XLOOKUP($B:$B,'Estatísticos Mensais'!$A:$A,'Estatísticos Mensais'!E:E),0)</f>
        <v>0</v>
      </c>
      <c r="G596" s="157">
        <f>IFERROR(_xlfn.XLOOKUP($B:$B,'Estatísticos Mensais'!$A:$A,'Estatísticos Mensais'!F:F),0)</f>
        <v>0</v>
      </c>
      <c r="H596" s="35">
        <f t="shared" si="7"/>
        <v>0</v>
      </c>
      <c r="I596" s="19">
        <f t="shared" ca="1" si="8"/>
        <v>51.612903225806448</v>
      </c>
      <c r="J596" s="111">
        <f t="shared" ca="1" si="9"/>
        <v>0</v>
      </c>
      <c r="K596" s="53">
        <f>IFERROR(_xlfn.XLOOKUP($B:$B,Google!A:A,Google!B:B),0)</f>
        <v>0</v>
      </c>
      <c r="L596" s="54">
        <f t="shared" si="10"/>
        <v>0</v>
      </c>
      <c r="M596" s="59"/>
      <c r="N596" s="69">
        <f>IFERROR(VLOOKUP(B596,Tabela_Google[],3,),0)</f>
        <v>0</v>
      </c>
      <c r="O596" s="70">
        <f>SUMIF(Facebook!A:A,'Compilado 2023'!B:B,Facebook!B:B)</f>
        <v>0</v>
      </c>
      <c r="P596" s="71">
        <v>0</v>
      </c>
      <c r="Q596" s="70">
        <f ca="1">_xlfn.XLOOKUP(B:B,'E-mail'!A:A,'E-mail'!C:C)</f>
        <v>51.612903225806448</v>
      </c>
      <c r="R596" s="202">
        <f>IFERROR(VLOOKUP($B:$B,Tabela_Linkedin[],2,),0)</f>
        <v>0</v>
      </c>
      <c r="S596" s="70">
        <f>SUMIF(TikTok!A:A,'Compilado 2023'!B:B,TikTok!B:B)</f>
        <v>0</v>
      </c>
      <c r="T596" s="70">
        <v>0</v>
      </c>
      <c r="U596" s="70">
        <v>0</v>
      </c>
      <c r="V596" s="59"/>
      <c r="W596" s="70">
        <v>0</v>
      </c>
      <c r="X596" s="70">
        <v>0</v>
      </c>
      <c r="Y596" s="70">
        <v>0</v>
      </c>
      <c r="Z596" s="38"/>
      <c r="AA596" s="40"/>
    </row>
    <row r="597" spans="1:27" s="2" customFormat="1" x14ac:dyDescent="0.2">
      <c r="A597" s="16" t="str">
        <f t="shared" si="5"/>
        <v>sexta-feira</v>
      </c>
      <c r="B597" s="17">
        <v>45156</v>
      </c>
      <c r="C597" s="19">
        <f t="shared" si="6"/>
        <v>0</v>
      </c>
      <c r="D597" s="52">
        <f>IFERROR(_xlfn.XLOOKUP($B:$B,'Estatísticos Mensais'!$A:$A,'Estatísticos Mensais'!C:C),0)</f>
        <v>0</v>
      </c>
      <c r="E597" s="52">
        <f>IFERROR(_xlfn.XLOOKUP($B:$B,'Estatísticos Mensais'!$A:$A,'Estatísticos Mensais'!D:D),0)</f>
        <v>0</v>
      </c>
      <c r="F597" s="157">
        <f>IFERROR(_xlfn.XLOOKUP($B:$B,'Estatísticos Mensais'!$A:$A,'Estatísticos Mensais'!E:E),0)</f>
        <v>0</v>
      </c>
      <c r="G597" s="157">
        <f>IFERROR(_xlfn.XLOOKUP($B:$B,'Estatísticos Mensais'!$A:$A,'Estatísticos Mensais'!F:F),0)</f>
        <v>0</v>
      </c>
      <c r="H597" s="35">
        <f t="shared" si="7"/>
        <v>0</v>
      </c>
      <c r="I597" s="19">
        <f t="shared" ca="1" si="8"/>
        <v>51.612903225806448</v>
      </c>
      <c r="J597" s="111">
        <f t="shared" ca="1" si="9"/>
        <v>0</v>
      </c>
      <c r="K597" s="53">
        <f>IFERROR(_xlfn.XLOOKUP($B:$B,Google!A:A,Google!B:B),0)</f>
        <v>0</v>
      </c>
      <c r="L597" s="54">
        <f t="shared" si="10"/>
        <v>0</v>
      </c>
      <c r="M597" s="59"/>
      <c r="N597" s="69">
        <f>IFERROR(VLOOKUP(B597,Tabela_Google[],3,),0)</f>
        <v>0</v>
      </c>
      <c r="O597" s="70">
        <f>SUMIF(Facebook!A:A,'Compilado 2023'!B:B,Facebook!B:B)</f>
        <v>0</v>
      </c>
      <c r="P597" s="71">
        <v>0</v>
      </c>
      <c r="Q597" s="70">
        <f ca="1">_xlfn.XLOOKUP(B:B,'E-mail'!A:A,'E-mail'!C:C)</f>
        <v>51.612903225806448</v>
      </c>
      <c r="R597" s="202">
        <f>IFERROR(VLOOKUP($B:$B,Tabela_Linkedin[],2,),0)</f>
        <v>0</v>
      </c>
      <c r="S597" s="70">
        <f>SUMIF(TikTok!A:A,'Compilado 2023'!B:B,TikTok!B:B)</f>
        <v>0</v>
      </c>
      <c r="T597" s="70">
        <v>0</v>
      </c>
      <c r="U597" s="70">
        <v>0</v>
      </c>
      <c r="V597" s="59"/>
      <c r="W597" s="70">
        <v>0</v>
      </c>
      <c r="X597" s="70">
        <v>0</v>
      </c>
      <c r="Y597" s="70">
        <v>0</v>
      </c>
      <c r="Z597" s="38"/>
      <c r="AA597" s="40"/>
    </row>
    <row r="598" spans="1:27" s="2" customFormat="1" x14ac:dyDescent="0.2">
      <c r="A598" s="16" t="str">
        <f t="shared" si="5"/>
        <v>sábado</v>
      </c>
      <c r="B598" s="17">
        <v>45157</v>
      </c>
      <c r="C598" s="19">
        <f t="shared" si="6"/>
        <v>0</v>
      </c>
      <c r="D598" s="52">
        <f>IFERROR(_xlfn.XLOOKUP($B:$B,'Estatísticos Mensais'!$A:$A,'Estatísticos Mensais'!C:C),0)</f>
        <v>0</v>
      </c>
      <c r="E598" s="52">
        <f>IFERROR(_xlfn.XLOOKUP($B:$B,'Estatísticos Mensais'!$A:$A,'Estatísticos Mensais'!D:D),0)</f>
        <v>0</v>
      </c>
      <c r="F598" s="157">
        <f>IFERROR(_xlfn.XLOOKUP($B:$B,'Estatísticos Mensais'!$A:$A,'Estatísticos Mensais'!E:E),0)</f>
        <v>0</v>
      </c>
      <c r="G598" s="157">
        <f>IFERROR(_xlfn.XLOOKUP($B:$B,'Estatísticos Mensais'!$A:$A,'Estatísticos Mensais'!F:F),0)</f>
        <v>0</v>
      </c>
      <c r="H598" s="35">
        <f t="shared" si="7"/>
        <v>0</v>
      </c>
      <c r="I598" s="19">
        <f t="shared" ca="1" si="8"/>
        <v>51.612903225806448</v>
      </c>
      <c r="J598" s="111">
        <f t="shared" ca="1" si="9"/>
        <v>0</v>
      </c>
      <c r="K598" s="53">
        <f>IFERROR(_xlfn.XLOOKUP($B:$B,Google!A:A,Google!B:B),0)</f>
        <v>0</v>
      </c>
      <c r="L598" s="54">
        <f t="shared" si="10"/>
        <v>0</v>
      </c>
      <c r="M598" s="59"/>
      <c r="N598" s="69">
        <f>IFERROR(VLOOKUP(B598,Tabela_Google[],3,),0)</f>
        <v>0</v>
      </c>
      <c r="O598" s="70">
        <f>SUMIF(Facebook!A:A,'Compilado 2023'!B:B,Facebook!B:B)</f>
        <v>0</v>
      </c>
      <c r="P598" s="71">
        <v>0</v>
      </c>
      <c r="Q598" s="70">
        <f ca="1">_xlfn.XLOOKUP(B:B,'E-mail'!A:A,'E-mail'!C:C)</f>
        <v>51.612903225806448</v>
      </c>
      <c r="R598" s="202">
        <f>IFERROR(VLOOKUP($B:$B,Tabela_Linkedin[],2,),0)</f>
        <v>0</v>
      </c>
      <c r="S598" s="70">
        <f>SUMIF(TikTok!A:A,'Compilado 2023'!B:B,TikTok!B:B)</f>
        <v>0</v>
      </c>
      <c r="T598" s="70">
        <v>0</v>
      </c>
      <c r="U598" s="70">
        <v>0</v>
      </c>
      <c r="V598" s="59"/>
      <c r="W598" s="70">
        <v>0</v>
      </c>
      <c r="X598" s="70">
        <v>0</v>
      </c>
      <c r="Y598" s="70">
        <v>0</v>
      </c>
      <c r="Z598" s="38"/>
      <c r="AA598" s="40"/>
    </row>
    <row r="599" spans="1:27" s="2" customFormat="1" x14ac:dyDescent="0.2">
      <c r="A599" s="16" t="str">
        <f t="shared" si="5"/>
        <v>domingo</v>
      </c>
      <c r="B599" s="17">
        <v>45158</v>
      </c>
      <c r="C599" s="19">
        <f t="shared" si="6"/>
        <v>0</v>
      </c>
      <c r="D599" s="52">
        <f>IFERROR(_xlfn.XLOOKUP($B:$B,'Estatísticos Mensais'!$A:$A,'Estatísticos Mensais'!C:C),0)</f>
        <v>0</v>
      </c>
      <c r="E599" s="52">
        <f>IFERROR(_xlfn.XLOOKUP($B:$B,'Estatísticos Mensais'!$A:$A,'Estatísticos Mensais'!D:D),0)</f>
        <v>0</v>
      </c>
      <c r="F599" s="157">
        <f>IFERROR(_xlfn.XLOOKUP($B:$B,'Estatísticos Mensais'!$A:$A,'Estatísticos Mensais'!E:E),0)</f>
        <v>0</v>
      </c>
      <c r="G599" s="157">
        <f>IFERROR(_xlfn.XLOOKUP($B:$B,'Estatísticos Mensais'!$A:$A,'Estatísticos Mensais'!F:F),0)</f>
        <v>0</v>
      </c>
      <c r="H599" s="35">
        <f t="shared" si="7"/>
        <v>0</v>
      </c>
      <c r="I599" s="19">
        <f t="shared" ca="1" si="8"/>
        <v>51.612903225806448</v>
      </c>
      <c r="J599" s="111">
        <f t="shared" ca="1" si="9"/>
        <v>0</v>
      </c>
      <c r="K599" s="53">
        <f>IFERROR(_xlfn.XLOOKUP($B:$B,Google!A:A,Google!B:B),0)</f>
        <v>0</v>
      </c>
      <c r="L599" s="54">
        <f t="shared" si="10"/>
        <v>0</v>
      </c>
      <c r="M599" s="59"/>
      <c r="N599" s="69">
        <f>IFERROR(VLOOKUP(B599,Tabela_Google[],3,),0)</f>
        <v>0</v>
      </c>
      <c r="O599" s="70">
        <f>SUMIF(Facebook!A:A,'Compilado 2023'!B:B,Facebook!B:B)</f>
        <v>0</v>
      </c>
      <c r="P599" s="71">
        <v>0</v>
      </c>
      <c r="Q599" s="70">
        <f ca="1">_xlfn.XLOOKUP(B:B,'E-mail'!A:A,'E-mail'!C:C)</f>
        <v>51.612903225806448</v>
      </c>
      <c r="R599" s="202">
        <f>IFERROR(VLOOKUP($B:$B,Tabela_Linkedin[],2,),0)</f>
        <v>0</v>
      </c>
      <c r="S599" s="70">
        <f>SUMIF(TikTok!A:A,'Compilado 2023'!B:B,TikTok!B:B)</f>
        <v>0</v>
      </c>
      <c r="T599" s="70">
        <v>0</v>
      </c>
      <c r="U599" s="70">
        <v>0</v>
      </c>
      <c r="V599" s="59"/>
      <c r="W599" s="70">
        <v>0</v>
      </c>
      <c r="X599" s="70">
        <v>0</v>
      </c>
      <c r="Y599" s="70">
        <v>0</v>
      </c>
      <c r="Z599" s="38"/>
      <c r="AA599" s="40"/>
    </row>
    <row r="600" spans="1:27" s="2" customFormat="1" x14ac:dyDescent="0.2">
      <c r="A600" s="16" t="str">
        <f t="shared" si="5"/>
        <v>segunda-feira</v>
      </c>
      <c r="B600" s="17">
        <v>45159</v>
      </c>
      <c r="C600" s="19">
        <f t="shared" si="6"/>
        <v>0</v>
      </c>
      <c r="D600" s="52">
        <f>IFERROR(_xlfn.XLOOKUP($B:$B,'Estatísticos Mensais'!$A:$A,'Estatísticos Mensais'!C:C),0)</f>
        <v>0</v>
      </c>
      <c r="E600" s="52">
        <f>IFERROR(_xlfn.XLOOKUP($B:$B,'Estatísticos Mensais'!$A:$A,'Estatísticos Mensais'!D:D),0)</f>
        <v>0</v>
      </c>
      <c r="F600" s="157">
        <f>IFERROR(_xlfn.XLOOKUP($B:$B,'Estatísticos Mensais'!$A:$A,'Estatísticos Mensais'!E:E),0)</f>
        <v>0</v>
      </c>
      <c r="G600" s="157">
        <f>IFERROR(_xlfn.XLOOKUP($B:$B,'Estatísticos Mensais'!$A:$A,'Estatísticos Mensais'!F:F),0)</f>
        <v>0</v>
      </c>
      <c r="H600" s="35">
        <f t="shared" si="7"/>
        <v>0</v>
      </c>
      <c r="I600" s="19">
        <f t="shared" ca="1" si="8"/>
        <v>51.612903225806448</v>
      </c>
      <c r="J600" s="111">
        <f t="shared" ca="1" si="9"/>
        <v>0</v>
      </c>
      <c r="K600" s="53">
        <f>IFERROR(_xlfn.XLOOKUP($B:$B,Google!A:A,Google!B:B),0)</f>
        <v>0</v>
      </c>
      <c r="L600" s="54">
        <f t="shared" si="10"/>
        <v>0</v>
      </c>
      <c r="M600" s="59"/>
      <c r="N600" s="69">
        <f>IFERROR(VLOOKUP(B600,Tabela_Google[],3,),0)</f>
        <v>0</v>
      </c>
      <c r="O600" s="70">
        <f>SUMIF(Facebook!A:A,'Compilado 2023'!B:B,Facebook!B:B)</f>
        <v>0</v>
      </c>
      <c r="P600" s="71">
        <v>0</v>
      </c>
      <c r="Q600" s="70">
        <f ca="1">_xlfn.XLOOKUP(B:B,'E-mail'!A:A,'E-mail'!C:C)</f>
        <v>51.612903225806448</v>
      </c>
      <c r="R600" s="202">
        <f>IFERROR(VLOOKUP($B:$B,Tabela_Linkedin[],2,),0)</f>
        <v>0</v>
      </c>
      <c r="S600" s="70">
        <f>SUMIF(TikTok!A:A,'Compilado 2023'!B:B,TikTok!B:B)</f>
        <v>0</v>
      </c>
      <c r="T600" s="70">
        <v>0</v>
      </c>
      <c r="U600" s="70">
        <v>0</v>
      </c>
      <c r="V600" s="59"/>
      <c r="W600" s="70">
        <v>0</v>
      </c>
      <c r="X600" s="70">
        <v>0</v>
      </c>
      <c r="Y600" s="70">
        <v>0</v>
      </c>
      <c r="Z600" s="38"/>
      <c r="AA600" s="40"/>
    </row>
    <row r="601" spans="1:27" s="2" customFormat="1" x14ac:dyDescent="0.2">
      <c r="A601" s="16" t="str">
        <f t="shared" si="5"/>
        <v>terça-feira</v>
      </c>
      <c r="B601" s="17">
        <v>45160</v>
      </c>
      <c r="C601" s="19">
        <f t="shared" si="6"/>
        <v>0</v>
      </c>
      <c r="D601" s="52">
        <f>IFERROR(_xlfn.XLOOKUP($B:$B,'Estatísticos Mensais'!$A:$A,'Estatísticos Mensais'!C:C),0)</f>
        <v>0</v>
      </c>
      <c r="E601" s="52">
        <f>IFERROR(_xlfn.XLOOKUP($B:$B,'Estatísticos Mensais'!$A:$A,'Estatísticos Mensais'!D:D),0)</f>
        <v>0</v>
      </c>
      <c r="F601" s="157">
        <f>IFERROR(_xlfn.XLOOKUP($B:$B,'Estatísticos Mensais'!$A:$A,'Estatísticos Mensais'!E:E),0)</f>
        <v>0</v>
      </c>
      <c r="G601" s="157">
        <f>IFERROR(_xlfn.XLOOKUP($B:$B,'Estatísticos Mensais'!$A:$A,'Estatísticos Mensais'!F:F),0)</f>
        <v>0</v>
      </c>
      <c r="H601" s="35">
        <f t="shared" si="7"/>
        <v>0</v>
      </c>
      <c r="I601" s="19">
        <f t="shared" ca="1" si="8"/>
        <v>51.612903225806448</v>
      </c>
      <c r="J601" s="111">
        <f t="shared" ca="1" si="9"/>
        <v>0</v>
      </c>
      <c r="K601" s="53">
        <f>IFERROR(_xlfn.XLOOKUP($B:$B,Google!A:A,Google!B:B),0)</f>
        <v>0</v>
      </c>
      <c r="L601" s="54">
        <f t="shared" si="10"/>
        <v>0</v>
      </c>
      <c r="M601" s="59"/>
      <c r="N601" s="69">
        <f>IFERROR(VLOOKUP(B601,Tabela_Google[],3,),0)</f>
        <v>0</v>
      </c>
      <c r="O601" s="70">
        <f>SUMIF(Facebook!A:A,'Compilado 2023'!B:B,Facebook!B:B)</f>
        <v>0</v>
      </c>
      <c r="P601" s="71">
        <v>0</v>
      </c>
      <c r="Q601" s="70">
        <f ca="1">_xlfn.XLOOKUP(B:B,'E-mail'!A:A,'E-mail'!C:C)</f>
        <v>51.612903225806448</v>
      </c>
      <c r="R601" s="202">
        <f>IFERROR(VLOOKUP($B:$B,Tabela_Linkedin[],2,),0)</f>
        <v>0</v>
      </c>
      <c r="S601" s="70">
        <f>SUMIF(TikTok!A:A,'Compilado 2023'!B:B,TikTok!B:B)</f>
        <v>0</v>
      </c>
      <c r="T601" s="70">
        <v>0</v>
      </c>
      <c r="U601" s="70">
        <v>0</v>
      </c>
      <c r="V601" s="59"/>
      <c r="W601" s="70">
        <v>0</v>
      </c>
      <c r="X601" s="70">
        <v>0</v>
      </c>
      <c r="Y601" s="70">
        <v>0</v>
      </c>
      <c r="Z601" s="38"/>
      <c r="AA601" s="40"/>
    </row>
    <row r="602" spans="1:27" s="2" customFormat="1" x14ac:dyDescent="0.2">
      <c r="A602" s="16" t="str">
        <f t="shared" si="5"/>
        <v>quarta-feira</v>
      </c>
      <c r="B602" s="17">
        <v>45161</v>
      </c>
      <c r="C602" s="19">
        <f t="shared" si="6"/>
        <v>0</v>
      </c>
      <c r="D602" s="52">
        <f>IFERROR(_xlfn.XLOOKUP($B:$B,'Estatísticos Mensais'!$A:$A,'Estatísticos Mensais'!C:C),0)</f>
        <v>0</v>
      </c>
      <c r="E602" s="52">
        <f>IFERROR(_xlfn.XLOOKUP($B:$B,'Estatísticos Mensais'!$A:$A,'Estatísticos Mensais'!D:D),0)</f>
        <v>0</v>
      </c>
      <c r="F602" s="157">
        <f>IFERROR(_xlfn.XLOOKUP($B:$B,'Estatísticos Mensais'!$A:$A,'Estatísticos Mensais'!E:E),0)</f>
        <v>0</v>
      </c>
      <c r="G602" s="157">
        <f>IFERROR(_xlfn.XLOOKUP($B:$B,'Estatísticos Mensais'!$A:$A,'Estatísticos Mensais'!F:F),0)</f>
        <v>0</v>
      </c>
      <c r="H602" s="35">
        <f t="shared" si="7"/>
        <v>0</v>
      </c>
      <c r="I602" s="19">
        <f t="shared" ca="1" si="8"/>
        <v>51.612903225806448</v>
      </c>
      <c r="J602" s="111">
        <f t="shared" ca="1" si="9"/>
        <v>0</v>
      </c>
      <c r="K602" s="53">
        <f>IFERROR(_xlfn.XLOOKUP($B:$B,Google!A:A,Google!B:B),0)</f>
        <v>0</v>
      </c>
      <c r="L602" s="54">
        <f t="shared" si="10"/>
        <v>0</v>
      </c>
      <c r="M602" s="59"/>
      <c r="N602" s="69">
        <f>IFERROR(VLOOKUP(B602,Tabela_Google[],3,),0)</f>
        <v>0</v>
      </c>
      <c r="O602" s="70">
        <f>SUMIF(Facebook!A:A,'Compilado 2023'!B:B,Facebook!B:B)</f>
        <v>0</v>
      </c>
      <c r="P602" s="71">
        <v>0</v>
      </c>
      <c r="Q602" s="70">
        <f ca="1">_xlfn.XLOOKUP(B:B,'E-mail'!A:A,'E-mail'!C:C)</f>
        <v>51.612903225806448</v>
      </c>
      <c r="R602" s="202">
        <f>IFERROR(VLOOKUP($B:$B,Tabela_Linkedin[],2,),0)</f>
        <v>0</v>
      </c>
      <c r="S602" s="70">
        <f>SUMIF(TikTok!A:A,'Compilado 2023'!B:B,TikTok!B:B)</f>
        <v>0</v>
      </c>
      <c r="T602" s="70">
        <v>0</v>
      </c>
      <c r="U602" s="70">
        <v>0</v>
      </c>
      <c r="V602" s="59"/>
      <c r="W602" s="70">
        <v>0</v>
      </c>
      <c r="X602" s="70">
        <v>0</v>
      </c>
      <c r="Y602" s="70">
        <v>0</v>
      </c>
      <c r="Z602" s="38"/>
      <c r="AA602" s="40"/>
    </row>
    <row r="603" spans="1:27" s="2" customFormat="1" x14ac:dyDescent="0.2">
      <c r="A603" s="16" t="str">
        <f t="shared" si="5"/>
        <v>quinta-feira</v>
      </c>
      <c r="B603" s="17">
        <v>45162</v>
      </c>
      <c r="C603" s="19">
        <f t="shared" si="6"/>
        <v>0</v>
      </c>
      <c r="D603" s="52">
        <f>IFERROR(_xlfn.XLOOKUP($B:$B,'Estatísticos Mensais'!$A:$A,'Estatísticos Mensais'!C:C),0)</f>
        <v>0</v>
      </c>
      <c r="E603" s="52">
        <f>IFERROR(_xlfn.XLOOKUP($B:$B,'Estatísticos Mensais'!$A:$A,'Estatísticos Mensais'!D:D),0)</f>
        <v>0</v>
      </c>
      <c r="F603" s="157">
        <f>IFERROR(_xlfn.XLOOKUP($B:$B,'Estatísticos Mensais'!$A:$A,'Estatísticos Mensais'!E:E),0)</f>
        <v>0</v>
      </c>
      <c r="G603" s="157">
        <f>IFERROR(_xlfn.XLOOKUP($B:$B,'Estatísticos Mensais'!$A:$A,'Estatísticos Mensais'!F:F),0)</f>
        <v>0</v>
      </c>
      <c r="H603" s="35">
        <f t="shared" si="7"/>
        <v>0</v>
      </c>
      <c r="I603" s="19">
        <f t="shared" ca="1" si="8"/>
        <v>51.612903225806448</v>
      </c>
      <c r="J603" s="111">
        <f t="shared" ca="1" si="9"/>
        <v>0</v>
      </c>
      <c r="K603" s="53">
        <f>IFERROR(_xlfn.XLOOKUP($B:$B,Google!A:A,Google!B:B),0)</f>
        <v>0</v>
      </c>
      <c r="L603" s="54">
        <f t="shared" si="10"/>
        <v>0</v>
      </c>
      <c r="M603" s="59"/>
      <c r="N603" s="69">
        <f>IFERROR(VLOOKUP(B603,Tabela_Google[],3,),0)</f>
        <v>0</v>
      </c>
      <c r="O603" s="70">
        <f>SUMIF(Facebook!A:A,'Compilado 2023'!B:B,Facebook!B:B)</f>
        <v>0</v>
      </c>
      <c r="P603" s="71">
        <v>0</v>
      </c>
      <c r="Q603" s="70">
        <f ca="1">_xlfn.XLOOKUP(B:B,'E-mail'!A:A,'E-mail'!C:C)</f>
        <v>51.612903225806448</v>
      </c>
      <c r="R603" s="202">
        <f>IFERROR(VLOOKUP($B:$B,Tabela_Linkedin[],2,),0)</f>
        <v>0</v>
      </c>
      <c r="S603" s="70">
        <f>SUMIF(TikTok!A:A,'Compilado 2023'!B:B,TikTok!B:B)</f>
        <v>0</v>
      </c>
      <c r="T603" s="70">
        <v>0</v>
      </c>
      <c r="U603" s="70">
        <v>0</v>
      </c>
      <c r="V603" s="59"/>
      <c r="W603" s="70">
        <v>0</v>
      </c>
      <c r="X603" s="70">
        <v>0</v>
      </c>
      <c r="Y603" s="70">
        <v>0</v>
      </c>
      <c r="Z603" s="38"/>
      <c r="AA603" s="40"/>
    </row>
    <row r="604" spans="1:27" s="2" customFormat="1" x14ac:dyDescent="0.2">
      <c r="A604" s="16" t="str">
        <f t="shared" si="5"/>
        <v>sexta-feira</v>
      </c>
      <c r="B604" s="17">
        <v>45163</v>
      </c>
      <c r="C604" s="19">
        <f t="shared" si="6"/>
        <v>0</v>
      </c>
      <c r="D604" s="52">
        <f>IFERROR(_xlfn.XLOOKUP($B:$B,'Estatísticos Mensais'!$A:$A,'Estatísticos Mensais'!C:C),0)</f>
        <v>0</v>
      </c>
      <c r="E604" s="52">
        <f>IFERROR(_xlfn.XLOOKUP($B:$B,'Estatísticos Mensais'!$A:$A,'Estatísticos Mensais'!D:D),0)</f>
        <v>0</v>
      </c>
      <c r="F604" s="157">
        <f>IFERROR(_xlfn.XLOOKUP($B:$B,'Estatísticos Mensais'!$A:$A,'Estatísticos Mensais'!E:E),0)</f>
        <v>0</v>
      </c>
      <c r="G604" s="157">
        <f>IFERROR(_xlfn.XLOOKUP($B:$B,'Estatísticos Mensais'!$A:$A,'Estatísticos Mensais'!F:F),0)</f>
        <v>0</v>
      </c>
      <c r="H604" s="35">
        <f t="shared" si="7"/>
        <v>0</v>
      </c>
      <c r="I604" s="19">
        <f t="shared" ca="1" si="8"/>
        <v>51.612903225806448</v>
      </c>
      <c r="J604" s="111">
        <f t="shared" ca="1" si="9"/>
        <v>0</v>
      </c>
      <c r="K604" s="53">
        <f>IFERROR(_xlfn.XLOOKUP($B:$B,Google!A:A,Google!B:B),0)</f>
        <v>0</v>
      </c>
      <c r="L604" s="54">
        <f t="shared" si="10"/>
        <v>0</v>
      </c>
      <c r="M604" s="59"/>
      <c r="N604" s="69">
        <f>IFERROR(VLOOKUP(B604,Tabela_Google[],3,),0)</f>
        <v>0</v>
      </c>
      <c r="O604" s="70">
        <f>SUMIF(Facebook!A:A,'Compilado 2023'!B:B,Facebook!B:B)</f>
        <v>0</v>
      </c>
      <c r="P604" s="71">
        <v>0</v>
      </c>
      <c r="Q604" s="70">
        <f ca="1">_xlfn.XLOOKUP(B:B,'E-mail'!A:A,'E-mail'!C:C)</f>
        <v>51.612903225806448</v>
      </c>
      <c r="R604" s="202">
        <f>IFERROR(VLOOKUP($B:$B,Tabela_Linkedin[],2,),0)</f>
        <v>0</v>
      </c>
      <c r="S604" s="70">
        <f>SUMIF(TikTok!A:A,'Compilado 2023'!B:B,TikTok!B:B)</f>
        <v>0</v>
      </c>
      <c r="T604" s="70">
        <v>0</v>
      </c>
      <c r="U604" s="70">
        <v>0</v>
      </c>
      <c r="V604" s="59"/>
      <c r="W604" s="70">
        <v>0</v>
      </c>
      <c r="X604" s="70">
        <v>0</v>
      </c>
      <c r="Y604" s="70">
        <v>0</v>
      </c>
      <c r="Z604" s="38"/>
      <c r="AA604" s="40"/>
    </row>
    <row r="605" spans="1:27" s="2" customFormat="1" x14ac:dyDescent="0.2">
      <c r="A605" s="16" t="str">
        <f t="shared" si="5"/>
        <v>sábado</v>
      </c>
      <c r="B605" s="17">
        <v>45164</v>
      </c>
      <c r="C605" s="19">
        <f t="shared" si="6"/>
        <v>0</v>
      </c>
      <c r="D605" s="52">
        <f>IFERROR(_xlfn.XLOOKUP($B:$B,'Estatísticos Mensais'!$A:$A,'Estatísticos Mensais'!C:C),0)</f>
        <v>0</v>
      </c>
      <c r="E605" s="52">
        <f>IFERROR(_xlfn.XLOOKUP($B:$B,'Estatísticos Mensais'!$A:$A,'Estatísticos Mensais'!D:D),0)</f>
        <v>0</v>
      </c>
      <c r="F605" s="157">
        <f>IFERROR(_xlfn.XLOOKUP($B:$B,'Estatísticos Mensais'!$A:$A,'Estatísticos Mensais'!E:E),0)</f>
        <v>0</v>
      </c>
      <c r="G605" s="157">
        <f>IFERROR(_xlfn.XLOOKUP($B:$B,'Estatísticos Mensais'!$A:$A,'Estatísticos Mensais'!F:F),0)</f>
        <v>0</v>
      </c>
      <c r="H605" s="35">
        <f t="shared" si="7"/>
        <v>0</v>
      </c>
      <c r="I605" s="19">
        <f t="shared" ca="1" si="8"/>
        <v>51.612903225806448</v>
      </c>
      <c r="J605" s="111">
        <f t="shared" ca="1" si="9"/>
        <v>0</v>
      </c>
      <c r="K605" s="53">
        <f>IFERROR(_xlfn.XLOOKUP($B:$B,Google!A:A,Google!B:B),0)</f>
        <v>0</v>
      </c>
      <c r="L605" s="54">
        <f t="shared" si="10"/>
        <v>0</v>
      </c>
      <c r="M605" s="59"/>
      <c r="N605" s="69">
        <f>IFERROR(VLOOKUP(B605,Tabela_Google[],3,),0)</f>
        <v>0</v>
      </c>
      <c r="O605" s="70">
        <f>SUMIF(Facebook!A:A,'Compilado 2023'!B:B,Facebook!B:B)</f>
        <v>0</v>
      </c>
      <c r="P605" s="71">
        <v>0</v>
      </c>
      <c r="Q605" s="70">
        <f ca="1">_xlfn.XLOOKUP(B:B,'E-mail'!A:A,'E-mail'!C:C)</f>
        <v>51.612903225806448</v>
      </c>
      <c r="R605" s="202">
        <f>IFERROR(VLOOKUP($B:$B,Tabela_Linkedin[],2,),0)</f>
        <v>0</v>
      </c>
      <c r="S605" s="70">
        <f>SUMIF(TikTok!A:A,'Compilado 2023'!B:B,TikTok!B:B)</f>
        <v>0</v>
      </c>
      <c r="T605" s="70">
        <v>0</v>
      </c>
      <c r="U605" s="70">
        <v>0</v>
      </c>
      <c r="V605" s="59"/>
      <c r="W605" s="70">
        <v>0</v>
      </c>
      <c r="X605" s="70">
        <v>0</v>
      </c>
      <c r="Y605" s="70">
        <v>0</v>
      </c>
      <c r="Z605" s="38"/>
      <c r="AA605" s="40"/>
    </row>
    <row r="606" spans="1:27" s="2" customFormat="1" x14ac:dyDescent="0.2">
      <c r="A606" s="16" t="str">
        <f t="shared" si="5"/>
        <v>domingo</v>
      </c>
      <c r="B606" s="17">
        <v>45165</v>
      </c>
      <c r="C606" s="19">
        <f t="shared" si="6"/>
        <v>0</v>
      </c>
      <c r="D606" s="52">
        <f>IFERROR(_xlfn.XLOOKUP($B:$B,'Estatísticos Mensais'!$A:$A,'Estatísticos Mensais'!C:C),0)</f>
        <v>0</v>
      </c>
      <c r="E606" s="52">
        <f>IFERROR(_xlfn.XLOOKUP($B:$B,'Estatísticos Mensais'!$A:$A,'Estatísticos Mensais'!D:D),0)</f>
        <v>0</v>
      </c>
      <c r="F606" s="157">
        <f>IFERROR(_xlfn.XLOOKUP($B:$B,'Estatísticos Mensais'!$A:$A,'Estatísticos Mensais'!E:E),0)</f>
        <v>0</v>
      </c>
      <c r="G606" s="157">
        <f>IFERROR(_xlfn.XLOOKUP($B:$B,'Estatísticos Mensais'!$A:$A,'Estatísticos Mensais'!F:F),0)</f>
        <v>0</v>
      </c>
      <c r="H606" s="35">
        <f t="shared" si="7"/>
        <v>0</v>
      </c>
      <c r="I606" s="19">
        <f t="shared" ca="1" si="8"/>
        <v>51.612903225806448</v>
      </c>
      <c r="J606" s="111">
        <f t="shared" ca="1" si="9"/>
        <v>0</v>
      </c>
      <c r="K606" s="53">
        <f>IFERROR(_xlfn.XLOOKUP($B:$B,Google!A:A,Google!B:B),0)</f>
        <v>0</v>
      </c>
      <c r="L606" s="54">
        <f t="shared" si="10"/>
        <v>0</v>
      </c>
      <c r="M606" s="59"/>
      <c r="N606" s="69">
        <f>IFERROR(VLOOKUP(B606,Tabela_Google[],3,),0)</f>
        <v>0</v>
      </c>
      <c r="O606" s="70">
        <f>SUMIF(Facebook!A:A,'Compilado 2023'!B:B,Facebook!B:B)</f>
        <v>0</v>
      </c>
      <c r="P606" s="71">
        <v>0</v>
      </c>
      <c r="Q606" s="70">
        <f ca="1">_xlfn.XLOOKUP(B:B,'E-mail'!A:A,'E-mail'!C:C)</f>
        <v>51.612903225806448</v>
      </c>
      <c r="R606" s="202">
        <f>IFERROR(VLOOKUP($B:$B,Tabela_Linkedin[],2,),0)</f>
        <v>0</v>
      </c>
      <c r="S606" s="70">
        <f>SUMIF(TikTok!A:A,'Compilado 2023'!B:B,TikTok!B:B)</f>
        <v>0</v>
      </c>
      <c r="T606" s="70">
        <v>0</v>
      </c>
      <c r="U606" s="70">
        <v>0</v>
      </c>
      <c r="V606" s="59"/>
      <c r="W606" s="70">
        <v>0</v>
      </c>
      <c r="X606" s="70">
        <v>0</v>
      </c>
      <c r="Y606" s="70">
        <v>0</v>
      </c>
      <c r="Z606" s="38"/>
      <c r="AA606" s="40"/>
    </row>
    <row r="607" spans="1:27" s="2" customFormat="1" x14ac:dyDescent="0.2">
      <c r="A607" s="16" t="str">
        <f t="shared" si="5"/>
        <v>segunda-feira</v>
      </c>
      <c r="B607" s="17">
        <v>45166</v>
      </c>
      <c r="C607" s="19">
        <f t="shared" si="6"/>
        <v>0</v>
      </c>
      <c r="D607" s="52">
        <f>IFERROR(_xlfn.XLOOKUP($B:$B,'Estatísticos Mensais'!$A:$A,'Estatísticos Mensais'!C:C),0)</f>
        <v>0</v>
      </c>
      <c r="E607" s="52">
        <f>IFERROR(_xlfn.XLOOKUP($B:$B,'Estatísticos Mensais'!$A:$A,'Estatísticos Mensais'!D:D),0)</f>
        <v>0</v>
      </c>
      <c r="F607" s="157">
        <f>IFERROR(_xlfn.XLOOKUP($B:$B,'Estatísticos Mensais'!$A:$A,'Estatísticos Mensais'!E:E),0)</f>
        <v>0</v>
      </c>
      <c r="G607" s="157">
        <f>IFERROR(_xlfn.XLOOKUP($B:$B,'Estatísticos Mensais'!$A:$A,'Estatísticos Mensais'!F:F),0)</f>
        <v>0</v>
      </c>
      <c r="H607" s="35">
        <f t="shared" si="7"/>
        <v>0</v>
      </c>
      <c r="I607" s="19">
        <f t="shared" ca="1" si="8"/>
        <v>51.612903225806448</v>
      </c>
      <c r="J607" s="111">
        <f t="shared" ca="1" si="9"/>
        <v>0</v>
      </c>
      <c r="K607" s="53">
        <f>IFERROR(_xlfn.XLOOKUP($B:$B,Google!A:A,Google!B:B),0)</f>
        <v>0</v>
      </c>
      <c r="L607" s="54">
        <f t="shared" si="10"/>
        <v>0</v>
      </c>
      <c r="M607" s="59"/>
      <c r="N607" s="69">
        <f>IFERROR(VLOOKUP(B607,Tabela_Google[],3,),0)</f>
        <v>0</v>
      </c>
      <c r="O607" s="70">
        <f>SUMIF(Facebook!A:A,'Compilado 2023'!B:B,Facebook!B:B)</f>
        <v>0</v>
      </c>
      <c r="P607" s="71">
        <v>0</v>
      </c>
      <c r="Q607" s="70">
        <f ca="1">_xlfn.XLOOKUP(B:B,'E-mail'!A:A,'E-mail'!C:C)</f>
        <v>51.612903225806448</v>
      </c>
      <c r="R607" s="202">
        <f>IFERROR(VLOOKUP($B:$B,Tabela_Linkedin[],2,),0)</f>
        <v>0</v>
      </c>
      <c r="S607" s="70">
        <f>SUMIF(TikTok!A:A,'Compilado 2023'!B:B,TikTok!B:B)</f>
        <v>0</v>
      </c>
      <c r="T607" s="70">
        <v>0</v>
      </c>
      <c r="U607" s="70">
        <v>0</v>
      </c>
      <c r="V607" s="59"/>
      <c r="W607" s="70">
        <v>0</v>
      </c>
      <c r="X607" s="70">
        <v>0</v>
      </c>
      <c r="Y607" s="70">
        <v>0</v>
      </c>
      <c r="Z607" s="38"/>
      <c r="AA607" s="40"/>
    </row>
    <row r="608" spans="1:27" s="2" customFormat="1" x14ac:dyDescent="0.2">
      <c r="A608" s="16" t="str">
        <f t="shared" si="5"/>
        <v>terça-feira</v>
      </c>
      <c r="B608" s="17">
        <v>45167</v>
      </c>
      <c r="C608" s="19">
        <f t="shared" si="6"/>
        <v>0</v>
      </c>
      <c r="D608" s="52">
        <f>IFERROR(_xlfn.XLOOKUP($B:$B,'Estatísticos Mensais'!$A:$A,'Estatísticos Mensais'!C:C),0)</f>
        <v>0</v>
      </c>
      <c r="E608" s="52">
        <f>IFERROR(_xlfn.XLOOKUP($B:$B,'Estatísticos Mensais'!$A:$A,'Estatísticos Mensais'!D:D),0)</f>
        <v>0</v>
      </c>
      <c r="F608" s="157">
        <f>IFERROR(_xlfn.XLOOKUP($B:$B,'Estatísticos Mensais'!$A:$A,'Estatísticos Mensais'!E:E),0)</f>
        <v>0</v>
      </c>
      <c r="G608" s="157">
        <f>IFERROR(_xlfn.XLOOKUP($B:$B,'Estatísticos Mensais'!$A:$A,'Estatísticos Mensais'!F:F),0)</f>
        <v>0</v>
      </c>
      <c r="H608" s="35">
        <f t="shared" si="7"/>
        <v>0</v>
      </c>
      <c r="I608" s="19">
        <f t="shared" ca="1" si="8"/>
        <v>51.612903225806448</v>
      </c>
      <c r="J608" s="111">
        <f t="shared" ca="1" si="9"/>
        <v>0</v>
      </c>
      <c r="K608" s="53">
        <f>IFERROR(_xlfn.XLOOKUP($B:$B,Google!A:A,Google!B:B),0)</f>
        <v>0</v>
      </c>
      <c r="L608" s="54">
        <f t="shared" si="10"/>
        <v>0</v>
      </c>
      <c r="M608" s="59"/>
      <c r="N608" s="69">
        <f>IFERROR(VLOOKUP(B608,Tabela_Google[],3,),0)</f>
        <v>0</v>
      </c>
      <c r="O608" s="70">
        <f>SUMIF(Facebook!A:A,'Compilado 2023'!B:B,Facebook!B:B)</f>
        <v>0</v>
      </c>
      <c r="P608" s="71">
        <v>0</v>
      </c>
      <c r="Q608" s="70">
        <f ca="1">_xlfn.XLOOKUP(B:B,'E-mail'!A:A,'E-mail'!C:C)</f>
        <v>51.612903225806448</v>
      </c>
      <c r="R608" s="202">
        <f>IFERROR(VLOOKUP($B:$B,Tabela_Linkedin[],2,),0)</f>
        <v>0</v>
      </c>
      <c r="S608" s="70">
        <f>SUMIF(TikTok!A:A,'Compilado 2023'!B:B,TikTok!B:B)</f>
        <v>0</v>
      </c>
      <c r="T608" s="70">
        <v>0</v>
      </c>
      <c r="U608" s="70">
        <v>0</v>
      </c>
      <c r="V608" s="59"/>
      <c r="W608" s="70">
        <v>0</v>
      </c>
      <c r="X608" s="70">
        <v>0</v>
      </c>
      <c r="Y608" s="70">
        <v>0</v>
      </c>
      <c r="Z608" s="38"/>
      <c r="AA608" s="40"/>
    </row>
    <row r="609" spans="1:27" s="2" customFormat="1" x14ac:dyDescent="0.2">
      <c r="A609" s="16" t="str">
        <f t="shared" si="5"/>
        <v>quarta-feira</v>
      </c>
      <c r="B609" s="17">
        <v>45168</v>
      </c>
      <c r="C609" s="19">
        <f t="shared" si="6"/>
        <v>0</v>
      </c>
      <c r="D609" s="52">
        <f>IFERROR(_xlfn.XLOOKUP($B:$B,'Estatísticos Mensais'!$A:$A,'Estatísticos Mensais'!C:C),0)</f>
        <v>0</v>
      </c>
      <c r="E609" s="52">
        <f>IFERROR(_xlfn.XLOOKUP($B:$B,'Estatísticos Mensais'!$A:$A,'Estatísticos Mensais'!D:D),0)</f>
        <v>0</v>
      </c>
      <c r="F609" s="157">
        <f>IFERROR(_xlfn.XLOOKUP($B:$B,'Estatísticos Mensais'!$A:$A,'Estatísticos Mensais'!E:E),0)</f>
        <v>0</v>
      </c>
      <c r="G609" s="157">
        <f>IFERROR(_xlfn.XLOOKUP($B:$B,'Estatísticos Mensais'!$A:$A,'Estatísticos Mensais'!F:F),0)</f>
        <v>0</v>
      </c>
      <c r="H609" s="35">
        <f t="shared" si="7"/>
        <v>0</v>
      </c>
      <c r="I609" s="19">
        <f t="shared" ca="1" si="8"/>
        <v>51.612903225806448</v>
      </c>
      <c r="J609" s="111">
        <f t="shared" ca="1" si="9"/>
        <v>0</v>
      </c>
      <c r="K609" s="53">
        <f>IFERROR(_xlfn.XLOOKUP($B:$B,Google!A:A,Google!B:B),0)</f>
        <v>0</v>
      </c>
      <c r="L609" s="54">
        <f t="shared" si="10"/>
        <v>0</v>
      </c>
      <c r="M609" s="59"/>
      <c r="N609" s="69">
        <f>IFERROR(VLOOKUP(B609,Tabela_Google[],3,),0)</f>
        <v>0</v>
      </c>
      <c r="O609" s="70">
        <f>SUMIF(Facebook!A:A,'Compilado 2023'!B:B,Facebook!B:B)</f>
        <v>0</v>
      </c>
      <c r="P609" s="71">
        <v>0</v>
      </c>
      <c r="Q609" s="70">
        <f ca="1">_xlfn.XLOOKUP(B:B,'E-mail'!A:A,'E-mail'!C:C)</f>
        <v>51.612903225806448</v>
      </c>
      <c r="R609" s="202">
        <f>IFERROR(VLOOKUP($B:$B,Tabela_Linkedin[],2,),0)</f>
        <v>0</v>
      </c>
      <c r="S609" s="70">
        <f>SUMIF(TikTok!A:A,'Compilado 2023'!B:B,TikTok!B:B)</f>
        <v>0</v>
      </c>
      <c r="T609" s="70">
        <v>0</v>
      </c>
      <c r="U609" s="70">
        <v>0</v>
      </c>
      <c r="V609" s="59"/>
      <c r="W609" s="70">
        <v>0</v>
      </c>
      <c r="X609" s="70">
        <v>0</v>
      </c>
      <c r="Y609" s="70">
        <v>0</v>
      </c>
      <c r="Z609" s="38"/>
      <c r="AA609" s="40"/>
    </row>
    <row r="610" spans="1:27" s="2" customFormat="1" x14ac:dyDescent="0.2">
      <c r="A610" s="16" t="str">
        <f t="shared" si="5"/>
        <v>quinta-feira</v>
      </c>
      <c r="B610" s="17">
        <v>45169</v>
      </c>
      <c r="C610" s="19">
        <f t="shared" si="6"/>
        <v>0</v>
      </c>
      <c r="D610" s="52">
        <f>IFERROR(_xlfn.XLOOKUP($B:$B,'Estatísticos Mensais'!$A:$A,'Estatísticos Mensais'!C:C),0)</f>
        <v>0</v>
      </c>
      <c r="E610" s="52">
        <f>IFERROR(_xlfn.XLOOKUP($B:$B,'Estatísticos Mensais'!$A:$A,'Estatísticos Mensais'!D:D),0)</f>
        <v>0</v>
      </c>
      <c r="F610" s="157">
        <f>IFERROR(_xlfn.XLOOKUP($B:$B,'Estatísticos Mensais'!$A:$A,'Estatísticos Mensais'!E:E),0)</f>
        <v>0</v>
      </c>
      <c r="G610" s="157">
        <f>IFERROR(_xlfn.XLOOKUP($B:$B,'Estatísticos Mensais'!$A:$A,'Estatísticos Mensais'!F:F),0)</f>
        <v>0</v>
      </c>
      <c r="H610" s="35">
        <f t="shared" si="7"/>
        <v>0</v>
      </c>
      <c r="I610" s="19">
        <f t="shared" ca="1" si="8"/>
        <v>51.612903225806448</v>
      </c>
      <c r="J610" s="111">
        <f t="shared" ca="1" si="9"/>
        <v>0</v>
      </c>
      <c r="K610" s="53">
        <f>IFERROR(_xlfn.XLOOKUP($B:$B,Google!A:A,Google!B:B),0)</f>
        <v>0</v>
      </c>
      <c r="L610" s="54">
        <f t="shared" si="10"/>
        <v>0</v>
      </c>
      <c r="M610" s="59"/>
      <c r="N610" s="69">
        <f>IFERROR(VLOOKUP(B610,Tabela_Google[],3,),0)</f>
        <v>0</v>
      </c>
      <c r="O610" s="70">
        <f>SUMIF(Facebook!A:A,'Compilado 2023'!B:B,Facebook!B:B)</f>
        <v>0</v>
      </c>
      <c r="P610" s="71">
        <v>0</v>
      </c>
      <c r="Q610" s="70">
        <f ca="1">_xlfn.XLOOKUP(B:B,'E-mail'!A:A,'E-mail'!C:C)</f>
        <v>51.612903225806448</v>
      </c>
      <c r="R610" s="202">
        <f>IFERROR(VLOOKUP($B:$B,Tabela_Linkedin[],2,),0)</f>
        <v>0</v>
      </c>
      <c r="S610" s="70">
        <f>SUMIF(TikTok!A:A,'Compilado 2023'!B:B,TikTok!B:B)</f>
        <v>0</v>
      </c>
      <c r="T610" s="70">
        <v>0</v>
      </c>
      <c r="U610" s="70">
        <v>0</v>
      </c>
      <c r="V610" s="59"/>
      <c r="W610" s="70">
        <v>0</v>
      </c>
      <c r="X610" s="70">
        <v>0</v>
      </c>
      <c r="Y610" s="70">
        <v>0</v>
      </c>
      <c r="Z610" s="38"/>
      <c r="AA610" s="40"/>
    </row>
    <row r="611" spans="1:27" s="2" customFormat="1" x14ac:dyDescent="0.2">
      <c r="A611" s="16" t="str">
        <f t="shared" si="5"/>
        <v>sexta-feira</v>
      </c>
      <c r="B611" s="17">
        <v>45170</v>
      </c>
      <c r="C611" s="19">
        <f t="shared" si="6"/>
        <v>0</v>
      </c>
      <c r="D611" s="52">
        <f>IFERROR(_xlfn.XLOOKUP($B:$B,'Estatísticos Mensais'!$A:$A,'Estatísticos Mensais'!C:C),0)</f>
        <v>0</v>
      </c>
      <c r="E611" s="52">
        <f>IFERROR(_xlfn.XLOOKUP($B:$B,'Estatísticos Mensais'!$A:$A,'Estatísticos Mensais'!D:D),0)</f>
        <v>0</v>
      </c>
      <c r="F611" s="157">
        <f>IFERROR(_xlfn.XLOOKUP($B:$B,'Estatísticos Mensais'!$A:$A,'Estatísticos Mensais'!E:E),0)</f>
        <v>0</v>
      </c>
      <c r="G611" s="157">
        <f>IFERROR(_xlfn.XLOOKUP($B:$B,'Estatísticos Mensais'!$A:$A,'Estatísticos Mensais'!F:F),0)</f>
        <v>0</v>
      </c>
      <c r="H611" s="35">
        <f t="shared" si="7"/>
        <v>0</v>
      </c>
      <c r="I611" s="19">
        <f t="shared" ca="1" si="8"/>
        <v>53.333333333333336</v>
      </c>
      <c r="J611" s="111">
        <f t="shared" ca="1" si="9"/>
        <v>0</v>
      </c>
      <c r="K611" s="53">
        <f>IFERROR(_xlfn.XLOOKUP($B:$B,Google!A:A,Google!B:B),0)</f>
        <v>0</v>
      </c>
      <c r="L611" s="54">
        <f t="shared" si="10"/>
        <v>0</v>
      </c>
      <c r="M611" s="59"/>
      <c r="N611" s="69">
        <f>IFERROR(VLOOKUP(B611,Tabela_Google[],3,),0)</f>
        <v>0</v>
      </c>
      <c r="O611" s="70">
        <f>SUMIF(Facebook!A:A,'Compilado 2023'!B:B,Facebook!B:B)</f>
        <v>0</v>
      </c>
      <c r="P611" s="71">
        <v>0</v>
      </c>
      <c r="Q611" s="70">
        <f ca="1">_xlfn.XLOOKUP(B:B,'E-mail'!A:A,'E-mail'!C:C)</f>
        <v>53.333333333333336</v>
      </c>
      <c r="R611" s="202">
        <f>IFERROR(VLOOKUP($B:$B,Tabela_Linkedin[],2,),0)</f>
        <v>0</v>
      </c>
      <c r="S611" s="70">
        <f>SUMIF(TikTok!A:A,'Compilado 2023'!B:B,TikTok!B:B)</f>
        <v>0</v>
      </c>
      <c r="T611" s="70">
        <v>0</v>
      </c>
      <c r="U611" s="70">
        <v>0</v>
      </c>
      <c r="V611" s="59"/>
      <c r="W611" s="70">
        <v>0</v>
      </c>
      <c r="X611" s="70">
        <v>0</v>
      </c>
      <c r="Y611" s="70">
        <v>0</v>
      </c>
      <c r="Z611" s="38"/>
      <c r="AA611" s="40"/>
    </row>
    <row r="612" spans="1:27" s="2" customFormat="1" x14ac:dyDescent="0.2">
      <c r="A612" s="16" t="str">
        <f t="shared" si="5"/>
        <v>sábado</v>
      </c>
      <c r="B612" s="17">
        <v>45171</v>
      </c>
      <c r="C612" s="19">
        <f t="shared" si="6"/>
        <v>0</v>
      </c>
      <c r="D612" s="52">
        <f>IFERROR(_xlfn.XLOOKUP($B:$B,'Estatísticos Mensais'!$A:$A,'Estatísticos Mensais'!C:C),0)</f>
        <v>0</v>
      </c>
      <c r="E612" s="52">
        <f>IFERROR(_xlfn.XLOOKUP($B:$B,'Estatísticos Mensais'!$A:$A,'Estatísticos Mensais'!D:D),0)</f>
        <v>0</v>
      </c>
      <c r="F612" s="157">
        <f>IFERROR(_xlfn.XLOOKUP($B:$B,'Estatísticos Mensais'!$A:$A,'Estatísticos Mensais'!E:E),0)</f>
        <v>0</v>
      </c>
      <c r="G612" s="157">
        <f>IFERROR(_xlfn.XLOOKUP($B:$B,'Estatísticos Mensais'!$A:$A,'Estatísticos Mensais'!F:F),0)</f>
        <v>0</v>
      </c>
      <c r="H612" s="35">
        <f t="shared" si="7"/>
        <v>0</v>
      </c>
      <c r="I612" s="19">
        <f t="shared" ca="1" si="8"/>
        <v>53.333333333333336</v>
      </c>
      <c r="J612" s="111">
        <f t="shared" ca="1" si="9"/>
        <v>0</v>
      </c>
      <c r="K612" s="53">
        <f>IFERROR(_xlfn.XLOOKUP($B:$B,Google!A:A,Google!B:B),0)</f>
        <v>0</v>
      </c>
      <c r="L612" s="54">
        <f t="shared" si="10"/>
        <v>0</v>
      </c>
      <c r="M612" s="59"/>
      <c r="N612" s="69">
        <f>IFERROR(VLOOKUP(B612,Tabela_Google[],3,),0)</f>
        <v>0</v>
      </c>
      <c r="O612" s="70">
        <f>SUMIF(Facebook!A:A,'Compilado 2023'!B:B,Facebook!B:B)</f>
        <v>0</v>
      </c>
      <c r="P612" s="71">
        <v>0</v>
      </c>
      <c r="Q612" s="70">
        <f ca="1">_xlfn.XLOOKUP(B:B,'E-mail'!A:A,'E-mail'!C:C)</f>
        <v>53.333333333333336</v>
      </c>
      <c r="R612" s="202">
        <f>IFERROR(VLOOKUP($B:$B,Tabela_Linkedin[],2,),0)</f>
        <v>0</v>
      </c>
      <c r="S612" s="70">
        <f>SUMIF(TikTok!A:A,'Compilado 2023'!B:B,TikTok!B:B)</f>
        <v>0</v>
      </c>
      <c r="T612" s="70">
        <v>0</v>
      </c>
      <c r="U612" s="70">
        <v>0</v>
      </c>
      <c r="V612" s="59"/>
      <c r="W612" s="70">
        <v>0</v>
      </c>
      <c r="X612" s="70">
        <v>0</v>
      </c>
      <c r="Y612" s="70">
        <v>0</v>
      </c>
      <c r="Z612" s="38"/>
      <c r="AA612" s="40"/>
    </row>
    <row r="613" spans="1:27" s="2" customFormat="1" x14ac:dyDescent="0.2">
      <c r="A613" s="16" t="str">
        <f t="shared" ref="A613:A644" si="11">TEXT(B613,"DDDD")</f>
        <v>domingo</v>
      </c>
      <c r="B613" s="17">
        <v>45172</v>
      </c>
      <c r="C613" s="19">
        <f t="shared" si="6"/>
        <v>0</v>
      </c>
      <c r="D613" s="52">
        <f>IFERROR(_xlfn.XLOOKUP($B:$B,'Estatísticos Mensais'!$A:$A,'Estatísticos Mensais'!C:C),0)</f>
        <v>0</v>
      </c>
      <c r="E613" s="52">
        <f>IFERROR(_xlfn.XLOOKUP($B:$B,'Estatísticos Mensais'!$A:$A,'Estatísticos Mensais'!D:D),0)</f>
        <v>0</v>
      </c>
      <c r="F613" s="157">
        <f>IFERROR(_xlfn.XLOOKUP($B:$B,'Estatísticos Mensais'!$A:$A,'Estatísticos Mensais'!E:E),0)</f>
        <v>0</v>
      </c>
      <c r="G613" s="157">
        <f>IFERROR(_xlfn.XLOOKUP($B:$B,'Estatísticos Mensais'!$A:$A,'Estatísticos Mensais'!F:F),0)</f>
        <v>0</v>
      </c>
      <c r="H613" s="35">
        <f t="shared" si="7"/>
        <v>0</v>
      </c>
      <c r="I613" s="19">
        <f t="shared" ca="1" si="8"/>
        <v>53.333333333333336</v>
      </c>
      <c r="J613" s="111">
        <f t="shared" ca="1" si="9"/>
        <v>0</v>
      </c>
      <c r="K613" s="53">
        <f>IFERROR(_xlfn.XLOOKUP($B:$B,Google!A:A,Google!B:B),0)</f>
        <v>0</v>
      </c>
      <c r="L613" s="54">
        <f t="shared" si="10"/>
        <v>0</v>
      </c>
      <c r="M613" s="59"/>
      <c r="N613" s="69">
        <f>IFERROR(VLOOKUP(B613,Tabela_Google[],3,),0)</f>
        <v>0</v>
      </c>
      <c r="O613" s="70">
        <f>SUMIF(Facebook!A:A,'Compilado 2023'!B:B,Facebook!B:B)</f>
        <v>0</v>
      </c>
      <c r="P613" s="71">
        <v>0</v>
      </c>
      <c r="Q613" s="70">
        <f ca="1">_xlfn.XLOOKUP(B:B,'E-mail'!A:A,'E-mail'!C:C)</f>
        <v>53.333333333333336</v>
      </c>
      <c r="R613" s="202">
        <f>IFERROR(VLOOKUP($B:$B,Tabela_Linkedin[],2,),0)</f>
        <v>0</v>
      </c>
      <c r="S613" s="70">
        <f>SUMIF(TikTok!A:A,'Compilado 2023'!B:B,TikTok!B:B)</f>
        <v>0</v>
      </c>
      <c r="T613" s="70">
        <v>0</v>
      </c>
      <c r="U613" s="70">
        <v>0</v>
      </c>
      <c r="V613" s="59"/>
      <c r="W613" s="70">
        <v>0</v>
      </c>
      <c r="X613" s="70">
        <v>0</v>
      </c>
      <c r="Y613" s="70">
        <v>0</v>
      </c>
      <c r="Z613" s="38"/>
      <c r="AA613" s="40"/>
    </row>
    <row r="614" spans="1:27" s="2" customFormat="1" x14ac:dyDescent="0.2">
      <c r="A614" s="16" t="str">
        <f t="shared" si="11"/>
        <v>segunda-feira</v>
      </c>
      <c r="B614" s="17">
        <v>45173</v>
      </c>
      <c r="C614" s="19">
        <f t="shared" si="6"/>
        <v>0</v>
      </c>
      <c r="D614" s="52">
        <f>IFERROR(_xlfn.XLOOKUP($B:$B,'Estatísticos Mensais'!$A:$A,'Estatísticos Mensais'!C:C),0)</f>
        <v>0</v>
      </c>
      <c r="E614" s="52">
        <f>IFERROR(_xlfn.XLOOKUP($B:$B,'Estatísticos Mensais'!$A:$A,'Estatísticos Mensais'!D:D),0)</f>
        <v>0</v>
      </c>
      <c r="F614" s="157">
        <f>IFERROR(_xlfn.XLOOKUP($B:$B,'Estatísticos Mensais'!$A:$A,'Estatísticos Mensais'!E:E),0)</f>
        <v>0</v>
      </c>
      <c r="G614" s="157">
        <f>IFERROR(_xlfn.XLOOKUP($B:$B,'Estatísticos Mensais'!$A:$A,'Estatísticos Mensais'!F:F),0)</f>
        <v>0</v>
      </c>
      <c r="H614" s="35">
        <f t="shared" si="7"/>
        <v>0</v>
      </c>
      <c r="I614" s="19">
        <f t="shared" ca="1" si="8"/>
        <v>53.333333333333336</v>
      </c>
      <c r="J614" s="111">
        <f t="shared" ca="1" si="9"/>
        <v>0</v>
      </c>
      <c r="K614" s="53">
        <f>IFERROR(_xlfn.XLOOKUP($B:$B,Google!A:A,Google!B:B),0)</f>
        <v>0</v>
      </c>
      <c r="L614" s="54">
        <f t="shared" si="10"/>
        <v>0</v>
      </c>
      <c r="M614" s="59"/>
      <c r="N614" s="69">
        <f>IFERROR(VLOOKUP(B614,Tabela_Google[],3,),0)</f>
        <v>0</v>
      </c>
      <c r="O614" s="70">
        <f>SUMIF(Facebook!A:A,'Compilado 2023'!B:B,Facebook!B:B)</f>
        <v>0</v>
      </c>
      <c r="P614" s="71">
        <v>0</v>
      </c>
      <c r="Q614" s="70">
        <f ca="1">_xlfn.XLOOKUP(B:B,'E-mail'!A:A,'E-mail'!C:C)</f>
        <v>53.333333333333336</v>
      </c>
      <c r="R614" s="202">
        <f>IFERROR(VLOOKUP($B:$B,Tabela_Linkedin[],2,),0)</f>
        <v>0</v>
      </c>
      <c r="S614" s="70">
        <f>SUMIF(TikTok!A:A,'Compilado 2023'!B:B,TikTok!B:B)</f>
        <v>0</v>
      </c>
      <c r="T614" s="70">
        <v>0</v>
      </c>
      <c r="U614" s="70">
        <v>0</v>
      </c>
      <c r="V614" s="59"/>
      <c r="W614" s="70">
        <v>0</v>
      </c>
      <c r="X614" s="70">
        <v>0</v>
      </c>
      <c r="Y614" s="70">
        <v>0</v>
      </c>
      <c r="Z614" s="38"/>
      <c r="AA614" s="40"/>
    </row>
    <row r="615" spans="1:27" s="2" customFormat="1" x14ac:dyDescent="0.2">
      <c r="A615" s="16" t="str">
        <f t="shared" si="11"/>
        <v>terça-feira</v>
      </c>
      <c r="B615" s="17">
        <v>45174</v>
      </c>
      <c r="C615" s="19">
        <f t="shared" si="6"/>
        <v>0</v>
      </c>
      <c r="D615" s="52">
        <f>IFERROR(_xlfn.XLOOKUP($B:$B,'Estatísticos Mensais'!$A:$A,'Estatísticos Mensais'!C:C),0)</f>
        <v>0</v>
      </c>
      <c r="E615" s="52">
        <f>IFERROR(_xlfn.XLOOKUP($B:$B,'Estatísticos Mensais'!$A:$A,'Estatísticos Mensais'!D:D),0)</f>
        <v>0</v>
      </c>
      <c r="F615" s="157">
        <f>IFERROR(_xlfn.XLOOKUP($B:$B,'Estatísticos Mensais'!$A:$A,'Estatísticos Mensais'!E:E),0)</f>
        <v>0</v>
      </c>
      <c r="G615" s="157">
        <f>IFERROR(_xlfn.XLOOKUP($B:$B,'Estatísticos Mensais'!$A:$A,'Estatísticos Mensais'!F:F),0)</f>
        <v>0</v>
      </c>
      <c r="H615" s="35">
        <f t="shared" si="7"/>
        <v>0</v>
      </c>
      <c r="I615" s="19">
        <f t="shared" ca="1" si="8"/>
        <v>53.333333333333336</v>
      </c>
      <c r="J615" s="111">
        <f t="shared" ca="1" si="9"/>
        <v>0</v>
      </c>
      <c r="K615" s="53">
        <f>IFERROR(_xlfn.XLOOKUP($B:$B,Google!A:A,Google!B:B),0)</f>
        <v>0</v>
      </c>
      <c r="L615" s="54">
        <f t="shared" si="10"/>
        <v>0</v>
      </c>
      <c r="M615" s="59"/>
      <c r="N615" s="69">
        <f>IFERROR(VLOOKUP(B615,Tabela_Google[],3,),0)</f>
        <v>0</v>
      </c>
      <c r="O615" s="70">
        <f>SUMIF(Facebook!A:A,'Compilado 2023'!B:B,Facebook!B:B)</f>
        <v>0</v>
      </c>
      <c r="P615" s="71">
        <v>0</v>
      </c>
      <c r="Q615" s="70">
        <f ca="1">_xlfn.XLOOKUP(B:B,'E-mail'!A:A,'E-mail'!C:C)</f>
        <v>53.333333333333336</v>
      </c>
      <c r="R615" s="202">
        <f>IFERROR(VLOOKUP($B:$B,Tabela_Linkedin[],2,),0)</f>
        <v>0</v>
      </c>
      <c r="S615" s="70">
        <f>SUMIF(TikTok!A:A,'Compilado 2023'!B:B,TikTok!B:B)</f>
        <v>0</v>
      </c>
      <c r="T615" s="70">
        <v>0</v>
      </c>
      <c r="U615" s="70">
        <v>0</v>
      </c>
      <c r="V615" s="59"/>
      <c r="W615" s="70">
        <v>0</v>
      </c>
      <c r="X615" s="70">
        <v>0</v>
      </c>
      <c r="Y615" s="70">
        <v>0</v>
      </c>
      <c r="Z615" s="38"/>
      <c r="AA615" s="40"/>
    </row>
    <row r="616" spans="1:27" s="2" customFormat="1" x14ac:dyDescent="0.2">
      <c r="A616" s="16" t="str">
        <f t="shared" si="11"/>
        <v>quarta-feira</v>
      </c>
      <c r="B616" s="17">
        <v>45175</v>
      </c>
      <c r="C616" s="19">
        <f t="shared" si="6"/>
        <v>0</v>
      </c>
      <c r="D616" s="52">
        <f>IFERROR(_xlfn.XLOOKUP($B:$B,'Estatísticos Mensais'!$A:$A,'Estatísticos Mensais'!C:C),0)</f>
        <v>0</v>
      </c>
      <c r="E616" s="52">
        <f>IFERROR(_xlfn.XLOOKUP($B:$B,'Estatísticos Mensais'!$A:$A,'Estatísticos Mensais'!D:D),0)</f>
        <v>0</v>
      </c>
      <c r="F616" s="157">
        <f>IFERROR(_xlfn.XLOOKUP($B:$B,'Estatísticos Mensais'!$A:$A,'Estatísticos Mensais'!E:E),0)</f>
        <v>0</v>
      </c>
      <c r="G616" s="157">
        <f>IFERROR(_xlfn.XLOOKUP($B:$B,'Estatísticos Mensais'!$A:$A,'Estatísticos Mensais'!F:F),0)</f>
        <v>0</v>
      </c>
      <c r="H616" s="35">
        <f t="shared" si="7"/>
        <v>0</v>
      </c>
      <c r="I616" s="19">
        <f t="shared" ca="1" si="8"/>
        <v>53.333333333333336</v>
      </c>
      <c r="J616" s="111">
        <f t="shared" ca="1" si="9"/>
        <v>0</v>
      </c>
      <c r="K616" s="53">
        <f>IFERROR(_xlfn.XLOOKUP($B:$B,Google!A:A,Google!B:B),0)</f>
        <v>0</v>
      </c>
      <c r="L616" s="54">
        <f t="shared" si="10"/>
        <v>0</v>
      </c>
      <c r="M616" s="59"/>
      <c r="N616" s="69">
        <f>IFERROR(VLOOKUP(B616,Tabela_Google[],3,),0)</f>
        <v>0</v>
      </c>
      <c r="O616" s="70">
        <f>SUMIF(Facebook!A:A,'Compilado 2023'!B:B,Facebook!B:B)</f>
        <v>0</v>
      </c>
      <c r="P616" s="71">
        <v>0</v>
      </c>
      <c r="Q616" s="70">
        <f ca="1">_xlfn.XLOOKUP(B:B,'E-mail'!A:A,'E-mail'!C:C)</f>
        <v>53.333333333333336</v>
      </c>
      <c r="R616" s="202">
        <f>IFERROR(VLOOKUP($B:$B,Tabela_Linkedin[],2,),0)</f>
        <v>0</v>
      </c>
      <c r="S616" s="70">
        <f>SUMIF(TikTok!A:A,'Compilado 2023'!B:B,TikTok!B:B)</f>
        <v>0</v>
      </c>
      <c r="T616" s="70">
        <v>0</v>
      </c>
      <c r="U616" s="70">
        <v>0</v>
      </c>
      <c r="V616" s="59"/>
      <c r="W616" s="70">
        <v>0</v>
      </c>
      <c r="X616" s="70">
        <v>0</v>
      </c>
      <c r="Y616" s="70">
        <v>0</v>
      </c>
      <c r="Z616" s="38"/>
      <c r="AA616" s="40"/>
    </row>
    <row r="617" spans="1:27" s="2" customFormat="1" x14ac:dyDescent="0.2">
      <c r="A617" s="16" t="str">
        <f t="shared" si="11"/>
        <v>quinta-feira</v>
      </c>
      <c r="B617" s="17">
        <v>45176</v>
      </c>
      <c r="C617" s="19">
        <f t="shared" si="6"/>
        <v>0</v>
      </c>
      <c r="D617" s="52">
        <f>IFERROR(_xlfn.XLOOKUP($B:$B,'Estatísticos Mensais'!$A:$A,'Estatísticos Mensais'!C:C),0)</f>
        <v>0</v>
      </c>
      <c r="E617" s="52">
        <f>IFERROR(_xlfn.XLOOKUP($B:$B,'Estatísticos Mensais'!$A:$A,'Estatísticos Mensais'!D:D),0)</f>
        <v>0</v>
      </c>
      <c r="F617" s="157">
        <f>IFERROR(_xlfn.XLOOKUP($B:$B,'Estatísticos Mensais'!$A:$A,'Estatísticos Mensais'!E:E),0)</f>
        <v>0</v>
      </c>
      <c r="G617" s="157">
        <f>IFERROR(_xlfn.XLOOKUP($B:$B,'Estatísticos Mensais'!$A:$A,'Estatísticos Mensais'!F:F),0)</f>
        <v>0</v>
      </c>
      <c r="H617" s="35">
        <f t="shared" si="7"/>
        <v>0</v>
      </c>
      <c r="I617" s="19">
        <f t="shared" ca="1" si="8"/>
        <v>53.333333333333336</v>
      </c>
      <c r="J617" s="111">
        <f t="shared" ca="1" si="9"/>
        <v>0</v>
      </c>
      <c r="K617" s="53">
        <f>IFERROR(_xlfn.XLOOKUP($B:$B,Google!A:A,Google!B:B),0)</f>
        <v>0</v>
      </c>
      <c r="L617" s="54">
        <f t="shared" si="10"/>
        <v>0</v>
      </c>
      <c r="M617" s="59"/>
      <c r="N617" s="69">
        <f>IFERROR(VLOOKUP(B617,Tabela_Google[],3,),0)</f>
        <v>0</v>
      </c>
      <c r="O617" s="70">
        <f>SUMIF(Facebook!A:A,'Compilado 2023'!B:B,Facebook!B:B)</f>
        <v>0</v>
      </c>
      <c r="P617" s="71">
        <v>0</v>
      </c>
      <c r="Q617" s="70">
        <f ca="1">_xlfn.XLOOKUP(B:B,'E-mail'!A:A,'E-mail'!C:C)</f>
        <v>53.333333333333336</v>
      </c>
      <c r="R617" s="202">
        <f>IFERROR(VLOOKUP($B:$B,Tabela_Linkedin[],2,),0)</f>
        <v>0</v>
      </c>
      <c r="S617" s="70">
        <f>SUMIF(TikTok!A:A,'Compilado 2023'!B:B,TikTok!B:B)</f>
        <v>0</v>
      </c>
      <c r="T617" s="70">
        <v>0</v>
      </c>
      <c r="U617" s="70">
        <v>0</v>
      </c>
      <c r="V617" s="59"/>
      <c r="W617" s="70">
        <v>0</v>
      </c>
      <c r="X617" s="70">
        <v>0</v>
      </c>
      <c r="Y617" s="70">
        <v>0</v>
      </c>
      <c r="Z617" s="38"/>
      <c r="AA617" s="40"/>
    </row>
    <row r="618" spans="1:27" s="2" customFormat="1" x14ac:dyDescent="0.2">
      <c r="A618" s="16" t="str">
        <f t="shared" si="11"/>
        <v>sexta-feira</v>
      </c>
      <c r="B618" s="17">
        <v>45177</v>
      </c>
      <c r="C618" s="19">
        <f t="shared" si="6"/>
        <v>0</v>
      </c>
      <c r="D618" s="52">
        <f>IFERROR(_xlfn.XLOOKUP($B:$B,'Estatísticos Mensais'!$A:$A,'Estatísticos Mensais'!C:C),0)</f>
        <v>0</v>
      </c>
      <c r="E618" s="52">
        <f>IFERROR(_xlfn.XLOOKUP($B:$B,'Estatísticos Mensais'!$A:$A,'Estatísticos Mensais'!D:D),0)</f>
        <v>0</v>
      </c>
      <c r="F618" s="157">
        <f>IFERROR(_xlfn.XLOOKUP($B:$B,'Estatísticos Mensais'!$A:$A,'Estatísticos Mensais'!E:E),0)</f>
        <v>0</v>
      </c>
      <c r="G618" s="157">
        <f>IFERROR(_xlfn.XLOOKUP($B:$B,'Estatísticos Mensais'!$A:$A,'Estatísticos Mensais'!F:F),0)</f>
        <v>0</v>
      </c>
      <c r="H618" s="35">
        <f t="shared" si="7"/>
        <v>0</v>
      </c>
      <c r="I618" s="19">
        <f t="shared" ca="1" si="8"/>
        <v>53.333333333333336</v>
      </c>
      <c r="J618" s="111">
        <f t="shared" ca="1" si="9"/>
        <v>0</v>
      </c>
      <c r="K618" s="53">
        <f>IFERROR(_xlfn.XLOOKUP($B:$B,Google!A:A,Google!B:B),0)</f>
        <v>0</v>
      </c>
      <c r="L618" s="54">
        <f t="shared" si="10"/>
        <v>0</v>
      </c>
      <c r="M618" s="59"/>
      <c r="N618" s="69">
        <f>IFERROR(VLOOKUP(B618,Tabela_Google[],3,),0)</f>
        <v>0</v>
      </c>
      <c r="O618" s="70">
        <f>SUMIF(Facebook!A:A,'Compilado 2023'!B:B,Facebook!B:B)</f>
        <v>0</v>
      </c>
      <c r="P618" s="71">
        <v>0</v>
      </c>
      <c r="Q618" s="70">
        <f ca="1">_xlfn.XLOOKUP(B:B,'E-mail'!A:A,'E-mail'!C:C)</f>
        <v>53.333333333333336</v>
      </c>
      <c r="R618" s="202">
        <f>IFERROR(VLOOKUP($B:$B,Tabela_Linkedin[],2,),0)</f>
        <v>0</v>
      </c>
      <c r="S618" s="70">
        <f>SUMIF(TikTok!A:A,'Compilado 2023'!B:B,TikTok!B:B)</f>
        <v>0</v>
      </c>
      <c r="T618" s="70">
        <v>0</v>
      </c>
      <c r="U618" s="70">
        <v>0</v>
      </c>
      <c r="V618" s="59"/>
      <c r="W618" s="70">
        <v>0</v>
      </c>
      <c r="X618" s="70">
        <v>0</v>
      </c>
      <c r="Y618" s="70">
        <v>0</v>
      </c>
      <c r="Z618" s="38"/>
      <c r="AA618" s="40"/>
    </row>
    <row r="619" spans="1:27" s="2" customFormat="1" x14ac:dyDescent="0.2">
      <c r="A619" s="16" t="str">
        <f t="shared" si="11"/>
        <v>sábado</v>
      </c>
      <c r="B619" s="17">
        <v>45178</v>
      </c>
      <c r="C619" s="19">
        <f t="shared" ref="C619:C650" si="12">D619+E619</f>
        <v>0</v>
      </c>
      <c r="D619" s="52">
        <f>IFERROR(_xlfn.XLOOKUP($B:$B,'Estatísticos Mensais'!$A:$A,'Estatísticos Mensais'!C:C),0)</f>
        <v>0</v>
      </c>
      <c r="E619" s="52">
        <f>IFERROR(_xlfn.XLOOKUP($B:$B,'Estatísticos Mensais'!$A:$A,'Estatísticos Mensais'!D:D),0)</f>
        <v>0</v>
      </c>
      <c r="F619" s="157">
        <f>IFERROR(_xlfn.XLOOKUP($B:$B,'Estatísticos Mensais'!$A:$A,'Estatísticos Mensais'!E:E),0)</f>
        <v>0</v>
      </c>
      <c r="G619" s="157">
        <f>IFERROR(_xlfn.XLOOKUP($B:$B,'Estatísticos Mensais'!$A:$A,'Estatísticos Mensais'!F:F),0)</f>
        <v>0</v>
      </c>
      <c r="H619" s="35">
        <f t="shared" si="7"/>
        <v>0</v>
      </c>
      <c r="I619" s="19">
        <f t="shared" ca="1" si="8"/>
        <v>53.333333333333336</v>
      </c>
      <c r="J619" s="111">
        <f t="shared" ca="1" si="9"/>
        <v>0</v>
      </c>
      <c r="K619" s="53">
        <f>IFERROR(_xlfn.XLOOKUP($B:$B,Google!A:A,Google!B:B),0)</f>
        <v>0</v>
      </c>
      <c r="L619" s="54">
        <f t="shared" si="10"/>
        <v>0</v>
      </c>
      <c r="M619" s="59"/>
      <c r="N619" s="69">
        <f>IFERROR(VLOOKUP(B619,Tabela_Google[],3,),0)</f>
        <v>0</v>
      </c>
      <c r="O619" s="70">
        <f>SUMIF(Facebook!A:A,'Compilado 2023'!B:B,Facebook!B:B)</f>
        <v>0</v>
      </c>
      <c r="P619" s="71">
        <v>0</v>
      </c>
      <c r="Q619" s="70">
        <f ca="1">_xlfn.XLOOKUP(B:B,'E-mail'!A:A,'E-mail'!C:C)</f>
        <v>53.333333333333336</v>
      </c>
      <c r="R619" s="202">
        <f>IFERROR(VLOOKUP($B:$B,Tabela_Linkedin[],2,),0)</f>
        <v>0</v>
      </c>
      <c r="S619" s="70">
        <f>SUMIF(TikTok!A:A,'Compilado 2023'!B:B,TikTok!B:B)</f>
        <v>0</v>
      </c>
      <c r="T619" s="70">
        <v>0</v>
      </c>
      <c r="U619" s="70">
        <v>0</v>
      </c>
      <c r="V619" s="59"/>
      <c r="W619" s="70">
        <v>0</v>
      </c>
      <c r="X619" s="70">
        <v>0</v>
      </c>
      <c r="Y619" s="70">
        <v>0</v>
      </c>
      <c r="Z619" s="38"/>
      <c r="AA619" s="40"/>
    </row>
    <row r="620" spans="1:27" s="2" customFormat="1" x14ac:dyDescent="0.2">
      <c r="A620" s="16" t="str">
        <f t="shared" si="11"/>
        <v>domingo</v>
      </c>
      <c r="B620" s="17">
        <v>45179</v>
      </c>
      <c r="C620" s="19">
        <f t="shared" si="12"/>
        <v>0</v>
      </c>
      <c r="D620" s="52">
        <f>IFERROR(_xlfn.XLOOKUP($B:$B,'Estatísticos Mensais'!$A:$A,'Estatísticos Mensais'!C:C),0)</f>
        <v>0</v>
      </c>
      <c r="E620" s="52">
        <f>IFERROR(_xlfn.XLOOKUP($B:$B,'Estatísticos Mensais'!$A:$A,'Estatísticos Mensais'!D:D),0)</f>
        <v>0</v>
      </c>
      <c r="F620" s="157">
        <f>IFERROR(_xlfn.XLOOKUP($B:$B,'Estatísticos Mensais'!$A:$A,'Estatísticos Mensais'!E:E),0)</f>
        <v>0</v>
      </c>
      <c r="G620" s="157">
        <f>IFERROR(_xlfn.XLOOKUP($B:$B,'Estatísticos Mensais'!$A:$A,'Estatísticos Mensais'!F:F),0)</f>
        <v>0</v>
      </c>
      <c r="H620" s="35">
        <f t="shared" si="7"/>
        <v>0</v>
      </c>
      <c r="I620" s="19">
        <f t="shared" ca="1" si="8"/>
        <v>53.333333333333336</v>
      </c>
      <c r="J620" s="111">
        <f t="shared" ca="1" si="9"/>
        <v>0</v>
      </c>
      <c r="K620" s="53">
        <f>IFERROR(_xlfn.XLOOKUP($B:$B,Google!A:A,Google!B:B),0)</f>
        <v>0</v>
      </c>
      <c r="L620" s="54">
        <f t="shared" si="10"/>
        <v>0</v>
      </c>
      <c r="M620" s="59"/>
      <c r="N620" s="69">
        <f>IFERROR(VLOOKUP(B620,Tabela_Google[],3,),0)</f>
        <v>0</v>
      </c>
      <c r="O620" s="70">
        <f>SUMIF(Facebook!A:A,'Compilado 2023'!B:B,Facebook!B:B)</f>
        <v>0</v>
      </c>
      <c r="P620" s="71">
        <v>0</v>
      </c>
      <c r="Q620" s="70">
        <f ca="1">_xlfn.XLOOKUP(B:B,'E-mail'!A:A,'E-mail'!C:C)</f>
        <v>53.333333333333336</v>
      </c>
      <c r="R620" s="202">
        <f>IFERROR(VLOOKUP($B:$B,Tabela_Linkedin[],2,),0)</f>
        <v>0</v>
      </c>
      <c r="S620" s="70">
        <f>SUMIF(TikTok!A:A,'Compilado 2023'!B:B,TikTok!B:B)</f>
        <v>0</v>
      </c>
      <c r="T620" s="70">
        <v>0</v>
      </c>
      <c r="U620" s="70">
        <v>0</v>
      </c>
      <c r="V620" s="59"/>
      <c r="W620" s="70">
        <v>0</v>
      </c>
      <c r="X620" s="70">
        <v>0</v>
      </c>
      <c r="Y620" s="70">
        <v>0</v>
      </c>
      <c r="Z620" s="38"/>
      <c r="AA620" s="40"/>
    </row>
    <row r="621" spans="1:27" s="2" customFormat="1" x14ac:dyDescent="0.2">
      <c r="A621" s="16" t="str">
        <f t="shared" si="11"/>
        <v>segunda-feira</v>
      </c>
      <c r="B621" s="17">
        <v>45180</v>
      </c>
      <c r="C621" s="19">
        <f t="shared" si="12"/>
        <v>0</v>
      </c>
      <c r="D621" s="52">
        <f>IFERROR(_xlfn.XLOOKUP($B:$B,'Estatísticos Mensais'!$A:$A,'Estatísticos Mensais'!C:C),0)</f>
        <v>0</v>
      </c>
      <c r="E621" s="52">
        <f>IFERROR(_xlfn.XLOOKUP($B:$B,'Estatísticos Mensais'!$A:$A,'Estatísticos Mensais'!D:D),0)</f>
        <v>0</v>
      </c>
      <c r="F621" s="157">
        <f>IFERROR(_xlfn.XLOOKUP($B:$B,'Estatísticos Mensais'!$A:$A,'Estatísticos Mensais'!E:E),0)</f>
        <v>0</v>
      </c>
      <c r="G621" s="157">
        <f>IFERROR(_xlfn.XLOOKUP($B:$B,'Estatísticos Mensais'!$A:$A,'Estatísticos Mensais'!F:F),0)</f>
        <v>0</v>
      </c>
      <c r="H621" s="35">
        <f t="shared" si="7"/>
        <v>0</v>
      </c>
      <c r="I621" s="19">
        <f t="shared" ca="1" si="8"/>
        <v>53.333333333333336</v>
      </c>
      <c r="J621" s="111">
        <f t="shared" ca="1" si="9"/>
        <v>0</v>
      </c>
      <c r="K621" s="53">
        <f>IFERROR(_xlfn.XLOOKUP($B:$B,Google!A:A,Google!B:B),0)</f>
        <v>0</v>
      </c>
      <c r="L621" s="54">
        <f t="shared" si="10"/>
        <v>0</v>
      </c>
      <c r="M621" s="59"/>
      <c r="N621" s="69">
        <f>IFERROR(VLOOKUP(B621,Tabela_Google[],3,),0)</f>
        <v>0</v>
      </c>
      <c r="O621" s="70">
        <f>SUMIF(Facebook!A:A,'Compilado 2023'!B:B,Facebook!B:B)</f>
        <v>0</v>
      </c>
      <c r="P621" s="71">
        <v>0</v>
      </c>
      <c r="Q621" s="70">
        <f ca="1">_xlfn.XLOOKUP(B:B,'E-mail'!A:A,'E-mail'!C:C)</f>
        <v>53.333333333333336</v>
      </c>
      <c r="R621" s="202">
        <f>IFERROR(VLOOKUP($B:$B,Tabela_Linkedin[],2,),0)</f>
        <v>0</v>
      </c>
      <c r="S621" s="70">
        <f>SUMIF(TikTok!A:A,'Compilado 2023'!B:B,TikTok!B:B)</f>
        <v>0</v>
      </c>
      <c r="T621" s="70">
        <v>0</v>
      </c>
      <c r="U621" s="70">
        <v>0</v>
      </c>
      <c r="V621" s="59"/>
      <c r="W621" s="70">
        <v>0</v>
      </c>
      <c r="X621" s="70">
        <v>0</v>
      </c>
      <c r="Y621" s="70">
        <v>0</v>
      </c>
      <c r="Z621" s="38"/>
      <c r="AA621" s="40"/>
    </row>
    <row r="622" spans="1:27" s="2" customFormat="1" x14ac:dyDescent="0.2">
      <c r="A622" s="16" t="str">
        <f t="shared" si="11"/>
        <v>terça-feira</v>
      </c>
      <c r="B622" s="17">
        <v>45181</v>
      </c>
      <c r="C622" s="19">
        <f t="shared" si="12"/>
        <v>0</v>
      </c>
      <c r="D622" s="52">
        <f>IFERROR(_xlfn.XLOOKUP($B:$B,'Estatísticos Mensais'!$A:$A,'Estatísticos Mensais'!C:C),0)</f>
        <v>0</v>
      </c>
      <c r="E622" s="52">
        <f>IFERROR(_xlfn.XLOOKUP($B:$B,'Estatísticos Mensais'!$A:$A,'Estatísticos Mensais'!D:D),0)</f>
        <v>0</v>
      </c>
      <c r="F622" s="157">
        <f>IFERROR(_xlfn.XLOOKUP($B:$B,'Estatísticos Mensais'!$A:$A,'Estatísticos Mensais'!E:E),0)</f>
        <v>0</v>
      </c>
      <c r="G622" s="157">
        <f>IFERROR(_xlfn.XLOOKUP($B:$B,'Estatísticos Mensais'!$A:$A,'Estatísticos Mensais'!F:F),0)</f>
        <v>0</v>
      </c>
      <c r="H622" s="35">
        <f t="shared" ref="H622:H653" si="13">IFERROR(C622/F622,0)</f>
        <v>0</v>
      </c>
      <c r="I622" s="19">
        <f t="shared" ref="I622:I653" ca="1" si="14">SUM(N622:U622)</f>
        <v>53.333333333333336</v>
      </c>
      <c r="J622" s="111">
        <f t="shared" ref="J622:J653" ca="1" si="15">IF(I622&gt;0,C622/I622,0)</f>
        <v>0</v>
      </c>
      <c r="K622" s="53">
        <f>IFERROR(_xlfn.XLOOKUP($B:$B,Google!A:A,Google!B:B),0)</f>
        <v>0</v>
      </c>
      <c r="L622" s="54">
        <f t="shared" ref="L622:L653" si="16">IFERROR(F622/K622,0)</f>
        <v>0</v>
      </c>
      <c r="M622" s="59"/>
      <c r="N622" s="69">
        <f>IFERROR(VLOOKUP(B622,Tabela_Google[],3,),0)</f>
        <v>0</v>
      </c>
      <c r="O622" s="70">
        <f>SUMIF(Facebook!A:A,'Compilado 2023'!B:B,Facebook!B:B)</f>
        <v>0</v>
      </c>
      <c r="P622" s="71">
        <v>0</v>
      </c>
      <c r="Q622" s="70">
        <f ca="1">_xlfn.XLOOKUP(B:B,'E-mail'!A:A,'E-mail'!C:C)</f>
        <v>53.333333333333336</v>
      </c>
      <c r="R622" s="202">
        <f>IFERROR(VLOOKUP($B:$B,Tabela_Linkedin[],2,),0)</f>
        <v>0</v>
      </c>
      <c r="S622" s="70">
        <f>SUMIF(TikTok!A:A,'Compilado 2023'!B:B,TikTok!B:B)</f>
        <v>0</v>
      </c>
      <c r="T622" s="70">
        <v>0</v>
      </c>
      <c r="U622" s="70">
        <v>0</v>
      </c>
      <c r="V622" s="59"/>
      <c r="W622" s="70">
        <v>0</v>
      </c>
      <c r="X622" s="70">
        <v>0</v>
      </c>
      <c r="Y622" s="70">
        <v>0</v>
      </c>
      <c r="Z622" s="38"/>
      <c r="AA622" s="40"/>
    </row>
    <row r="623" spans="1:27" s="2" customFormat="1" x14ac:dyDescent="0.2">
      <c r="A623" s="16" t="str">
        <f t="shared" si="11"/>
        <v>quarta-feira</v>
      </c>
      <c r="B623" s="17">
        <v>45182</v>
      </c>
      <c r="C623" s="19">
        <f t="shared" si="12"/>
        <v>0</v>
      </c>
      <c r="D623" s="52">
        <f>IFERROR(_xlfn.XLOOKUP($B:$B,'Estatísticos Mensais'!$A:$A,'Estatísticos Mensais'!C:C),0)</f>
        <v>0</v>
      </c>
      <c r="E623" s="52">
        <f>IFERROR(_xlfn.XLOOKUP($B:$B,'Estatísticos Mensais'!$A:$A,'Estatísticos Mensais'!D:D),0)</f>
        <v>0</v>
      </c>
      <c r="F623" s="157">
        <f>IFERROR(_xlfn.XLOOKUP($B:$B,'Estatísticos Mensais'!$A:$A,'Estatísticos Mensais'!E:E),0)</f>
        <v>0</v>
      </c>
      <c r="G623" s="157">
        <f>IFERROR(_xlfn.XLOOKUP($B:$B,'Estatísticos Mensais'!$A:$A,'Estatísticos Mensais'!F:F),0)</f>
        <v>0</v>
      </c>
      <c r="H623" s="35">
        <f t="shared" si="13"/>
        <v>0</v>
      </c>
      <c r="I623" s="19">
        <f t="shared" ca="1" si="14"/>
        <v>53.333333333333336</v>
      </c>
      <c r="J623" s="111">
        <f t="shared" ca="1" si="15"/>
        <v>0</v>
      </c>
      <c r="K623" s="53">
        <f>IFERROR(_xlfn.XLOOKUP($B:$B,Google!A:A,Google!B:B),0)</f>
        <v>0</v>
      </c>
      <c r="L623" s="54">
        <f t="shared" si="16"/>
        <v>0</v>
      </c>
      <c r="M623" s="59"/>
      <c r="N623" s="69">
        <f>IFERROR(VLOOKUP(B623,Tabela_Google[],3,),0)</f>
        <v>0</v>
      </c>
      <c r="O623" s="70">
        <f>SUMIF(Facebook!A:A,'Compilado 2023'!B:B,Facebook!B:B)</f>
        <v>0</v>
      </c>
      <c r="P623" s="71">
        <v>0</v>
      </c>
      <c r="Q623" s="70">
        <f ca="1">_xlfn.XLOOKUP(B:B,'E-mail'!A:A,'E-mail'!C:C)</f>
        <v>53.333333333333336</v>
      </c>
      <c r="R623" s="202">
        <f>IFERROR(VLOOKUP($B:$B,Tabela_Linkedin[],2,),0)</f>
        <v>0</v>
      </c>
      <c r="S623" s="70">
        <f>SUMIF(TikTok!A:A,'Compilado 2023'!B:B,TikTok!B:B)</f>
        <v>0</v>
      </c>
      <c r="T623" s="70">
        <v>0</v>
      </c>
      <c r="U623" s="70">
        <v>0</v>
      </c>
      <c r="V623" s="59"/>
      <c r="W623" s="70">
        <v>0</v>
      </c>
      <c r="X623" s="70">
        <v>0</v>
      </c>
      <c r="Y623" s="70">
        <v>0</v>
      </c>
      <c r="Z623" s="38"/>
      <c r="AA623" s="40"/>
    </row>
    <row r="624" spans="1:27" s="2" customFormat="1" x14ac:dyDescent="0.2">
      <c r="A624" s="16" t="str">
        <f t="shared" si="11"/>
        <v>quinta-feira</v>
      </c>
      <c r="B624" s="17">
        <v>45183</v>
      </c>
      <c r="C624" s="19">
        <f t="shared" si="12"/>
        <v>0</v>
      </c>
      <c r="D624" s="52">
        <f>IFERROR(_xlfn.XLOOKUP($B:$B,'Estatísticos Mensais'!$A:$A,'Estatísticos Mensais'!C:C),0)</f>
        <v>0</v>
      </c>
      <c r="E624" s="52">
        <f>IFERROR(_xlfn.XLOOKUP($B:$B,'Estatísticos Mensais'!$A:$A,'Estatísticos Mensais'!D:D),0)</f>
        <v>0</v>
      </c>
      <c r="F624" s="157">
        <f>IFERROR(_xlfn.XLOOKUP($B:$B,'Estatísticos Mensais'!$A:$A,'Estatísticos Mensais'!E:E),0)</f>
        <v>0</v>
      </c>
      <c r="G624" s="157">
        <f>IFERROR(_xlfn.XLOOKUP($B:$B,'Estatísticos Mensais'!$A:$A,'Estatísticos Mensais'!F:F),0)</f>
        <v>0</v>
      </c>
      <c r="H624" s="35">
        <f t="shared" si="13"/>
        <v>0</v>
      </c>
      <c r="I624" s="19">
        <f t="shared" ca="1" si="14"/>
        <v>53.333333333333336</v>
      </c>
      <c r="J624" s="111">
        <f t="shared" ca="1" si="15"/>
        <v>0</v>
      </c>
      <c r="K624" s="53">
        <f>IFERROR(_xlfn.XLOOKUP($B:$B,Google!A:A,Google!B:B),0)</f>
        <v>0</v>
      </c>
      <c r="L624" s="54">
        <f t="shared" si="16"/>
        <v>0</v>
      </c>
      <c r="M624" s="59"/>
      <c r="N624" s="69">
        <f>IFERROR(VLOOKUP(B624,Tabela_Google[],3,),0)</f>
        <v>0</v>
      </c>
      <c r="O624" s="70">
        <f>SUMIF(Facebook!A:A,'Compilado 2023'!B:B,Facebook!B:B)</f>
        <v>0</v>
      </c>
      <c r="P624" s="71">
        <v>0</v>
      </c>
      <c r="Q624" s="70">
        <f ca="1">_xlfn.XLOOKUP(B:B,'E-mail'!A:A,'E-mail'!C:C)</f>
        <v>53.333333333333336</v>
      </c>
      <c r="R624" s="202">
        <f>IFERROR(VLOOKUP($B:$B,Tabela_Linkedin[],2,),0)</f>
        <v>0</v>
      </c>
      <c r="S624" s="70">
        <f>SUMIF(TikTok!A:A,'Compilado 2023'!B:B,TikTok!B:B)</f>
        <v>0</v>
      </c>
      <c r="T624" s="70">
        <v>0</v>
      </c>
      <c r="U624" s="70">
        <v>0</v>
      </c>
      <c r="V624" s="59"/>
      <c r="W624" s="70">
        <v>0</v>
      </c>
      <c r="X624" s="70">
        <v>0</v>
      </c>
      <c r="Y624" s="70">
        <v>0</v>
      </c>
      <c r="Z624" s="38"/>
      <c r="AA624" s="40"/>
    </row>
    <row r="625" spans="1:27" s="2" customFormat="1" x14ac:dyDescent="0.2">
      <c r="A625" s="16" t="str">
        <f t="shared" si="11"/>
        <v>sexta-feira</v>
      </c>
      <c r="B625" s="17">
        <v>45184</v>
      </c>
      <c r="C625" s="19">
        <f t="shared" si="12"/>
        <v>0</v>
      </c>
      <c r="D625" s="52">
        <f>IFERROR(_xlfn.XLOOKUP($B:$B,'Estatísticos Mensais'!$A:$A,'Estatísticos Mensais'!C:C),0)</f>
        <v>0</v>
      </c>
      <c r="E625" s="52">
        <f>IFERROR(_xlfn.XLOOKUP($B:$B,'Estatísticos Mensais'!$A:$A,'Estatísticos Mensais'!D:D),0)</f>
        <v>0</v>
      </c>
      <c r="F625" s="157">
        <f>IFERROR(_xlfn.XLOOKUP($B:$B,'Estatísticos Mensais'!$A:$A,'Estatísticos Mensais'!E:E),0)</f>
        <v>0</v>
      </c>
      <c r="G625" s="157">
        <f>IFERROR(_xlfn.XLOOKUP($B:$B,'Estatísticos Mensais'!$A:$A,'Estatísticos Mensais'!F:F),0)</f>
        <v>0</v>
      </c>
      <c r="H625" s="35">
        <f t="shared" si="13"/>
        <v>0</v>
      </c>
      <c r="I625" s="19">
        <f t="shared" ca="1" si="14"/>
        <v>53.333333333333336</v>
      </c>
      <c r="J625" s="111">
        <f t="shared" ca="1" si="15"/>
        <v>0</v>
      </c>
      <c r="K625" s="53">
        <f>IFERROR(_xlfn.XLOOKUP($B:$B,Google!A:A,Google!B:B),0)</f>
        <v>0</v>
      </c>
      <c r="L625" s="54">
        <f t="shared" si="16"/>
        <v>0</v>
      </c>
      <c r="M625" s="59"/>
      <c r="N625" s="69">
        <f>IFERROR(VLOOKUP(B625,Tabela_Google[],3,),0)</f>
        <v>0</v>
      </c>
      <c r="O625" s="70">
        <f>SUMIF(Facebook!A:A,'Compilado 2023'!B:B,Facebook!B:B)</f>
        <v>0</v>
      </c>
      <c r="P625" s="71">
        <v>0</v>
      </c>
      <c r="Q625" s="70">
        <f ca="1">_xlfn.XLOOKUP(B:B,'E-mail'!A:A,'E-mail'!C:C)</f>
        <v>53.333333333333336</v>
      </c>
      <c r="R625" s="202">
        <f>IFERROR(VLOOKUP($B:$B,Tabela_Linkedin[],2,),0)</f>
        <v>0</v>
      </c>
      <c r="S625" s="70">
        <f>SUMIF(TikTok!A:A,'Compilado 2023'!B:B,TikTok!B:B)</f>
        <v>0</v>
      </c>
      <c r="T625" s="70">
        <v>0</v>
      </c>
      <c r="U625" s="70">
        <v>0</v>
      </c>
      <c r="V625" s="59"/>
      <c r="W625" s="70">
        <v>0</v>
      </c>
      <c r="X625" s="70">
        <v>0</v>
      </c>
      <c r="Y625" s="70">
        <v>0</v>
      </c>
      <c r="Z625" s="38"/>
      <c r="AA625" s="40"/>
    </row>
    <row r="626" spans="1:27" s="2" customFormat="1" x14ac:dyDescent="0.2">
      <c r="A626" s="16" t="str">
        <f t="shared" si="11"/>
        <v>sábado</v>
      </c>
      <c r="B626" s="17">
        <v>45185</v>
      </c>
      <c r="C626" s="19">
        <f t="shared" si="12"/>
        <v>0</v>
      </c>
      <c r="D626" s="52">
        <f>IFERROR(_xlfn.XLOOKUP($B:$B,'Estatísticos Mensais'!$A:$A,'Estatísticos Mensais'!C:C),0)</f>
        <v>0</v>
      </c>
      <c r="E626" s="52">
        <f>IFERROR(_xlfn.XLOOKUP($B:$B,'Estatísticos Mensais'!$A:$A,'Estatísticos Mensais'!D:D),0)</f>
        <v>0</v>
      </c>
      <c r="F626" s="157">
        <f>IFERROR(_xlfn.XLOOKUP($B:$B,'Estatísticos Mensais'!$A:$A,'Estatísticos Mensais'!E:E),0)</f>
        <v>0</v>
      </c>
      <c r="G626" s="157">
        <f>IFERROR(_xlfn.XLOOKUP($B:$B,'Estatísticos Mensais'!$A:$A,'Estatísticos Mensais'!F:F),0)</f>
        <v>0</v>
      </c>
      <c r="H626" s="35">
        <f t="shared" si="13"/>
        <v>0</v>
      </c>
      <c r="I626" s="19">
        <f t="shared" ca="1" si="14"/>
        <v>53.333333333333336</v>
      </c>
      <c r="J626" s="111">
        <f t="shared" ca="1" si="15"/>
        <v>0</v>
      </c>
      <c r="K626" s="53">
        <f>IFERROR(_xlfn.XLOOKUP($B:$B,Google!A:A,Google!B:B),0)</f>
        <v>0</v>
      </c>
      <c r="L626" s="54">
        <f t="shared" si="16"/>
        <v>0</v>
      </c>
      <c r="M626" s="59"/>
      <c r="N626" s="69">
        <f>IFERROR(VLOOKUP(B626,Tabela_Google[],3,),0)</f>
        <v>0</v>
      </c>
      <c r="O626" s="70">
        <f>SUMIF(Facebook!A:A,'Compilado 2023'!B:B,Facebook!B:B)</f>
        <v>0</v>
      </c>
      <c r="P626" s="71">
        <v>0</v>
      </c>
      <c r="Q626" s="70">
        <f ca="1">_xlfn.XLOOKUP(B:B,'E-mail'!A:A,'E-mail'!C:C)</f>
        <v>53.333333333333336</v>
      </c>
      <c r="R626" s="202">
        <f>IFERROR(VLOOKUP($B:$B,Tabela_Linkedin[],2,),0)</f>
        <v>0</v>
      </c>
      <c r="S626" s="70">
        <f>SUMIF(TikTok!A:A,'Compilado 2023'!B:B,TikTok!B:B)</f>
        <v>0</v>
      </c>
      <c r="T626" s="70">
        <v>0</v>
      </c>
      <c r="U626" s="70">
        <v>0</v>
      </c>
      <c r="V626" s="59"/>
      <c r="W626" s="70">
        <v>0</v>
      </c>
      <c r="X626" s="70">
        <v>0</v>
      </c>
      <c r="Y626" s="70">
        <v>0</v>
      </c>
      <c r="Z626" s="38"/>
      <c r="AA626" s="40"/>
    </row>
    <row r="627" spans="1:27" s="2" customFormat="1" x14ac:dyDescent="0.2">
      <c r="A627" s="16" t="str">
        <f t="shared" si="11"/>
        <v>domingo</v>
      </c>
      <c r="B627" s="17">
        <v>45186</v>
      </c>
      <c r="C627" s="19">
        <f t="shared" si="12"/>
        <v>0</v>
      </c>
      <c r="D627" s="52">
        <f>IFERROR(_xlfn.XLOOKUP($B:$B,'Estatísticos Mensais'!$A:$A,'Estatísticos Mensais'!C:C),0)</f>
        <v>0</v>
      </c>
      <c r="E627" s="52">
        <f>IFERROR(_xlfn.XLOOKUP($B:$B,'Estatísticos Mensais'!$A:$A,'Estatísticos Mensais'!D:D),0)</f>
        <v>0</v>
      </c>
      <c r="F627" s="157">
        <f>IFERROR(_xlfn.XLOOKUP($B:$B,'Estatísticos Mensais'!$A:$A,'Estatísticos Mensais'!E:E),0)</f>
        <v>0</v>
      </c>
      <c r="G627" s="157">
        <f>IFERROR(_xlfn.XLOOKUP($B:$B,'Estatísticos Mensais'!$A:$A,'Estatísticos Mensais'!F:F),0)</f>
        <v>0</v>
      </c>
      <c r="H627" s="35">
        <f t="shared" si="13"/>
        <v>0</v>
      </c>
      <c r="I627" s="19">
        <f t="shared" ca="1" si="14"/>
        <v>53.333333333333336</v>
      </c>
      <c r="J627" s="111">
        <f t="shared" ca="1" si="15"/>
        <v>0</v>
      </c>
      <c r="K627" s="53">
        <f>IFERROR(_xlfn.XLOOKUP($B:$B,Google!A:A,Google!B:B),0)</f>
        <v>0</v>
      </c>
      <c r="L627" s="54">
        <f t="shared" si="16"/>
        <v>0</v>
      </c>
      <c r="M627" s="59"/>
      <c r="N627" s="69">
        <f>IFERROR(VLOOKUP(B627,Tabela_Google[],3,),0)</f>
        <v>0</v>
      </c>
      <c r="O627" s="70">
        <f>SUMIF(Facebook!A:A,'Compilado 2023'!B:B,Facebook!B:B)</f>
        <v>0</v>
      </c>
      <c r="P627" s="71">
        <v>0</v>
      </c>
      <c r="Q627" s="70">
        <f ca="1">_xlfn.XLOOKUP(B:B,'E-mail'!A:A,'E-mail'!C:C)</f>
        <v>53.333333333333336</v>
      </c>
      <c r="R627" s="202">
        <f>IFERROR(VLOOKUP($B:$B,Tabela_Linkedin[],2,),0)</f>
        <v>0</v>
      </c>
      <c r="S627" s="70">
        <f>SUMIF(TikTok!A:A,'Compilado 2023'!B:B,TikTok!B:B)</f>
        <v>0</v>
      </c>
      <c r="T627" s="70">
        <v>0</v>
      </c>
      <c r="U627" s="70">
        <v>0</v>
      </c>
      <c r="V627" s="59"/>
      <c r="W627" s="70">
        <v>0</v>
      </c>
      <c r="X627" s="70">
        <v>0</v>
      </c>
      <c r="Y627" s="70">
        <v>0</v>
      </c>
      <c r="Z627" s="38"/>
      <c r="AA627" s="40"/>
    </row>
    <row r="628" spans="1:27" s="2" customFormat="1" x14ac:dyDescent="0.2">
      <c r="A628" s="16" t="str">
        <f t="shared" si="11"/>
        <v>segunda-feira</v>
      </c>
      <c r="B628" s="17">
        <v>45187</v>
      </c>
      <c r="C628" s="19">
        <f t="shared" si="12"/>
        <v>0</v>
      </c>
      <c r="D628" s="52">
        <f>IFERROR(_xlfn.XLOOKUP($B:$B,'Estatísticos Mensais'!$A:$A,'Estatísticos Mensais'!C:C),0)</f>
        <v>0</v>
      </c>
      <c r="E628" s="52">
        <f>IFERROR(_xlfn.XLOOKUP($B:$B,'Estatísticos Mensais'!$A:$A,'Estatísticos Mensais'!D:D),0)</f>
        <v>0</v>
      </c>
      <c r="F628" s="157">
        <f>IFERROR(_xlfn.XLOOKUP($B:$B,'Estatísticos Mensais'!$A:$A,'Estatísticos Mensais'!E:E),0)</f>
        <v>0</v>
      </c>
      <c r="G628" s="157">
        <f>IFERROR(_xlfn.XLOOKUP($B:$B,'Estatísticos Mensais'!$A:$A,'Estatísticos Mensais'!F:F),0)</f>
        <v>0</v>
      </c>
      <c r="H628" s="35">
        <f t="shared" si="13"/>
        <v>0</v>
      </c>
      <c r="I628" s="19">
        <f t="shared" ca="1" si="14"/>
        <v>53.333333333333336</v>
      </c>
      <c r="J628" s="111">
        <f t="shared" ca="1" si="15"/>
        <v>0</v>
      </c>
      <c r="K628" s="53">
        <f>IFERROR(_xlfn.XLOOKUP($B:$B,Google!A:A,Google!B:B),0)</f>
        <v>0</v>
      </c>
      <c r="L628" s="54">
        <f t="shared" si="16"/>
        <v>0</v>
      </c>
      <c r="M628" s="59"/>
      <c r="N628" s="69">
        <f>IFERROR(VLOOKUP(B628,Tabela_Google[],3,),0)</f>
        <v>0</v>
      </c>
      <c r="O628" s="70">
        <f>SUMIF(Facebook!A:A,'Compilado 2023'!B:B,Facebook!B:B)</f>
        <v>0</v>
      </c>
      <c r="P628" s="71">
        <v>0</v>
      </c>
      <c r="Q628" s="70">
        <f ca="1">_xlfn.XLOOKUP(B:B,'E-mail'!A:A,'E-mail'!C:C)</f>
        <v>53.333333333333336</v>
      </c>
      <c r="R628" s="202">
        <f>IFERROR(VLOOKUP($B:$B,Tabela_Linkedin[],2,),0)</f>
        <v>0</v>
      </c>
      <c r="S628" s="70">
        <f>SUMIF(TikTok!A:A,'Compilado 2023'!B:B,TikTok!B:B)</f>
        <v>0</v>
      </c>
      <c r="T628" s="70">
        <v>0</v>
      </c>
      <c r="U628" s="70">
        <v>0</v>
      </c>
      <c r="V628" s="59"/>
      <c r="W628" s="70">
        <v>0</v>
      </c>
      <c r="X628" s="70">
        <v>0</v>
      </c>
      <c r="Y628" s="70">
        <v>0</v>
      </c>
      <c r="Z628" s="38"/>
      <c r="AA628" s="40"/>
    </row>
    <row r="629" spans="1:27" s="2" customFormat="1" x14ac:dyDescent="0.2">
      <c r="A629" s="16" t="str">
        <f t="shared" si="11"/>
        <v>terça-feira</v>
      </c>
      <c r="B629" s="17">
        <v>45188</v>
      </c>
      <c r="C629" s="19">
        <f t="shared" si="12"/>
        <v>0</v>
      </c>
      <c r="D629" s="52">
        <f>IFERROR(_xlfn.XLOOKUP($B:$B,'Estatísticos Mensais'!$A:$A,'Estatísticos Mensais'!C:C),0)</f>
        <v>0</v>
      </c>
      <c r="E629" s="52">
        <f>IFERROR(_xlfn.XLOOKUP($B:$B,'Estatísticos Mensais'!$A:$A,'Estatísticos Mensais'!D:D),0)</f>
        <v>0</v>
      </c>
      <c r="F629" s="157">
        <f>IFERROR(_xlfn.XLOOKUP($B:$B,'Estatísticos Mensais'!$A:$A,'Estatísticos Mensais'!E:E),0)</f>
        <v>0</v>
      </c>
      <c r="G629" s="157">
        <f>IFERROR(_xlfn.XLOOKUP($B:$B,'Estatísticos Mensais'!$A:$A,'Estatísticos Mensais'!F:F),0)</f>
        <v>0</v>
      </c>
      <c r="H629" s="35">
        <f t="shared" si="13"/>
        <v>0</v>
      </c>
      <c r="I629" s="19">
        <f t="shared" ca="1" si="14"/>
        <v>53.333333333333336</v>
      </c>
      <c r="J629" s="111">
        <f t="shared" ca="1" si="15"/>
        <v>0</v>
      </c>
      <c r="K629" s="53">
        <f>IFERROR(_xlfn.XLOOKUP($B:$B,Google!A:A,Google!B:B),0)</f>
        <v>0</v>
      </c>
      <c r="L629" s="54">
        <f t="shared" si="16"/>
        <v>0</v>
      </c>
      <c r="M629" s="59"/>
      <c r="N629" s="69">
        <f>IFERROR(VLOOKUP(B629,Tabela_Google[],3,),0)</f>
        <v>0</v>
      </c>
      <c r="O629" s="70">
        <f>SUMIF(Facebook!A:A,'Compilado 2023'!B:B,Facebook!B:B)</f>
        <v>0</v>
      </c>
      <c r="P629" s="71">
        <v>0</v>
      </c>
      <c r="Q629" s="70">
        <f ca="1">_xlfn.XLOOKUP(B:B,'E-mail'!A:A,'E-mail'!C:C)</f>
        <v>53.333333333333336</v>
      </c>
      <c r="R629" s="202">
        <f>IFERROR(VLOOKUP($B:$B,Tabela_Linkedin[],2,),0)</f>
        <v>0</v>
      </c>
      <c r="S629" s="70">
        <f>SUMIF(TikTok!A:A,'Compilado 2023'!B:B,TikTok!B:B)</f>
        <v>0</v>
      </c>
      <c r="T629" s="70">
        <v>0</v>
      </c>
      <c r="U629" s="70">
        <v>0</v>
      </c>
      <c r="V629" s="59"/>
      <c r="W629" s="70">
        <v>0</v>
      </c>
      <c r="X629" s="70">
        <v>0</v>
      </c>
      <c r="Y629" s="70">
        <v>0</v>
      </c>
      <c r="Z629" s="38"/>
      <c r="AA629" s="40"/>
    </row>
    <row r="630" spans="1:27" s="2" customFormat="1" x14ac:dyDescent="0.2">
      <c r="A630" s="16" t="str">
        <f t="shared" si="11"/>
        <v>quarta-feira</v>
      </c>
      <c r="B630" s="17">
        <v>45189</v>
      </c>
      <c r="C630" s="19">
        <f t="shared" si="12"/>
        <v>0</v>
      </c>
      <c r="D630" s="52">
        <f>IFERROR(_xlfn.XLOOKUP($B:$B,'Estatísticos Mensais'!$A:$A,'Estatísticos Mensais'!C:C),0)</f>
        <v>0</v>
      </c>
      <c r="E630" s="52">
        <f>IFERROR(_xlfn.XLOOKUP($B:$B,'Estatísticos Mensais'!$A:$A,'Estatísticos Mensais'!D:D),0)</f>
        <v>0</v>
      </c>
      <c r="F630" s="157">
        <f>IFERROR(_xlfn.XLOOKUP($B:$B,'Estatísticos Mensais'!$A:$A,'Estatísticos Mensais'!E:E),0)</f>
        <v>0</v>
      </c>
      <c r="G630" s="157">
        <f>IFERROR(_xlfn.XLOOKUP($B:$B,'Estatísticos Mensais'!$A:$A,'Estatísticos Mensais'!F:F),0)</f>
        <v>0</v>
      </c>
      <c r="H630" s="35">
        <f t="shared" si="13"/>
        <v>0</v>
      </c>
      <c r="I630" s="19">
        <f t="shared" ca="1" si="14"/>
        <v>53.333333333333336</v>
      </c>
      <c r="J630" s="111">
        <f t="shared" ca="1" si="15"/>
        <v>0</v>
      </c>
      <c r="K630" s="53">
        <f>IFERROR(_xlfn.XLOOKUP($B:$B,Google!A:A,Google!B:B),0)</f>
        <v>0</v>
      </c>
      <c r="L630" s="54">
        <f t="shared" si="16"/>
        <v>0</v>
      </c>
      <c r="M630" s="59"/>
      <c r="N630" s="69">
        <f>IFERROR(VLOOKUP(B630,Tabela_Google[],3,),0)</f>
        <v>0</v>
      </c>
      <c r="O630" s="70">
        <f>SUMIF(Facebook!A:A,'Compilado 2023'!B:B,Facebook!B:B)</f>
        <v>0</v>
      </c>
      <c r="P630" s="71">
        <v>0</v>
      </c>
      <c r="Q630" s="70">
        <f ca="1">_xlfn.XLOOKUP(B:B,'E-mail'!A:A,'E-mail'!C:C)</f>
        <v>53.333333333333336</v>
      </c>
      <c r="R630" s="202">
        <f>IFERROR(VLOOKUP($B:$B,Tabela_Linkedin[],2,),0)</f>
        <v>0</v>
      </c>
      <c r="S630" s="70">
        <f>SUMIF(TikTok!A:A,'Compilado 2023'!B:B,TikTok!B:B)</f>
        <v>0</v>
      </c>
      <c r="T630" s="70">
        <v>0</v>
      </c>
      <c r="U630" s="70">
        <v>0</v>
      </c>
      <c r="V630" s="59"/>
      <c r="W630" s="70">
        <v>0</v>
      </c>
      <c r="X630" s="70">
        <v>0</v>
      </c>
      <c r="Y630" s="70">
        <v>0</v>
      </c>
      <c r="Z630" s="38"/>
      <c r="AA630" s="40"/>
    </row>
    <row r="631" spans="1:27" s="2" customFormat="1" x14ac:dyDescent="0.2">
      <c r="A631" s="16" t="str">
        <f t="shared" si="11"/>
        <v>quinta-feira</v>
      </c>
      <c r="B631" s="17">
        <v>45190</v>
      </c>
      <c r="C631" s="19">
        <f t="shared" si="12"/>
        <v>0</v>
      </c>
      <c r="D631" s="52">
        <f>IFERROR(_xlfn.XLOOKUP($B:$B,'Estatísticos Mensais'!$A:$A,'Estatísticos Mensais'!C:C),0)</f>
        <v>0</v>
      </c>
      <c r="E631" s="52">
        <f>IFERROR(_xlfn.XLOOKUP($B:$B,'Estatísticos Mensais'!$A:$A,'Estatísticos Mensais'!D:D),0)</f>
        <v>0</v>
      </c>
      <c r="F631" s="157">
        <f>IFERROR(_xlfn.XLOOKUP($B:$B,'Estatísticos Mensais'!$A:$A,'Estatísticos Mensais'!E:E),0)</f>
        <v>0</v>
      </c>
      <c r="G631" s="157">
        <f>IFERROR(_xlfn.XLOOKUP($B:$B,'Estatísticos Mensais'!$A:$A,'Estatísticos Mensais'!F:F),0)</f>
        <v>0</v>
      </c>
      <c r="H631" s="35">
        <f t="shared" si="13"/>
        <v>0</v>
      </c>
      <c r="I631" s="19">
        <f t="shared" ca="1" si="14"/>
        <v>53.333333333333336</v>
      </c>
      <c r="J631" s="111">
        <f t="shared" ca="1" si="15"/>
        <v>0</v>
      </c>
      <c r="K631" s="53">
        <f>IFERROR(_xlfn.XLOOKUP($B:$B,Google!A:A,Google!B:B),0)</f>
        <v>0</v>
      </c>
      <c r="L631" s="54">
        <f t="shared" si="16"/>
        <v>0</v>
      </c>
      <c r="M631" s="59"/>
      <c r="N631" s="69">
        <f>IFERROR(VLOOKUP(B631,Tabela_Google[],3,),0)</f>
        <v>0</v>
      </c>
      <c r="O631" s="70">
        <f>SUMIF(Facebook!A:A,'Compilado 2023'!B:B,Facebook!B:B)</f>
        <v>0</v>
      </c>
      <c r="P631" s="71">
        <v>0</v>
      </c>
      <c r="Q631" s="70">
        <f ca="1">_xlfn.XLOOKUP(B:B,'E-mail'!A:A,'E-mail'!C:C)</f>
        <v>53.333333333333336</v>
      </c>
      <c r="R631" s="202">
        <f>IFERROR(VLOOKUP($B:$B,Tabela_Linkedin[],2,),0)</f>
        <v>0</v>
      </c>
      <c r="S631" s="70">
        <f>SUMIF(TikTok!A:A,'Compilado 2023'!B:B,TikTok!B:B)</f>
        <v>0</v>
      </c>
      <c r="T631" s="70">
        <v>0</v>
      </c>
      <c r="U631" s="70">
        <v>0</v>
      </c>
      <c r="V631" s="59"/>
      <c r="W631" s="70">
        <v>0</v>
      </c>
      <c r="X631" s="70">
        <v>0</v>
      </c>
      <c r="Y631" s="70">
        <v>0</v>
      </c>
      <c r="Z631" s="38"/>
      <c r="AA631" s="40"/>
    </row>
    <row r="632" spans="1:27" s="2" customFormat="1" x14ac:dyDescent="0.2">
      <c r="A632" s="16" t="str">
        <f t="shared" si="11"/>
        <v>sexta-feira</v>
      </c>
      <c r="B632" s="17">
        <v>45191</v>
      </c>
      <c r="C632" s="19">
        <f t="shared" si="12"/>
        <v>0</v>
      </c>
      <c r="D632" s="52">
        <f>IFERROR(_xlfn.XLOOKUP($B:$B,'Estatísticos Mensais'!$A:$A,'Estatísticos Mensais'!C:C),0)</f>
        <v>0</v>
      </c>
      <c r="E632" s="52">
        <f>IFERROR(_xlfn.XLOOKUP($B:$B,'Estatísticos Mensais'!$A:$A,'Estatísticos Mensais'!D:D),0)</f>
        <v>0</v>
      </c>
      <c r="F632" s="157">
        <f>IFERROR(_xlfn.XLOOKUP($B:$B,'Estatísticos Mensais'!$A:$A,'Estatísticos Mensais'!E:E),0)</f>
        <v>0</v>
      </c>
      <c r="G632" s="157">
        <f>IFERROR(_xlfn.XLOOKUP($B:$B,'Estatísticos Mensais'!$A:$A,'Estatísticos Mensais'!F:F),0)</f>
        <v>0</v>
      </c>
      <c r="H632" s="35">
        <f t="shared" si="13"/>
        <v>0</v>
      </c>
      <c r="I632" s="19">
        <f t="shared" ca="1" si="14"/>
        <v>53.333333333333336</v>
      </c>
      <c r="J632" s="111">
        <f t="shared" ca="1" si="15"/>
        <v>0</v>
      </c>
      <c r="K632" s="53">
        <f>IFERROR(_xlfn.XLOOKUP($B:$B,Google!A:A,Google!B:B),0)</f>
        <v>0</v>
      </c>
      <c r="L632" s="54">
        <f t="shared" si="16"/>
        <v>0</v>
      </c>
      <c r="M632" s="59"/>
      <c r="N632" s="69">
        <f>IFERROR(VLOOKUP(B632,Tabela_Google[],3,),0)</f>
        <v>0</v>
      </c>
      <c r="O632" s="70">
        <f>SUMIF(Facebook!A:A,'Compilado 2023'!B:B,Facebook!B:B)</f>
        <v>0</v>
      </c>
      <c r="P632" s="71">
        <v>0</v>
      </c>
      <c r="Q632" s="70">
        <f ca="1">_xlfn.XLOOKUP(B:B,'E-mail'!A:A,'E-mail'!C:C)</f>
        <v>53.333333333333336</v>
      </c>
      <c r="R632" s="202">
        <f>IFERROR(VLOOKUP($B:$B,Tabela_Linkedin[],2,),0)</f>
        <v>0</v>
      </c>
      <c r="S632" s="70">
        <f>SUMIF(TikTok!A:A,'Compilado 2023'!B:B,TikTok!B:B)</f>
        <v>0</v>
      </c>
      <c r="T632" s="70">
        <v>0</v>
      </c>
      <c r="U632" s="70">
        <v>0</v>
      </c>
      <c r="V632" s="59"/>
      <c r="W632" s="70">
        <v>0</v>
      </c>
      <c r="X632" s="70">
        <v>0</v>
      </c>
      <c r="Y632" s="70">
        <v>0</v>
      </c>
      <c r="Z632" s="38"/>
      <c r="AA632" s="40"/>
    </row>
    <row r="633" spans="1:27" s="2" customFormat="1" x14ac:dyDescent="0.2">
      <c r="A633" s="16" t="str">
        <f t="shared" si="11"/>
        <v>sábado</v>
      </c>
      <c r="B633" s="17">
        <v>45192</v>
      </c>
      <c r="C633" s="19">
        <f t="shared" si="12"/>
        <v>0</v>
      </c>
      <c r="D633" s="52">
        <f>IFERROR(_xlfn.XLOOKUP($B:$B,'Estatísticos Mensais'!$A:$A,'Estatísticos Mensais'!C:C),0)</f>
        <v>0</v>
      </c>
      <c r="E633" s="52">
        <f>IFERROR(_xlfn.XLOOKUP($B:$B,'Estatísticos Mensais'!$A:$A,'Estatísticos Mensais'!D:D),0)</f>
        <v>0</v>
      </c>
      <c r="F633" s="157">
        <f>IFERROR(_xlfn.XLOOKUP($B:$B,'Estatísticos Mensais'!$A:$A,'Estatísticos Mensais'!E:E),0)</f>
        <v>0</v>
      </c>
      <c r="G633" s="157">
        <f>IFERROR(_xlfn.XLOOKUP($B:$B,'Estatísticos Mensais'!$A:$A,'Estatísticos Mensais'!F:F),0)</f>
        <v>0</v>
      </c>
      <c r="H633" s="35">
        <f t="shared" si="13"/>
        <v>0</v>
      </c>
      <c r="I633" s="19">
        <f t="shared" ca="1" si="14"/>
        <v>53.333333333333336</v>
      </c>
      <c r="J633" s="111">
        <f t="shared" ca="1" si="15"/>
        <v>0</v>
      </c>
      <c r="K633" s="53">
        <f>IFERROR(_xlfn.XLOOKUP($B:$B,Google!A:A,Google!B:B),0)</f>
        <v>0</v>
      </c>
      <c r="L633" s="54">
        <f t="shared" si="16"/>
        <v>0</v>
      </c>
      <c r="M633" s="59"/>
      <c r="N633" s="69">
        <f>IFERROR(VLOOKUP(B633,Tabela_Google[],3,),0)</f>
        <v>0</v>
      </c>
      <c r="O633" s="70">
        <f>SUMIF(Facebook!A:A,'Compilado 2023'!B:B,Facebook!B:B)</f>
        <v>0</v>
      </c>
      <c r="P633" s="71">
        <v>0</v>
      </c>
      <c r="Q633" s="70">
        <f ca="1">_xlfn.XLOOKUP(B:B,'E-mail'!A:A,'E-mail'!C:C)</f>
        <v>53.333333333333336</v>
      </c>
      <c r="R633" s="202">
        <f>IFERROR(VLOOKUP($B:$B,Tabela_Linkedin[],2,),0)</f>
        <v>0</v>
      </c>
      <c r="S633" s="70">
        <f>SUMIF(TikTok!A:A,'Compilado 2023'!B:B,TikTok!B:B)</f>
        <v>0</v>
      </c>
      <c r="T633" s="70">
        <v>0</v>
      </c>
      <c r="U633" s="70">
        <v>0</v>
      </c>
      <c r="V633" s="59"/>
      <c r="W633" s="70">
        <v>0</v>
      </c>
      <c r="X633" s="70">
        <v>0</v>
      </c>
      <c r="Y633" s="70">
        <v>0</v>
      </c>
      <c r="Z633" s="38"/>
      <c r="AA633" s="40"/>
    </row>
    <row r="634" spans="1:27" s="2" customFormat="1" x14ac:dyDescent="0.2">
      <c r="A634" s="16" t="str">
        <f t="shared" si="11"/>
        <v>domingo</v>
      </c>
      <c r="B634" s="17">
        <v>45193</v>
      </c>
      <c r="C634" s="19">
        <f t="shared" si="12"/>
        <v>0</v>
      </c>
      <c r="D634" s="52">
        <f>IFERROR(_xlfn.XLOOKUP($B:$B,'Estatísticos Mensais'!$A:$A,'Estatísticos Mensais'!C:C),0)</f>
        <v>0</v>
      </c>
      <c r="E634" s="52">
        <f>IFERROR(_xlfn.XLOOKUP($B:$B,'Estatísticos Mensais'!$A:$A,'Estatísticos Mensais'!D:D),0)</f>
        <v>0</v>
      </c>
      <c r="F634" s="157">
        <f>IFERROR(_xlfn.XLOOKUP($B:$B,'Estatísticos Mensais'!$A:$A,'Estatísticos Mensais'!E:E),0)</f>
        <v>0</v>
      </c>
      <c r="G634" s="157">
        <f>IFERROR(_xlfn.XLOOKUP($B:$B,'Estatísticos Mensais'!$A:$A,'Estatísticos Mensais'!F:F),0)</f>
        <v>0</v>
      </c>
      <c r="H634" s="35">
        <f t="shared" si="13"/>
        <v>0</v>
      </c>
      <c r="I634" s="19">
        <f t="shared" ca="1" si="14"/>
        <v>53.333333333333336</v>
      </c>
      <c r="J634" s="111">
        <f t="shared" ca="1" si="15"/>
        <v>0</v>
      </c>
      <c r="K634" s="53">
        <f>IFERROR(_xlfn.XLOOKUP($B:$B,Google!A:A,Google!B:B),0)</f>
        <v>0</v>
      </c>
      <c r="L634" s="54">
        <f t="shared" si="16"/>
        <v>0</v>
      </c>
      <c r="M634" s="59"/>
      <c r="N634" s="69">
        <f>IFERROR(VLOOKUP(B634,Tabela_Google[],3,),0)</f>
        <v>0</v>
      </c>
      <c r="O634" s="70">
        <f>SUMIF(Facebook!A:A,'Compilado 2023'!B:B,Facebook!B:B)</f>
        <v>0</v>
      </c>
      <c r="P634" s="71">
        <v>0</v>
      </c>
      <c r="Q634" s="70">
        <f ca="1">_xlfn.XLOOKUP(B:B,'E-mail'!A:A,'E-mail'!C:C)</f>
        <v>53.333333333333336</v>
      </c>
      <c r="R634" s="202">
        <f>IFERROR(VLOOKUP($B:$B,Tabela_Linkedin[],2,),0)</f>
        <v>0</v>
      </c>
      <c r="S634" s="70">
        <f>SUMIF(TikTok!A:A,'Compilado 2023'!B:B,TikTok!B:B)</f>
        <v>0</v>
      </c>
      <c r="T634" s="70">
        <v>0</v>
      </c>
      <c r="U634" s="70">
        <v>0</v>
      </c>
      <c r="V634" s="59"/>
      <c r="W634" s="70">
        <v>0</v>
      </c>
      <c r="X634" s="70">
        <v>0</v>
      </c>
      <c r="Y634" s="70">
        <v>0</v>
      </c>
      <c r="Z634" s="38"/>
      <c r="AA634" s="40"/>
    </row>
    <row r="635" spans="1:27" s="2" customFormat="1" x14ac:dyDescent="0.2">
      <c r="A635" s="16" t="str">
        <f t="shared" si="11"/>
        <v>segunda-feira</v>
      </c>
      <c r="B635" s="17">
        <v>45194</v>
      </c>
      <c r="C635" s="19">
        <f t="shared" si="12"/>
        <v>0</v>
      </c>
      <c r="D635" s="52">
        <f>IFERROR(_xlfn.XLOOKUP($B:$B,'Estatísticos Mensais'!$A:$A,'Estatísticos Mensais'!C:C),0)</f>
        <v>0</v>
      </c>
      <c r="E635" s="52">
        <f>IFERROR(_xlfn.XLOOKUP($B:$B,'Estatísticos Mensais'!$A:$A,'Estatísticos Mensais'!D:D),0)</f>
        <v>0</v>
      </c>
      <c r="F635" s="157">
        <f>IFERROR(_xlfn.XLOOKUP($B:$B,'Estatísticos Mensais'!$A:$A,'Estatísticos Mensais'!E:E),0)</f>
        <v>0</v>
      </c>
      <c r="G635" s="157">
        <f>IFERROR(_xlfn.XLOOKUP($B:$B,'Estatísticos Mensais'!$A:$A,'Estatísticos Mensais'!F:F),0)</f>
        <v>0</v>
      </c>
      <c r="H635" s="35">
        <f t="shared" si="13"/>
        <v>0</v>
      </c>
      <c r="I635" s="19">
        <f t="shared" ca="1" si="14"/>
        <v>53.333333333333336</v>
      </c>
      <c r="J635" s="111">
        <f t="shared" ca="1" si="15"/>
        <v>0</v>
      </c>
      <c r="K635" s="53">
        <f>IFERROR(_xlfn.XLOOKUP($B:$B,Google!A:A,Google!B:B),0)</f>
        <v>0</v>
      </c>
      <c r="L635" s="54">
        <f t="shared" si="16"/>
        <v>0</v>
      </c>
      <c r="M635" s="59"/>
      <c r="N635" s="69">
        <f>IFERROR(VLOOKUP(B635,Tabela_Google[],3,),0)</f>
        <v>0</v>
      </c>
      <c r="O635" s="70">
        <f>SUMIF(Facebook!A:A,'Compilado 2023'!B:B,Facebook!B:B)</f>
        <v>0</v>
      </c>
      <c r="P635" s="71">
        <v>0</v>
      </c>
      <c r="Q635" s="70">
        <f ca="1">_xlfn.XLOOKUP(B:B,'E-mail'!A:A,'E-mail'!C:C)</f>
        <v>53.333333333333336</v>
      </c>
      <c r="R635" s="202">
        <f>IFERROR(VLOOKUP($B:$B,Tabela_Linkedin[],2,),0)</f>
        <v>0</v>
      </c>
      <c r="S635" s="70">
        <f>SUMIF(TikTok!A:A,'Compilado 2023'!B:B,TikTok!B:B)</f>
        <v>0</v>
      </c>
      <c r="T635" s="70">
        <v>0</v>
      </c>
      <c r="U635" s="70">
        <v>0</v>
      </c>
      <c r="V635" s="59"/>
      <c r="W635" s="70">
        <v>0</v>
      </c>
      <c r="X635" s="70">
        <v>0</v>
      </c>
      <c r="Y635" s="70">
        <v>0</v>
      </c>
      <c r="Z635" s="38"/>
      <c r="AA635" s="40"/>
    </row>
    <row r="636" spans="1:27" s="2" customFormat="1" x14ac:dyDescent="0.2">
      <c r="A636" s="16" t="str">
        <f t="shared" si="11"/>
        <v>terça-feira</v>
      </c>
      <c r="B636" s="17">
        <v>45195</v>
      </c>
      <c r="C636" s="19">
        <f t="shared" si="12"/>
        <v>0</v>
      </c>
      <c r="D636" s="52">
        <f>IFERROR(_xlfn.XLOOKUP($B:$B,'Estatísticos Mensais'!$A:$A,'Estatísticos Mensais'!C:C),0)</f>
        <v>0</v>
      </c>
      <c r="E636" s="52">
        <f>IFERROR(_xlfn.XLOOKUP($B:$B,'Estatísticos Mensais'!$A:$A,'Estatísticos Mensais'!D:D),0)</f>
        <v>0</v>
      </c>
      <c r="F636" s="157">
        <f>IFERROR(_xlfn.XLOOKUP($B:$B,'Estatísticos Mensais'!$A:$A,'Estatísticos Mensais'!E:E),0)</f>
        <v>0</v>
      </c>
      <c r="G636" s="157">
        <f>IFERROR(_xlfn.XLOOKUP($B:$B,'Estatísticos Mensais'!$A:$A,'Estatísticos Mensais'!F:F),0)</f>
        <v>0</v>
      </c>
      <c r="H636" s="35">
        <f t="shared" si="13"/>
        <v>0</v>
      </c>
      <c r="I636" s="19">
        <f t="shared" ca="1" si="14"/>
        <v>53.333333333333336</v>
      </c>
      <c r="J636" s="111">
        <f t="shared" ca="1" si="15"/>
        <v>0</v>
      </c>
      <c r="K636" s="53">
        <f>IFERROR(_xlfn.XLOOKUP($B:$B,Google!A:A,Google!B:B),0)</f>
        <v>0</v>
      </c>
      <c r="L636" s="54">
        <f t="shared" si="16"/>
        <v>0</v>
      </c>
      <c r="M636" s="59"/>
      <c r="N636" s="69">
        <f>IFERROR(VLOOKUP(B636,Tabela_Google[],3,),0)</f>
        <v>0</v>
      </c>
      <c r="O636" s="70">
        <f>SUMIF(Facebook!A:A,'Compilado 2023'!B:B,Facebook!B:B)</f>
        <v>0</v>
      </c>
      <c r="P636" s="71">
        <v>0</v>
      </c>
      <c r="Q636" s="70">
        <f ca="1">_xlfn.XLOOKUP(B:B,'E-mail'!A:A,'E-mail'!C:C)</f>
        <v>53.333333333333336</v>
      </c>
      <c r="R636" s="202">
        <f>IFERROR(VLOOKUP($B:$B,Tabela_Linkedin[],2,),0)</f>
        <v>0</v>
      </c>
      <c r="S636" s="70">
        <f>SUMIF(TikTok!A:A,'Compilado 2023'!B:B,TikTok!B:B)</f>
        <v>0</v>
      </c>
      <c r="T636" s="70">
        <v>0</v>
      </c>
      <c r="U636" s="70">
        <v>0</v>
      </c>
      <c r="V636" s="59"/>
      <c r="W636" s="70">
        <v>0</v>
      </c>
      <c r="X636" s="70">
        <v>0</v>
      </c>
      <c r="Y636" s="70">
        <v>0</v>
      </c>
      <c r="Z636" s="38"/>
      <c r="AA636" s="40"/>
    </row>
    <row r="637" spans="1:27" s="2" customFormat="1" x14ac:dyDescent="0.2">
      <c r="A637" s="16" t="str">
        <f t="shared" si="11"/>
        <v>quarta-feira</v>
      </c>
      <c r="B637" s="17">
        <v>45196</v>
      </c>
      <c r="C637" s="19">
        <f t="shared" si="12"/>
        <v>0</v>
      </c>
      <c r="D637" s="52">
        <f>IFERROR(_xlfn.XLOOKUP($B:$B,'Estatísticos Mensais'!$A:$A,'Estatísticos Mensais'!C:C),0)</f>
        <v>0</v>
      </c>
      <c r="E637" s="52">
        <f>IFERROR(_xlfn.XLOOKUP($B:$B,'Estatísticos Mensais'!$A:$A,'Estatísticos Mensais'!D:D),0)</f>
        <v>0</v>
      </c>
      <c r="F637" s="157">
        <f>IFERROR(_xlfn.XLOOKUP($B:$B,'Estatísticos Mensais'!$A:$A,'Estatísticos Mensais'!E:E),0)</f>
        <v>0</v>
      </c>
      <c r="G637" s="157">
        <f>IFERROR(_xlfn.XLOOKUP($B:$B,'Estatísticos Mensais'!$A:$A,'Estatísticos Mensais'!F:F),0)</f>
        <v>0</v>
      </c>
      <c r="H637" s="35">
        <f t="shared" si="13"/>
        <v>0</v>
      </c>
      <c r="I637" s="19">
        <f t="shared" ca="1" si="14"/>
        <v>53.333333333333336</v>
      </c>
      <c r="J637" s="111">
        <f t="shared" ca="1" si="15"/>
        <v>0</v>
      </c>
      <c r="K637" s="53">
        <f>IFERROR(_xlfn.XLOOKUP($B:$B,Google!A:A,Google!B:B),0)</f>
        <v>0</v>
      </c>
      <c r="L637" s="54">
        <f t="shared" si="16"/>
        <v>0</v>
      </c>
      <c r="M637" s="59"/>
      <c r="N637" s="69">
        <f>IFERROR(VLOOKUP(B637,Tabela_Google[],3,),0)</f>
        <v>0</v>
      </c>
      <c r="O637" s="70">
        <f>SUMIF(Facebook!A:A,'Compilado 2023'!B:B,Facebook!B:B)</f>
        <v>0</v>
      </c>
      <c r="P637" s="71">
        <v>0</v>
      </c>
      <c r="Q637" s="70">
        <f ca="1">_xlfn.XLOOKUP(B:B,'E-mail'!A:A,'E-mail'!C:C)</f>
        <v>53.333333333333336</v>
      </c>
      <c r="R637" s="202">
        <f>IFERROR(VLOOKUP($B:$B,Tabela_Linkedin[],2,),0)</f>
        <v>0</v>
      </c>
      <c r="S637" s="70">
        <f>SUMIF(TikTok!A:A,'Compilado 2023'!B:B,TikTok!B:B)</f>
        <v>0</v>
      </c>
      <c r="T637" s="70">
        <v>0</v>
      </c>
      <c r="U637" s="70">
        <v>0</v>
      </c>
      <c r="V637" s="59"/>
      <c r="W637" s="70">
        <v>0</v>
      </c>
      <c r="X637" s="70">
        <v>0</v>
      </c>
      <c r="Y637" s="70">
        <v>0</v>
      </c>
      <c r="Z637" s="38"/>
      <c r="AA637" s="40"/>
    </row>
    <row r="638" spans="1:27" s="2" customFormat="1" x14ac:dyDescent="0.2">
      <c r="A638" s="16" t="str">
        <f t="shared" si="11"/>
        <v>quinta-feira</v>
      </c>
      <c r="B638" s="17">
        <v>45197</v>
      </c>
      <c r="C638" s="19">
        <f t="shared" si="12"/>
        <v>0</v>
      </c>
      <c r="D638" s="52">
        <f>IFERROR(_xlfn.XLOOKUP($B:$B,'Estatísticos Mensais'!$A:$A,'Estatísticos Mensais'!C:C),0)</f>
        <v>0</v>
      </c>
      <c r="E638" s="52">
        <f>IFERROR(_xlfn.XLOOKUP($B:$B,'Estatísticos Mensais'!$A:$A,'Estatísticos Mensais'!D:D),0)</f>
        <v>0</v>
      </c>
      <c r="F638" s="157">
        <f>IFERROR(_xlfn.XLOOKUP($B:$B,'Estatísticos Mensais'!$A:$A,'Estatísticos Mensais'!E:E),0)</f>
        <v>0</v>
      </c>
      <c r="G638" s="157">
        <f>IFERROR(_xlfn.XLOOKUP($B:$B,'Estatísticos Mensais'!$A:$A,'Estatísticos Mensais'!F:F),0)</f>
        <v>0</v>
      </c>
      <c r="H638" s="35">
        <f t="shared" si="13"/>
        <v>0</v>
      </c>
      <c r="I638" s="19">
        <f t="shared" ca="1" si="14"/>
        <v>53.333333333333336</v>
      </c>
      <c r="J638" s="111">
        <f t="shared" ca="1" si="15"/>
        <v>0</v>
      </c>
      <c r="K638" s="53">
        <f>IFERROR(_xlfn.XLOOKUP($B:$B,Google!A:A,Google!B:B),0)</f>
        <v>0</v>
      </c>
      <c r="L638" s="54">
        <f t="shared" si="16"/>
        <v>0</v>
      </c>
      <c r="M638" s="59"/>
      <c r="N638" s="69">
        <f>IFERROR(VLOOKUP(B638,Tabela_Google[],3,),0)</f>
        <v>0</v>
      </c>
      <c r="O638" s="70">
        <f>SUMIF(Facebook!A:A,'Compilado 2023'!B:B,Facebook!B:B)</f>
        <v>0</v>
      </c>
      <c r="P638" s="71">
        <v>0</v>
      </c>
      <c r="Q638" s="70">
        <f ca="1">_xlfn.XLOOKUP(B:B,'E-mail'!A:A,'E-mail'!C:C)</f>
        <v>53.333333333333336</v>
      </c>
      <c r="R638" s="202">
        <f>IFERROR(VLOOKUP($B:$B,Tabela_Linkedin[],2,),0)</f>
        <v>0</v>
      </c>
      <c r="S638" s="70">
        <f>SUMIF(TikTok!A:A,'Compilado 2023'!B:B,TikTok!B:B)</f>
        <v>0</v>
      </c>
      <c r="T638" s="70">
        <v>0</v>
      </c>
      <c r="U638" s="70">
        <v>0</v>
      </c>
      <c r="V638" s="59"/>
      <c r="W638" s="70">
        <v>0</v>
      </c>
      <c r="X638" s="70">
        <v>0</v>
      </c>
      <c r="Y638" s="70">
        <v>0</v>
      </c>
      <c r="Z638" s="38"/>
      <c r="AA638" s="40"/>
    </row>
    <row r="639" spans="1:27" s="2" customFormat="1" x14ac:dyDescent="0.2">
      <c r="A639" s="16" t="str">
        <f t="shared" si="11"/>
        <v>sexta-feira</v>
      </c>
      <c r="B639" s="17">
        <v>45198</v>
      </c>
      <c r="C639" s="19">
        <f t="shared" si="12"/>
        <v>0</v>
      </c>
      <c r="D639" s="52">
        <f>IFERROR(_xlfn.XLOOKUP($B:$B,'Estatísticos Mensais'!$A:$A,'Estatísticos Mensais'!C:C),0)</f>
        <v>0</v>
      </c>
      <c r="E639" s="52">
        <f>IFERROR(_xlfn.XLOOKUP($B:$B,'Estatísticos Mensais'!$A:$A,'Estatísticos Mensais'!D:D),0)</f>
        <v>0</v>
      </c>
      <c r="F639" s="157">
        <f>IFERROR(_xlfn.XLOOKUP($B:$B,'Estatísticos Mensais'!$A:$A,'Estatísticos Mensais'!E:E),0)</f>
        <v>0</v>
      </c>
      <c r="G639" s="157">
        <f>IFERROR(_xlfn.XLOOKUP($B:$B,'Estatísticos Mensais'!$A:$A,'Estatísticos Mensais'!F:F),0)</f>
        <v>0</v>
      </c>
      <c r="H639" s="35">
        <f t="shared" si="13"/>
        <v>0</v>
      </c>
      <c r="I639" s="19">
        <f t="shared" ca="1" si="14"/>
        <v>53.333333333333336</v>
      </c>
      <c r="J639" s="111">
        <f t="shared" ca="1" si="15"/>
        <v>0</v>
      </c>
      <c r="K639" s="53">
        <f>IFERROR(_xlfn.XLOOKUP($B:$B,Google!A:A,Google!B:B),0)</f>
        <v>0</v>
      </c>
      <c r="L639" s="54">
        <f t="shared" si="16"/>
        <v>0</v>
      </c>
      <c r="M639" s="59"/>
      <c r="N639" s="69">
        <f>IFERROR(VLOOKUP(B639,Tabela_Google[],3,),0)</f>
        <v>0</v>
      </c>
      <c r="O639" s="70">
        <f>SUMIF(Facebook!A:A,'Compilado 2023'!B:B,Facebook!B:B)</f>
        <v>0</v>
      </c>
      <c r="P639" s="71">
        <v>0</v>
      </c>
      <c r="Q639" s="70">
        <f ca="1">_xlfn.XLOOKUP(B:B,'E-mail'!A:A,'E-mail'!C:C)</f>
        <v>53.333333333333336</v>
      </c>
      <c r="R639" s="202">
        <f>IFERROR(VLOOKUP($B:$B,Tabela_Linkedin[],2,),0)</f>
        <v>0</v>
      </c>
      <c r="S639" s="70">
        <f>SUMIF(TikTok!A:A,'Compilado 2023'!B:B,TikTok!B:B)</f>
        <v>0</v>
      </c>
      <c r="T639" s="70">
        <v>0</v>
      </c>
      <c r="U639" s="70">
        <v>0</v>
      </c>
      <c r="V639" s="59"/>
      <c r="W639" s="70">
        <v>0</v>
      </c>
      <c r="X639" s="70">
        <v>0</v>
      </c>
      <c r="Y639" s="70">
        <v>0</v>
      </c>
      <c r="Z639" s="38"/>
      <c r="AA639" s="40"/>
    </row>
    <row r="640" spans="1:27" s="2" customFormat="1" x14ac:dyDescent="0.2">
      <c r="A640" s="16" t="str">
        <f t="shared" si="11"/>
        <v>sábado</v>
      </c>
      <c r="B640" s="17">
        <v>45199</v>
      </c>
      <c r="C640" s="19">
        <f t="shared" si="12"/>
        <v>0</v>
      </c>
      <c r="D640" s="52">
        <f>IFERROR(_xlfn.XLOOKUP($B:$B,'Estatísticos Mensais'!$A:$A,'Estatísticos Mensais'!C:C),0)</f>
        <v>0</v>
      </c>
      <c r="E640" s="52">
        <f>IFERROR(_xlfn.XLOOKUP($B:$B,'Estatísticos Mensais'!$A:$A,'Estatísticos Mensais'!D:D),0)</f>
        <v>0</v>
      </c>
      <c r="F640" s="157">
        <f>IFERROR(_xlfn.XLOOKUP($B:$B,'Estatísticos Mensais'!$A:$A,'Estatísticos Mensais'!E:E),0)</f>
        <v>0</v>
      </c>
      <c r="G640" s="157">
        <f>IFERROR(_xlfn.XLOOKUP($B:$B,'Estatísticos Mensais'!$A:$A,'Estatísticos Mensais'!F:F),0)</f>
        <v>0</v>
      </c>
      <c r="H640" s="35">
        <f t="shared" si="13"/>
        <v>0</v>
      </c>
      <c r="I640" s="19">
        <f t="shared" ca="1" si="14"/>
        <v>53.333333333333336</v>
      </c>
      <c r="J640" s="111">
        <f t="shared" ca="1" si="15"/>
        <v>0</v>
      </c>
      <c r="K640" s="53">
        <f>IFERROR(_xlfn.XLOOKUP($B:$B,Google!A:A,Google!B:B),0)</f>
        <v>0</v>
      </c>
      <c r="L640" s="54">
        <f t="shared" si="16"/>
        <v>0</v>
      </c>
      <c r="M640" s="59"/>
      <c r="N640" s="69">
        <f>IFERROR(VLOOKUP(B640,Tabela_Google[],3,),0)</f>
        <v>0</v>
      </c>
      <c r="O640" s="70">
        <f>SUMIF(Facebook!A:A,'Compilado 2023'!B:B,Facebook!B:B)</f>
        <v>0</v>
      </c>
      <c r="P640" s="71">
        <v>0</v>
      </c>
      <c r="Q640" s="70">
        <f ca="1">_xlfn.XLOOKUP(B:B,'E-mail'!A:A,'E-mail'!C:C)</f>
        <v>53.333333333333336</v>
      </c>
      <c r="R640" s="202">
        <f>IFERROR(VLOOKUP($B:$B,Tabela_Linkedin[],2,),0)</f>
        <v>0</v>
      </c>
      <c r="S640" s="70">
        <f>SUMIF(TikTok!A:A,'Compilado 2023'!B:B,TikTok!B:B)</f>
        <v>0</v>
      </c>
      <c r="T640" s="70">
        <v>0</v>
      </c>
      <c r="U640" s="70">
        <v>0</v>
      </c>
      <c r="V640" s="59"/>
      <c r="W640" s="70">
        <v>0</v>
      </c>
      <c r="X640" s="70">
        <v>0</v>
      </c>
      <c r="Y640" s="70">
        <v>0</v>
      </c>
      <c r="Z640" s="38"/>
      <c r="AA640" s="40"/>
    </row>
    <row r="641" spans="1:27" s="2" customFormat="1" x14ac:dyDescent="0.2">
      <c r="A641" s="16" t="str">
        <f t="shared" si="11"/>
        <v>domingo</v>
      </c>
      <c r="B641" s="17">
        <v>45200</v>
      </c>
      <c r="C641" s="19">
        <f t="shared" si="12"/>
        <v>0</v>
      </c>
      <c r="D641" s="52">
        <f>IFERROR(_xlfn.XLOOKUP($B:$B,'Estatísticos Mensais'!$A:$A,'Estatísticos Mensais'!C:C),0)</f>
        <v>0</v>
      </c>
      <c r="E641" s="52">
        <f>IFERROR(_xlfn.XLOOKUP($B:$B,'Estatísticos Mensais'!$A:$A,'Estatísticos Mensais'!D:D),0)</f>
        <v>0</v>
      </c>
      <c r="F641" s="157">
        <f>IFERROR(_xlfn.XLOOKUP($B:$B,'Estatísticos Mensais'!$A:$A,'Estatísticos Mensais'!E:E),0)</f>
        <v>0</v>
      </c>
      <c r="G641" s="157">
        <f>IFERROR(_xlfn.XLOOKUP($B:$B,'Estatísticos Mensais'!$A:$A,'Estatísticos Mensais'!F:F),0)</f>
        <v>0</v>
      </c>
      <c r="H641" s="35">
        <f t="shared" si="13"/>
        <v>0</v>
      </c>
      <c r="I641" s="19">
        <f t="shared" ca="1" si="14"/>
        <v>51.612903225806448</v>
      </c>
      <c r="J641" s="111">
        <f t="shared" ca="1" si="15"/>
        <v>0</v>
      </c>
      <c r="K641" s="53">
        <f>IFERROR(_xlfn.XLOOKUP($B:$B,Google!A:A,Google!B:B),0)</f>
        <v>0</v>
      </c>
      <c r="L641" s="54">
        <f t="shared" si="16"/>
        <v>0</v>
      </c>
      <c r="M641" s="59"/>
      <c r="N641" s="69">
        <f>IFERROR(VLOOKUP(B641,Tabela_Google[],3,),0)</f>
        <v>0</v>
      </c>
      <c r="O641" s="70">
        <f>SUMIF(Facebook!A:A,'Compilado 2023'!B:B,Facebook!B:B)</f>
        <v>0</v>
      </c>
      <c r="P641" s="71">
        <v>0</v>
      </c>
      <c r="Q641" s="70">
        <f ca="1">_xlfn.XLOOKUP(B:B,'E-mail'!A:A,'E-mail'!C:C)</f>
        <v>51.612903225806448</v>
      </c>
      <c r="R641" s="202">
        <f>IFERROR(VLOOKUP($B:$B,Tabela_Linkedin[],2,),0)</f>
        <v>0</v>
      </c>
      <c r="S641" s="70">
        <f>SUMIF(TikTok!A:A,'Compilado 2023'!B:B,TikTok!B:B)</f>
        <v>0</v>
      </c>
      <c r="T641" s="70">
        <v>0</v>
      </c>
      <c r="U641" s="70">
        <v>0</v>
      </c>
      <c r="V641" s="59"/>
      <c r="W641" s="70">
        <v>0</v>
      </c>
      <c r="X641" s="70">
        <v>0</v>
      </c>
      <c r="Y641" s="70">
        <v>0</v>
      </c>
      <c r="Z641" s="38"/>
      <c r="AA641" s="40"/>
    </row>
    <row r="642" spans="1:27" s="2" customFormat="1" x14ac:dyDescent="0.2">
      <c r="A642" s="16" t="str">
        <f t="shared" si="11"/>
        <v>segunda-feira</v>
      </c>
      <c r="B642" s="17">
        <v>45201</v>
      </c>
      <c r="C642" s="19">
        <f t="shared" si="12"/>
        <v>0</v>
      </c>
      <c r="D642" s="52">
        <f>IFERROR(_xlfn.XLOOKUP($B:$B,'Estatísticos Mensais'!$A:$A,'Estatísticos Mensais'!C:C),0)</f>
        <v>0</v>
      </c>
      <c r="E642" s="52">
        <f>IFERROR(_xlfn.XLOOKUP($B:$B,'Estatísticos Mensais'!$A:$A,'Estatísticos Mensais'!D:D),0)</f>
        <v>0</v>
      </c>
      <c r="F642" s="157">
        <f>IFERROR(_xlfn.XLOOKUP($B:$B,'Estatísticos Mensais'!$A:$A,'Estatísticos Mensais'!E:E),0)</f>
        <v>0</v>
      </c>
      <c r="G642" s="157">
        <f>IFERROR(_xlfn.XLOOKUP($B:$B,'Estatísticos Mensais'!$A:$A,'Estatísticos Mensais'!F:F),0)</f>
        <v>0</v>
      </c>
      <c r="H642" s="35">
        <f t="shared" si="13"/>
        <v>0</v>
      </c>
      <c r="I642" s="19">
        <f t="shared" ca="1" si="14"/>
        <v>51.612903225806448</v>
      </c>
      <c r="J642" s="111">
        <f t="shared" ca="1" si="15"/>
        <v>0</v>
      </c>
      <c r="K642" s="53">
        <f>IFERROR(_xlfn.XLOOKUP($B:$B,Google!A:A,Google!B:B),0)</f>
        <v>0</v>
      </c>
      <c r="L642" s="54">
        <f t="shared" si="16"/>
        <v>0</v>
      </c>
      <c r="M642" s="59"/>
      <c r="N642" s="69">
        <f>IFERROR(VLOOKUP(B642,Tabela_Google[],3,),0)</f>
        <v>0</v>
      </c>
      <c r="O642" s="70">
        <f>SUMIF(Facebook!A:A,'Compilado 2023'!B:B,Facebook!B:B)</f>
        <v>0</v>
      </c>
      <c r="P642" s="71">
        <v>0</v>
      </c>
      <c r="Q642" s="70">
        <f ca="1">_xlfn.XLOOKUP(B:B,'E-mail'!A:A,'E-mail'!C:C)</f>
        <v>51.612903225806448</v>
      </c>
      <c r="R642" s="202">
        <f>IFERROR(VLOOKUP($B:$B,Tabela_Linkedin[],2,),0)</f>
        <v>0</v>
      </c>
      <c r="S642" s="70">
        <f>SUMIF(TikTok!A:A,'Compilado 2023'!B:B,TikTok!B:B)</f>
        <v>0</v>
      </c>
      <c r="T642" s="70">
        <v>0</v>
      </c>
      <c r="U642" s="70">
        <v>0</v>
      </c>
      <c r="V642" s="59"/>
      <c r="W642" s="70">
        <v>0</v>
      </c>
      <c r="X642" s="70">
        <v>0</v>
      </c>
      <c r="Y642" s="70">
        <v>0</v>
      </c>
      <c r="Z642" s="38"/>
      <c r="AA642" s="40"/>
    </row>
    <row r="643" spans="1:27" s="2" customFormat="1" x14ac:dyDescent="0.2">
      <c r="A643" s="16" t="str">
        <f t="shared" si="11"/>
        <v>terça-feira</v>
      </c>
      <c r="B643" s="17">
        <v>45202</v>
      </c>
      <c r="C643" s="19">
        <f t="shared" si="12"/>
        <v>0</v>
      </c>
      <c r="D643" s="52">
        <f>IFERROR(_xlfn.XLOOKUP($B:$B,'Estatísticos Mensais'!$A:$A,'Estatísticos Mensais'!C:C),0)</f>
        <v>0</v>
      </c>
      <c r="E643" s="52">
        <f>IFERROR(_xlfn.XLOOKUP($B:$B,'Estatísticos Mensais'!$A:$A,'Estatísticos Mensais'!D:D),0)</f>
        <v>0</v>
      </c>
      <c r="F643" s="157">
        <f>IFERROR(_xlfn.XLOOKUP($B:$B,'Estatísticos Mensais'!$A:$A,'Estatísticos Mensais'!E:E),0)</f>
        <v>0</v>
      </c>
      <c r="G643" s="157">
        <f>IFERROR(_xlfn.XLOOKUP($B:$B,'Estatísticos Mensais'!$A:$A,'Estatísticos Mensais'!F:F),0)</f>
        <v>0</v>
      </c>
      <c r="H643" s="35">
        <f t="shared" si="13"/>
        <v>0</v>
      </c>
      <c r="I643" s="19">
        <f t="shared" ca="1" si="14"/>
        <v>51.612903225806448</v>
      </c>
      <c r="J643" s="111">
        <f t="shared" ca="1" si="15"/>
        <v>0</v>
      </c>
      <c r="K643" s="53">
        <f>IFERROR(_xlfn.XLOOKUP($B:$B,Google!A:A,Google!B:B),0)</f>
        <v>0</v>
      </c>
      <c r="L643" s="54">
        <f t="shared" si="16"/>
        <v>0</v>
      </c>
      <c r="M643" s="59"/>
      <c r="N643" s="69">
        <f>IFERROR(VLOOKUP(B643,Tabela_Google[],3,),0)</f>
        <v>0</v>
      </c>
      <c r="O643" s="70">
        <f>SUMIF(Facebook!A:A,'Compilado 2023'!B:B,Facebook!B:B)</f>
        <v>0</v>
      </c>
      <c r="P643" s="71">
        <v>0</v>
      </c>
      <c r="Q643" s="70">
        <f ca="1">_xlfn.XLOOKUP(B:B,'E-mail'!A:A,'E-mail'!C:C)</f>
        <v>51.612903225806448</v>
      </c>
      <c r="R643" s="202">
        <f>IFERROR(VLOOKUP($B:$B,Tabela_Linkedin[],2,),0)</f>
        <v>0</v>
      </c>
      <c r="S643" s="70">
        <f>SUMIF(TikTok!A:A,'Compilado 2023'!B:B,TikTok!B:B)</f>
        <v>0</v>
      </c>
      <c r="T643" s="70">
        <v>0</v>
      </c>
      <c r="U643" s="70">
        <v>0</v>
      </c>
      <c r="V643" s="59"/>
      <c r="W643" s="70">
        <v>0</v>
      </c>
      <c r="X643" s="70">
        <v>0</v>
      </c>
      <c r="Y643" s="70">
        <v>0</v>
      </c>
      <c r="Z643" s="38"/>
      <c r="AA643" s="40"/>
    </row>
    <row r="644" spans="1:27" s="2" customFormat="1" x14ac:dyDescent="0.2">
      <c r="A644" s="16" t="str">
        <f t="shared" si="11"/>
        <v>quarta-feira</v>
      </c>
      <c r="B644" s="17">
        <v>45203</v>
      </c>
      <c r="C644" s="19">
        <f t="shared" si="12"/>
        <v>0</v>
      </c>
      <c r="D644" s="52">
        <f>IFERROR(_xlfn.XLOOKUP($B:$B,'Estatísticos Mensais'!$A:$A,'Estatísticos Mensais'!C:C),0)</f>
        <v>0</v>
      </c>
      <c r="E644" s="52">
        <f>IFERROR(_xlfn.XLOOKUP($B:$B,'Estatísticos Mensais'!$A:$A,'Estatísticos Mensais'!D:D),0)</f>
        <v>0</v>
      </c>
      <c r="F644" s="157">
        <f>IFERROR(_xlfn.XLOOKUP($B:$B,'Estatísticos Mensais'!$A:$A,'Estatísticos Mensais'!E:E),0)</f>
        <v>0</v>
      </c>
      <c r="G644" s="157">
        <f>IFERROR(_xlfn.XLOOKUP($B:$B,'Estatísticos Mensais'!$A:$A,'Estatísticos Mensais'!F:F),0)</f>
        <v>0</v>
      </c>
      <c r="H644" s="35">
        <f t="shared" si="13"/>
        <v>0</v>
      </c>
      <c r="I644" s="19">
        <f t="shared" ca="1" si="14"/>
        <v>51.612903225806448</v>
      </c>
      <c r="J644" s="111">
        <f t="shared" ca="1" si="15"/>
        <v>0</v>
      </c>
      <c r="K644" s="53">
        <f>IFERROR(_xlfn.XLOOKUP($B:$B,Google!A:A,Google!B:B),0)</f>
        <v>0</v>
      </c>
      <c r="L644" s="54">
        <f t="shared" si="16"/>
        <v>0</v>
      </c>
      <c r="M644" s="59"/>
      <c r="N644" s="69">
        <f>IFERROR(VLOOKUP(B644,Tabela_Google[],3,),0)</f>
        <v>0</v>
      </c>
      <c r="O644" s="70">
        <f>SUMIF(Facebook!A:A,'Compilado 2023'!B:B,Facebook!B:B)</f>
        <v>0</v>
      </c>
      <c r="P644" s="71">
        <v>0</v>
      </c>
      <c r="Q644" s="70">
        <f ca="1">_xlfn.XLOOKUP(B:B,'E-mail'!A:A,'E-mail'!C:C)</f>
        <v>51.612903225806448</v>
      </c>
      <c r="R644" s="202">
        <f>IFERROR(VLOOKUP($B:$B,Tabela_Linkedin[],2,),0)</f>
        <v>0</v>
      </c>
      <c r="S644" s="70">
        <f>SUMIF(TikTok!A:A,'Compilado 2023'!B:B,TikTok!B:B)</f>
        <v>0</v>
      </c>
      <c r="T644" s="70">
        <v>0</v>
      </c>
      <c r="U644" s="70">
        <v>0</v>
      </c>
      <c r="V644" s="59"/>
      <c r="W644" s="70">
        <v>0</v>
      </c>
      <c r="X644" s="70">
        <v>0</v>
      </c>
      <c r="Y644" s="70">
        <v>0</v>
      </c>
      <c r="Z644" s="38"/>
      <c r="AA644" s="40"/>
    </row>
    <row r="645" spans="1:27" s="2" customFormat="1" x14ac:dyDescent="0.2">
      <c r="A645" s="16" t="str">
        <f t="shared" ref="A645:A676" si="17">TEXT(B645,"DDDD")</f>
        <v>quinta-feira</v>
      </c>
      <c r="B645" s="17">
        <v>45204</v>
      </c>
      <c r="C645" s="19">
        <f t="shared" si="12"/>
        <v>0</v>
      </c>
      <c r="D645" s="52">
        <f>IFERROR(_xlfn.XLOOKUP($B:$B,'Estatísticos Mensais'!$A:$A,'Estatísticos Mensais'!C:C),0)</f>
        <v>0</v>
      </c>
      <c r="E645" s="52">
        <f>IFERROR(_xlfn.XLOOKUP($B:$B,'Estatísticos Mensais'!$A:$A,'Estatísticos Mensais'!D:D),0)</f>
        <v>0</v>
      </c>
      <c r="F645" s="157">
        <f>IFERROR(_xlfn.XLOOKUP($B:$B,'Estatísticos Mensais'!$A:$A,'Estatísticos Mensais'!E:E),0)</f>
        <v>0</v>
      </c>
      <c r="G645" s="157">
        <f>IFERROR(_xlfn.XLOOKUP($B:$B,'Estatísticos Mensais'!$A:$A,'Estatísticos Mensais'!F:F),0)</f>
        <v>0</v>
      </c>
      <c r="H645" s="35">
        <f t="shared" si="13"/>
        <v>0</v>
      </c>
      <c r="I645" s="19">
        <f t="shared" ca="1" si="14"/>
        <v>51.612903225806448</v>
      </c>
      <c r="J645" s="111">
        <f t="shared" ca="1" si="15"/>
        <v>0</v>
      </c>
      <c r="K645" s="53">
        <f>IFERROR(_xlfn.XLOOKUP($B:$B,Google!A:A,Google!B:B),0)</f>
        <v>0</v>
      </c>
      <c r="L645" s="54">
        <f t="shared" si="16"/>
        <v>0</v>
      </c>
      <c r="M645" s="59"/>
      <c r="N645" s="69">
        <f>IFERROR(VLOOKUP(B645,Tabela_Google[],3,),0)</f>
        <v>0</v>
      </c>
      <c r="O645" s="70">
        <f>SUMIF(Facebook!A:A,'Compilado 2023'!B:B,Facebook!B:B)</f>
        <v>0</v>
      </c>
      <c r="P645" s="71">
        <v>0</v>
      </c>
      <c r="Q645" s="70">
        <f ca="1">_xlfn.XLOOKUP(B:B,'E-mail'!A:A,'E-mail'!C:C)</f>
        <v>51.612903225806448</v>
      </c>
      <c r="R645" s="202">
        <f>IFERROR(VLOOKUP($B:$B,Tabela_Linkedin[],2,),0)</f>
        <v>0</v>
      </c>
      <c r="S645" s="70">
        <f>SUMIF(TikTok!A:A,'Compilado 2023'!B:B,TikTok!B:B)</f>
        <v>0</v>
      </c>
      <c r="T645" s="70">
        <v>0</v>
      </c>
      <c r="U645" s="70">
        <v>0</v>
      </c>
      <c r="V645" s="59"/>
      <c r="W645" s="70">
        <v>0</v>
      </c>
      <c r="X645" s="70">
        <v>0</v>
      </c>
      <c r="Y645" s="70">
        <v>0</v>
      </c>
      <c r="Z645" s="38"/>
      <c r="AA645" s="40"/>
    </row>
    <row r="646" spans="1:27" s="2" customFormat="1" x14ac:dyDescent="0.2">
      <c r="A646" s="16" t="str">
        <f t="shared" si="17"/>
        <v>sexta-feira</v>
      </c>
      <c r="B646" s="17">
        <v>45205</v>
      </c>
      <c r="C646" s="19">
        <f t="shared" si="12"/>
        <v>0</v>
      </c>
      <c r="D646" s="52">
        <f>IFERROR(_xlfn.XLOOKUP($B:$B,'Estatísticos Mensais'!$A:$A,'Estatísticos Mensais'!C:C),0)</f>
        <v>0</v>
      </c>
      <c r="E646" s="52">
        <f>IFERROR(_xlfn.XLOOKUP($B:$B,'Estatísticos Mensais'!$A:$A,'Estatísticos Mensais'!D:D),0)</f>
        <v>0</v>
      </c>
      <c r="F646" s="157">
        <f>IFERROR(_xlfn.XLOOKUP($B:$B,'Estatísticos Mensais'!$A:$A,'Estatísticos Mensais'!E:E),0)</f>
        <v>0</v>
      </c>
      <c r="G646" s="157">
        <f>IFERROR(_xlfn.XLOOKUP($B:$B,'Estatísticos Mensais'!$A:$A,'Estatísticos Mensais'!F:F),0)</f>
        <v>0</v>
      </c>
      <c r="H646" s="35">
        <f t="shared" si="13"/>
        <v>0</v>
      </c>
      <c r="I646" s="19">
        <f t="shared" ca="1" si="14"/>
        <v>51.612903225806448</v>
      </c>
      <c r="J646" s="111">
        <f t="shared" ca="1" si="15"/>
        <v>0</v>
      </c>
      <c r="K646" s="53">
        <f>IFERROR(_xlfn.XLOOKUP($B:$B,Google!A:A,Google!B:B),0)</f>
        <v>0</v>
      </c>
      <c r="L646" s="54">
        <f t="shared" si="16"/>
        <v>0</v>
      </c>
      <c r="M646" s="59"/>
      <c r="N646" s="69">
        <f>IFERROR(VLOOKUP(B646,Tabela_Google[],3,),0)</f>
        <v>0</v>
      </c>
      <c r="O646" s="70">
        <f>SUMIF(Facebook!A:A,'Compilado 2023'!B:B,Facebook!B:B)</f>
        <v>0</v>
      </c>
      <c r="P646" s="71">
        <v>0</v>
      </c>
      <c r="Q646" s="70">
        <f ca="1">_xlfn.XLOOKUP(B:B,'E-mail'!A:A,'E-mail'!C:C)</f>
        <v>51.612903225806448</v>
      </c>
      <c r="R646" s="202">
        <f>IFERROR(VLOOKUP($B:$B,Tabela_Linkedin[],2,),0)</f>
        <v>0</v>
      </c>
      <c r="S646" s="70">
        <f>SUMIF(TikTok!A:A,'Compilado 2023'!B:B,TikTok!B:B)</f>
        <v>0</v>
      </c>
      <c r="T646" s="70">
        <v>0</v>
      </c>
      <c r="U646" s="70">
        <v>0</v>
      </c>
      <c r="V646" s="59"/>
      <c r="W646" s="70">
        <v>0</v>
      </c>
      <c r="X646" s="70">
        <v>0</v>
      </c>
      <c r="Y646" s="70">
        <v>0</v>
      </c>
      <c r="Z646" s="38"/>
      <c r="AA646" s="40"/>
    </row>
    <row r="647" spans="1:27" s="2" customFormat="1" x14ac:dyDescent="0.2">
      <c r="A647" s="16" t="str">
        <f t="shared" si="17"/>
        <v>sábado</v>
      </c>
      <c r="B647" s="17">
        <v>45206</v>
      </c>
      <c r="C647" s="19">
        <f t="shared" si="12"/>
        <v>0</v>
      </c>
      <c r="D647" s="52">
        <f>IFERROR(_xlfn.XLOOKUP($B:$B,'Estatísticos Mensais'!$A:$A,'Estatísticos Mensais'!C:C),0)</f>
        <v>0</v>
      </c>
      <c r="E647" s="52">
        <f>IFERROR(_xlfn.XLOOKUP($B:$B,'Estatísticos Mensais'!$A:$A,'Estatísticos Mensais'!D:D),0)</f>
        <v>0</v>
      </c>
      <c r="F647" s="157">
        <f>IFERROR(_xlfn.XLOOKUP($B:$B,'Estatísticos Mensais'!$A:$A,'Estatísticos Mensais'!E:E),0)</f>
        <v>0</v>
      </c>
      <c r="G647" s="157">
        <f>IFERROR(_xlfn.XLOOKUP($B:$B,'Estatísticos Mensais'!$A:$A,'Estatísticos Mensais'!F:F),0)</f>
        <v>0</v>
      </c>
      <c r="H647" s="35">
        <f t="shared" si="13"/>
        <v>0</v>
      </c>
      <c r="I647" s="19">
        <f t="shared" ca="1" si="14"/>
        <v>51.612903225806448</v>
      </c>
      <c r="J647" s="111">
        <f t="shared" ca="1" si="15"/>
        <v>0</v>
      </c>
      <c r="K647" s="53">
        <f>IFERROR(_xlfn.XLOOKUP($B:$B,Google!A:A,Google!B:B),0)</f>
        <v>0</v>
      </c>
      <c r="L647" s="54">
        <f t="shared" si="16"/>
        <v>0</v>
      </c>
      <c r="M647" s="59"/>
      <c r="N647" s="69">
        <f>IFERROR(VLOOKUP(B647,Tabela_Google[],3,),0)</f>
        <v>0</v>
      </c>
      <c r="O647" s="70">
        <f>SUMIF(Facebook!A:A,'Compilado 2023'!B:B,Facebook!B:B)</f>
        <v>0</v>
      </c>
      <c r="P647" s="71">
        <v>0</v>
      </c>
      <c r="Q647" s="70">
        <f ca="1">_xlfn.XLOOKUP(B:B,'E-mail'!A:A,'E-mail'!C:C)</f>
        <v>51.612903225806448</v>
      </c>
      <c r="R647" s="202">
        <f>IFERROR(VLOOKUP($B:$B,Tabela_Linkedin[],2,),0)</f>
        <v>0</v>
      </c>
      <c r="S647" s="70">
        <f>SUMIF(TikTok!A:A,'Compilado 2023'!B:B,TikTok!B:B)</f>
        <v>0</v>
      </c>
      <c r="T647" s="70">
        <v>0</v>
      </c>
      <c r="U647" s="70">
        <v>0</v>
      </c>
      <c r="V647" s="59"/>
      <c r="W647" s="70">
        <v>0</v>
      </c>
      <c r="X647" s="70">
        <v>0</v>
      </c>
      <c r="Y647" s="70">
        <v>0</v>
      </c>
      <c r="Z647" s="38"/>
      <c r="AA647" s="40"/>
    </row>
    <row r="648" spans="1:27" s="2" customFormat="1" x14ac:dyDescent="0.2">
      <c r="A648" s="16" t="str">
        <f t="shared" si="17"/>
        <v>domingo</v>
      </c>
      <c r="B648" s="17">
        <v>45207</v>
      </c>
      <c r="C648" s="19">
        <f t="shared" si="12"/>
        <v>0</v>
      </c>
      <c r="D648" s="52">
        <f>IFERROR(_xlfn.XLOOKUP($B:$B,'Estatísticos Mensais'!$A:$A,'Estatísticos Mensais'!C:C),0)</f>
        <v>0</v>
      </c>
      <c r="E648" s="52">
        <f>IFERROR(_xlfn.XLOOKUP($B:$B,'Estatísticos Mensais'!$A:$A,'Estatísticos Mensais'!D:D),0)</f>
        <v>0</v>
      </c>
      <c r="F648" s="157">
        <f>IFERROR(_xlfn.XLOOKUP($B:$B,'Estatísticos Mensais'!$A:$A,'Estatísticos Mensais'!E:E),0)</f>
        <v>0</v>
      </c>
      <c r="G648" s="157">
        <f>IFERROR(_xlfn.XLOOKUP($B:$B,'Estatísticos Mensais'!$A:$A,'Estatísticos Mensais'!F:F),0)</f>
        <v>0</v>
      </c>
      <c r="H648" s="35">
        <f t="shared" si="13"/>
        <v>0</v>
      </c>
      <c r="I648" s="19">
        <f t="shared" ca="1" si="14"/>
        <v>51.612903225806448</v>
      </c>
      <c r="J648" s="111">
        <f t="shared" ca="1" si="15"/>
        <v>0</v>
      </c>
      <c r="K648" s="53">
        <f>IFERROR(_xlfn.XLOOKUP($B:$B,Google!A:A,Google!B:B),0)</f>
        <v>0</v>
      </c>
      <c r="L648" s="54">
        <f t="shared" si="16"/>
        <v>0</v>
      </c>
      <c r="M648" s="59"/>
      <c r="N648" s="69">
        <f>IFERROR(VLOOKUP(B648,Tabela_Google[],3,),0)</f>
        <v>0</v>
      </c>
      <c r="O648" s="70">
        <f>SUMIF(Facebook!A:A,'Compilado 2023'!B:B,Facebook!B:B)</f>
        <v>0</v>
      </c>
      <c r="P648" s="71">
        <v>0</v>
      </c>
      <c r="Q648" s="70">
        <f ca="1">_xlfn.XLOOKUP(B:B,'E-mail'!A:A,'E-mail'!C:C)</f>
        <v>51.612903225806448</v>
      </c>
      <c r="R648" s="202">
        <f>IFERROR(VLOOKUP($B:$B,Tabela_Linkedin[],2,),0)</f>
        <v>0</v>
      </c>
      <c r="S648" s="70">
        <f>SUMIF(TikTok!A:A,'Compilado 2023'!B:B,TikTok!B:B)</f>
        <v>0</v>
      </c>
      <c r="T648" s="70">
        <v>0</v>
      </c>
      <c r="U648" s="70">
        <v>0</v>
      </c>
      <c r="V648" s="59"/>
      <c r="W648" s="70">
        <v>0</v>
      </c>
      <c r="X648" s="70">
        <v>0</v>
      </c>
      <c r="Y648" s="70">
        <v>0</v>
      </c>
      <c r="Z648" s="38"/>
      <c r="AA648" s="40"/>
    </row>
    <row r="649" spans="1:27" s="2" customFormat="1" x14ac:dyDescent="0.2">
      <c r="A649" s="16" t="str">
        <f t="shared" si="17"/>
        <v>segunda-feira</v>
      </c>
      <c r="B649" s="17">
        <v>45208</v>
      </c>
      <c r="C649" s="19">
        <f t="shared" si="12"/>
        <v>0</v>
      </c>
      <c r="D649" s="52">
        <f>IFERROR(_xlfn.XLOOKUP($B:$B,'Estatísticos Mensais'!$A:$A,'Estatísticos Mensais'!C:C),0)</f>
        <v>0</v>
      </c>
      <c r="E649" s="52">
        <f>IFERROR(_xlfn.XLOOKUP($B:$B,'Estatísticos Mensais'!$A:$A,'Estatísticos Mensais'!D:D),0)</f>
        <v>0</v>
      </c>
      <c r="F649" s="157">
        <f>IFERROR(_xlfn.XLOOKUP($B:$B,'Estatísticos Mensais'!$A:$A,'Estatísticos Mensais'!E:E),0)</f>
        <v>0</v>
      </c>
      <c r="G649" s="157">
        <f>IFERROR(_xlfn.XLOOKUP($B:$B,'Estatísticos Mensais'!$A:$A,'Estatísticos Mensais'!F:F),0)</f>
        <v>0</v>
      </c>
      <c r="H649" s="35">
        <f t="shared" si="13"/>
        <v>0</v>
      </c>
      <c r="I649" s="19">
        <f t="shared" ca="1" si="14"/>
        <v>51.612903225806448</v>
      </c>
      <c r="J649" s="111">
        <f t="shared" ca="1" si="15"/>
        <v>0</v>
      </c>
      <c r="K649" s="53">
        <f>IFERROR(_xlfn.XLOOKUP($B:$B,Google!A:A,Google!B:B),0)</f>
        <v>0</v>
      </c>
      <c r="L649" s="54">
        <f t="shared" si="16"/>
        <v>0</v>
      </c>
      <c r="M649" s="59"/>
      <c r="N649" s="69">
        <f>IFERROR(VLOOKUP(B649,Tabela_Google[],3,),0)</f>
        <v>0</v>
      </c>
      <c r="O649" s="70">
        <f>SUMIF(Facebook!A:A,'Compilado 2023'!B:B,Facebook!B:B)</f>
        <v>0</v>
      </c>
      <c r="P649" s="71">
        <v>0</v>
      </c>
      <c r="Q649" s="70">
        <f ca="1">_xlfn.XLOOKUP(B:B,'E-mail'!A:A,'E-mail'!C:C)</f>
        <v>51.612903225806448</v>
      </c>
      <c r="R649" s="202">
        <f>IFERROR(VLOOKUP($B:$B,Tabela_Linkedin[],2,),0)</f>
        <v>0</v>
      </c>
      <c r="S649" s="70">
        <f>SUMIF(TikTok!A:A,'Compilado 2023'!B:B,TikTok!B:B)</f>
        <v>0</v>
      </c>
      <c r="T649" s="70">
        <v>0</v>
      </c>
      <c r="U649" s="70">
        <v>0</v>
      </c>
      <c r="V649" s="59"/>
      <c r="W649" s="70">
        <v>0</v>
      </c>
      <c r="X649" s="70">
        <v>0</v>
      </c>
      <c r="Y649" s="70">
        <v>0</v>
      </c>
      <c r="Z649" s="38"/>
      <c r="AA649" s="40"/>
    </row>
    <row r="650" spans="1:27" s="2" customFormat="1" x14ac:dyDescent="0.2">
      <c r="A650" s="16" t="str">
        <f t="shared" si="17"/>
        <v>terça-feira</v>
      </c>
      <c r="B650" s="17">
        <v>45209</v>
      </c>
      <c r="C650" s="19">
        <f t="shared" si="12"/>
        <v>0</v>
      </c>
      <c r="D650" s="52">
        <f>IFERROR(_xlfn.XLOOKUP($B:$B,'Estatísticos Mensais'!$A:$A,'Estatísticos Mensais'!C:C),0)</f>
        <v>0</v>
      </c>
      <c r="E650" s="52">
        <f>IFERROR(_xlfn.XLOOKUP($B:$B,'Estatísticos Mensais'!$A:$A,'Estatísticos Mensais'!D:D),0)</f>
        <v>0</v>
      </c>
      <c r="F650" s="157">
        <f>IFERROR(_xlfn.XLOOKUP($B:$B,'Estatísticos Mensais'!$A:$A,'Estatísticos Mensais'!E:E),0)</f>
        <v>0</v>
      </c>
      <c r="G650" s="157">
        <f>IFERROR(_xlfn.XLOOKUP($B:$B,'Estatísticos Mensais'!$A:$A,'Estatísticos Mensais'!F:F),0)</f>
        <v>0</v>
      </c>
      <c r="H650" s="35">
        <f t="shared" si="13"/>
        <v>0</v>
      </c>
      <c r="I650" s="19">
        <f t="shared" ca="1" si="14"/>
        <v>51.612903225806448</v>
      </c>
      <c r="J650" s="111">
        <f t="shared" ca="1" si="15"/>
        <v>0</v>
      </c>
      <c r="K650" s="53">
        <f>IFERROR(_xlfn.XLOOKUP($B:$B,Google!A:A,Google!B:B),0)</f>
        <v>0</v>
      </c>
      <c r="L650" s="54">
        <f t="shared" si="16"/>
        <v>0</v>
      </c>
      <c r="M650" s="59"/>
      <c r="N650" s="69">
        <f>IFERROR(VLOOKUP(B650,Tabela_Google[],3,),0)</f>
        <v>0</v>
      </c>
      <c r="O650" s="70">
        <f>SUMIF(Facebook!A:A,'Compilado 2023'!B:B,Facebook!B:B)</f>
        <v>0</v>
      </c>
      <c r="P650" s="71">
        <v>0</v>
      </c>
      <c r="Q650" s="70">
        <f ca="1">_xlfn.XLOOKUP(B:B,'E-mail'!A:A,'E-mail'!C:C)</f>
        <v>51.612903225806448</v>
      </c>
      <c r="R650" s="202">
        <f>IFERROR(VLOOKUP($B:$B,Tabela_Linkedin[],2,),0)</f>
        <v>0</v>
      </c>
      <c r="S650" s="70">
        <f>SUMIF(TikTok!A:A,'Compilado 2023'!B:B,TikTok!B:B)</f>
        <v>0</v>
      </c>
      <c r="T650" s="70">
        <v>0</v>
      </c>
      <c r="U650" s="70">
        <v>0</v>
      </c>
      <c r="V650" s="59"/>
      <c r="W650" s="70">
        <v>0</v>
      </c>
      <c r="X650" s="70">
        <v>0</v>
      </c>
      <c r="Y650" s="70">
        <v>0</v>
      </c>
      <c r="Z650" s="38"/>
      <c r="AA650" s="40"/>
    </row>
    <row r="651" spans="1:27" s="2" customFormat="1" x14ac:dyDescent="0.2">
      <c r="A651" s="16" t="str">
        <f t="shared" si="17"/>
        <v>quarta-feira</v>
      </c>
      <c r="B651" s="17">
        <v>45210</v>
      </c>
      <c r="C651" s="19">
        <f t="shared" ref="C651:C682" si="18">D651+E651</f>
        <v>0</v>
      </c>
      <c r="D651" s="52">
        <f>IFERROR(_xlfn.XLOOKUP($B:$B,'Estatísticos Mensais'!$A:$A,'Estatísticos Mensais'!C:C),0)</f>
        <v>0</v>
      </c>
      <c r="E651" s="52">
        <f>IFERROR(_xlfn.XLOOKUP($B:$B,'Estatísticos Mensais'!$A:$A,'Estatísticos Mensais'!D:D),0)</f>
        <v>0</v>
      </c>
      <c r="F651" s="157">
        <f>IFERROR(_xlfn.XLOOKUP($B:$B,'Estatísticos Mensais'!$A:$A,'Estatísticos Mensais'!E:E),0)</f>
        <v>0</v>
      </c>
      <c r="G651" s="157">
        <f>IFERROR(_xlfn.XLOOKUP($B:$B,'Estatísticos Mensais'!$A:$A,'Estatísticos Mensais'!F:F),0)</f>
        <v>0</v>
      </c>
      <c r="H651" s="35">
        <f t="shared" si="13"/>
        <v>0</v>
      </c>
      <c r="I651" s="19">
        <f t="shared" ca="1" si="14"/>
        <v>51.612903225806448</v>
      </c>
      <c r="J651" s="111">
        <f t="shared" ca="1" si="15"/>
        <v>0</v>
      </c>
      <c r="K651" s="53">
        <f>IFERROR(_xlfn.XLOOKUP($B:$B,Google!A:A,Google!B:B),0)</f>
        <v>0</v>
      </c>
      <c r="L651" s="54">
        <f t="shared" si="16"/>
        <v>0</v>
      </c>
      <c r="M651" s="59"/>
      <c r="N651" s="69">
        <f>IFERROR(VLOOKUP(B651,Tabela_Google[],3,),0)</f>
        <v>0</v>
      </c>
      <c r="O651" s="70">
        <f>SUMIF(Facebook!A:A,'Compilado 2023'!B:B,Facebook!B:B)</f>
        <v>0</v>
      </c>
      <c r="P651" s="71">
        <v>0</v>
      </c>
      <c r="Q651" s="70">
        <f ca="1">_xlfn.XLOOKUP(B:B,'E-mail'!A:A,'E-mail'!C:C)</f>
        <v>51.612903225806448</v>
      </c>
      <c r="R651" s="202">
        <f>IFERROR(VLOOKUP($B:$B,Tabela_Linkedin[],2,),0)</f>
        <v>0</v>
      </c>
      <c r="S651" s="70">
        <f>SUMIF(TikTok!A:A,'Compilado 2023'!B:B,TikTok!B:B)</f>
        <v>0</v>
      </c>
      <c r="T651" s="70">
        <v>0</v>
      </c>
      <c r="U651" s="70">
        <v>0</v>
      </c>
      <c r="V651" s="59"/>
      <c r="W651" s="70">
        <v>0</v>
      </c>
      <c r="X651" s="70">
        <v>0</v>
      </c>
      <c r="Y651" s="70">
        <v>0</v>
      </c>
      <c r="Z651" s="38"/>
      <c r="AA651" s="40"/>
    </row>
    <row r="652" spans="1:27" s="2" customFormat="1" x14ac:dyDescent="0.2">
      <c r="A652" s="16" t="str">
        <f t="shared" si="17"/>
        <v>quinta-feira</v>
      </c>
      <c r="B652" s="17">
        <v>45211</v>
      </c>
      <c r="C652" s="19">
        <f t="shared" si="18"/>
        <v>0</v>
      </c>
      <c r="D652" s="52">
        <f>IFERROR(_xlfn.XLOOKUP($B:$B,'Estatísticos Mensais'!$A:$A,'Estatísticos Mensais'!C:C),0)</f>
        <v>0</v>
      </c>
      <c r="E652" s="52">
        <f>IFERROR(_xlfn.XLOOKUP($B:$B,'Estatísticos Mensais'!$A:$A,'Estatísticos Mensais'!D:D),0)</f>
        <v>0</v>
      </c>
      <c r="F652" s="157">
        <f>IFERROR(_xlfn.XLOOKUP($B:$B,'Estatísticos Mensais'!$A:$A,'Estatísticos Mensais'!E:E),0)</f>
        <v>0</v>
      </c>
      <c r="G652" s="157">
        <f>IFERROR(_xlfn.XLOOKUP($B:$B,'Estatísticos Mensais'!$A:$A,'Estatísticos Mensais'!F:F),0)</f>
        <v>0</v>
      </c>
      <c r="H652" s="35">
        <f t="shared" si="13"/>
        <v>0</v>
      </c>
      <c r="I652" s="19">
        <f t="shared" ca="1" si="14"/>
        <v>51.612903225806448</v>
      </c>
      <c r="J652" s="111">
        <f t="shared" ca="1" si="15"/>
        <v>0</v>
      </c>
      <c r="K652" s="53">
        <f>IFERROR(_xlfn.XLOOKUP($B:$B,Google!A:A,Google!B:B),0)</f>
        <v>0</v>
      </c>
      <c r="L652" s="54">
        <f t="shared" si="16"/>
        <v>0</v>
      </c>
      <c r="M652" s="59"/>
      <c r="N652" s="69">
        <f>IFERROR(VLOOKUP(B652,Tabela_Google[],3,),0)</f>
        <v>0</v>
      </c>
      <c r="O652" s="70">
        <f>SUMIF(Facebook!A:A,'Compilado 2023'!B:B,Facebook!B:B)</f>
        <v>0</v>
      </c>
      <c r="P652" s="71">
        <v>0</v>
      </c>
      <c r="Q652" s="70">
        <f ca="1">_xlfn.XLOOKUP(B:B,'E-mail'!A:A,'E-mail'!C:C)</f>
        <v>51.612903225806448</v>
      </c>
      <c r="R652" s="202">
        <f>IFERROR(VLOOKUP($B:$B,Tabela_Linkedin[],2,),0)</f>
        <v>0</v>
      </c>
      <c r="S652" s="70">
        <f>SUMIF(TikTok!A:A,'Compilado 2023'!B:B,TikTok!B:B)</f>
        <v>0</v>
      </c>
      <c r="T652" s="70">
        <v>0</v>
      </c>
      <c r="U652" s="70">
        <v>0</v>
      </c>
      <c r="V652" s="59"/>
      <c r="W652" s="70">
        <v>0</v>
      </c>
      <c r="X652" s="70">
        <v>0</v>
      </c>
      <c r="Y652" s="70">
        <v>0</v>
      </c>
      <c r="Z652" s="38"/>
      <c r="AA652" s="40"/>
    </row>
    <row r="653" spans="1:27" s="2" customFormat="1" x14ac:dyDescent="0.2">
      <c r="A653" s="16" t="str">
        <f t="shared" si="17"/>
        <v>sexta-feira</v>
      </c>
      <c r="B653" s="17">
        <v>45212</v>
      </c>
      <c r="C653" s="19">
        <f t="shared" si="18"/>
        <v>0</v>
      </c>
      <c r="D653" s="52">
        <f>IFERROR(_xlfn.XLOOKUP($B:$B,'Estatísticos Mensais'!$A:$A,'Estatísticos Mensais'!C:C),0)</f>
        <v>0</v>
      </c>
      <c r="E653" s="52">
        <f>IFERROR(_xlfn.XLOOKUP($B:$B,'Estatísticos Mensais'!$A:$A,'Estatísticos Mensais'!D:D),0)</f>
        <v>0</v>
      </c>
      <c r="F653" s="157">
        <f>IFERROR(_xlfn.XLOOKUP($B:$B,'Estatísticos Mensais'!$A:$A,'Estatísticos Mensais'!E:E),0)</f>
        <v>0</v>
      </c>
      <c r="G653" s="157">
        <f>IFERROR(_xlfn.XLOOKUP($B:$B,'Estatísticos Mensais'!$A:$A,'Estatísticos Mensais'!F:F),0)</f>
        <v>0</v>
      </c>
      <c r="H653" s="35">
        <f t="shared" si="13"/>
        <v>0</v>
      </c>
      <c r="I653" s="19">
        <f t="shared" ca="1" si="14"/>
        <v>51.612903225806448</v>
      </c>
      <c r="J653" s="111">
        <f t="shared" ca="1" si="15"/>
        <v>0</v>
      </c>
      <c r="K653" s="53">
        <f>IFERROR(_xlfn.XLOOKUP($B:$B,Google!A:A,Google!B:B),0)</f>
        <v>0</v>
      </c>
      <c r="L653" s="54">
        <f t="shared" si="16"/>
        <v>0</v>
      </c>
      <c r="M653" s="59"/>
      <c r="N653" s="69">
        <f>IFERROR(VLOOKUP(B653,Tabela_Google[],3,),0)</f>
        <v>0</v>
      </c>
      <c r="O653" s="70">
        <f>SUMIF(Facebook!A:A,'Compilado 2023'!B:B,Facebook!B:B)</f>
        <v>0</v>
      </c>
      <c r="P653" s="71">
        <v>0</v>
      </c>
      <c r="Q653" s="70">
        <f ca="1">_xlfn.XLOOKUP(B:B,'E-mail'!A:A,'E-mail'!C:C)</f>
        <v>51.612903225806448</v>
      </c>
      <c r="R653" s="202">
        <f>IFERROR(VLOOKUP($B:$B,Tabela_Linkedin[],2,),0)</f>
        <v>0</v>
      </c>
      <c r="S653" s="70">
        <f>SUMIF(TikTok!A:A,'Compilado 2023'!B:B,TikTok!B:B)</f>
        <v>0</v>
      </c>
      <c r="T653" s="70">
        <v>0</v>
      </c>
      <c r="U653" s="70">
        <v>0</v>
      </c>
      <c r="V653" s="59"/>
      <c r="W653" s="70">
        <v>0</v>
      </c>
      <c r="X653" s="70">
        <v>0</v>
      </c>
      <c r="Y653" s="70">
        <v>0</v>
      </c>
      <c r="Z653" s="38"/>
      <c r="AA653" s="40"/>
    </row>
    <row r="654" spans="1:27" s="2" customFormat="1" x14ac:dyDescent="0.2">
      <c r="A654" s="16" t="str">
        <f t="shared" si="17"/>
        <v>sábado</v>
      </c>
      <c r="B654" s="17">
        <v>45213</v>
      </c>
      <c r="C654" s="19">
        <f t="shared" si="18"/>
        <v>0</v>
      </c>
      <c r="D654" s="52">
        <f>IFERROR(_xlfn.XLOOKUP($B:$B,'Estatísticos Mensais'!$A:$A,'Estatísticos Mensais'!C:C),0)</f>
        <v>0</v>
      </c>
      <c r="E654" s="52">
        <f>IFERROR(_xlfn.XLOOKUP($B:$B,'Estatísticos Mensais'!$A:$A,'Estatísticos Mensais'!D:D),0)</f>
        <v>0</v>
      </c>
      <c r="F654" s="157">
        <f>IFERROR(_xlfn.XLOOKUP($B:$B,'Estatísticos Mensais'!$A:$A,'Estatísticos Mensais'!E:E),0)</f>
        <v>0</v>
      </c>
      <c r="G654" s="157">
        <f>IFERROR(_xlfn.XLOOKUP($B:$B,'Estatísticos Mensais'!$A:$A,'Estatísticos Mensais'!F:F),0)</f>
        <v>0</v>
      </c>
      <c r="H654" s="35">
        <f t="shared" ref="H654:H685" si="19">IFERROR(C654/F654,0)</f>
        <v>0</v>
      </c>
      <c r="I654" s="19">
        <f t="shared" ref="I654:I685" ca="1" si="20">SUM(N654:U654)</f>
        <v>51.612903225806448</v>
      </c>
      <c r="J654" s="111">
        <f t="shared" ref="J654:J685" ca="1" si="21">IF(I654&gt;0,C654/I654,0)</f>
        <v>0</v>
      </c>
      <c r="K654" s="53">
        <f>IFERROR(_xlfn.XLOOKUP($B:$B,Google!A:A,Google!B:B),0)</f>
        <v>0</v>
      </c>
      <c r="L654" s="54">
        <f t="shared" ref="L654:L685" si="22">IFERROR(F654/K654,0)</f>
        <v>0</v>
      </c>
      <c r="M654" s="59"/>
      <c r="N654" s="69">
        <f>IFERROR(VLOOKUP(B654,Tabela_Google[],3,),0)</f>
        <v>0</v>
      </c>
      <c r="O654" s="70">
        <f>SUMIF(Facebook!A:A,'Compilado 2023'!B:B,Facebook!B:B)</f>
        <v>0</v>
      </c>
      <c r="P654" s="71">
        <v>0</v>
      </c>
      <c r="Q654" s="70">
        <f ca="1">_xlfn.XLOOKUP(B:B,'E-mail'!A:A,'E-mail'!C:C)</f>
        <v>51.612903225806448</v>
      </c>
      <c r="R654" s="202">
        <f>IFERROR(VLOOKUP($B:$B,Tabela_Linkedin[],2,),0)</f>
        <v>0</v>
      </c>
      <c r="S654" s="70">
        <f>SUMIF(TikTok!A:A,'Compilado 2023'!B:B,TikTok!B:B)</f>
        <v>0</v>
      </c>
      <c r="T654" s="70">
        <v>0</v>
      </c>
      <c r="U654" s="70">
        <v>0</v>
      </c>
      <c r="V654" s="59"/>
      <c r="W654" s="70">
        <v>0</v>
      </c>
      <c r="X654" s="70">
        <v>0</v>
      </c>
      <c r="Y654" s="70">
        <v>0</v>
      </c>
      <c r="Z654" s="38"/>
      <c r="AA654" s="40"/>
    </row>
    <row r="655" spans="1:27" s="2" customFormat="1" x14ac:dyDescent="0.2">
      <c r="A655" s="16" t="str">
        <f t="shared" si="17"/>
        <v>domingo</v>
      </c>
      <c r="B655" s="17">
        <v>45214</v>
      </c>
      <c r="C655" s="19">
        <f t="shared" si="18"/>
        <v>0</v>
      </c>
      <c r="D655" s="52">
        <f>IFERROR(_xlfn.XLOOKUP($B:$B,'Estatísticos Mensais'!$A:$A,'Estatísticos Mensais'!C:C),0)</f>
        <v>0</v>
      </c>
      <c r="E655" s="52">
        <f>IFERROR(_xlfn.XLOOKUP($B:$B,'Estatísticos Mensais'!$A:$A,'Estatísticos Mensais'!D:D),0)</f>
        <v>0</v>
      </c>
      <c r="F655" s="157">
        <f>IFERROR(_xlfn.XLOOKUP($B:$B,'Estatísticos Mensais'!$A:$A,'Estatísticos Mensais'!E:E),0)</f>
        <v>0</v>
      </c>
      <c r="G655" s="157">
        <f>IFERROR(_xlfn.XLOOKUP($B:$B,'Estatísticos Mensais'!$A:$A,'Estatísticos Mensais'!F:F),0)</f>
        <v>0</v>
      </c>
      <c r="H655" s="35">
        <f t="shared" si="19"/>
        <v>0</v>
      </c>
      <c r="I655" s="19">
        <f t="shared" ca="1" si="20"/>
        <v>51.612903225806448</v>
      </c>
      <c r="J655" s="111">
        <f t="shared" ca="1" si="21"/>
        <v>0</v>
      </c>
      <c r="K655" s="53">
        <f>IFERROR(_xlfn.XLOOKUP($B:$B,Google!A:A,Google!B:B),0)</f>
        <v>0</v>
      </c>
      <c r="L655" s="54">
        <f t="shared" si="22"/>
        <v>0</v>
      </c>
      <c r="M655" s="59"/>
      <c r="N655" s="69">
        <f>IFERROR(VLOOKUP(B655,Tabela_Google[],3,),0)</f>
        <v>0</v>
      </c>
      <c r="O655" s="70">
        <f>SUMIF(Facebook!A:A,'Compilado 2023'!B:B,Facebook!B:B)</f>
        <v>0</v>
      </c>
      <c r="P655" s="71">
        <v>0</v>
      </c>
      <c r="Q655" s="70">
        <f ca="1">_xlfn.XLOOKUP(B:B,'E-mail'!A:A,'E-mail'!C:C)</f>
        <v>51.612903225806448</v>
      </c>
      <c r="R655" s="202">
        <f>IFERROR(VLOOKUP($B:$B,Tabela_Linkedin[],2,),0)</f>
        <v>0</v>
      </c>
      <c r="S655" s="70">
        <f>SUMIF(TikTok!A:A,'Compilado 2023'!B:B,TikTok!B:B)</f>
        <v>0</v>
      </c>
      <c r="T655" s="70">
        <v>0</v>
      </c>
      <c r="U655" s="70">
        <v>0</v>
      </c>
      <c r="V655" s="59"/>
      <c r="W655" s="70">
        <v>0</v>
      </c>
      <c r="X655" s="70">
        <v>0</v>
      </c>
      <c r="Y655" s="70">
        <v>0</v>
      </c>
      <c r="Z655" s="38"/>
      <c r="AA655" s="40"/>
    </row>
    <row r="656" spans="1:27" s="2" customFormat="1" x14ac:dyDescent="0.2">
      <c r="A656" s="16" t="str">
        <f t="shared" si="17"/>
        <v>segunda-feira</v>
      </c>
      <c r="B656" s="17">
        <v>45215</v>
      </c>
      <c r="C656" s="19">
        <f t="shared" si="18"/>
        <v>0</v>
      </c>
      <c r="D656" s="52">
        <f>IFERROR(_xlfn.XLOOKUP($B:$B,'Estatísticos Mensais'!$A:$A,'Estatísticos Mensais'!C:C),0)</f>
        <v>0</v>
      </c>
      <c r="E656" s="52">
        <f>IFERROR(_xlfn.XLOOKUP($B:$B,'Estatísticos Mensais'!$A:$A,'Estatísticos Mensais'!D:D),0)</f>
        <v>0</v>
      </c>
      <c r="F656" s="157">
        <f>IFERROR(_xlfn.XLOOKUP($B:$B,'Estatísticos Mensais'!$A:$A,'Estatísticos Mensais'!E:E),0)</f>
        <v>0</v>
      </c>
      <c r="G656" s="157">
        <f>IFERROR(_xlfn.XLOOKUP($B:$B,'Estatísticos Mensais'!$A:$A,'Estatísticos Mensais'!F:F),0)</f>
        <v>0</v>
      </c>
      <c r="H656" s="35">
        <f t="shared" si="19"/>
        <v>0</v>
      </c>
      <c r="I656" s="19">
        <f t="shared" ca="1" si="20"/>
        <v>51.612903225806448</v>
      </c>
      <c r="J656" s="111">
        <f t="shared" ca="1" si="21"/>
        <v>0</v>
      </c>
      <c r="K656" s="53">
        <f>IFERROR(_xlfn.XLOOKUP($B:$B,Google!A:A,Google!B:B),0)</f>
        <v>0</v>
      </c>
      <c r="L656" s="54">
        <f t="shared" si="22"/>
        <v>0</v>
      </c>
      <c r="M656" s="59"/>
      <c r="N656" s="69">
        <f>IFERROR(VLOOKUP(B656,Tabela_Google[],3,),0)</f>
        <v>0</v>
      </c>
      <c r="O656" s="70">
        <f>SUMIF(Facebook!A:A,'Compilado 2023'!B:B,Facebook!B:B)</f>
        <v>0</v>
      </c>
      <c r="P656" s="71">
        <v>0</v>
      </c>
      <c r="Q656" s="70">
        <f ca="1">_xlfn.XLOOKUP(B:B,'E-mail'!A:A,'E-mail'!C:C)</f>
        <v>51.612903225806448</v>
      </c>
      <c r="R656" s="202">
        <f>IFERROR(VLOOKUP($B:$B,Tabela_Linkedin[],2,),0)</f>
        <v>0</v>
      </c>
      <c r="S656" s="70">
        <f>SUMIF(TikTok!A:A,'Compilado 2023'!B:B,TikTok!B:B)</f>
        <v>0</v>
      </c>
      <c r="T656" s="70">
        <v>0</v>
      </c>
      <c r="U656" s="70">
        <v>0</v>
      </c>
      <c r="V656" s="59"/>
      <c r="W656" s="70">
        <v>0</v>
      </c>
      <c r="X656" s="70">
        <v>0</v>
      </c>
      <c r="Y656" s="70">
        <v>0</v>
      </c>
      <c r="Z656" s="38"/>
      <c r="AA656" s="40"/>
    </row>
    <row r="657" spans="1:27" s="2" customFormat="1" x14ac:dyDescent="0.2">
      <c r="A657" s="16" t="str">
        <f t="shared" si="17"/>
        <v>terça-feira</v>
      </c>
      <c r="B657" s="17">
        <v>45216</v>
      </c>
      <c r="C657" s="19">
        <f t="shared" si="18"/>
        <v>0</v>
      </c>
      <c r="D657" s="52">
        <f>IFERROR(_xlfn.XLOOKUP($B:$B,'Estatísticos Mensais'!$A:$A,'Estatísticos Mensais'!C:C),0)</f>
        <v>0</v>
      </c>
      <c r="E657" s="52">
        <f>IFERROR(_xlfn.XLOOKUP($B:$B,'Estatísticos Mensais'!$A:$A,'Estatísticos Mensais'!D:D),0)</f>
        <v>0</v>
      </c>
      <c r="F657" s="157">
        <f>IFERROR(_xlfn.XLOOKUP($B:$B,'Estatísticos Mensais'!$A:$A,'Estatísticos Mensais'!E:E),0)</f>
        <v>0</v>
      </c>
      <c r="G657" s="157">
        <f>IFERROR(_xlfn.XLOOKUP($B:$B,'Estatísticos Mensais'!$A:$A,'Estatísticos Mensais'!F:F),0)</f>
        <v>0</v>
      </c>
      <c r="H657" s="35">
        <f t="shared" si="19"/>
        <v>0</v>
      </c>
      <c r="I657" s="19">
        <f t="shared" ca="1" si="20"/>
        <v>51.612903225806448</v>
      </c>
      <c r="J657" s="111">
        <f t="shared" ca="1" si="21"/>
        <v>0</v>
      </c>
      <c r="K657" s="53">
        <f>IFERROR(_xlfn.XLOOKUP($B:$B,Google!A:A,Google!B:B),0)</f>
        <v>0</v>
      </c>
      <c r="L657" s="54">
        <f t="shared" si="22"/>
        <v>0</v>
      </c>
      <c r="M657" s="59"/>
      <c r="N657" s="69">
        <f>IFERROR(VLOOKUP(B657,Tabela_Google[],3,),0)</f>
        <v>0</v>
      </c>
      <c r="O657" s="70">
        <f>SUMIF(Facebook!A:A,'Compilado 2023'!B:B,Facebook!B:B)</f>
        <v>0</v>
      </c>
      <c r="P657" s="71">
        <v>0</v>
      </c>
      <c r="Q657" s="70">
        <f ca="1">_xlfn.XLOOKUP(B:B,'E-mail'!A:A,'E-mail'!C:C)</f>
        <v>51.612903225806448</v>
      </c>
      <c r="R657" s="202">
        <f>IFERROR(VLOOKUP($B:$B,Tabela_Linkedin[],2,),0)</f>
        <v>0</v>
      </c>
      <c r="S657" s="70">
        <f>SUMIF(TikTok!A:A,'Compilado 2023'!B:B,TikTok!B:B)</f>
        <v>0</v>
      </c>
      <c r="T657" s="70">
        <v>0</v>
      </c>
      <c r="U657" s="70">
        <v>0</v>
      </c>
      <c r="V657" s="59"/>
      <c r="W657" s="70">
        <v>0</v>
      </c>
      <c r="X657" s="70">
        <v>0</v>
      </c>
      <c r="Y657" s="70">
        <v>0</v>
      </c>
      <c r="Z657" s="38"/>
      <c r="AA657" s="40"/>
    </row>
    <row r="658" spans="1:27" s="2" customFormat="1" x14ac:dyDescent="0.2">
      <c r="A658" s="16" t="str">
        <f t="shared" si="17"/>
        <v>quarta-feira</v>
      </c>
      <c r="B658" s="17">
        <v>45217</v>
      </c>
      <c r="C658" s="19">
        <f t="shared" si="18"/>
        <v>0</v>
      </c>
      <c r="D658" s="52">
        <f>IFERROR(_xlfn.XLOOKUP($B:$B,'Estatísticos Mensais'!$A:$A,'Estatísticos Mensais'!C:C),0)</f>
        <v>0</v>
      </c>
      <c r="E658" s="52">
        <f>IFERROR(_xlfn.XLOOKUP($B:$B,'Estatísticos Mensais'!$A:$A,'Estatísticos Mensais'!D:D),0)</f>
        <v>0</v>
      </c>
      <c r="F658" s="157">
        <f>IFERROR(_xlfn.XLOOKUP($B:$B,'Estatísticos Mensais'!$A:$A,'Estatísticos Mensais'!E:E),0)</f>
        <v>0</v>
      </c>
      <c r="G658" s="157">
        <f>IFERROR(_xlfn.XLOOKUP($B:$B,'Estatísticos Mensais'!$A:$A,'Estatísticos Mensais'!F:F),0)</f>
        <v>0</v>
      </c>
      <c r="H658" s="35">
        <f t="shared" si="19"/>
        <v>0</v>
      </c>
      <c r="I658" s="19">
        <f t="shared" ca="1" si="20"/>
        <v>51.612903225806448</v>
      </c>
      <c r="J658" s="111">
        <f t="shared" ca="1" si="21"/>
        <v>0</v>
      </c>
      <c r="K658" s="53">
        <f>IFERROR(_xlfn.XLOOKUP($B:$B,Google!A:A,Google!B:B),0)</f>
        <v>0</v>
      </c>
      <c r="L658" s="54">
        <f t="shared" si="22"/>
        <v>0</v>
      </c>
      <c r="M658" s="59"/>
      <c r="N658" s="69">
        <f>IFERROR(VLOOKUP(B658,Tabela_Google[],3,),0)</f>
        <v>0</v>
      </c>
      <c r="O658" s="70">
        <f>SUMIF(Facebook!A:A,'Compilado 2023'!B:B,Facebook!B:B)</f>
        <v>0</v>
      </c>
      <c r="P658" s="71">
        <v>0</v>
      </c>
      <c r="Q658" s="70">
        <f ca="1">_xlfn.XLOOKUP(B:B,'E-mail'!A:A,'E-mail'!C:C)</f>
        <v>51.612903225806448</v>
      </c>
      <c r="R658" s="202">
        <f>IFERROR(VLOOKUP($B:$B,Tabela_Linkedin[],2,),0)</f>
        <v>0</v>
      </c>
      <c r="S658" s="70">
        <f>SUMIF(TikTok!A:A,'Compilado 2023'!B:B,TikTok!B:B)</f>
        <v>0</v>
      </c>
      <c r="T658" s="70">
        <v>0</v>
      </c>
      <c r="U658" s="70">
        <v>0</v>
      </c>
      <c r="V658" s="59"/>
      <c r="W658" s="70">
        <v>0</v>
      </c>
      <c r="X658" s="70">
        <v>0</v>
      </c>
      <c r="Y658" s="70">
        <v>0</v>
      </c>
      <c r="Z658" s="38"/>
      <c r="AA658" s="40"/>
    </row>
    <row r="659" spans="1:27" s="2" customFormat="1" x14ac:dyDescent="0.2">
      <c r="A659" s="16" t="str">
        <f t="shared" si="17"/>
        <v>quinta-feira</v>
      </c>
      <c r="B659" s="17">
        <v>45218</v>
      </c>
      <c r="C659" s="19">
        <f t="shared" si="18"/>
        <v>0</v>
      </c>
      <c r="D659" s="52">
        <f>IFERROR(_xlfn.XLOOKUP($B:$B,'Estatísticos Mensais'!$A:$A,'Estatísticos Mensais'!C:C),0)</f>
        <v>0</v>
      </c>
      <c r="E659" s="52">
        <f>IFERROR(_xlfn.XLOOKUP($B:$B,'Estatísticos Mensais'!$A:$A,'Estatísticos Mensais'!D:D),0)</f>
        <v>0</v>
      </c>
      <c r="F659" s="157">
        <f>IFERROR(_xlfn.XLOOKUP($B:$B,'Estatísticos Mensais'!$A:$A,'Estatísticos Mensais'!E:E),0)</f>
        <v>0</v>
      </c>
      <c r="G659" s="157">
        <f>IFERROR(_xlfn.XLOOKUP($B:$B,'Estatísticos Mensais'!$A:$A,'Estatísticos Mensais'!F:F),0)</f>
        <v>0</v>
      </c>
      <c r="H659" s="35">
        <f t="shared" si="19"/>
        <v>0</v>
      </c>
      <c r="I659" s="19">
        <f t="shared" ca="1" si="20"/>
        <v>51.612903225806448</v>
      </c>
      <c r="J659" s="111">
        <f t="shared" ca="1" si="21"/>
        <v>0</v>
      </c>
      <c r="K659" s="53">
        <f>IFERROR(_xlfn.XLOOKUP($B:$B,Google!A:A,Google!B:B),0)</f>
        <v>0</v>
      </c>
      <c r="L659" s="54">
        <f t="shared" si="22"/>
        <v>0</v>
      </c>
      <c r="M659" s="59"/>
      <c r="N659" s="69">
        <f>IFERROR(VLOOKUP(B659,Tabela_Google[],3,),0)</f>
        <v>0</v>
      </c>
      <c r="O659" s="70">
        <f>SUMIF(Facebook!A:A,'Compilado 2023'!B:B,Facebook!B:B)</f>
        <v>0</v>
      </c>
      <c r="P659" s="71">
        <v>0</v>
      </c>
      <c r="Q659" s="70">
        <f ca="1">_xlfn.XLOOKUP(B:B,'E-mail'!A:A,'E-mail'!C:C)</f>
        <v>51.612903225806448</v>
      </c>
      <c r="R659" s="202">
        <f>IFERROR(VLOOKUP($B:$B,Tabela_Linkedin[],2,),0)</f>
        <v>0</v>
      </c>
      <c r="S659" s="70">
        <f>SUMIF(TikTok!A:A,'Compilado 2023'!B:B,TikTok!B:B)</f>
        <v>0</v>
      </c>
      <c r="T659" s="70">
        <v>0</v>
      </c>
      <c r="U659" s="70">
        <v>0</v>
      </c>
      <c r="V659" s="59"/>
      <c r="W659" s="70">
        <v>0</v>
      </c>
      <c r="X659" s="70">
        <v>0</v>
      </c>
      <c r="Y659" s="70">
        <v>0</v>
      </c>
      <c r="Z659" s="38"/>
      <c r="AA659" s="40"/>
    </row>
    <row r="660" spans="1:27" s="2" customFormat="1" x14ac:dyDescent="0.2">
      <c r="A660" s="16" t="str">
        <f t="shared" si="17"/>
        <v>sexta-feira</v>
      </c>
      <c r="B660" s="17">
        <v>45219</v>
      </c>
      <c r="C660" s="19">
        <f t="shared" si="18"/>
        <v>0</v>
      </c>
      <c r="D660" s="52">
        <f>IFERROR(_xlfn.XLOOKUP($B:$B,'Estatísticos Mensais'!$A:$A,'Estatísticos Mensais'!C:C),0)</f>
        <v>0</v>
      </c>
      <c r="E660" s="52">
        <f>IFERROR(_xlfn.XLOOKUP($B:$B,'Estatísticos Mensais'!$A:$A,'Estatísticos Mensais'!D:D),0)</f>
        <v>0</v>
      </c>
      <c r="F660" s="157">
        <f>IFERROR(_xlfn.XLOOKUP($B:$B,'Estatísticos Mensais'!$A:$A,'Estatísticos Mensais'!E:E),0)</f>
        <v>0</v>
      </c>
      <c r="G660" s="157">
        <f>IFERROR(_xlfn.XLOOKUP($B:$B,'Estatísticos Mensais'!$A:$A,'Estatísticos Mensais'!F:F),0)</f>
        <v>0</v>
      </c>
      <c r="H660" s="35">
        <f t="shared" si="19"/>
        <v>0</v>
      </c>
      <c r="I660" s="19">
        <f t="shared" ca="1" si="20"/>
        <v>51.612903225806448</v>
      </c>
      <c r="J660" s="111">
        <f t="shared" ca="1" si="21"/>
        <v>0</v>
      </c>
      <c r="K660" s="53">
        <f>IFERROR(_xlfn.XLOOKUP($B:$B,Google!A:A,Google!B:B),0)</f>
        <v>0</v>
      </c>
      <c r="L660" s="54">
        <f t="shared" si="22"/>
        <v>0</v>
      </c>
      <c r="M660" s="59"/>
      <c r="N660" s="69">
        <f>IFERROR(VLOOKUP(B660,Tabela_Google[],3,),0)</f>
        <v>0</v>
      </c>
      <c r="O660" s="70">
        <f>SUMIF(Facebook!A:A,'Compilado 2023'!B:B,Facebook!B:B)</f>
        <v>0</v>
      </c>
      <c r="P660" s="71">
        <v>0</v>
      </c>
      <c r="Q660" s="70">
        <f ca="1">_xlfn.XLOOKUP(B:B,'E-mail'!A:A,'E-mail'!C:C)</f>
        <v>51.612903225806448</v>
      </c>
      <c r="R660" s="202">
        <f>IFERROR(VLOOKUP($B:$B,Tabela_Linkedin[],2,),0)</f>
        <v>0</v>
      </c>
      <c r="S660" s="70">
        <f>SUMIF(TikTok!A:A,'Compilado 2023'!B:B,TikTok!B:B)</f>
        <v>0</v>
      </c>
      <c r="T660" s="70">
        <v>0</v>
      </c>
      <c r="U660" s="70">
        <v>0</v>
      </c>
      <c r="V660" s="59"/>
      <c r="W660" s="70">
        <v>0</v>
      </c>
      <c r="X660" s="70">
        <v>0</v>
      </c>
      <c r="Y660" s="70">
        <v>0</v>
      </c>
      <c r="Z660" s="38"/>
      <c r="AA660" s="40"/>
    </row>
    <row r="661" spans="1:27" s="2" customFormat="1" x14ac:dyDescent="0.2">
      <c r="A661" s="16" t="str">
        <f t="shared" si="17"/>
        <v>sábado</v>
      </c>
      <c r="B661" s="17">
        <v>45220</v>
      </c>
      <c r="C661" s="19">
        <f t="shared" si="18"/>
        <v>0</v>
      </c>
      <c r="D661" s="52">
        <f>IFERROR(_xlfn.XLOOKUP($B:$B,'Estatísticos Mensais'!$A:$A,'Estatísticos Mensais'!C:C),0)</f>
        <v>0</v>
      </c>
      <c r="E661" s="52">
        <f>IFERROR(_xlfn.XLOOKUP($B:$B,'Estatísticos Mensais'!$A:$A,'Estatísticos Mensais'!D:D),0)</f>
        <v>0</v>
      </c>
      <c r="F661" s="157">
        <f>IFERROR(_xlfn.XLOOKUP($B:$B,'Estatísticos Mensais'!$A:$A,'Estatísticos Mensais'!E:E),0)</f>
        <v>0</v>
      </c>
      <c r="G661" s="157">
        <f>IFERROR(_xlfn.XLOOKUP($B:$B,'Estatísticos Mensais'!$A:$A,'Estatísticos Mensais'!F:F),0)</f>
        <v>0</v>
      </c>
      <c r="H661" s="35">
        <f t="shared" si="19"/>
        <v>0</v>
      </c>
      <c r="I661" s="19">
        <f t="shared" ca="1" si="20"/>
        <v>51.612903225806448</v>
      </c>
      <c r="J661" s="111">
        <f t="shared" ca="1" si="21"/>
        <v>0</v>
      </c>
      <c r="K661" s="53">
        <f>IFERROR(_xlfn.XLOOKUP($B:$B,Google!A:A,Google!B:B),0)</f>
        <v>0</v>
      </c>
      <c r="L661" s="54">
        <f t="shared" si="22"/>
        <v>0</v>
      </c>
      <c r="M661" s="59"/>
      <c r="N661" s="69">
        <f>IFERROR(VLOOKUP(B661,Tabela_Google[],3,),0)</f>
        <v>0</v>
      </c>
      <c r="O661" s="70">
        <f>SUMIF(Facebook!A:A,'Compilado 2023'!B:B,Facebook!B:B)</f>
        <v>0</v>
      </c>
      <c r="P661" s="71">
        <v>0</v>
      </c>
      <c r="Q661" s="70">
        <f ca="1">_xlfn.XLOOKUP(B:B,'E-mail'!A:A,'E-mail'!C:C)</f>
        <v>51.612903225806448</v>
      </c>
      <c r="R661" s="202">
        <f>IFERROR(VLOOKUP($B:$B,Tabela_Linkedin[],2,),0)</f>
        <v>0</v>
      </c>
      <c r="S661" s="70">
        <f>SUMIF(TikTok!A:A,'Compilado 2023'!B:B,TikTok!B:B)</f>
        <v>0</v>
      </c>
      <c r="T661" s="70">
        <v>0</v>
      </c>
      <c r="U661" s="70">
        <v>0</v>
      </c>
      <c r="V661" s="59"/>
      <c r="W661" s="70">
        <v>0</v>
      </c>
      <c r="X661" s="70">
        <v>0</v>
      </c>
      <c r="Y661" s="70">
        <v>0</v>
      </c>
      <c r="Z661" s="38"/>
      <c r="AA661" s="40"/>
    </row>
    <row r="662" spans="1:27" s="2" customFormat="1" x14ac:dyDescent="0.2">
      <c r="A662" s="16" t="str">
        <f t="shared" si="17"/>
        <v>domingo</v>
      </c>
      <c r="B662" s="17">
        <v>45221</v>
      </c>
      <c r="C662" s="19">
        <f t="shared" si="18"/>
        <v>0</v>
      </c>
      <c r="D662" s="52">
        <f>IFERROR(_xlfn.XLOOKUP($B:$B,'Estatísticos Mensais'!$A:$A,'Estatísticos Mensais'!C:C),0)</f>
        <v>0</v>
      </c>
      <c r="E662" s="52">
        <f>IFERROR(_xlfn.XLOOKUP($B:$B,'Estatísticos Mensais'!$A:$A,'Estatísticos Mensais'!D:D),0)</f>
        <v>0</v>
      </c>
      <c r="F662" s="157">
        <f>IFERROR(_xlfn.XLOOKUP($B:$B,'Estatísticos Mensais'!$A:$A,'Estatísticos Mensais'!E:E),0)</f>
        <v>0</v>
      </c>
      <c r="G662" s="157">
        <f>IFERROR(_xlfn.XLOOKUP($B:$B,'Estatísticos Mensais'!$A:$A,'Estatísticos Mensais'!F:F),0)</f>
        <v>0</v>
      </c>
      <c r="H662" s="35">
        <f t="shared" si="19"/>
        <v>0</v>
      </c>
      <c r="I662" s="19">
        <f t="shared" ca="1" si="20"/>
        <v>51.612903225806448</v>
      </c>
      <c r="J662" s="111">
        <f t="shared" ca="1" si="21"/>
        <v>0</v>
      </c>
      <c r="K662" s="53">
        <f>IFERROR(_xlfn.XLOOKUP($B:$B,Google!A:A,Google!B:B),0)</f>
        <v>0</v>
      </c>
      <c r="L662" s="54">
        <f t="shared" si="22"/>
        <v>0</v>
      </c>
      <c r="M662" s="59"/>
      <c r="N662" s="69">
        <f>IFERROR(VLOOKUP(B662,Tabela_Google[],3,),0)</f>
        <v>0</v>
      </c>
      <c r="O662" s="70">
        <f>SUMIF(Facebook!A:A,'Compilado 2023'!B:B,Facebook!B:B)</f>
        <v>0</v>
      </c>
      <c r="P662" s="71">
        <v>0</v>
      </c>
      <c r="Q662" s="70">
        <f ca="1">_xlfn.XLOOKUP(B:B,'E-mail'!A:A,'E-mail'!C:C)</f>
        <v>51.612903225806448</v>
      </c>
      <c r="R662" s="202">
        <f>IFERROR(VLOOKUP($B:$B,Tabela_Linkedin[],2,),0)</f>
        <v>0</v>
      </c>
      <c r="S662" s="70">
        <f>SUMIF(TikTok!A:A,'Compilado 2023'!B:B,TikTok!B:B)</f>
        <v>0</v>
      </c>
      <c r="T662" s="70">
        <v>0</v>
      </c>
      <c r="U662" s="70">
        <v>0</v>
      </c>
      <c r="V662" s="59"/>
      <c r="W662" s="70">
        <v>0</v>
      </c>
      <c r="X662" s="70">
        <v>0</v>
      </c>
      <c r="Y662" s="70">
        <v>0</v>
      </c>
      <c r="Z662" s="38"/>
      <c r="AA662" s="40"/>
    </row>
    <row r="663" spans="1:27" s="2" customFormat="1" x14ac:dyDescent="0.2">
      <c r="A663" s="16" t="str">
        <f t="shared" si="17"/>
        <v>segunda-feira</v>
      </c>
      <c r="B663" s="17">
        <v>45222</v>
      </c>
      <c r="C663" s="19">
        <f t="shared" si="18"/>
        <v>0</v>
      </c>
      <c r="D663" s="52">
        <f>IFERROR(_xlfn.XLOOKUP($B:$B,'Estatísticos Mensais'!$A:$A,'Estatísticos Mensais'!C:C),0)</f>
        <v>0</v>
      </c>
      <c r="E663" s="52">
        <f>IFERROR(_xlfn.XLOOKUP($B:$B,'Estatísticos Mensais'!$A:$A,'Estatísticos Mensais'!D:D),0)</f>
        <v>0</v>
      </c>
      <c r="F663" s="157">
        <f>IFERROR(_xlfn.XLOOKUP($B:$B,'Estatísticos Mensais'!$A:$A,'Estatísticos Mensais'!E:E),0)</f>
        <v>0</v>
      </c>
      <c r="G663" s="157">
        <f>IFERROR(_xlfn.XLOOKUP($B:$B,'Estatísticos Mensais'!$A:$A,'Estatísticos Mensais'!F:F),0)</f>
        <v>0</v>
      </c>
      <c r="H663" s="35">
        <f t="shared" si="19"/>
        <v>0</v>
      </c>
      <c r="I663" s="19">
        <f t="shared" ca="1" si="20"/>
        <v>51.612903225806448</v>
      </c>
      <c r="J663" s="111">
        <f t="shared" ca="1" si="21"/>
        <v>0</v>
      </c>
      <c r="K663" s="53">
        <f>IFERROR(_xlfn.XLOOKUP($B:$B,Google!A:A,Google!B:B),0)</f>
        <v>0</v>
      </c>
      <c r="L663" s="54">
        <f t="shared" si="22"/>
        <v>0</v>
      </c>
      <c r="M663" s="59"/>
      <c r="N663" s="69">
        <f>IFERROR(VLOOKUP(B663,Tabela_Google[],3,),0)</f>
        <v>0</v>
      </c>
      <c r="O663" s="70">
        <f>SUMIF(Facebook!A:A,'Compilado 2023'!B:B,Facebook!B:B)</f>
        <v>0</v>
      </c>
      <c r="P663" s="71">
        <v>0</v>
      </c>
      <c r="Q663" s="70">
        <f ca="1">_xlfn.XLOOKUP(B:B,'E-mail'!A:A,'E-mail'!C:C)</f>
        <v>51.612903225806448</v>
      </c>
      <c r="R663" s="202">
        <f>IFERROR(VLOOKUP($B:$B,Tabela_Linkedin[],2,),0)</f>
        <v>0</v>
      </c>
      <c r="S663" s="70">
        <f>SUMIF(TikTok!A:A,'Compilado 2023'!B:B,TikTok!B:B)</f>
        <v>0</v>
      </c>
      <c r="T663" s="70">
        <v>0</v>
      </c>
      <c r="U663" s="70">
        <v>0</v>
      </c>
      <c r="V663" s="59"/>
      <c r="W663" s="70">
        <v>0</v>
      </c>
      <c r="X663" s="70">
        <v>0</v>
      </c>
      <c r="Y663" s="70">
        <v>0</v>
      </c>
      <c r="Z663" s="38"/>
      <c r="AA663" s="40"/>
    </row>
    <row r="664" spans="1:27" s="2" customFormat="1" x14ac:dyDescent="0.2">
      <c r="A664" s="16" t="str">
        <f t="shared" si="17"/>
        <v>terça-feira</v>
      </c>
      <c r="B664" s="17">
        <v>45223</v>
      </c>
      <c r="C664" s="19">
        <f t="shared" si="18"/>
        <v>0</v>
      </c>
      <c r="D664" s="52">
        <f>IFERROR(_xlfn.XLOOKUP($B:$B,'Estatísticos Mensais'!$A:$A,'Estatísticos Mensais'!C:C),0)</f>
        <v>0</v>
      </c>
      <c r="E664" s="52">
        <f>IFERROR(_xlfn.XLOOKUP($B:$B,'Estatísticos Mensais'!$A:$A,'Estatísticos Mensais'!D:D),0)</f>
        <v>0</v>
      </c>
      <c r="F664" s="157">
        <f>IFERROR(_xlfn.XLOOKUP($B:$B,'Estatísticos Mensais'!$A:$A,'Estatísticos Mensais'!E:E),0)</f>
        <v>0</v>
      </c>
      <c r="G664" s="157">
        <f>IFERROR(_xlfn.XLOOKUP($B:$B,'Estatísticos Mensais'!$A:$A,'Estatísticos Mensais'!F:F),0)</f>
        <v>0</v>
      </c>
      <c r="H664" s="35">
        <f t="shared" si="19"/>
        <v>0</v>
      </c>
      <c r="I664" s="19">
        <f t="shared" ca="1" si="20"/>
        <v>51.612903225806448</v>
      </c>
      <c r="J664" s="111">
        <f t="shared" ca="1" si="21"/>
        <v>0</v>
      </c>
      <c r="K664" s="53">
        <f>IFERROR(_xlfn.XLOOKUP($B:$B,Google!A:A,Google!B:B),0)</f>
        <v>0</v>
      </c>
      <c r="L664" s="54">
        <f t="shared" si="22"/>
        <v>0</v>
      </c>
      <c r="M664" s="59"/>
      <c r="N664" s="69">
        <f>IFERROR(VLOOKUP(B664,Tabela_Google[],3,),0)</f>
        <v>0</v>
      </c>
      <c r="O664" s="70">
        <f>SUMIF(Facebook!A:A,'Compilado 2023'!B:B,Facebook!B:B)</f>
        <v>0</v>
      </c>
      <c r="P664" s="71">
        <v>0</v>
      </c>
      <c r="Q664" s="70">
        <f ca="1">_xlfn.XLOOKUP(B:B,'E-mail'!A:A,'E-mail'!C:C)</f>
        <v>51.612903225806448</v>
      </c>
      <c r="R664" s="202">
        <f>IFERROR(VLOOKUP($B:$B,Tabela_Linkedin[],2,),0)</f>
        <v>0</v>
      </c>
      <c r="S664" s="70">
        <f>SUMIF(TikTok!A:A,'Compilado 2023'!B:B,TikTok!B:B)</f>
        <v>0</v>
      </c>
      <c r="T664" s="70">
        <v>0</v>
      </c>
      <c r="U664" s="70">
        <v>0</v>
      </c>
      <c r="V664" s="59"/>
      <c r="W664" s="70">
        <v>0</v>
      </c>
      <c r="X664" s="70">
        <v>0</v>
      </c>
      <c r="Y664" s="70">
        <v>0</v>
      </c>
      <c r="Z664" s="38"/>
      <c r="AA664" s="40"/>
    </row>
    <row r="665" spans="1:27" s="2" customFormat="1" x14ac:dyDescent="0.2">
      <c r="A665" s="16" t="str">
        <f t="shared" si="17"/>
        <v>quarta-feira</v>
      </c>
      <c r="B665" s="17">
        <v>45224</v>
      </c>
      <c r="C665" s="19">
        <f t="shared" si="18"/>
        <v>0</v>
      </c>
      <c r="D665" s="52">
        <f>IFERROR(_xlfn.XLOOKUP($B:$B,'Estatísticos Mensais'!$A:$A,'Estatísticos Mensais'!C:C),0)</f>
        <v>0</v>
      </c>
      <c r="E665" s="52">
        <f>IFERROR(_xlfn.XLOOKUP($B:$B,'Estatísticos Mensais'!$A:$A,'Estatísticos Mensais'!D:D),0)</f>
        <v>0</v>
      </c>
      <c r="F665" s="157">
        <f>IFERROR(_xlfn.XLOOKUP($B:$B,'Estatísticos Mensais'!$A:$A,'Estatísticos Mensais'!E:E),0)</f>
        <v>0</v>
      </c>
      <c r="G665" s="157">
        <f>IFERROR(_xlfn.XLOOKUP($B:$B,'Estatísticos Mensais'!$A:$A,'Estatísticos Mensais'!F:F),0)</f>
        <v>0</v>
      </c>
      <c r="H665" s="35">
        <f t="shared" si="19"/>
        <v>0</v>
      </c>
      <c r="I665" s="19">
        <f t="shared" ca="1" si="20"/>
        <v>51.612903225806448</v>
      </c>
      <c r="J665" s="111">
        <f t="shared" ca="1" si="21"/>
        <v>0</v>
      </c>
      <c r="K665" s="53">
        <f>IFERROR(_xlfn.XLOOKUP($B:$B,Google!A:A,Google!B:B),0)</f>
        <v>0</v>
      </c>
      <c r="L665" s="54">
        <f t="shared" si="22"/>
        <v>0</v>
      </c>
      <c r="M665" s="59"/>
      <c r="N665" s="69">
        <f>IFERROR(VLOOKUP(B665,Tabela_Google[],3,),0)</f>
        <v>0</v>
      </c>
      <c r="O665" s="70">
        <f>SUMIF(Facebook!A:A,'Compilado 2023'!B:B,Facebook!B:B)</f>
        <v>0</v>
      </c>
      <c r="P665" s="71">
        <v>0</v>
      </c>
      <c r="Q665" s="70">
        <f ca="1">_xlfn.XLOOKUP(B:B,'E-mail'!A:A,'E-mail'!C:C)</f>
        <v>51.612903225806448</v>
      </c>
      <c r="R665" s="202">
        <f>IFERROR(VLOOKUP($B:$B,Tabela_Linkedin[],2,),0)</f>
        <v>0</v>
      </c>
      <c r="S665" s="70">
        <f>SUMIF(TikTok!A:A,'Compilado 2023'!B:B,TikTok!B:B)</f>
        <v>0</v>
      </c>
      <c r="T665" s="70">
        <v>0</v>
      </c>
      <c r="U665" s="70">
        <v>0</v>
      </c>
      <c r="V665" s="59"/>
      <c r="W665" s="70">
        <v>0</v>
      </c>
      <c r="X665" s="70">
        <v>0</v>
      </c>
      <c r="Y665" s="70">
        <v>0</v>
      </c>
      <c r="Z665" s="38"/>
      <c r="AA665" s="40"/>
    </row>
    <row r="666" spans="1:27" s="2" customFormat="1" x14ac:dyDescent="0.2">
      <c r="A666" s="16" t="str">
        <f t="shared" si="17"/>
        <v>quinta-feira</v>
      </c>
      <c r="B666" s="17">
        <v>45225</v>
      </c>
      <c r="C666" s="19">
        <f t="shared" si="18"/>
        <v>0</v>
      </c>
      <c r="D666" s="52">
        <f>IFERROR(_xlfn.XLOOKUP($B:$B,'Estatísticos Mensais'!$A:$A,'Estatísticos Mensais'!C:C),0)</f>
        <v>0</v>
      </c>
      <c r="E666" s="52">
        <f>IFERROR(_xlfn.XLOOKUP($B:$B,'Estatísticos Mensais'!$A:$A,'Estatísticos Mensais'!D:D),0)</f>
        <v>0</v>
      </c>
      <c r="F666" s="157">
        <f>IFERROR(_xlfn.XLOOKUP($B:$B,'Estatísticos Mensais'!$A:$A,'Estatísticos Mensais'!E:E),0)</f>
        <v>0</v>
      </c>
      <c r="G666" s="157">
        <f>IFERROR(_xlfn.XLOOKUP($B:$B,'Estatísticos Mensais'!$A:$A,'Estatísticos Mensais'!F:F),0)</f>
        <v>0</v>
      </c>
      <c r="H666" s="35">
        <f t="shared" si="19"/>
        <v>0</v>
      </c>
      <c r="I666" s="19">
        <f t="shared" ca="1" si="20"/>
        <v>51.612903225806448</v>
      </c>
      <c r="J666" s="111">
        <f t="shared" ca="1" si="21"/>
        <v>0</v>
      </c>
      <c r="K666" s="53">
        <f>IFERROR(_xlfn.XLOOKUP($B:$B,Google!A:A,Google!B:B),0)</f>
        <v>0</v>
      </c>
      <c r="L666" s="54">
        <f t="shared" si="22"/>
        <v>0</v>
      </c>
      <c r="M666" s="59"/>
      <c r="N666" s="69">
        <f>IFERROR(VLOOKUP(B666,Tabela_Google[],3,),0)</f>
        <v>0</v>
      </c>
      <c r="O666" s="70">
        <f>SUMIF(Facebook!A:A,'Compilado 2023'!B:B,Facebook!B:B)</f>
        <v>0</v>
      </c>
      <c r="P666" s="71">
        <v>0</v>
      </c>
      <c r="Q666" s="70">
        <f ca="1">_xlfn.XLOOKUP(B:B,'E-mail'!A:A,'E-mail'!C:C)</f>
        <v>51.612903225806448</v>
      </c>
      <c r="R666" s="202">
        <f>IFERROR(VLOOKUP($B:$B,Tabela_Linkedin[],2,),0)</f>
        <v>0</v>
      </c>
      <c r="S666" s="70">
        <f>SUMIF(TikTok!A:A,'Compilado 2023'!B:B,TikTok!B:B)</f>
        <v>0</v>
      </c>
      <c r="T666" s="70">
        <v>0</v>
      </c>
      <c r="U666" s="70">
        <v>0</v>
      </c>
      <c r="V666" s="59"/>
      <c r="W666" s="70">
        <v>0</v>
      </c>
      <c r="X666" s="70">
        <v>0</v>
      </c>
      <c r="Y666" s="70">
        <v>0</v>
      </c>
      <c r="Z666" s="38"/>
      <c r="AA666" s="40"/>
    </row>
    <row r="667" spans="1:27" s="2" customFormat="1" x14ac:dyDescent="0.2">
      <c r="A667" s="16" t="str">
        <f t="shared" si="17"/>
        <v>sexta-feira</v>
      </c>
      <c r="B667" s="17">
        <v>45226</v>
      </c>
      <c r="C667" s="19">
        <f t="shared" si="18"/>
        <v>0</v>
      </c>
      <c r="D667" s="52">
        <f>IFERROR(_xlfn.XLOOKUP($B:$B,'Estatísticos Mensais'!$A:$A,'Estatísticos Mensais'!C:C),0)</f>
        <v>0</v>
      </c>
      <c r="E667" s="52">
        <f>IFERROR(_xlfn.XLOOKUP($B:$B,'Estatísticos Mensais'!$A:$A,'Estatísticos Mensais'!D:D),0)</f>
        <v>0</v>
      </c>
      <c r="F667" s="157">
        <f>IFERROR(_xlfn.XLOOKUP($B:$B,'Estatísticos Mensais'!$A:$A,'Estatísticos Mensais'!E:E),0)</f>
        <v>0</v>
      </c>
      <c r="G667" s="157">
        <f>IFERROR(_xlfn.XLOOKUP($B:$B,'Estatísticos Mensais'!$A:$A,'Estatísticos Mensais'!F:F),0)</f>
        <v>0</v>
      </c>
      <c r="H667" s="35">
        <f t="shared" si="19"/>
        <v>0</v>
      </c>
      <c r="I667" s="19">
        <f t="shared" ca="1" si="20"/>
        <v>51.612903225806448</v>
      </c>
      <c r="J667" s="111">
        <f t="shared" ca="1" si="21"/>
        <v>0</v>
      </c>
      <c r="K667" s="53">
        <f>IFERROR(_xlfn.XLOOKUP($B:$B,Google!A:A,Google!B:B),0)</f>
        <v>0</v>
      </c>
      <c r="L667" s="54">
        <f t="shared" si="22"/>
        <v>0</v>
      </c>
      <c r="M667" s="59"/>
      <c r="N667" s="69">
        <f>IFERROR(VLOOKUP(B667,Tabela_Google[],3,),0)</f>
        <v>0</v>
      </c>
      <c r="O667" s="70">
        <f>SUMIF(Facebook!A:A,'Compilado 2023'!B:B,Facebook!B:B)</f>
        <v>0</v>
      </c>
      <c r="P667" s="71">
        <v>0</v>
      </c>
      <c r="Q667" s="70">
        <f ca="1">_xlfn.XLOOKUP(B:B,'E-mail'!A:A,'E-mail'!C:C)</f>
        <v>51.612903225806448</v>
      </c>
      <c r="R667" s="202">
        <f>IFERROR(VLOOKUP($B:$B,Tabela_Linkedin[],2,),0)</f>
        <v>0</v>
      </c>
      <c r="S667" s="70">
        <f>SUMIF(TikTok!A:A,'Compilado 2023'!B:B,TikTok!B:B)</f>
        <v>0</v>
      </c>
      <c r="T667" s="70">
        <v>0</v>
      </c>
      <c r="U667" s="70">
        <v>0</v>
      </c>
      <c r="V667" s="59"/>
      <c r="W667" s="70">
        <v>0</v>
      </c>
      <c r="X667" s="70">
        <v>0</v>
      </c>
      <c r="Y667" s="70">
        <v>0</v>
      </c>
      <c r="Z667" s="38"/>
      <c r="AA667" s="40"/>
    </row>
    <row r="668" spans="1:27" s="2" customFormat="1" x14ac:dyDescent="0.2">
      <c r="A668" s="16" t="str">
        <f t="shared" si="17"/>
        <v>sábado</v>
      </c>
      <c r="B668" s="17">
        <v>45227</v>
      </c>
      <c r="C668" s="19">
        <f t="shared" si="18"/>
        <v>0</v>
      </c>
      <c r="D668" s="52">
        <f>IFERROR(_xlfn.XLOOKUP($B:$B,'Estatísticos Mensais'!$A:$A,'Estatísticos Mensais'!C:C),0)</f>
        <v>0</v>
      </c>
      <c r="E668" s="52">
        <f>IFERROR(_xlfn.XLOOKUP($B:$B,'Estatísticos Mensais'!$A:$A,'Estatísticos Mensais'!D:D),0)</f>
        <v>0</v>
      </c>
      <c r="F668" s="157">
        <f>IFERROR(_xlfn.XLOOKUP($B:$B,'Estatísticos Mensais'!$A:$A,'Estatísticos Mensais'!E:E),0)</f>
        <v>0</v>
      </c>
      <c r="G668" s="157">
        <f>IFERROR(_xlfn.XLOOKUP($B:$B,'Estatísticos Mensais'!$A:$A,'Estatísticos Mensais'!F:F),0)</f>
        <v>0</v>
      </c>
      <c r="H668" s="35">
        <f t="shared" si="19"/>
        <v>0</v>
      </c>
      <c r="I668" s="19">
        <f t="shared" ca="1" si="20"/>
        <v>51.612903225806448</v>
      </c>
      <c r="J668" s="111">
        <f t="shared" ca="1" si="21"/>
        <v>0</v>
      </c>
      <c r="K668" s="53">
        <f>IFERROR(_xlfn.XLOOKUP($B:$B,Google!A:A,Google!B:B),0)</f>
        <v>0</v>
      </c>
      <c r="L668" s="54">
        <f t="shared" si="22"/>
        <v>0</v>
      </c>
      <c r="M668" s="59"/>
      <c r="N668" s="69">
        <f>IFERROR(VLOOKUP(B668,Tabela_Google[],3,),0)</f>
        <v>0</v>
      </c>
      <c r="O668" s="70">
        <f>SUMIF(Facebook!A:A,'Compilado 2023'!B:B,Facebook!B:B)</f>
        <v>0</v>
      </c>
      <c r="P668" s="71">
        <v>0</v>
      </c>
      <c r="Q668" s="70">
        <f ca="1">_xlfn.XLOOKUP(B:B,'E-mail'!A:A,'E-mail'!C:C)</f>
        <v>51.612903225806448</v>
      </c>
      <c r="R668" s="202">
        <f>IFERROR(VLOOKUP($B:$B,Tabela_Linkedin[],2,),0)</f>
        <v>0</v>
      </c>
      <c r="S668" s="70">
        <f>SUMIF(TikTok!A:A,'Compilado 2023'!B:B,TikTok!B:B)</f>
        <v>0</v>
      </c>
      <c r="T668" s="70">
        <v>0</v>
      </c>
      <c r="U668" s="70">
        <v>0</v>
      </c>
      <c r="V668" s="59"/>
      <c r="W668" s="70">
        <v>0</v>
      </c>
      <c r="X668" s="70">
        <v>0</v>
      </c>
      <c r="Y668" s="70">
        <v>0</v>
      </c>
      <c r="Z668" s="38"/>
      <c r="AA668" s="40"/>
    </row>
    <row r="669" spans="1:27" s="2" customFormat="1" x14ac:dyDescent="0.2">
      <c r="A669" s="16" t="str">
        <f t="shared" si="17"/>
        <v>domingo</v>
      </c>
      <c r="B669" s="17">
        <v>45228</v>
      </c>
      <c r="C669" s="19">
        <f t="shared" si="18"/>
        <v>0</v>
      </c>
      <c r="D669" s="52">
        <f>IFERROR(_xlfn.XLOOKUP($B:$B,'Estatísticos Mensais'!$A:$A,'Estatísticos Mensais'!C:C),0)</f>
        <v>0</v>
      </c>
      <c r="E669" s="52">
        <f>IFERROR(_xlfn.XLOOKUP($B:$B,'Estatísticos Mensais'!$A:$A,'Estatísticos Mensais'!D:D),0)</f>
        <v>0</v>
      </c>
      <c r="F669" s="157">
        <f>IFERROR(_xlfn.XLOOKUP($B:$B,'Estatísticos Mensais'!$A:$A,'Estatísticos Mensais'!E:E),0)</f>
        <v>0</v>
      </c>
      <c r="G669" s="157">
        <f>IFERROR(_xlfn.XLOOKUP($B:$B,'Estatísticos Mensais'!$A:$A,'Estatísticos Mensais'!F:F),0)</f>
        <v>0</v>
      </c>
      <c r="H669" s="35">
        <f t="shared" si="19"/>
        <v>0</v>
      </c>
      <c r="I669" s="19">
        <f t="shared" ca="1" si="20"/>
        <v>51.612903225806448</v>
      </c>
      <c r="J669" s="111">
        <f t="shared" ca="1" si="21"/>
        <v>0</v>
      </c>
      <c r="K669" s="53">
        <f>IFERROR(_xlfn.XLOOKUP($B:$B,Google!A:A,Google!B:B),0)</f>
        <v>0</v>
      </c>
      <c r="L669" s="54">
        <f t="shared" si="22"/>
        <v>0</v>
      </c>
      <c r="M669" s="59"/>
      <c r="N669" s="69">
        <f>IFERROR(VLOOKUP(B669,Tabela_Google[],3,),0)</f>
        <v>0</v>
      </c>
      <c r="O669" s="70">
        <f>SUMIF(Facebook!A:A,'Compilado 2023'!B:B,Facebook!B:B)</f>
        <v>0</v>
      </c>
      <c r="P669" s="71">
        <v>0</v>
      </c>
      <c r="Q669" s="70">
        <f ca="1">_xlfn.XLOOKUP(B:B,'E-mail'!A:A,'E-mail'!C:C)</f>
        <v>51.612903225806448</v>
      </c>
      <c r="R669" s="202">
        <f>IFERROR(VLOOKUP($B:$B,Tabela_Linkedin[],2,),0)</f>
        <v>0</v>
      </c>
      <c r="S669" s="70">
        <f>SUMIF(TikTok!A:A,'Compilado 2023'!B:B,TikTok!B:B)</f>
        <v>0</v>
      </c>
      <c r="T669" s="70">
        <v>0</v>
      </c>
      <c r="U669" s="70">
        <v>0</v>
      </c>
      <c r="V669" s="59"/>
      <c r="W669" s="70">
        <v>0</v>
      </c>
      <c r="X669" s="70">
        <v>0</v>
      </c>
      <c r="Y669" s="70">
        <v>0</v>
      </c>
      <c r="Z669" s="38"/>
      <c r="AA669" s="40"/>
    </row>
    <row r="670" spans="1:27" s="2" customFormat="1" x14ac:dyDescent="0.2">
      <c r="A670" s="16" t="str">
        <f t="shared" si="17"/>
        <v>segunda-feira</v>
      </c>
      <c r="B670" s="17">
        <v>45229</v>
      </c>
      <c r="C670" s="19">
        <f t="shared" si="18"/>
        <v>0</v>
      </c>
      <c r="D670" s="52">
        <f>IFERROR(_xlfn.XLOOKUP($B:$B,'Estatísticos Mensais'!$A:$A,'Estatísticos Mensais'!C:C),0)</f>
        <v>0</v>
      </c>
      <c r="E670" s="52">
        <f>IFERROR(_xlfn.XLOOKUP($B:$B,'Estatísticos Mensais'!$A:$A,'Estatísticos Mensais'!D:D),0)</f>
        <v>0</v>
      </c>
      <c r="F670" s="157">
        <f>IFERROR(_xlfn.XLOOKUP($B:$B,'Estatísticos Mensais'!$A:$A,'Estatísticos Mensais'!E:E),0)</f>
        <v>0</v>
      </c>
      <c r="G670" s="157">
        <f>IFERROR(_xlfn.XLOOKUP($B:$B,'Estatísticos Mensais'!$A:$A,'Estatísticos Mensais'!F:F),0)</f>
        <v>0</v>
      </c>
      <c r="H670" s="35">
        <f t="shared" si="19"/>
        <v>0</v>
      </c>
      <c r="I670" s="19">
        <f t="shared" ca="1" si="20"/>
        <v>51.612903225806448</v>
      </c>
      <c r="J670" s="111">
        <f t="shared" ca="1" si="21"/>
        <v>0</v>
      </c>
      <c r="K670" s="53">
        <f>IFERROR(_xlfn.XLOOKUP($B:$B,Google!A:A,Google!B:B),0)</f>
        <v>0</v>
      </c>
      <c r="L670" s="54">
        <f t="shared" si="22"/>
        <v>0</v>
      </c>
      <c r="M670" s="59"/>
      <c r="N670" s="69">
        <f>IFERROR(VLOOKUP(B670,Tabela_Google[],3,),0)</f>
        <v>0</v>
      </c>
      <c r="O670" s="70">
        <f>SUMIF(Facebook!A:A,'Compilado 2023'!B:B,Facebook!B:B)</f>
        <v>0</v>
      </c>
      <c r="P670" s="71">
        <v>0</v>
      </c>
      <c r="Q670" s="70">
        <f ca="1">_xlfn.XLOOKUP(B:B,'E-mail'!A:A,'E-mail'!C:C)</f>
        <v>51.612903225806448</v>
      </c>
      <c r="R670" s="202">
        <f>IFERROR(VLOOKUP($B:$B,Tabela_Linkedin[],2,),0)</f>
        <v>0</v>
      </c>
      <c r="S670" s="70">
        <f>SUMIF(TikTok!A:A,'Compilado 2023'!B:B,TikTok!B:B)</f>
        <v>0</v>
      </c>
      <c r="T670" s="70">
        <v>0</v>
      </c>
      <c r="U670" s="70">
        <v>0</v>
      </c>
      <c r="V670" s="59"/>
      <c r="W670" s="70">
        <v>0</v>
      </c>
      <c r="X670" s="70">
        <v>0</v>
      </c>
      <c r="Y670" s="70">
        <v>0</v>
      </c>
      <c r="Z670" s="38"/>
      <c r="AA670" s="40"/>
    </row>
    <row r="671" spans="1:27" s="2" customFormat="1" x14ac:dyDescent="0.2">
      <c r="A671" s="16" t="str">
        <f t="shared" si="17"/>
        <v>terça-feira</v>
      </c>
      <c r="B671" s="17">
        <v>45230</v>
      </c>
      <c r="C671" s="19">
        <f t="shared" si="18"/>
        <v>0</v>
      </c>
      <c r="D671" s="52">
        <f>IFERROR(_xlfn.XLOOKUP($B:$B,'Estatísticos Mensais'!$A:$A,'Estatísticos Mensais'!C:C),0)</f>
        <v>0</v>
      </c>
      <c r="E671" s="52">
        <f>IFERROR(_xlfn.XLOOKUP($B:$B,'Estatísticos Mensais'!$A:$A,'Estatísticos Mensais'!D:D),0)</f>
        <v>0</v>
      </c>
      <c r="F671" s="157">
        <f>IFERROR(_xlfn.XLOOKUP($B:$B,'Estatísticos Mensais'!$A:$A,'Estatísticos Mensais'!E:E),0)</f>
        <v>0</v>
      </c>
      <c r="G671" s="157">
        <f>IFERROR(_xlfn.XLOOKUP($B:$B,'Estatísticos Mensais'!$A:$A,'Estatísticos Mensais'!F:F),0)</f>
        <v>0</v>
      </c>
      <c r="H671" s="35">
        <f t="shared" si="19"/>
        <v>0</v>
      </c>
      <c r="I671" s="19">
        <f t="shared" ca="1" si="20"/>
        <v>51.612903225806448</v>
      </c>
      <c r="J671" s="111">
        <f t="shared" ca="1" si="21"/>
        <v>0</v>
      </c>
      <c r="K671" s="53">
        <f>IFERROR(_xlfn.XLOOKUP($B:$B,Google!A:A,Google!B:B),0)</f>
        <v>0</v>
      </c>
      <c r="L671" s="54">
        <f t="shared" si="22"/>
        <v>0</v>
      </c>
      <c r="M671" s="59"/>
      <c r="N671" s="69">
        <f>IFERROR(VLOOKUP(B671,Tabela_Google[],3,),0)</f>
        <v>0</v>
      </c>
      <c r="O671" s="70">
        <f>SUMIF(Facebook!A:A,'Compilado 2023'!B:B,Facebook!B:B)</f>
        <v>0</v>
      </c>
      <c r="P671" s="71">
        <v>0</v>
      </c>
      <c r="Q671" s="70">
        <f ca="1">_xlfn.XLOOKUP(B:B,'E-mail'!A:A,'E-mail'!C:C)</f>
        <v>51.612903225806448</v>
      </c>
      <c r="R671" s="202">
        <f>IFERROR(VLOOKUP($B:$B,Tabela_Linkedin[],2,),0)</f>
        <v>0</v>
      </c>
      <c r="S671" s="70">
        <f>SUMIF(TikTok!A:A,'Compilado 2023'!B:B,TikTok!B:B)</f>
        <v>0</v>
      </c>
      <c r="T671" s="70">
        <v>0</v>
      </c>
      <c r="U671" s="70">
        <v>0</v>
      </c>
      <c r="V671" s="59"/>
      <c r="W671" s="70">
        <v>0</v>
      </c>
      <c r="X671" s="70">
        <v>0</v>
      </c>
      <c r="Y671" s="70">
        <v>0</v>
      </c>
      <c r="Z671" s="38"/>
      <c r="AA671" s="40"/>
    </row>
    <row r="672" spans="1:27" s="2" customFormat="1" x14ac:dyDescent="0.2">
      <c r="A672" s="16" t="str">
        <f t="shared" si="17"/>
        <v>quarta-feira</v>
      </c>
      <c r="B672" s="17">
        <v>45231</v>
      </c>
      <c r="C672" s="19">
        <f t="shared" si="18"/>
        <v>0</v>
      </c>
      <c r="D672" s="52">
        <f>IFERROR(_xlfn.XLOOKUP($B:$B,'Estatísticos Mensais'!$A:$A,'Estatísticos Mensais'!C:C),0)</f>
        <v>0</v>
      </c>
      <c r="E672" s="52">
        <f>IFERROR(_xlfn.XLOOKUP($B:$B,'Estatísticos Mensais'!$A:$A,'Estatísticos Mensais'!D:D),0)</f>
        <v>0</v>
      </c>
      <c r="F672" s="157">
        <f>IFERROR(_xlfn.XLOOKUP($B:$B,'Estatísticos Mensais'!$A:$A,'Estatísticos Mensais'!E:E),0)</f>
        <v>0</v>
      </c>
      <c r="G672" s="157">
        <f>IFERROR(_xlfn.XLOOKUP($B:$B,'Estatísticos Mensais'!$A:$A,'Estatísticos Mensais'!F:F),0)</f>
        <v>0</v>
      </c>
      <c r="H672" s="35">
        <f t="shared" si="19"/>
        <v>0</v>
      </c>
      <c r="I672" s="19">
        <f t="shared" ca="1" si="20"/>
        <v>53.333333333333336</v>
      </c>
      <c r="J672" s="111">
        <f t="shared" ca="1" si="21"/>
        <v>0</v>
      </c>
      <c r="K672" s="53">
        <f>IFERROR(_xlfn.XLOOKUP($B:$B,Google!A:A,Google!B:B),0)</f>
        <v>0</v>
      </c>
      <c r="L672" s="54">
        <f t="shared" si="22"/>
        <v>0</v>
      </c>
      <c r="M672" s="59"/>
      <c r="N672" s="69">
        <f>IFERROR(VLOOKUP(B672,Tabela_Google[],3,),0)</f>
        <v>0</v>
      </c>
      <c r="O672" s="70">
        <f>SUMIF(Facebook!A:A,'Compilado 2023'!B:B,Facebook!B:B)</f>
        <v>0</v>
      </c>
      <c r="P672" s="71">
        <v>0</v>
      </c>
      <c r="Q672" s="70">
        <f ca="1">_xlfn.XLOOKUP(B:B,'E-mail'!A:A,'E-mail'!C:C)</f>
        <v>53.333333333333336</v>
      </c>
      <c r="R672" s="202">
        <f>IFERROR(VLOOKUP($B:$B,Tabela_Linkedin[],2,),0)</f>
        <v>0</v>
      </c>
      <c r="S672" s="70">
        <f>SUMIF(TikTok!A:A,'Compilado 2023'!B:B,TikTok!B:B)</f>
        <v>0</v>
      </c>
      <c r="T672" s="70">
        <v>0</v>
      </c>
      <c r="U672" s="70">
        <v>0</v>
      </c>
      <c r="V672" s="59"/>
      <c r="W672" s="70">
        <v>0</v>
      </c>
      <c r="X672" s="70">
        <v>0</v>
      </c>
      <c r="Y672" s="70">
        <v>0</v>
      </c>
      <c r="Z672" s="38"/>
      <c r="AA672" s="40"/>
    </row>
    <row r="673" spans="1:27" s="2" customFormat="1" x14ac:dyDescent="0.2">
      <c r="A673" s="16" t="str">
        <f t="shared" si="17"/>
        <v>quinta-feira</v>
      </c>
      <c r="B673" s="17">
        <v>45232</v>
      </c>
      <c r="C673" s="19">
        <f t="shared" si="18"/>
        <v>0</v>
      </c>
      <c r="D673" s="52">
        <f>IFERROR(_xlfn.XLOOKUP($B:$B,'Estatísticos Mensais'!$A:$A,'Estatísticos Mensais'!C:C),0)</f>
        <v>0</v>
      </c>
      <c r="E673" s="52">
        <f>IFERROR(_xlfn.XLOOKUP($B:$B,'Estatísticos Mensais'!$A:$A,'Estatísticos Mensais'!D:D),0)</f>
        <v>0</v>
      </c>
      <c r="F673" s="157">
        <f>IFERROR(_xlfn.XLOOKUP($B:$B,'Estatísticos Mensais'!$A:$A,'Estatísticos Mensais'!E:E),0)</f>
        <v>0</v>
      </c>
      <c r="G673" s="157">
        <f>IFERROR(_xlfn.XLOOKUP($B:$B,'Estatísticos Mensais'!$A:$A,'Estatísticos Mensais'!F:F),0)</f>
        <v>0</v>
      </c>
      <c r="H673" s="35">
        <f t="shared" si="19"/>
        <v>0</v>
      </c>
      <c r="I673" s="19">
        <f t="shared" ca="1" si="20"/>
        <v>53.333333333333336</v>
      </c>
      <c r="J673" s="111">
        <f t="shared" ca="1" si="21"/>
        <v>0</v>
      </c>
      <c r="K673" s="53">
        <f>IFERROR(_xlfn.XLOOKUP($B:$B,Google!A:A,Google!B:B),0)</f>
        <v>0</v>
      </c>
      <c r="L673" s="54">
        <f t="shared" si="22"/>
        <v>0</v>
      </c>
      <c r="M673" s="59"/>
      <c r="N673" s="69">
        <f>IFERROR(VLOOKUP(B673,Tabela_Google[],3,),0)</f>
        <v>0</v>
      </c>
      <c r="O673" s="70">
        <f>SUMIF(Facebook!A:A,'Compilado 2023'!B:B,Facebook!B:B)</f>
        <v>0</v>
      </c>
      <c r="P673" s="71">
        <v>0</v>
      </c>
      <c r="Q673" s="70">
        <f ca="1">_xlfn.XLOOKUP(B:B,'E-mail'!A:A,'E-mail'!C:C)</f>
        <v>53.333333333333336</v>
      </c>
      <c r="R673" s="202">
        <f>IFERROR(VLOOKUP($B:$B,Tabela_Linkedin[],2,),0)</f>
        <v>0</v>
      </c>
      <c r="S673" s="70">
        <f>SUMIF(TikTok!A:A,'Compilado 2023'!B:B,TikTok!B:B)</f>
        <v>0</v>
      </c>
      <c r="T673" s="70">
        <v>0</v>
      </c>
      <c r="U673" s="70">
        <v>0</v>
      </c>
      <c r="V673" s="59"/>
      <c r="W673" s="70">
        <v>0</v>
      </c>
      <c r="X673" s="70">
        <v>0</v>
      </c>
      <c r="Y673" s="70">
        <v>0</v>
      </c>
      <c r="Z673" s="38"/>
      <c r="AA673" s="40"/>
    </row>
    <row r="674" spans="1:27" s="2" customFormat="1" x14ac:dyDescent="0.2">
      <c r="A674" s="16" t="str">
        <f t="shared" si="17"/>
        <v>sexta-feira</v>
      </c>
      <c r="B674" s="17">
        <v>45233</v>
      </c>
      <c r="C674" s="19">
        <f t="shared" si="18"/>
        <v>0</v>
      </c>
      <c r="D674" s="52">
        <f>IFERROR(_xlfn.XLOOKUP($B:$B,'Estatísticos Mensais'!$A:$A,'Estatísticos Mensais'!C:C),0)</f>
        <v>0</v>
      </c>
      <c r="E674" s="52">
        <f>IFERROR(_xlfn.XLOOKUP($B:$B,'Estatísticos Mensais'!$A:$A,'Estatísticos Mensais'!D:D),0)</f>
        <v>0</v>
      </c>
      <c r="F674" s="157">
        <f>IFERROR(_xlfn.XLOOKUP($B:$B,'Estatísticos Mensais'!$A:$A,'Estatísticos Mensais'!E:E),0)</f>
        <v>0</v>
      </c>
      <c r="G674" s="157">
        <f>IFERROR(_xlfn.XLOOKUP($B:$B,'Estatísticos Mensais'!$A:$A,'Estatísticos Mensais'!F:F),0)</f>
        <v>0</v>
      </c>
      <c r="H674" s="35">
        <f t="shared" si="19"/>
        <v>0</v>
      </c>
      <c r="I674" s="19">
        <f t="shared" ca="1" si="20"/>
        <v>53.333333333333336</v>
      </c>
      <c r="J674" s="111">
        <f t="shared" ca="1" si="21"/>
        <v>0</v>
      </c>
      <c r="K674" s="53">
        <f>IFERROR(_xlfn.XLOOKUP($B:$B,Google!A:A,Google!B:B),0)</f>
        <v>0</v>
      </c>
      <c r="L674" s="54">
        <f t="shared" si="22"/>
        <v>0</v>
      </c>
      <c r="M674" s="59"/>
      <c r="N674" s="69">
        <f>IFERROR(VLOOKUP(B674,Tabela_Google[],3,),0)</f>
        <v>0</v>
      </c>
      <c r="O674" s="70">
        <f>SUMIF(Facebook!A:A,'Compilado 2023'!B:B,Facebook!B:B)</f>
        <v>0</v>
      </c>
      <c r="P674" s="71">
        <v>0</v>
      </c>
      <c r="Q674" s="70">
        <f ca="1">_xlfn.XLOOKUP(B:B,'E-mail'!A:A,'E-mail'!C:C)</f>
        <v>53.333333333333336</v>
      </c>
      <c r="R674" s="202">
        <f>IFERROR(VLOOKUP($B:$B,Tabela_Linkedin[],2,),0)</f>
        <v>0</v>
      </c>
      <c r="S674" s="70">
        <f>SUMIF(TikTok!A:A,'Compilado 2023'!B:B,TikTok!B:B)</f>
        <v>0</v>
      </c>
      <c r="T674" s="70">
        <v>0</v>
      </c>
      <c r="U674" s="70">
        <v>0</v>
      </c>
      <c r="V674" s="59"/>
      <c r="W674" s="70">
        <v>0</v>
      </c>
      <c r="X674" s="70">
        <v>0</v>
      </c>
      <c r="Y674" s="70">
        <v>0</v>
      </c>
      <c r="Z674" s="38"/>
      <c r="AA674" s="40"/>
    </row>
    <row r="675" spans="1:27" s="2" customFormat="1" x14ac:dyDescent="0.2">
      <c r="A675" s="16" t="str">
        <f t="shared" si="17"/>
        <v>sábado</v>
      </c>
      <c r="B675" s="17">
        <v>45234</v>
      </c>
      <c r="C675" s="19">
        <f t="shared" si="18"/>
        <v>0</v>
      </c>
      <c r="D675" s="52">
        <f>IFERROR(_xlfn.XLOOKUP($B:$B,'Estatísticos Mensais'!$A:$A,'Estatísticos Mensais'!C:C),0)</f>
        <v>0</v>
      </c>
      <c r="E675" s="52">
        <f>IFERROR(_xlfn.XLOOKUP($B:$B,'Estatísticos Mensais'!$A:$A,'Estatísticos Mensais'!D:D),0)</f>
        <v>0</v>
      </c>
      <c r="F675" s="157">
        <f>IFERROR(_xlfn.XLOOKUP($B:$B,'Estatísticos Mensais'!$A:$A,'Estatísticos Mensais'!E:E),0)</f>
        <v>0</v>
      </c>
      <c r="G675" s="157">
        <f>IFERROR(_xlfn.XLOOKUP($B:$B,'Estatísticos Mensais'!$A:$A,'Estatísticos Mensais'!F:F),0)</f>
        <v>0</v>
      </c>
      <c r="H675" s="35">
        <f t="shared" si="19"/>
        <v>0</v>
      </c>
      <c r="I675" s="19">
        <f t="shared" ca="1" si="20"/>
        <v>53.333333333333336</v>
      </c>
      <c r="J675" s="111">
        <f t="shared" ca="1" si="21"/>
        <v>0</v>
      </c>
      <c r="K675" s="53">
        <f>IFERROR(_xlfn.XLOOKUP($B:$B,Google!A:A,Google!B:B),0)</f>
        <v>0</v>
      </c>
      <c r="L675" s="54">
        <f t="shared" si="22"/>
        <v>0</v>
      </c>
      <c r="M675" s="59"/>
      <c r="N675" s="69">
        <f>IFERROR(VLOOKUP(B675,Tabela_Google[],3,),0)</f>
        <v>0</v>
      </c>
      <c r="O675" s="70">
        <f>SUMIF(Facebook!A:A,'Compilado 2023'!B:B,Facebook!B:B)</f>
        <v>0</v>
      </c>
      <c r="P675" s="71">
        <v>0</v>
      </c>
      <c r="Q675" s="70">
        <f ca="1">_xlfn.XLOOKUP(B:B,'E-mail'!A:A,'E-mail'!C:C)</f>
        <v>53.333333333333336</v>
      </c>
      <c r="R675" s="202">
        <f>IFERROR(VLOOKUP($B:$B,Tabela_Linkedin[],2,),0)</f>
        <v>0</v>
      </c>
      <c r="S675" s="70">
        <f>SUMIF(TikTok!A:A,'Compilado 2023'!B:B,TikTok!B:B)</f>
        <v>0</v>
      </c>
      <c r="T675" s="70">
        <v>0</v>
      </c>
      <c r="U675" s="70">
        <v>0</v>
      </c>
      <c r="V675" s="59"/>
      <c r="W675" s="70">
        <v>0</v>
      </c>
      <c r="X675" s="70">
        <v>0</v>
      </c>
      <c r="Y675" s="70">
        <v>0</v>
      </c>
      <c r="Z675" s="38"/>
      <c r="AA675" s="40"/>
    </row>
    <row r="676" spans="1:27" s="2" customFormat="1" x14ac:dyDescent="0.2">
      <c r="A676" s="16" t="str">
        <f t="shared" si="17"/>
        <v>domingo</v>
      </c>
      <c r="B676" s="17">
        <v>45235</v>
      </c>
      <c r="C676" s="19">
        <f t="shared" si="18"/>
        <v>0</v>
      </c>
      <c r="D676" s="52">
        <f>IFERROR(_xlfn.XLOOKUP($B:$B,'Estatísticos Mensais'!$A:$A,'Estatísticos Mensais'!C:C),0)</f>
        <v>0</v>
      </c>
      <c r="E676" s="52">
        <f>IFERROR(_xlfn.XLOOKUP($B:$B,'Estatísticos Mensais'!$A:$A,'Estatísticos Mensais'!D:D),0)</f>
        <v>0</v>
      </c>
      <c r="F676" s="157">
        <f>IFERROR(_xlfn.XLOOKUP($B:$B,'Estatísticos Mensais'!$A:$A,'Estatísticos Mensais'!E:E),0)</f>
        <v>0</v>
      </c>
      <c r="G676" s="157">
        <f>IFERROR(_xlfn.XLOOKUP($B:$B,'Estatísticos Mensais'!$A:$A,'Estatísticos Mensais'!F:F),0)</f>
        <v>0</v>
      </c>
      <c r="H676" s="35">
        <f t="shared" si="19"/>
        <v>0</v>
      </c>
      <c r="I676" s="19">
        <f t="shared" ca="1" si="20"/>
        <v>53.333333333333336</v>
      </c>
      <c r="J676" s="111">
        <f t="shared" ca="1" si="21"/>
        <v>0</v>
      </c>
      <c r="K676" s="53">
        <f>IFERROR(_xlfn.XLOOKUP($B:$B,Google!A:A,Google!B:B),0)</f>
        <v>0</v>
      </c>
      <c r="L676" s="54">
        <f t="shared" si="22"/>
        <v>0</v>
      </c>
      <c r="M676" s="59"/>
      <c r="N676" s="69">
        <f>IFERROR(VLOOKUP(B676,Tabela_Google[],3,),0)</f>
        <v>0</v>
      </c>
      <c r="O676" s="70">
        <f>SUMIF(Facebook!A:A,'Compilado 2023'!B:B,Facebook!B:B)</f>
        <v>0</v>
      </c>
      <c r="P676" s="71">
        <v>0</v>
      </c>
      <c r="Q676" s="70">
        <f ca="1">_xlfn.XLOOKUP(B:B,'E-mail'!A:A,'E-mail'!C:C)</f>
        <v>53.333333333333336</v>
      </c>
      <c r="R676" s="202">
        <f>IFERROR(VLOOKUP($B:$B,Tabela_Linkedin[],2,),0)</f>
        <v>0</v>
      </c>
      <c r="S676" s="70">
        <f>SUMIF(TikTok!A:A,'Compilado 2023'!B:B,TikTok!B:B)</f>
        <v>0</v>
      </c>
      <c r="T676" s="70">
        <v>0</v>
      </c>
      <c r="U676" s="70">
        <v>0</v>
      </c>
      <c r="V676" s="59"/>
      <c r="W676" s="70">
        <v>0</v>
      </c>
      <c r="X676" s="70">
        <v>0</v>
      </c>
      <c r="Y676" s="70">
        <v>0</v>
      </c>
      <c r="Z676" s="38"/>
      <c r="AA676" s="40"/>
    </row>
    <row r="677" spans="1:27" s="2" customFormat="1" x14ac:dyDescent="0.2">
      <c r="A677" s="16" t="str">
        <f t="shared" ref="A677:A708" si="23">TEXT(B677,"DDDD")</f>
        <v>segunda-feira</v>
      </c>
      <c r="B677" s="17">
        <v>45236</v>
      </c>
      <c r="C677" s="19">
        <f t="shared" si="18"/>
        <v>0</v>
      </c>
      <c r="D677" s="52">
        <f>IFERROR(_xlfn.XLOOKUP($B:$B,'Estatísticos Mensais'!$A:$A,'Estatísticos Mensais'!C:C),0)</f>
        <v>0</v>
      </c>
      <c r="E677" s="52">
        <f>IFERROR(_xlfn.XLOOKUP($B:$B,'Estatísticos Mensais'!$A:$A,'Estatísticos Mensais'!D:D),0)</f>
        <v>0</v>
      </c>
      <c r="F677" s="157">
        <f>IFERROR(_xlfn.XLOOKUP($B:$B,'Estatísticos Mensais'!$A:$A,'Estatísticos Mensais'!E:E),0)</f>
        <v>0</v>
      </c>
      <c r="G677" s="157">
        <f>IFERROR(_xlfn.XLOOKUP($B:$B,'Estatísticos Mensais'!$A:$A,'Estatísticos Mensais'!F:F),0)</f>
        <v>0</v>
      </c>
      <c r="H677" s="35">
        <f t="shared" si="19"/>
        <v>0</v>
      </c>
      <c r="I677" s="19">
        <f t="shared" ca="1" si="20"/>
        <v>53.333333333333336</v>
      </c>
      <c r="J677" s="111">
        <f t="shared" ca="1" si="21"/>
        <v>0</v>
      </c>
      <c r="K677" s="53">
        <f>IFERROR(_xlfn.XLOOKUP($B:$B,Google!A:A,Google!B:B),0)</f>
        <v>0</v>
      </c>
      <c r="L677" s="54">
        <f t="shared" si="22"/>
        <v>0</v>
      </c>
      <c r="M677" s="59"/>
      <c r="N677" s="69">
        <f>IFERROR(VLOOKUP(B677,Tabela_Google[],3,),0)</f>
        <v>0</v>
      </c>
      <c r="O677" s="70">
        <f>SUMIF(Facebook!A:A,'Compilado 2023'!B:B,Facebook!B:B)</f>
        <v>0</v>
      </c>
      <c r="P677" s="71">
        <v>0</v>
      </c>
      <c r="Q677" s="70">
        <f ca="1">_xlfn.XLOOKUP(B:B,'E-mail'!A:A,'E-mail'!C:C)</f>
        <v>53.333333333333336</v>
      </c>
      <c r="R677" s="202">
        <f>IFERROR(VLOOKUP($B:$B,Tabela_Linkedin[],2,),0)</f>
        <v>0</v>
      </c>
      <c r="S677" s="70">
        <f>SUMIF(TikTok!A:A,'Compilado 2023'!B:B,TikTok!B:B)</f>
        <v>0</v>
      </c>
      <c r="T677" s="70">
        <v>0</v>
      </c>
      <c r="U677" s="70">
        <v>0</v>
      </c>
      <c r="V677" s="59"/>
      <c r="W677" s="70">
        <v>0</v>
      </c>
      <c r="X677" s="70">
        <v>0</v>
      </c>
      <c r="Y677" s="70">
        <v>0</v>
      </c>
      <c r="Z677" s="38"/>
      <c r="AA677" s="40"/>
    </row>
    <row r="678" spans="1:27" s="2" customFormat="1" x14ac:dyDescent="0.2">
      <c r="A678" s="16" t="str">
        <f t="shared" si="23"/>
        <v>terça-feira</v>
      </c>
      <c r="B678" s="17">
        <v>45237</v>
      </c>
      <c r="C678" s="19">
        <f t="shared" si="18"/>
        <v>0</v>
      </c>
      <c r="D678" s="52">
        <f>IFERROR(_xlfn.XLOOKUP($B:$B,'Estatísticos Mensais'!$A:$A,'Estatísticos Mensais'!C:C),0)</f>
        <v>0</v>
      </c>
      <c r="E678" s="52">
        <f>IFERROR(_xlfn.XLOOKUP($B:$B,'Estatísticos Mensais'!$A:$A,'Estatísticos Mensais'!D:D),0)</f>
        <v>0</v>
      </c>
      <c r="F678" s="157">
        <f>IFERROR(_xlfn.XLOOKUP($B:$B,'Estatísticos Mensais'!$A:$A,'Estatísticos Mensais'!E:E),0)</f>
        <v>0</v>
      </c>
      <c r="G678" s="157">
        <f>IFERROR(_xlfn.XLOOKUP($B:$B,'Estatísticos Mensais'!$A:$A,'Estatísticos Mensais'!F:F),0)</f>
        <v>0</v>
      </c>
      <c r="H678" s="35">
        <f t="shared" si="19"/>
        <v>0</v>
      </c>
      <c r="I678" s="19">
        <f t="shared" ca="1" si="20"/>
        <v>53.333333333333336</v>
      </c>
      <c r="J678" s="111">
        <f t="shared" ca="1" si="21"/>
        <v>0</v>
      </c>
      <c r="K678" s="53">
        <f>IFERROR(_xlfn.XLOOKUP($B:$B,Google!A:A,Google!B:B),0)</f>
        <v>0</v>
      </c>
      <c r="L678" s="54">
        <f t="shared" si="22"/>
        <v>0</v>
      </c>
      <c r="M678" s="59"/>
      <c r="N678" s="69">
        <f>IFERROR(VLOOKUP(B678,Tabela_Google[],3,),0)</f>
        <v>0</v>
      </c>
      <c r="O678" s="70">
        <f>SUMIF(Facebook!A:A,'Compilado 2023'!B:B,Facebook!B:B)</f>
        <v>0</v>
      </c>
      <c r="P678" s="71">
        <v>0</v>
      </c>
      <c r="Q678" s="70">
        <f ca="1">_xlfn.XLOOKUP(B:B,'E-mail'!A:A,'E-mail'!C:C)</f>
        <v>53.333333333333336</v>
      </c>
      <c r="R678" s="202">
        <f>IFERROR(VLOOKUP($B:$B,Tabela_Linkedin[],2,),0)</f>
        <v>0</v>
      </c>
      <c r="S678" s="70">
        <f>SUMIF(TikTok!A:A,'Compilado 2023'!B:B,TikTok!B:B)</f>
        <v>0</v>
      </c>
      <c r="T678" s="70">
        <v>0</v>
      </c>
      <c r="U678" s="70">
        <v>0</v>
      </c>
      <c r="V678" s="59"/>
      <c r="W678" s="70">
        <v>0</v>
      </c>
      <c r="X678" s="70">
        <v>0</v>
      </c>
      <c r="Y678" s="70">
        <v>0</v>
      </c>
      <c r="Z678" s="38"/>
      <c r="AA678" s="40"/>
    </row>
    <row r="679" spans="1:27" s="2" customFormat="1" x14ac:dyDescent="0.2">
      <c r="A679" s="16" t="str">
        <f t="shared" si="23"/>
        <v>quarta-feira</v>
      </c>
      <c r="B679" s="17">
        <v>45238</v>
      </c>
      <c r="C679" s="19">
        <f t="shared" si="18"/>
        <v>0</v>
      </c>
      <c r="D679" s="52">
        <f>IFERROR(_xlfn.XLOOKUP($B:$B,'Estatísticos Mensais'!$A:$A,'Estatísticos Mensais'!C:C),0)</f>
        <v>0</v>
      </c>
      <c r="E679" s="52">
        <f>IFERROR(_xlfn.XLOOKUP($B:$B,'Estatísticos Mensais'!$A:$A,'Estatísticos Mensais'!D:D),0)</f>
        <v>0</v>
      </c>
      <c r="F679" s="157">
        <f>IFERROR(_xlfn.XLOOKUP($B:$B,'Estatísticos Mensais'!$A:$A,'Estatísticos Mensais'!E:E),0)</f>
        <v>0</v>
      </c>
      <c r="G679" s="157">
        <f>IFERROR(_xlfn.XLOOKUP($B:$B,'Estatísticos Mensais'!$A:$A,'Estatísticos Mensais'!F:F),0)</f>
        <v>0</v>
      </c>
      <c r="H679" s="35">
        <f t="shared" si="19"/>
        <v>0</v>
      </c>
      <c r="I679" s="19">
        <f t="shared" ca="1" si="20"/>
        <v>53.333333333333336</v>
      </c>
      <c r="J679" s="111">
        <f t="shared" ca="1" si="21"/>
        <v>0</v>
      </c>
      <c r="K679" s="53">
        <f>IFERROR(_xlfn.XLOOKUP($B:$B,Google!A:A,Google!B:B),0)</f>
        <v>0</v>
      </c>
      <c r="L679" s="54">
        <f t="shared" si="22"/>
        <v>0</v>
      </c>
      <c r="M679" s="59"/>
      <c r="N679" s="69">
        <f>IFERROR(VLOOKUP(B679,Tabela_Google[],3,),0)</f>
        <v>0</v>
      </c>
      <c r="O679" s="70">
        <f>SUMIF(Facebook!A:A,'Compilado 2023'!B:B,Facebook!B:B)</f>
        <v>0</v>
      </c>
      <c r="P679" s="71">
        <v>0</v>
      </c>
      <c r="Q679" s="70">
        <f ca="1">_xlfn.XLOOKUP(B:B,'E-mail'!A:A,'E-mail'!C:C)</f>
        <v>53.333333333333336</v>
      </c>
      <c r="R679" s="202">
        <f>IFERROR(VLOOKUP($B:$B,Tabela_Linkedin[],2,),0)</f>
        <v>0</v>
      </c>
      <c r="S679" s="70">
        <f>SUMIF(TikTok!A:A,'Compilado 2023'!B:B,TikTok!B:B)</f>
        <v>0</v>
      </c>
      <c r="T679" s="70">
        <v>0</v>
      </c>
      <c r="U679" s="70">
        <v>0</v>
      </c>
      <c r="V679" s="59"/>
      <c r="W679" s="70">
        <v>0</v>
      </c>
      <c r="X679" s="70">
        <v>0</v>
      </c>
      <c r="Y679" s="70">
        <v>0</v>
      </c>
      <c r="Z679" s="38"/>
      <c r="AA679" s="40"/>
    </row>
    <row r="680" spans="1:27" s="2" customFormat="1" x14ac:dyDescent="0.2">
      <c r="A680" s="16" t="str">
        <f t="shared" si="23"/>
        <v>quinta-feira</v>
      </c>
      <c r="B680" s="17">
        <v>45239</v>
      </c>
      <c r="C680" s="19">
        <f t="shared" si="18"/>
        <v>0</v>
      </c>
      <c r="D680" s="52">
        <f>IFERROR(_xlfn.XLOOKUP($B:$B,'Estatísticos Mensais'!$A:$A,'Estatísticos Mensais'!C:C),0)</f>
        <v>0</v>
      </c>
      <c r="E680" s="52">
        <f>IFERROR(_xlfn.XLOOKUP($B:$B,'Estatísticos Mensais'!$A:$A,'Estatísticos Mensais'!D:D),0)</f>
        <v>0</v>
      </c>
      <c r="F680" s="157">
        <f>IFERROR(_xlfn.XLOOKUP($B:$B,'Estatísticos Mensais'!$A:$A,'Estatísticos Mensais'!E:E),0)</f>
        <v>0</v>
      </c>
      <c r="G680" s="157">
        <f>IFERROR(_xlfn.XLOOKUP($B:$B,'Estatísticos Mensais'!$A:$A,'Estatísticos Mensais'!F:F),0)</f>
        <v>0</v>
      </c>
      <c r="H680" s="35">
        <f t="shared" si="19"/>
        <v>0</v>
      </c>
      <c r="I680" s="19">
        <f t="shared" ca="1" si="20"/>
        <v>53.333333333333336</v>
      </c>
      <c r="J680" s="111">
        <f t="shared" ca="1" si="21"/>
        <v>0</v>
      </c>
      <c r="K680" s="53">
        <f>IFERROR(_xlfn.XLOOKUP($B:$B,Google!A:A,Google!B:B),0)</f>
        <v>0</v>
      </c>
      <c r="L680" s="54">
        <f t="shared" si="22"/>
        <v>0</v>
      </c>
      <c r="M680" s="59"/>
      <c r="N680" s="69">
        <f>IFERROR(VLOOKUP(B680,Tabela_Google[],3,),0)</f>
        <v>0</v>
      </c>
      <c r="O680" s="70">
        <f>SUMIF(Facebook!A:A,'Compilado 2023'!B:B,Facebook!B:B)</f>
        <v>0</v>
      </c>
      <c r="P680" s="71">
        <v>0</v>
      </c>
      <c r="Q680" s="70">
        <f ca="1">_xlfn.XLOOKUP(B:B,'E-mail'!A:A,'E-mail'!C:C)</f>
        <v>53.333333333333336</v>
      </c>
      <c r="R680" s="202">
        <f>IFERROR(VLOOKUP($B:$B,Tabela_Linkedin[],2,),0)</f>
        <v>0</v>
      </c>
      <c r="S680" s="70">
        <f>SUMIF(TikTok!A:A,'Compilado 2023'!B:B,TikTok!B:B)</f>
        <v>0</v>
      </c>
      <c r="T680" s="70">
        <v>0</v>
      </c>
      <c r="U680" s="70">
        <v>0</v>
      </c>
      <c r="V680" s="59"/>
      <c r="W680" s="70">
        <v>0</v>
      </c>
      <c r="X680" s="70">
        <v>0</v>
      </c>
      <c r="Y680" s="70">
        <v>0</v>
      </c>
      <c r="Z680" s="38"/>
      <c r="AA680" s="40"/>
    </row>
    <row r="681" spans="1:27" s="2" customFormat="1" x14ac:dyDescent="0.2">
      <c r="A681" s="16" t="str">
        <f t="shared" si="23"/>
        <v>sexta-feira</v>
      </c>
      <c r="B681" s="17">
        <v>45240</v>
      </c>
      <c r="C681" s="19">
        <f t="shared" si="18"/>
        <v>0</v>
      </c>
      <c r="D681" s="52">
        <f>IFERROR(_xlfn.XLOOKUP($B:$B,'Estatísticos Mensais'!$A:$A,'Estatísticos Mensais'!C:C),0)</f>
        <v>0</v>
      </c>
      <c r="E681" s="52">
        <f>IFERROR(_xlfn.XLOOKUP($B:$B,'Estatísticos Mensais'!$A:$A,'Estatísticos Mensais'!D:D),0)</f>
        <v>0</v>
      </c>
      <c r="F681" s="157">
        <f>IFERROR(_xlfn.XLOOKUP($B:$B,'Estatísticos Mensais'!$A:$A,'Estatísticos Mensais'!E:E),0)</f>
        <v>0</v>
      </c>
      <c r="G681" s="157">
        <f>IFERROR(_xlfn.XLOOKUP($B:$B,'Estatísticos Mensais'!$A:$A,'Estatísticos Mensais'!F:F),0)</f>
        <v>0</v>
      </c>
      <c r="H681" s="35">
        <f t="shared" si="19"/>
        <v>0</v>
      </c>
      <c r="I681" s="19">
        <f t="shared" ca="1" si="20"/>
        <v>53.333333333333336</v>
      </c>
      <c r="J681" s="111">
        <f t="shared" ca="1" si="21"/>
        <v>0</v>
      </c>
      <c r="K681" s="53">
        <f>IFERROR(_xlfn.XLOOKUP($B:$B,Google!A:A,Google!B:B),0)</f>
        <v>0</v>
      </c>
      <c r="L681" s="54">
        <f t="shared" si="22"/>
        <v>0</v>
      </c>
      <c r="M681" s="59"/>
      <c r="N681" s="69">
        <f>IFERROR(VLOOKUP(B681,Tabela_Google[],3,),0)</f>
        <v>0</v>
      </c>
      <c r="O681" s="70">
        <f>SUMIF(Facebook!A:A,'Compilado 2023'!B:B,Facebook!B:B)</f>
        <v>0</v>
      </c>
      <c r="P681" s="71">
        <v>0</v>
      </c>
      <c r="Q681" s="70">
        <f ca="1">_xlfn.XLOOKUP(B:B,'E-mail'!A:A,'E-mail'!C:C)</f>
        <v>53.333333333333336</v>
      </c>
      <c r="R681" s="202">
        <f>IFERROR(VLOOKUP($B:$B,Tabela_Linkedin[],2,),0)</f>
        <v>0</v>
      </c>
      <c r="S681" s="70">
        <f>SUMIF(TikTok!A:A,'Compilado 2023'!B:B,TikTok!B:B)</f>
        <v>0</v>
      </c>
      <c r="T681" s="70">
        <v>0</v>
      </c>
      <c r="U681" s="70">
        <v>0</v>
      </c>
      <c r="V681" s="59"/>
      <c r="W681" s="70">
        <v>0</v>
      </c>
      <c r="X681" s="70">
        <v>0</v>
      </c>
      <c r="Y681" s="70">
        <v>0</v>
      </c>
      <c r="Z681" s="38"/>
      <c r="AA681" s="40"/>
    </row>
    <row r="682" spans="1:27" s="2" customFormat="1" x14ac:dyDescent="0.2">
      <c r="A682" s="16" t="str">
        <f t="shared" si="23"/>
        <v>sábado</v>
      </c>
      <c r="B682" s="17">
        <v>45241</v>
      </c>
      <c r="C682" s="19">
        <f t="shared" si="18"/>
        <v>0</v>
      </c>
      <c r="D682" s="52">
        <f>IFERROR(_xlfn.XLOOKUP($B:$B,'Estatísticos Mensais'!$A:$A,'Estatísticos Mensais'!C:C),0)</f>
        <v>0</v>
      </c>
      <c r="E682" s="52">
        <f>IFERROR(_xlfn.XLOOKUP($B:$B,'Estatísticos Mensais'!$A:$A,'Estatísticos Mensais'!D:D),0)</f>
        <v>0</v>
      </c>
      <c r="F682" s="157">
        <f>IFERROR(_xlfn.XLOOKUP($B:$B,'Estatísticos Mensais'!$A:$A,'Estatísticos Mensais'!E:E),0)</f>
        <v>0</v>
      </c>
      <c r="G682" s="157">
        <f>IFERROR(_xlfn.XLOOKUP($B:$B,'Estatísticos Mensais'!$A:$A,'Estatísticos Mensais'!F:F),0)</f>
        <v>0</v>
      </c>
      <c r="H682" s="35">
        <f t="shared" si="19"/>
        <v>0</v>
      </c>
      <c r="I682" s="19">
        <f t="shared" ca="1" si="20"/>
        <v>53.333333333333336</v>
      </c>
      <c r="J682" s="111">
        <f t="shared" ca="1" si="21"/>
        <v>0</v>
      </c>
      <c r="K682" s="53">
        <f>IFERROR(_xlfn.XLOOKUP($B:$B,Google!A:A,Google!B:B),0)</f>
        <v>0</v>
      </c>
      <c r="L682" s="54">
        <f t="shared" si="22"/>
        <v>0</v>
      </c>
      <c r="M682" s="59"/>
      <c r="N682" s="69">
        <f>IFERROR(VLOOKUP(B682,Tabela_Google[],3,),0)</f>
        <v>0</v>
      </c>
      <c r="O682" s="70">
        <f>SUMIF(Facebook!A:A,'Compilado 2023'!B:B,Facebook!B:B)</f>
        <v>0</v>
      </c>
      <c r="P682" s="71">
        <v>0</v>
      </c>
      <c r="Q682" s="70">
        <f ca="1">_xlfn.XLOOKUP(B:B,'E-mail'!A:A,'E-mail'!C:C)</f>
        <v>53.333333333333336</v>
      </c>
      <c r="R682" s="202">
        <f>IFERROR(VLOOKUP($B:$B,Tabela_Linkedin[],2,),0)</f>
        <v>0</v>
      </c>
      <c r="S682" s="70">
        <f>SUMIF(TikTok!A:A,'Compilado 2023'!B:B,TikTok!B:B)</f>
        <v>0</v>
      </c>
      <c r="T682" s="70">
        <v>0</v>
      </c>
      <c r="U682" s="70">
        <v>0</v>
      </c>
      <c r="V682" s="59"/>
      <c r="W682" s="70">
        <v>0</v>
      </c>
      <c r="X682" s="70">
        <v>0</v>
      </c>
      <c r="Y682" s="70">
        <v>0</v>
      </c>
      <c r="Z682" s="38"/>
      <c r="AA682" s="40"/>
    </row>
    <row r="683" spans="1:27" s="2" customFormat="1" x14ac:dyDescent="0.2">
      <c r="A683" s="16" t="str">
        <f t="shared" si="23"/>
        <v>domingo</v>
      </c>
      <c r="B683" s="17">
        <v>45242</v>
      </c>
      <c r="C683" s="19">
        <f t="shared" ref="C683:C714" si="24">D683+E683</f>
        <v>0</v>
      </c>
      <c r="D683" s="52">
        <f>IFERROR(_xlfn.XLOOKUP($B:$B,'Estatísticos Mensais'!$A:$A,'Estatísticos Mensais'!C:C),0)</f>
        <v>0</v>
      </c>
      <c r="E683" s="52">
        <f>IFERROR(_xlfn.XLOOKUP($B:$B,'Estatísticos Mensais'!$A:$A,'Estatísticos Mensais'!D:D),0)</f>
        <v>0</v>
      </c>
      <c r="F683" s="157">
        <f>IFERROR(_xlfn.XLOOKUP($B:$B,'Estatísticos Mensais'!$A:$A,'Estatísticos Mensais'!E:E),0)</f>
        <v>0</v>
      </c>
      <c r="G683" s="157">
        <f>IFERROR(_xlfn.XLOOKUP($B:$B,'Estatísticos Mensais'!$A:$A,'Estatísticos Mensais'!F:F),0)</f>
        <v>0</v>
      </c>
      <c r="H683" s="35">
        <f t="shared" si="19"/>
        <v>0</v>
      </c>
      <c r="I683" s="19">
        <f t="shared" ca="1" si="20"/>
        <v>53.333333333333336</v>
      </c>
      <c r="J683" s="111">
        <f t="shared" ca="1" si="21"/>
        <v>0</v>
      </c>
      <c r="K683" s="53">
        <f>IFERROR(_xlfn.XLOOKUP($B:$B,Google!A:A,Google!B:B),0)</f>
        <v>0</v>
      </c>
      <c r="L683" s="54">
        <f t="shared" si="22"/>
        <v>0</v>
      </c>
      <c r="M683" s="59"/>
      <c r="N683" s="69">
        <f>IFERROR(VLOOKUP(B683,Tabela_Google[],3,),0)</f>
        <v>0</v>
      </c>
      <c r="O683" s="70">
        <f>SUMIF(Facebook!A:A,'Compilado 2023'!B:B,Facebook!B:B)</f>
        <v>0</v>
      </c>
      <c r="P683" s="71">
        <v>0</v>
      </c>
      <c r="Q683" s="70">
        <f ca="1">_xlfn.XLOOKUP(B:B,'E-mail'!A:A,'E-mail'!C:C)</f>
        <v>53.333333333333336</v>
      </c>
      <c r="R683" s="202">
        <f>IFERROR(VLOOKUP($B:$B,Tabela_Linkedin[],2,),0)</f>
        <v>0</v>
      </c>
      <c r="S683" s="70">
        <f>SUMIF(TikTok!A:A,'Compilado 2023'!B:B,TikTok!B:B)</f>
        <v>0</v>
      </c>
      <c r="T683" s="70">
        <v>0</v>
      </c>
      <c r="U683" s="70">
        <v>0</v>
      </c>
      <c r="V683" s="59"/>
      <c r="W683" s="70">
        <v>0</v>
      </c>
      <c r="X683" s="70">
        <v>0</v>
      </c>
      <c r="Y683" s="70">
        <v>0</v>
      </c>
      <c r="Z683" s="38"/>
      <c r="AA683" s="40"/>
    </row>
    <row r="684" spans="1:27" s="2" customFormat="1" x14ac:dyDescent="0.2">
      <c r="A684" s="16" t="str">
        <f t="shared" si="23"/>
        <v>segunda-feira</v>
      </c>
      <c r="B684" s="17">
        <v>45243</v>
      </c>
      <c r="C684" s="19">
        <f t="shared" si="24"/>
        <v>0</v>
      </c>
      <c r="D684" s="52">
        <f>IFERROR(_xlfn.XLOOKUP($B:$B,'Estatísticos Mensais'!$A:$A,'Estatísticos Mensais'!C:C),0)</f>
        <v>0</v>
      </c>
      <c r="E684" s="52">
        <f>IFERROR(_xlfn.XLOOKUP($B:$B,'Estatísticos Mensais'!$A:$A,'Estatísticos Mensais'!D:D),0)</f>
        <v>0</v>
      </c>
      <c r="F684" s="157">
        <f>IFERROR(_xlfn.XLOOKUP($B:$B,'Estatísticos Mensais'!$A:$A,'Estatísticos Mensais'!E:E),0)</f>
        <v>0</v>
      </c>
      <c r="G684" s="157">
        <f>IFERROR(_xlfn.XLOOKUP($B:$B,'Estatísticos Mensais'!$A:$A,'Estatísticos Mensais'!F:F),0)</f>
        <v>0</v>
      </c>
      <c r="H684" s="35">
        <f t="shared" si="19"/>
        <v>0</v>
      </c>
      <c r="I684" s="19">
        <f t="shared" ca="1" si="20"/>
        <v>53.333333333333336</v>
      </c>
      <c r="J684" s="111">
        <f t="shared" ca="1" si="21"/>
        <v>0</v>
      </c>
      <c r="K684" s="53">
        <f>IFERROR(_xlfn.XLOOKUP($B:$B,Google!A:A,Google!B:B),0)</f>
        <v>0</v>
      </c>
      <c r="L684" s="54">
        <f t="shared" si="22"/>
        <v>0</v>
      </c>
      <c r="M684" s="59"/>
      <c r="N684" s="69">
        <f>IFERROR(VLOOKUP(B684,Tabela_Google[],3,),0)</f>
        <v>0</v>
      </c>
      <c r="O684" s="70">
        <f>SUMIF(Facebook!A:A,'Compilado 2023'!B:B,Facebook!B:B)</f>
        <v>0</v>
      </c>
      <c r="P684" s="71">
        <v>0</v>
      </c>
      <c r="Q684" s="70">
        <f ca="1">_xlfn.XLOOKUP(B:B,'E-mail'!A:A,'E-mail'!C:C)</f>
        <v>53.333333333333336</v>
      </c>
      <c r="R684" s="202">
        <f>IFERROR(VLOOKUP($B:$B,Tabela_Linkedin[],2,),0)</f>
        <v>0</v>
      </c>
      <c r="S684" s="70">
        <f>SUMIF(TikTok!A:A,'Compilado 2023'!B:B,TikTok!B:B)</f>
        <v>0</v>
      </c>
      <c r="T684" s="70">
        <v>0</v>
      </c>
      <c r="U684" s="70">
        <v>0</v>
      </c>
      <c r="V684" s="59"/>
      <c r="W684" s="70">
        <v>0</v>
      </c>
      <c r="X684" s="70">
        <v>0</v>
      </c>
      <c r="Y684" s="70">
        <v>0</v>
      </c>
      <c r="Z684" s="38"/>
      <c r="AA684" s="40"/>
    </row>
    <row r="685" spans="1:27" s="2" customFormat="1" x14ac:dyDescent="0.2">
      <c r="A685" s="16" t="str">
        <f t="shared" si="23"/>
        <v>terça-feira</v>
      </c>
      <c r="B685" s="17">
        <v>45244</v>
      </c>
      <c r="C685" s="19">
        <f t="shared" si="24"/>
        <v>0</v>
      </c>
      <c r="D685" s="52">
        <f>IFERROR(_xlfn.XLOOKUP($B:$B,'Estatísticos Mensais'!$A:$A,'Estatísticos Mensais'!C:C),0)</f>
        <v>0</v>
      </c>
      <c r="E685" s="52">
        <f>IFERROR(_xlfn.XLOOKUP($B:$B,'Estatísticos Mensais'!$A:$A,'Estatísticos Mensais'!D:D),0)</f>
        <v>0</v>
      </c>
      <c r="F685" s="157">
        <f>IFERROR(_xlfn.XLOOKUP($B:$B,'Estatísticos Mensais'!$A:$A,'Estatísticos Mensais'!E:E),0)</f>
        <v>0</v>
      </c>
      <c r="G685" s="157">
        <f>IFERROR(_xlfn.XLOOKUP($B:$B,'Estatísticos Mensais'!$A:$A,'Estatísticos Mensais'!F:F),0)</f>
        <v>0</v>
      </c>
      <c r="H685" s="35">
        <f t="shared" si="19"/>
        <v>0</v>
      </c>
      <c r="I685" s="19">
        <f t="shared" ca="1" si="20"/>
        <v>53.333333333333336</v>
      </c>
      <c r="J685" s="111">
        <f t="shared" ca="1" si="21"/>
        <v>0</v>
      </c>
      <c r="K685" s="53">
        <f>IFERROR(_xlfn.XLOOKUP($B:$B,Google!A:A,Google!B:B),0)</f>
        <v>0</v>
      </c>
      <c r="L685" s="54">
        <f t="shared" si="22"/>
        <v>0</v>
      </c>
      <c r="M685" s="59"/>
      <c r="N685" s="69">
        <f>IFERROR(VLOOKUP(B685,Tabela_Google[],3,),0)</f>
        <v>0</v>
      </c>
      <c r="O685" s="70">
        <f>SUMIF(Facebook!A:A,'Compilado 2023'!B:B,Facebook!B:B)</f>
        <v>0</v>
      </c>
      <c r="P685" s="71">
        <v>0</v>
      </c>
      <c r="Q685" s="70">
        <f ca="1">_xlfn.XLOOKUP(B:B,'E-mail'!A:A,'E-mail'!C:C)</f>
        <v>53.333333333333336</v>
      </c>
      <c r="R685" s="202">
        <f>IFERROR(VLOOKUP($B:$B,Tabela_Linkedin[],2,),0)</f>
        <v>0</v>
      </c>
      <c r="S685" s="70">
        <f>SUMIF(TikTok!A:A,'Compilado 2023'!B:B,TikTok!B:B)</f>
        <v>0</v>
      </c>
      <c r="T685" s="70">
        <v>0</v>
      </c>
      <c r="U685" s="70">
        <v>0</v>
      </c>
      <c r="V685" s="59"/>
      <c r="W685" s="70">
        <v>0</v>
      </c>
      <c r="X685" s="70">
        <v>0</v>
      </c>
      <c r="Y685" s="70">
        <v>0</v>
      </c>
      <c r="Z685" s="38"/>
      <c r="AA685" s="40"/>
    </row>
    <row r="686" spans="1:27" s="2" customFormat="1" x14ac:dyDescent="0.2">
      <c r="A686" s="16" t="str">
        <f t="shared" si="23"/>
        <v>quarta-feira</v>
      </c>
      <c r="B686" s="17">
        <v>45245</v>
      </c>
      <c r="C686" s="19">
        <f t="shared" si="24"/>
        <v>0</v>
      </c>
      <c r="D686" s="52">
        <f>IFERROR(_xlfn.XLOOKUP($B:$B,'Estatísticos Mensais'!$A:$A,'Estatísticos Mensais'!C:C),0)</f>
        <v>0</v>
      </c>
      <c r="E686" s="52">
        <f>IFERROR(_xlfn.XLOOKUP($B:$B,'Estatísticos Mensais'!$A:$A,'Estatísticos Mensais'!D:D),0)</f>
        <v>0</v>
      </c>
      <c r="F686" s="157">
        <f>IFERROR(_xlfn.XLOOKUP($B:$B,'Estatísticos Mensais'!$A:$A,'Estatísticos Mensais'!E:E),0)</f>
        <v>0</v>
      </c>
      <c r="G686" s="157">
        <f>IFERROR(_xlfn.XLOOKUP($B:$B,'Estatísticos Mensais'!$A:$A,'Estatísticos Mensais'!F:F),0)</f>
        <v>0</v>
      </c>
      <c r="H686" s="35">
        <f t="shared" ref="H686:H717" si="25">IFERROR(C686/F686,0)</f>
        <v>0</v>
      </c>
      <c r="I686" s="19">
        <f t="shared" ref="I686:I717" ca="1" si="26">SUM(N686:U686)</f>
        <v>53.333333333333336</v>
      </c>
      <c r="J686" s="111">
        <f t="shared" ref="J686:J717" ca="1" si="27">IF(I686&gt;0,C686/I686,0)</f>
        <v>0</v>
      </c>
      <c r="K686" s="53">
        <f>IFERROR(_xlfn.XLOOKUP($B:$B,Google!A:A,Google!B:B),0)</f>
        <v>0</v>
      </c>
      <c r="L686" s="54">
        <f t="shared" ref="L686:L717" si="28">IFERROR(F686/K686,0)</f>
        <v>0</v>
      </c>
      <c r="M686" s="59"/>
      <c r="N686" s="69">
        <f>IFERROR(VLOOKUP(B686,Tabela_Google[],3,),0)</f>
        <v>0</v>
      </c>
      <c r="O686" s="70">
        <f>SUMIF(Facebook!A:A,'Compilado 2023'!B:B,Facebook!B:B)</f>
        <v>0</v>
      </c>
      <c r="P686" s="71">
        <v>0</v>
      </c>
      <c r="Q686" s="70">
        <f ca="1">_xlfn.XLOOKUP(B:B,'E-mail'!A:A,'E-mail'!C:C)</f>
        <v>53.333333333333336</v>
      </c>
      <c r="R686" s="202">
        <f>IFERROR(VLOOKUP($B:$B,Tabela_Linkedin[],2,),0)</f>
        <v>0</v>
      </c>
      <c r="S686" s="70">
        <f>SUMIF(TikTok!A:A,'Compilado 2023'!B:B,TikTok!B:B)</f>
        <v>0</v>
      </c>
      <c r="T686" s="70">
        <v>0</v>
      </c>
      <c r="U686" s="70">
        <v>0</v>
      </c>
      <c r="V686" s="59"/>
      <c r="W686" s="70">
        <v>0</v>
      </c>
      <c r="X686" s="70">
        <v>0</v>
      </c>
      <c r="Y686" s="70">
        <v>0</v>
      </c>
      <c r="Z686" s="38"/>
      <c r="AA686" s="40"/>
    </row>
    <row r="687" spans="1:27" s="2" customFormat="1" x14ac:dyDescent="0.2">
      <c r="A687" s="16" t="str">
        <f t="shared" si="23"/>
        <v>quinta-feira</v>
      </c>
      <c r="B687" s="17">
        <v>45246</v>
      </c>
      <c r="C687" s="19">
        <f t="shared" si="24"/>
        <v>0</v>
      </c>
      <c r="D687" s="52">
        <f>IFERROR(_xlfn.XLOOKUP($B:$B,'Estatísticos Mensais'!$A:$A,'Estatísticos Mensais'!C:C),0)</f>
        <v>0</v>
      </c>
      <c r="E687" s="52">
        <f>IFERROR(_xlfn.XLOOKUP($B:$B,'Estatísticos Mensais'!$A:$A,'Estatísticos Mensais'!D:D),0)</f>
        <v>0</v>
      </c>
      <c r="F687" s="157">
        <f>IFERROR(_xlfn.XLOOKUP($B:$B,'Estatísticos Mensais'!$A:$A,'Estatísticos Mensais'!E:E),0)</f>
        <v>0</v>
      </c>
      <c r="G687" s="157">
        <f>IFERROR(_xlfn.XLOOKUP($B:$B,'Estatísticos Mensais'!$A:$A,'Estatísticos Mensais'!F:F),0)</f>
        <v>0</v>
      </c>
      <c r="H687" s="35">
        <f t="shared" si="25"/>
        <v>0</v>
      </c>
      <c r="I687" s="19">
        <f t="shared" ca="1" si="26"/>
        <v>53.333333333333336</v>
      </c>
      <c r="J687" s="111">
        <f t="shared" ca="1" si="27"/>
        <v>0</v>
      </c>
      <c r="K687" s="53">
        <f>IFERROR(_xlfn.XLOOKUP($B:$B,Google!A:A,Google!B:B),0)</f>
        <v>0</v>
      </c>
      <c r="L687" s="54">
        <f t="shared" si="28"/>
        <v>0</v>
      </c>
      <c r="M687" s="59"/>
      <c r="N687" s="69">
        <f>IFERROR(VLOOKUP(B687,Tabela_Google[],3,),0)</f>
        <v>0</v>
      </c>
      <c r="O687" s="70">
        <f>SUMIF(Facebook!A:A,'Compilado 2023'!B:B,Facebook!B:B)</f>
        <v>0</v>
      </c>
      <c r="P687" s="71">
        <v>0</v>
      </c>
      <c r="Q687" s="70">
        <f ca="1">_xlfn.XLOOKUP(B:B,'E-mail'!A:A,'E-mail'!C:C)</f>
        <v>53.333333333333336</v>
      </c>
      <c r="R687" s="202">
        <f>IFERROR(VLOOKUP($B:$B,Tabela_Linkedin[],2,),0)</f>
        <v>0</v>
      </c>
      <c r="S687" s="70">
        <f>SUMIF(TikTok!A:A,'Compilado 2023'!B:B,TikTok!B:B)</f>
        <v>0</v>
      </c>
      <c r="T687" s="70">
        <v>0</v>
      </c>
      <c r="U687" s="70">
        <v>0</v>
      </c>
      <c r="V687" s="59"/>
      <c r="W687" s="70">
        <v>0</v>
      </c>
      <c r="X687" s="70">
        <v>0</v>
      </c>
      <c r="Y687" s="70">
        <v>0</v>
      </c>
      <c r="Z687" s="38"/>
      <c r="AA687" s="40"/>
    </row>
    <row r="688" spans="1:27" s="2" customFormat="1" x14ac:dyDescent="0.2">
      <c r="A688" s="16" t="str">
        <f t="shared" si="23"/>
        <v>sexta-feira</v>
      </c>
      <c r="B688" s="17">
        <v>45247</v>
      </c>
      <c r="C688" s="19">
        <f t="shared" si="24"/>
        <v>0</v>
      </c>
      <c r="D688" s="52">
        <f>IFERROR(_xlfn.XLOOKUP($B:$B,'Estatísticos Mensais'!$A:$A,'Estatísticos Mensais'!C:C),0)</f>
        <v>0</v>
      </c>
      <c r="E688" s="52">
        <f>IFERROR(_xlfn.XLOOKUP($B:$B,'Estatísticos Mensais'!$A:$A,'Estatísticos Mensais'!D:D),0)</f>
        <v>0</v>
      </c>
      <c r="F688" s="157">
        <f>IFERROR(_xlfn.XLOOKUP($B:$B,'Estatísticos Mensais'!$A:$A,'Estatísticos Mensais'!E:E),0)</f>
        <v>0</v>
      </c>
      <c r="G688" s="157">
        <f>IFERROR(_xlfn.XLOOKUP($B:$B,'Estatísticos Mensais'!$A:$A,'Estatísticos Mensais'!F:F),0)</f>
        <v>0</v>
      </c>
      <c r="H688" s="35">
        <f t="shared" si="25"/>
        <v>0</v>
      </c>
      <c r="I688" s="19">
        <f t="shared" ca="1" si="26"/>
        <v>53.333333333333336</v>
      </c>
      <c r="J688" s="111">
        <f t="shared" ca="1" si="27"/>
        <v>0</v>
      </c>
      <c r="K688" s="53">
        <f>IFERROR(_xlfn.XLOOKUP($B:$B,Google!A:A,Google!B:B),0)</f>
        <v>0</v>
      </c>
      <c r="L688" s="54">
        <f t="shared" si="28"/>
        <v>0</v>
      </c>
      <c r="M688" s="59"/>
      <c r="N688" s="69">
        <f>IFERROR(VLOOKUP(B688,Tabela_Google[],3,),0)</f>
        <v>0</v>
      </c>
      <c r="O688" s="70">
        <f>SUMIF(Facebook!A:A,'Compilado 2023'!B:B,Facebook!B:B)</f>
        <v>0</v>
      </c>
      <c r="P688" s="71">
        <v>0</v>
      </c>
      <c r="Q688" s="70">
        <f ca="1">_xlfn.XLOOKUP(B:B,'E-mail'!A:A,'E-mail'!C:C)</f>
        <v>53.333333333333336</v>
      </c>
      <c r="R688" s="202">
        <f>IFERROR(VLOOKUP($B:$B,Tabela_Linkedin[],2,),0)</f>
        <v>0</v>
      </c>
      <c r="S688" s="70">
        <f>SUMIF(TikTok!A:A,'Compilado 2023'!B:B,TikTok!B:B)</f>
        <v>0</v>
      </c>
      <c r="T688" s="70">
        <v>0</v>
      </c>
      <c r="U688" s="70">
        <v>0</v>
      </c>
      <c r="V688" s="59"/>
      <c r="W688" s="70">
        <v>0</v>
      </c>
      <c r="X688" s="70">
        <v>0</v>
      </c>
      <c r="Y688" s="70">
        <v>0</v>
      </c>
      <c r="Z688" s="38"/>
      <c r="AA688" s="40"/>
    </row>
    <row r="689" spans="1:27" s="2" customFormat="1" x14ac:dyDescent="0.2">
      <c r="A689" s="16" t="str">
        <f t="shared" si="23"/>
        <v>sábado</v>
      </c>
      <c r="B689" s="17">
        <v>45248</v>
      </c>
      <c r="C689" s="19">
        <f t="shared" si="24"/>
        <v>0</v>
      </c>
      <c r="D689" s="52">
        <f>IFERROR(_xlfn.XLOOKUP($B:$B,'Estatísticos Mensais'!$A:$A,'Estatísticos Mensais'!C:C),0)</f>
        <v>0</v>
      </c>
      <c r="E689" s="52">
        <f>IFERROR(_xlfn.XLOOKUP($B:$B,'Estatísticos Mensais'!$A:$A,'Estatísticos Mensais'!D:D),0)</f>
        <v>0</v>
      </c>
      <c r="F689" s="157">
        <f>IFERROR(_xlfn.XLOOKUP($B:$B,'Estatísticos Mensais'!$A:$A,'Estatísticos Mensais'!E:E),0)</f>
        <v>0</v>
      </c>
      <c r="G689" s="157">
        <f>IFERROR(_xlfn.XLOOKUP($B:$B,'Estatísticos Mensais'!$A:$A,'Estatísticos Mensais'!F:F),0)</f>
        <v>0</v>
      </c>
      <c r="H689" s="35">
        <f t="shared" si="25"/>
        <v>0</v>
      </c>
      <c r="I689" s="19">
        <f t="shared" ca="1" si="26"/>
        <v>53.333333333333336</v>
      </c>
      <c r="J689" s="111">
        <f t="shared" ca="1" si="27"/>
        <v>0</v>
      </c>
      <c r="K689" s="53">
        <f>IFERROR(_xlfn.XLOOKUP($B:$B,Google!A:A,Google!B:B),0)</f>
        <v>0</v>
      </c>
      <c r="L689" s="54">
        <f t="shared" si="28"/>
        <v>0</v>
      </c>
      <c r="M689" s="59"/>
      <c r="N689" s="69">
        <f>IFERROR(VLOOKUP(B689,Tabela_Google[],3,),0)</f>
        <v>0</v>
      </c>
      <c r="O689" s="70">
        <f>SUMIF(Facebook!A:A,'Compilado 2023'!B:B,Facebook!B:B)</f>
        <v>0</v>
      </c>
      <c r="P689" s="71">
        <v>0</v>
      </c>
      <c r="Q689" s="70">
        <f ca="1">_xlfn.XLOOKUP(B:B,'E-mail'!A:A,'E-mail'!C:C)</f>
        <v>53.333333333333336</v>
      </c>
      <c r="R689" s="202">
        <f>IFERROR(VLOOKUP($B:$B,Tabela_Linkedin[],2,),0)</f>
        <v>0</v>
      </c>
      <c r="S689" s="70">
        <f>SUMIF(TikTok!A:A,'Compilado 2023'!B:B,TikTok!B:B)</f>
        <v>0</v>
      </c>
      <c r="T689" s="70">
        <v>0</v>
      </c>
      <c r="U689" s="70">
        <v>0</v>
      </c>
      <c r="V689" s="59"/>
      <c r="W689" s="70">
        <v>0</v>
      </c>
      <c r="X689" s="70">
        <v>0</v>
      </c>
      <c r="Y689" s="70">
        <v>0</v>
      </c>
      <c r="Z689" s="38"/>
      <c r="AA689" s="40"/>
    </row>
    <row r="690" spans="1:27" s="2" customFormat="1" x14ac:dyDescent="0.2">
      <c r="A690" s="16" t="str">
        <f t="shared" si="23"/>
        <v>domingo</v>
      </c>
      <c r="B690" s="17">
        <v>45249</v>
      </c>
      <c r="C690" s="19">
        <f t="shared" si="24"/>
        <v>0</v>
      </c>
      <c r="D690" s="52">
        <f>IFERROR(_xlfn.XLOOKUP($B:$B,'Estatísticos Mensais'!$A:$A,'Estatísticos Mensais'!C:C),0)</f>
        <v>0</v>
      </c>
      <c r="E690" s="52">
        <f>IFERROR(_xlfn.XLOOKUP($B:$B,'Estatísticos Mensais'!$A:$A,'Estatísticos Mensais'!D:D),0)</f>
        <v>0</v>
      </c>
      <c r="F690" s="157">
        <f>IFERROR(_xlfn.XLOOKUP($B:$B,'Estatísticos Mensais'!$A:$A,'Estatísticos Mensais'!E:E),0)</f>
        <v>0</v>
      </c>
      <c r="G690" s="157">
        <f>IFERROR(_xlfn.XLOOKUP($B:$B,'Estatísticos Mensais'!$A:$A,'Estatísticos Mensais'!F:F),0)</f>
        <v>0</v>
      </c>
      <c r="H690" s="35">
        <f t="shared" si="25"/>
        <v>0</v>
      </c>
      <c r="I690" s="19">
        <f t="shared" ca="1" si="26"/>
        <v>53.333333333333336</v>
      </c>
      <c r="J690" s="111">
        <f t="shared" ca="1" si="27"/>
        <v>0</v>
      </c>
      <c r="K690" s="53">
        <f>IFERROR(_xlfn.XLOOKUP($B:$B,Google!A:A,Google!B:B),0)</f>
        <v>0</v>
      </c>
      <c r="L690" s="54">
        <f t="shared" si="28"/>
        <v>0</v>
      </c>
      <c r="M690" s="59"/>
      <c r="N690" s="69">
        <f>IFERROR(VLOOKUP(B690,Tabela_Google[],3,),0)</f>
        <v>0</v>
      </c>
      <c r="O690" s="70">
        <f>SUMIF(Facebook!A:A,'Compilado 2023'!B:B,Facebook!B:B)</f>
        <v>0</v>
      </c>
      <c r="P690" s="71">
        <v>0</v>
      </c>
      <c r="Q690" s="70">
        <f ca="1">_xlfn.XLOOKUP(B:B,'E-mail'!A:A,'E-mail'!C:C)</f>
        <v>53.333333333333336</v>
      </c>
      <c r="R690" s="202">
        <f>IFERROR(VLOOKUP($B:$B,Tabela_Linkedin[],2,),0)</f>
        <v>0</v>
      </c>
      <c r="S690" s="70">
        <f>SUMIF(TikTok!A:A,'Compilado 2023'!B:B,TikTok!B:B)</f>
        <v>0</v>
      </c>
      <c r="T690" s="70">
        <v>0</v>
      </c>
      <c r="U690" s="70">
        <v>0</v>
      </c>
      <c r="V690" s="59"/>
      <c r="W690" s="70">
        <v>0</v>
      </c>
      <c r="X690" s="70">
        <v>0</v>
      </c>
      <c r="Y690" s="70">
        <v>0</v>
      </c>
      <c r="Z690" s="38"/>
      <c r="AA690" s="40"/>
    </row>
    <row r="691" spans="1:27" s="2" customFormat="1" x14ac:dyDescent="0.2">
      <c r="A691" s="16" t="str">
        <f t="shared" si="23"/>
        <v>segunda-feira</v>
      </c>
      <c r="B691" s="17">
        <v>45250</v>
      </c>
      <c r="C691" s="19">
        <f t="shared" si="24"/>
        <v>0</v>
      </c>
      <c r="D691" s="52">
        <f>IFERROR(_xlfn.XLOOKUP($B:$B,'Estatísticos Mensais'!$A:$A,'Estatísticos Mensais'!C:C),0)</f>
        <v>0</v>
      </c>
      <c r="E691" s="52">
        <f>IFERROR(_xlfn.XLOOKUP($B:$B,'Estatísticos Mensais'!$A:$A,'Estatísticos Mensais'!D:D),0)</f>
        <v>0</v>
      </c>
      <c r="F691" s="157">
        <f>IFERROR(_xlfn.XLOOKUP($B:$B,'Estatísticos Mensais'!$A:$A,'Estatísticos Mensais'!E:E),0)</f>
        <v>0</v>
      </c>
      <c r="G691" s="157">
        <f>IFERROR(_xlfn.XLOOKUP($B:$B,'Estatísticos Mensais'!$A:$A,'Estatísticos Mensais'!F:F),0)</f>
        <v>0</v>
      </c>
      <c r="H691" s="35">
        <f t="shared" si="25"/>
        <v>0</v>
      </c>
      <c r="I691" s="19">
        <f t="shared" ca="1" si="26"/>
        <v>53.333333333333336</v>
      </c>
      <c r="J691" s="111">
        <f t="shared" ca="1" si="27"/>
        <v>0</v>
      </c>
      <c r="K691" s="53">
        <f>IFERROR(_xlfn.XLOOKUP($B:$B,Google!A:A,Google!B:B),0)</f>
        <v>0</v>
      </c>
      <c r="L691" s="54">
        <f t="shared" si="28"/>
        <v>0</v>
      </c>
      <c r="M691" s="59"/>
      <c r="N691" s="69">
        <f>IFERROR(VLOOKUP(B691,Tabela_Google[],3,),0)</f>
        <v>0</v>
      </c>
      <c r="O691" s="70">
        <f>SUMIF(Facebook!A:A,'Compilado 2023'!B:B,Facebook!B:B)</f>
        <v>0</v>
      </c>
      <c r="P691" s="71">
        <v>0</v>
      </c>
      <c r="Q691" s="70">
        <f ca="1">_xlfn.XLOOKUP(B:B,'E-mail'!A:A,'E-mail'!C:C)</f>
        <v>53.333333333333336</v>
      </c>
      <c r="R691" s="202">
        <f>IFERROR(VLOOKUP($B:$B,Tabela_Linkedin[],2,),0)</f>
        <v>0</v>
      </c>
      <c r="S691" s="70">
        <f>SUMIF(TikTok!A:A,'Compilado 2023'!B:B,TikTok!B:B)</f>
        <v>0</v>
      </c>
      <c r="T691" s="70">
        <v>0</v>
      </c>
      <c r="U691" s="70">
        <v>0</v>
      </c>
      <c r="V691" s="59"/>
      <c r="W691" s="70">
        <v>0</v>
      </c>
      <c r="X691" s="70">
        <v>0</v>
      </c>
      <c r="Y691" s="70">
        <v>0</v>
      </c>
      <c r="Z691" s="38"/>
      <c r="AA691" s="40"/>
    </row>
    <row r="692" spans="1:27" s="2" customFormat="1" x14ac:dyDescent="0.2">
      <c r="A692" s="16" t="str">
        <f t="shared" si="23"/>
        <v>terça-feira</v>
      </c>
      <c r="B692" s="17">
        <v>45251</v>
      </c>
      <c r="C692" s="19">
        <f t="shared" si="24"/>
        <v>0</v>
      </c>
      <c r="D692" s="52">
        <f>IFERROR(_xlfn.XLOOKUP($B:$B,'Estatísticos Mensais'!$A:$A,'Estatísticos Mensais'!C:C),0)</f>
        <v>0</v>
      </c>
      <c r="E692" s="52">
        <f>IFERROR(_xlfn.XLOOKUP($B:$B,'Estatísticos Mensais'!$A:$A,'Estatísticos Mensais'!D:D),0)</f>
        <v>0</v>
      </c>
      <c r="F692" s="157">
        <f>IFERROR(_xlfn.XLOOKUP($B:$B,'Estatísticos Mensais'!$A:$A,'Estatísticos Mensais'!E:E),0)</f>
        <v>0</v>
      </c>
      <c r="G692" s="157">
        <f>IFERROR(_xlfn.XLOOKUP($B:$B,'Estatísticos Mensais'!$A:$A,'Estatísticos Mensais'!F:F),0)</f>
        <v>0</v>
      </c>
      <c r="H692" s="35">
        <f t="shared" si="25"/>
        <v>0</v>
      </c>
      <c r="I692" s="19">
        <f t="shared" ca="1" si="26"/>
        <v>53.333333333333336</v>
      </c>
      <c r="J692" s="111">
        <f t="shared" ca="1" si="27"/>
        <v>0</v>
      </c>
      <c r="K692" s="53">
        <f>IFERROR(_xlfn.XLOOKUP($B:$B,Google!A:A,Google!B:B),0)</f>
        <v>0</v>
      </c>
      <c r="L692" s="54">
        <f t="shared" si="28"/>
        <v>0</v>
      </c>
      <c r="M692" s="59"/>
      <c r="N692" s="69">
        <f>IFERROR(VLOOKUP(B692,Tabela_Google[],3,),0)</f>
        <v>0</v>
      </c>
      <c r="O692" s="70">
        <f>SUMIF(Facebook!A:A,'Compilado 2023'!B:B,Facebook!B:B)</f>
        <v>0</v>
      </c>
      <c r="P692" s="71">
        <v>0</v>
      </c>
      <c r="Q692" s="70">
        <f ca="1">_xlfn.XLOOKUP(B:B,'E-mail'!A:A,'E-mail'!C:C)</f>
        <v>53.333333333333336</v>
      </c>
      <c r="R692" s="202">
        <f>IFERROR(VLOOKUP($B:$B,Tabela_Linkedin[],2,),0)</f>
        <v>0</v>
      </c>
      <c r="S692" s="70">
        <f>SUMIF(TikTok!A:A,'Compilado 2023'!B:B,TikTok!B:B)</f>
        <v>0</v>
      </c>
      <c r="T692" s="70">
        <v>0</v>
      </c>
      <c r="U692" s="70">
        <v>0</v>
      </c>
      <c r="V692" s="59"/>
      <c r="W692" s="70">
        <v>0</v>
      </c>
      <c r="X692" s="70">
        <v>0</v>
      </c>
      <c r="Y692" s="70">
        <v>0</v>
      </c>
      <c r="Z692" s="38"/>
      <c r="AA692" s="40"/>
    </row>
    <row r="693" spans="1:27" s="2" customFormat="1" x14ac:dyDescent="0.2">
      <c r="A693" s="16" t="str">
        <f t="shared" si="23"/>
        <v>quarta-feira</v>
      </c>
      <c r="B693" s="17">
        <v>45252</v>
      </c>
      <c r="C693" s="19">
        <f t="shared" si="24"/>
        <v>0</v>
      </c>
      <c r="D693" s="52">
        <f>IFERROR(_xlfn.XLOOKUP($B:$B,'Estatísticos Mensais'!$A:$A,'Estatísticos Mensais'!C:C),0)</f>
        <v>0</v>
      </c>
      <c r="E693" s="52">
        <f>IFERROR(_xlfn.XLOOKUP($B:$B,'Estatísticos Mensais'!$A:$A,'Estatísticos Mensais'!D:D),0)</f>
        <v>0</v>
      </c>
      <c r="F693" s="157">
        <f>IFERROR(_xlfn.XLOOKUP($B:$B,'Estatísticos Mensais'!$A:$A,'Estatísticos Mensais'!E:E),0)</f>
        <v>0</v>
      </c>
      <c r="G693" s="157">
        <f>IFERROR(_xlfn.XLOOKUP($B:$B,'Estatísticos Mensais'!$A:$A,'Estatísticos Mensais'!F:F),0)</f>
        <v>0</v>
      </c>
      <c r="H693" s="35">
        <f t="shared" si="25"/>
        <v>0</v>
      </c>
      <c r="I693" s="19">
        <f t="shared" ca="1" si="26"/>
        <v>53.333333333333336</v>
      </c>
      <c r="J693" s="111">
        <f t="shared" ca="1" si="27"/>
        <v>0</v>
      </c>
      <c r="K693" s="53">
        <f>IFERROR(_xlfn.XLOOKUP($B:$B,Google!A:A,Google!B:B),0)</f>
        <v>0</v>
      </c>
      <c r="L693" s="54">
        <f t="shared" si="28"/>
        <v>0</v>
      </c>
      <c r="M693" s="59"/>
      <c r="N693" s="69">
        <f>IFERROR(VLOOKUP(B693,Tabela_Google[],3,),0)</f>
        <v>0</v>
      </c>
      <c r="O693" s="70">
        <f>SUMIF(Facebook!A:A,'Compilado 2023'!B:B,Facebook!B:B)</f>
        <v>0</v>
      </c>
      <c r="P693" s="71">
        <v>0</v>
      </c>
      <c r="Q693" s="70">
        <f ca="1">_xlfn.XLOOKUP(B:B,'E-mail'!A:A,'E-mail'!C:C)</f>
        <v>53.333333333333336</v>
      </c>
      <c r="R693" s="202">
        <f>IFERROR(VLOOKUP($B:$B,Tabela_Linkedin[],2,),0)</f>
        <v>0</v>
      </c>
      <c r="S693" s="70">
        <f>SUMIF(TikTok!A:A,'Compilado 2023'!B:B,TikTok!B:B)</f>
        <v>0</v>
      </c>
      <c r="T693" s="70">
        <v>0</v>
      </c>
      <c r="U693" s="70">
        <v>0</v>
      </c>
      <c r="V693" s="59"/>
      <c r="W693" s="70">
        <v>0</v>
      </c>
      <c r="X693" s="70">
        <v>0</v>
      </c>
      <c r="Y693" s="70">
        <v>0</v>
      </c>
      <c r="Z693" s="38"/>
      <c r="AA693" s="40"/>
    </row>
    <row r="694" spans="1:27" s="2" customFormat="1" x14ac:dyDescent="0.2">
      <c r="A694" s="16" t="str">
        <f t="shared" si="23"/>
        <v>quinta-feira</v>
      </c>
      <c r="B694" s="17">
        <v>45253</v>
      </c>
      <c r="C694" s="19">
        <f t="shared" si="24"/>
        <v>0</v>
      </c>
      <c r="D694" s="52">
        <f>IFERROR(_xlfn.XLOOKUP($B:$B,'Estatísticos Mensais'!$A:$A,'Estatísticos Mensais'!C:C),0)</f>
        <v>0</v>
      </c>
      <c r="E694" s="52">
        <f>IFERROR(_xlfn.XLOOKUP($B:$B,'Estatísticos Mensais'!$A:$A,'Estatísticos Mensais'!D:D),0)</f>
        <v>0</v>
      </c>
      <c r="F694" s="157">
        <f>IFERROR(_xlfn.XLOOKUP($B:$B,'Estatísticos Mensais'!$A:$A,'Estatísticos Mensais'!E:E),0)</f>
        <v>0</v>
      </c>
      <c r="G694" s="157">
        <f>IFERROR(_xlfn.XLOOKUP($B:$B,'Estatísticos Mensais'!$A:$A,'Estatísticos Mensais'!F:F),0)</f>
        <v>0</v>
      </c>
      <c r="H694" s="35">
        <f t="shared" si="25"/>
        <v>0</v>
      </c>
      <c r="I694" s="19">
        <f t="shared" ca="1" si="26"/>
        <v>53.333333333333336</v>
      </c>
      <c r="J694" s="111">
        <f t="shared" ca="1" si="27"/>
        <v>0</v>
      </c>
      <c r="K694" s="53">
        <f>IFERROR(_xlfn.XLOOKUP($B:$B,Google!A:A,Google!B:B),0)</f>
        <v>0</v>
      </c>
      <c r="L694" s="54">
        <f t="shared" si="28"/>
        <v>0</v>
      </c>
      <c r="M694" s="59"/>
      <c r="N694" s="69">
        <f>IFERROR(VLOOKUP(B694,Tabela_Google[],3,),0)</f>
        <v>0</v>
      </c>
      <c r="O694" s="70">
        <f>SUMIF(Facebook!A:A,'Compilado 2023'!B:B,Facebook!B:B)</f>
        <v>0</v>
      </c>
      <c r="P694" s="71">
        <v>0</v>
      </c>
      <c r="Q694" s="70">
        <f ca="1">_xlfn.XLOOKUP(B:B,'E-mail'!A:A,'E-mail'!C:C)</f>
        <v>53.333333333333336</v>
      </c>
      <c r="R694" s="202">
        <f>IFERROR(VLOOKUP($B:$B,Tabela_Linkedin[],2,),0)</f>
        <v>0</v>
      </c>
      <c r="S694" s="70">
        <f>SUMIF(TikTok!A:A,'Compilado 2023'!B:B,TikTok!B:B)</f>
        <v>0</v>
      </c>
      <c r="T694" s="70">
        <v>0</v>
      </c>
      <c r="U694" s="70">
        <v>0</v>
      </c>
      <c r="V694" s="59"/>
      <c r="W694" s="70">
        <v>0</v>
      </c>
      <c r="X694" s="70">
        <v>0</v>
      </c>
      <c r="Y694" s="70">
        <v>0</v>
      </c>
      <c r="Z694" s="38"/>
      <c r="AA694" s="40"/>
    </row>
    <row r="695" spans="1:27" s="2" customFormat="1" x14ac:dyDescent="0.2">
      <c r="A695" s="16" t="str">
        <f t="shared" si="23"/>
        <v>sexta-feira</v>
      </c>
      <c r="B695" s="17">
        <v>45254</v>
      </c>
      <c r="C695" s="19">
        <f t="shared" si="24"/>
        <v>0</v>
      </c>
      <c r="D695" s="52">
        <f>IFERROR(_xlfn.XLOOKUP($B:$B,'Estatísticos Mensais'!$A:$A,'Estatísticos Mensais'!C:C),0)</f>
        <v>0</v>
      </c>
      <c r="E695" s="52">
        <f>IFERROR(_xlfn.XLOOKUP($B:$B,'Estatísticos Mensais'!$A:$A,'Estatísticos Mensais'!D:D),0)</f>
        <v>0</v>
      </c>
      <c r="F695" s="157">
        <f>IFERROR(_xlfn.XLOOKUP($B:$B,'Estatísticos Mensais'!$A:$A,'Estatísticos Mensais'!E:E),0)</f>
        <v>0</v>
      </c>
      <c r="G695" s="157">
        <f>IFERROR(_xlfn.XLOOKUP($B:$B,'Estatísticos Mensais'!$A:$A,'Estatísticos Mensais'!F:F),0)</f>
        <v>0</v>
      </c>
      <c r="H695" s="35">
        <f t="shared" si="25"/>
        <v>0</v>
      </c>
      <c r="I695" s="19">
        <f t="shared" ca="1" si="26"/>
        <v>53.333333333333336</v>
      </c>
      <c r="J695" s="111">
        <f t="shared" ca="1" si="27"/>
        <v>0</v>
      </c>
      <c r="K695" s="53">
        <f>IFERROR(_xlfn.XLOOKUP($B:$B,Google!A:A,Google!B:B),0)</f>
        <v>0</v>
      </c>
      <c r="L695" s="54">
        <f t="shared" si="28"/>
        <v>0</v>
      </c>
      <c r="M695" s="59"/>
      <c r="N695" s="69">
        <f>IFERROR(VLOOKUP(B695,Tabela_Google[],3,),0)</f>
        <v>0</v>
      </c>
      <c r="O695" s="70">
        <f>SUMIF(Facebook!A:A,'Compilado 2023'!B:B,Facebook!B:B)</f>
        <v>0</v>
      </c>
      <c r="P695" s="71">
        <v>0</v>
      </c>
      <c r="Q695" s="70">
        <f ca="1">_xlfn.XLOOKUP(B:B,'E-mail'!A:A,'E-mail'!C:C)</f>
        <v>53.333333333333336</v>
      </c>
      <c r="R695" s="202">
        <f>IFERROR(VLOOKUP($B:$B,Tabela_Linkedin[],2,),0)</f>
        <v>0</v>
      </c>
      <c r="S695" s="70">
        <f>SUMIF(TikTok!A:A,'Compilado 2023'!B:B,TikTok!B:B)</f>
        <v>0</v>
      </c>
      <c r="T695" s="70">
        <v>0</v>
      </c>
      <c r="U695" s="70">
        <v>0</v>
      </c>
      <c r="V695" s="59"/>
      <c r="W695" s="70">
        <v>0</v>
      </c>
      <c r="X695" s="70">
        <v>0</v>
      </c>
      <c r="Y695" s="70">
        <v>0</v>
      </c>
      <c r="Z695" s="38"/>
      <c r="AA695" s="40"/>
    </row>
    <row r="696" spans="1:27" s="2" customFormat="1" x14ac:dyDescent="0.2">
      <c r="A696" s="16" t="str">
        <f t="shared" si="23"/>
        <v>sábado</v>
      </c>
      <c r="B696" s="17">
        <v>45255</v>
      </c>
      <c r="C696" s="19">
        <f t="shared" si="24"/>
        <v>0</v>
      </c>
      <c r="D696" s="52">
        <f>IFERROR(_xlfn.XLOOKUP($B:$B,'Estatísticos Mensais'!$A:$A,'Estatísticos Mensais'!C:C),0)</f>
        <v>0</v>
      </c>
      <c r="E696" s="52">
        <f>IFERROR(_xlfn.XLOOKUP($B:$B,'Estatísticos Mensais'!$A:$A,'Estatísticos Mensais'!D:D),0)</f>
        <v>0</v>
      </c>
      <c r="F696" s="157">
        <f>IFERROR(_xlfn.XLOOKUP($B:$B,'Estatísticos Mensais'!$A:$A,'Estatísticos Mensais'!E:E),0)</f>
        <v>0</v>
      </c>
      <c r="G696" s="157">
        <f>IFERROR(_xlfn.XLOOKUP($B:$B,'Estatísticos Mensais'!$A:$A,'Estatísticos Mensais'!F:F),0)</f>
        <v>0</v>
      </c>
      <c r="H696" s="35">
        <f t="shared" si="25"/>
        <v>0</v>
      </c>
      <c r="I696" s="19">
        <f t="shared" ca="1" si="26"/>
        <v>53.333333333333336</v>
      </c>
      <c r="J696" s="111">
        <f t="shared" ca="1" si="27"/>
        <v>0</v>
      </c>
      <c r="K696" s="53">
        <f>IFERROR(_xlfn.XLOOKUP($B:$B,Google!A:A,Google!B:B),0)</f>
        <v>0</v>
      </c>
      <c r="L696" s="54">
        <f t="shared" si="28"/>
        <v>0</v>
      </c>
      <c r="M696" s="59"/>
      <c r="N696" s="69">
        <f>IFERROR(VLOOKUP(B696,Tabela_Google[],3,),0)</f>
        <v>0</v>
      </c>
      <c r="O696" s="70">
        <f>SUMIF(Facebook!A:A,'Compilado 2023'!B:B,Facebook!B:B)</f>
        <v>0</v>
      </c>
      <c r="P696" s="71">
        <v>0</v>
      </c>
      <c r="Q696" s="70">
        <f ca="1">_xlfn.XLOOKUP(B:B,'E-mail'!A:A,'E-mail'!C:C)</f>
        <v>53.333333333333336</v>
      </c>
      <c r="R696" s="202">
        <f>IFERROR(VLOOKUP($B:$B,Tabela_Linkedin[],2,),0)</f>
        <v>0</v>
      </c>
      <c r="S696" s="70">
        <f>SUMIF(TikTok!A:A,'Compilado 2023'!B:B,TikTok!B:B)</f>
        <v>0</v>
      </c>
      <c r="T696" s="70">
        <v>0</v>
      </c>
      <c r="U696" s="70">
        <v>0</v>
      </c>
      <c r="V696" s="59"/>
      <c r="W696" s="70">
        <v>0</v>
      </c>
      <c r="X696" s="70">
        <v>0</v>
      </c>
      <c r="Y696" s="70">
        <v>0</v>
      </c>
      <c r="Z696" s="38"/>
      <c r="AA696" s="40"/>
    </row>
    <row r="697" spans="1:27" s="2" customFormat="1" x14ac:dyDescent="0.2">
      <c r="A697" s="16" t="str">
        <f t="shared" si="23"/>
        <v>domingo</v>
      </c>
      <c r="B697" s="17">
        <v>45256</v>
      </c>
      <c r="C697" s="19">
        <f t="shared" si="24"/>
        <v>0</v>
      </c>
      <c r="D697" s="52">
        <f>IFERROR(_xlfn.XLOOKUP($B:$B,'Estatísticos Mensais'!$A:$A,'Estatísticos Mensais'!C:C),0)</f>
        <v>0</v>
      </c>
      <c r="E697" s="52">
        <f>IFERROR(_xlfn.XLOOKUP($B:$B,'Estatísticos Mensais'!$A:$A,'Estatísticos Mensais'!D:D),0)</f>
        <v>0</v>
      </c>
      <c r="F697" s="157">
        <f>IFERROR(_xlfn.XLOOKUP($B:$B,'Estatísticos Mensais'!$A:$A,'Estatísticos Mensais'!E:E),0)</f>
        <v>0</v>
      </c>
      <c r="G697" s="157">
        <f>IFERROR(_xlfn.XLOOKUP($B:$B,'Estatísticos Mensais'!$A:$A,'Estatísticos Mensais'!F:F),0)</f>
        <v>0</v>
      </c>
      <c r="H697" s="35">
        <f t="shared" si="25"/>
        <v>0</v>
      </c>
      <c r="I697" s="19">
        <f t="shared" ca="1" si="26"/>
        <v>53.333333333333336</v>
      </c>
      <c r="J697" s="111">
        <f t="shared" ca="1" si="27"/>
        <v>0</v>
      </c>
      <c r="K697" s="53">
        <f>IFERROR(_xlfn.XLOOKUP($B:$B,Google!A:A,Google!B:B),0)</f>
        <v>0</v>
      </c>
      <c r="L697" s="54">
        <f t="shared" si="28"/>
        <v>0</v>
      </c>
      <c r="M697" s="59"/>
      <c r="N697" s="69">
        <f>IFERROR(VLOOKUP(B697,Tabela_Google[],3,),0)</f>
        <v>0</v>
      </c>
      <c r="O697" s="70">
        <f>SUMIF(Facebook!A:A,'Compilado 2023'!B:B,Facebook!B:B)</f>
        <v>0</v>
      </c>
      <c r="P697" s="71">
        <v>0</v>
      </c>
      <c r="Q697" s="70">
        <f ca="1">_xlfn.XLOOKUP(B:B,'E-mail'!A:A,'E-mail'!C:C)</f>
        <v>53.333333333333336</v>
      </c>
      <c r="R697" s="202">
        <f>IFERROR(VLOOKUP($B:$B,Tabela_Linkedin[],2,),0)</f>
        <v>0</v>
      </c>
      <c r="S697" s="70">
        <f>SUMIF(TikTok!A:A,'Compilado 2023'!B:B,TikTok!B:B)</f>
        <v>0</v>
      </c>
      <c r="T697" s="70">
        <v>0</v>
      </c>
      <c r="U697" s="70">
        <v>0</v>
      </c>
      <c r="V697" s="59"/>
      <c r="W697" s="70">
        <v>0</v>
      </c>
      <c r="X697" s="70">
        <v>0</v>
      </c>
      <c r="Y697" s="70">
        <v>0</v>
      </c>
      <c r="Z697" s="38"/>
      <c r="AA697" s="40"/>
    </row>
    <row r="698" spans="1:27" s="2" customFormat="1" x14ac:dyDescent="0.2">
      <c r="A698" s="16" t="str">
        <f t="shared" si="23"/>
        <v>segunda-feira</v>
      </c>
      <c r="B698" s="17">
        <v>45257</v>
      </c>
      <c r="C698" s="19">
        <f t="shared" si="24"/>
        <v>0</v>
      </c>
      <c r="D698" s="52">
        <f>IFERROR(_xlfn.XLOOKUP($B:$B,'Estatísticos Mensais'!$A:$A,'Estatísticos Mensais'!C:C),0)</f>
        <v>0</v>
      </c>
      <c r="E698" s="52">
        <f>IFERROR(_xlfn.XLOOKUP($B:$B,'Estatísticos Mensais'!$A:$A,'Estatísticos Mensais'!D:D),0)</f>
        <v>0</v>
      </c>
      <c r="F698" s="157">
        <f>IFERROR(_xlfn.XLOOKUP($B:$B,'Estatísticos Mensais'!$A:$A,'Estatísticos Mensais'!E:E),0)</f>
        <v>0</v>
      </c>
      <c r="G698" s="157">
        <f>IFERROR(_xlfn.XLOOKUP($B:$B,'Estatísticos Mensais'!$A:$A,'Estatísticos Mensais'!F:F),0)</f>
        <v>0</v>
      </c>
      <c r="H698" s="35">
        <f t="shared" si="25"/>
        <v>0</v>
      </c>
      <c r="I698" s="19">
        <f t="shared" ca="1" si="26"/>
        <v>53.333333333333336</v>
      </c>
      <c r="J698" s="111">
        <f t="shared" ca="1" si="27"/>
        <v>0</v>
      </c>
      <c r="K698" s="53">
        <f>IFERROR(_xlfn.XLOOKUP($B:$B,Google!A:A,Google!B:B),0)</f>
        <v>0</v>
      </c>
      <c r="L698" s="54">
        <f t="shared" si="28"/>
        <v>0</v>
      </c>
      <c r="M698" s="59"/>
      <c r="N698" s="69">
        <f>IFERROR(VLOOKUP(B698,Tabela_Google[],3,),0)</f>
        <v>0</v>
      </c>
      <c r="O698" s="70">
        <f>SUMIF(Facebook!A:A,'Compilado 2023'!B:B,Facebook!B:B)</f>
        <v>0</v>
      </c>
      <c r="P698" s="71">
        <v>0</v>
      </c>
      <c r="Q698" s="70">
        <f ca="1">_xlfn.XLOOKUP(B:B,'E-mail'!A:A,'E-mail'!C:C)</f>
        <v>53.333333333333336</v>
      </c>
      <c r="R698" s="202">
        <f>IFERROR(VLOOKUP($B:$B,Tabela_Linkedin[],2,),0)</f>
        <v>0</v>
      </c>
      <c r="S698" s="70">
        <f>SUMIF(TikTok!A:A,'Compilado 2023'!B:B,TikTok!B:B)</f>
        <v>0</v>
      </c>
      <c r="T698" s="70">
        <v>0</v>
      </c>
      <c r="U698" s="70">
        <v>0</v>
      </c>
      <c r="V698" s="59"/>
      <c r="W698" s="70">
        <v>0</v>
      </c>
      <c r="X698" s="70">
        <v>0</v>
      </c>
      <c r="Y698" s="70">
        <v>0</v>
      </c>
      <c r="Z698" s="38"/>
      <c r="AA698" s="40"/>
    </row>
    <row r="699" spans="1:27" s="2" customFormat="1" x14ac:dyDescent="0.2">
      <c r="A699" s="16" t="str">
        <f t="shared" si="23"/>
        <v>terça-feira</v>
      </c>
      <c r="B699" s="17">
        <v>45258</v>
      </c>
      <c r="C699" s="19">
        <f t="shared" si="24"/>
        <v>0</v>
      </c>
      <c r="D699" s="52">
        <f>IFERROR(_xlfn.XLOOKUP($B:$B,'Estatísticos Mensais'!$A:$A,'Estatísticos Mensais'!C:C),0)</f>
        <v>0</v>
      </c>
      <c r="E699" s="52">
        <f>IFERROR(_xlfn.XLOOKUP($B:$B,'Estatísticos Mensais'!$A:$A,'Estatísticos Mensais'!D:D),0)</f>
        <v>0</v>
      </c>
      <c r="F699" s="157">
        <f>IFERROR(_xlfn.XLOOKUP($B:$B,'Estatísticos Mensais'!$A:$A,'Estatísticos Mensais'!E:E),0)</f>
        <v>0</v>
      </c>
      <c r="G699" s="157">
        <f>IFERROR(_xlfn.XLOOKUP($B:$B,'Estatísticos Mensais'!$A:$A,'Estatísticos Mensais'!F:F),0)</f>
        <v>0</v>
      </c>
      <c r="H699" s="35">
        <f t="shared" si="25"/>
        <v>0</v>
      </c>
      <c r="I699" s="19">
        <f t="shared" ca="1" si="26"/>
        <v>53.333333333333336</v>
      </c>
      <c r="J699" s="111">
        <f t="shared" ca="1" si="27"/>
        <v>0</v>
      </c>
      <c r="K699" s="53">
        <f>IFERROR(_xlfn.XLOOKUP($B:$B,Google!A:A,Google!B:B),0)</f>
        <v>0</v>
      </c>
      <c r="L699" s="54">
        <f t="shared" si="28"/>
        <v>0</v>
      </c>
      <c r="M699" s="59"/>
      <c r="N699" s="69">
        <f>IFERROR(VLOOKUP(B699,Tabela_Google[],3,),0)</f>
        <v>0</v>
      </c>
      <c r="O699" s="70">
        <f>SUMIF(Facebook!A:A,'Compilado 2023'!B:B,Facebook!B:B)</f>
        <v>0</v>
      </c>
      <c r="P699" s="71">
        <v>0</v>
      </c>
      <c r="Q699" s="70">
        <f ca="1">_xlfn.XLOOKUP(B:B,'E-mail'!A:A,'E-mail'!C:C)</f>
        <v>53.333333333333336</v>
      </c>
      <c r="R699" s="202">
        <f>IFERROR(VLOOKUP($B:$B,Tabela_Linkedin[],2,),0)</f>
        <v>0</v>
      </c>
      <c r="S699" s="70">
        <f>SUMIF(TikTok!A:A,'Compilado 2023'!B:B,TikTok!B:B)</f>
        <v>0</v>
      </c>
      <c r="T699" s="70">
        <v>0</v>
      </c>
      <c r="U699" s="70">
        <v>0</v>
      </c>
      <c r="V699" s="59"/>
      <c r="W699" s="70">
        <v>0</v>
      </c>
      <c r="X699" s="70">
        <v>0</v>
      </c>
      <c r="Y699" s="70">
        <v>0</v>
      </c>
      <c r="Z699" s="38"/>
      <c r="AA699" s="40"/>
    </row>
    <row r="700" spans="1:27" s="2" customFormat="1" x14ac:dyDescent="0.2">
      <c r="A700" s="16" t="str">
        <f t="shared" si="23"/>
        <v>quarta-feira</v>
      </c>
      <c r="B700" s="17">
        <v>45259</v>
      </c>
      <c r="C700" s="19">
        <f t="shared" si="24"/>
        <v>0</v>
      </c>
      <c r="D700" s="52">
        <f>IFERROR(_xlfn.XLOOKUP($B:$B,'Estatísticos Mensais'!$A:$A,'Estatísticos Mensais'!C:C),0)</f>
        <v>0</v>
      </c>
      <c r="E700" s="52">
        <f>IFERROR(_xlfn.XLOOKUP($B:$B,'Estatísticos Mensais'!$A:$A,'Estatísticos Mensais'!D:D),0)</f>
        <v>0</v>
      </c>
      <c r="F700" s="157">
        <f>IFERROR(_xlfn.XLOOKUP($B:$B,'Estatísticos Mensais'!$A:$A,'Estatísticos Mensais'!E:E),0)</f>
        <v>0</v>
      </c>
      <c r="G700" s="157">
        <f>IFERROR(_xlfn.XLOOKUP($B:$B,'Estatísticos Mensais'!$A:$A,'Estatísticos Mensais'!F:F),0)</f>
        <v>0</v>
      </c>
      <c r="H700" s="35">
        <f t="shared" si="25"/>
        <v>0</v>
      </c>
      <c r="I700" s="19">
        <f t="shared" ca="1" si="26"/>
        <v>53.333333333333336</v>
      </c>
      <c r="J700" s="111">
        <f t="shared" ca="1" si="27"/>
        <v>0</v>
      </c>
      <c r="K700" s="53">
        <f>IFERROR(_xlfn.XLOOKUP($B:$B,Google!A:A,Google!B:B),0)</f>
        <v>0</v>
      </c>
      <c r="L700" s="54">
        <f t="shared" si="28"/>
        <v>0</v>
      </c>
      <c r="M700" s="59"/>
      <c r="N700" s="69">
        <f>IFERROR(VLOOKUP(B700,Tabela_Google[],3,),0)</f>
        <v>0</v>
      </c>
      <c r="O700" s="70">
        <f>SUMIF(Facebook!A:A,'Compilado 2023'!B:B,Facebook!B:B)</f>
        <v>0</v>
      </c>
      <c r="P700" s="71">
        <v>0</v>
      </c>
      <c r="Q700" s="70">
        <f ca="1">_xlfn.XLOOKUP(B:B,'E-mail'!A:A,'E-mail'!C:C)</f>
        <v>53.333333333333336</v>
      </c>
      <c r="R700" s="202">
        <f>IFERROR(VLOOKUP($B:$B,Tabela_Linkedin[],2,),0)</f>
        <v>0</v>
      </c>
      <c r="S700" s="70">
        <f>SUMIF(TikTok!A:A,'Compilado 2023'!B:B,TikTok!B:B)</f>
        <v>0</v>
      </c>
      <c r="T700" s="70">
        <v>0</v>
      </c>
      <c r="U700" s="70">
        <v>0</v>
      </c>
      <c r="V700" s="59"/>
      <c r="W700" s="70">
        <v>0</v>
      </c>
      <c r="X700" s="70">
        <v>0</v>
      </c>
      <c r="Y700" s="70">
        <v>0</v>
      </c>
      <c r="Z700" s="38"/>
      <c r="AA700" s="40"/>
    </row>
    <row r="701" spans="1:27" s="2" customFormat="1" x14ac:dyDescent="0.2">
      <c r="A701" s="16" t="str">
        <f t="shared" si="23"/>
        <v>quinta-feira</v>
      </c>
      <c r="B701" s="17">
        <v>45260</v>
      </c>
      <c r="C701" s="19">
        <f t="shared" si="24"/>
        <v>0</v>
      </c>
      <c r="D701" s="52">
        <f>IFERROR(_xlfn.XLOOKUP($B:$B,'Estatísticos Mensais'!$A:$A,'Estatísticos Mensais'!C:C),0)</f>
        <v>0</v>
      </c>
      <c r="E701" s="52">
        <f>IFERROR(_xlfn.XLOOKUP($B:$B,'Estatísticos Mensais'!$A:$A,'Estatísticos Mensais'!D:D),0)</f>
        <v>0</v>
      </c>
      <c r="F701" s="157">
        <f>IFERROR(_xlfn.XLOOKUP($B:$B,'Estatísticos Mensais'!$A:$A,'Estatísticos Mensais'!E:E),0)</f>
        <v>0</v>
      </c>
      <c r="G701" s="157">
        <f>IFERROR(_xlfn.XLOOKUP($B:$B,'Estatísticos Mensais'!$A:$A,'Estatísticos Mensais'!F:F),0)</f>
        <v>0</v>
      </c>
      <c r="H701" s="35">
        <f t="shared" si="25"/>
        <v>0</v>
      </c>
      <c r="I701" s="19">
        <f t="shared" ca="1" si="26"/>
        <v>53.333333333333336</v>
      </c>
      <c r="J701" s="111">
        <f t="shared" ca="1" si="27"/>
        <v>0</v>
      </c>
      <c r="K701" s="53">
        <f>IFERROR(_xlfn.XLOOKUP($B:$B,Google!A:A,Google!B:B),0)</f>
        <v>0</v>
      </c>
      <c r="L701" s="54">
        <f t="shared" si="28"/>
        <v>0</v>
      </c>
      <c r="M701" s="59"/>
      <c r="N701" s="69">
        <f>IFERROR(VLOOKUP(B701,Tabela_Google[],3,),0)</f>
        <v>0</v>
      </c>
      <c r="O701" s="70">
        <f>SUMIF(Facebook!A:A,'Compilado 2023'!B:B,Facebook!B:B)</f>
        <v>0</v>
      </c>
      <c r="P701" s="71">
        <v>0</v>
      </c>
      <c r="Q701" s="70">
        <f ca="1">_xlfn.XLOOKUP(B:B,'E-mail'!A:A,'E-mail'!C:C)</f>
        <v>53.333333333333336</v>
      </c>
      <c r="R701" s="202">
        <f>IFERROR(VLOOKUP($B:$B,Tabela_Linkedin[],2,),0)</f>
        <v>0</v>
      </c>
      <c r="S701" s="70">
        <f>SUMIF(TikTok!A:A,'Compilado 2023'!B:B,TikTok!B:B)</f>
        <v>0</v>
      </c>
      <c r="T701" s="70">
        <v>0</v>
      </c>
      <c r="U701" s="70">
        <v>0</v>
      </c>
      <c r="V701" s="59"/>
      <c r="W701" s="70">
        <v>0</v>
      </c>
      <c r="X701" s="70">
        <v>0</v>
      </c>
      <c r="Y701" s="70">
        <v>0</v>
      </c>
      <c r="Z701" s="38"/>
      <c r="AA701" s="40"/>
    </row>
    <row r="702" spans="1:27" s="2" customFormat="1" x14ac:dyDescent="0.2">
      <c r="A702" s="16" t="str">
        <f t="shared" si="23"/>
        <v>sexta-feira</v>
      </c>
      <c r="B702" s="17">
        <v>45261</v>
      </c>
      <c r="C702" s="19">
        <f t="shared" si="24"/>
        <v>0</v>
      </c>
      <c r="D702" s="52">
        <f>IFERROR(_xlfn.XLOOKUP($B:$B,'Estatísticos Mensais'!$A:$A,'Estatísticos Mensais'!C:C),0)</f>
        <v>0</v>
      </c>
      <c r="E702" s="52">
        <f>IFERROR(_xlfn.XLOOKUP($B:$B,'Estatísticos Mensais'!$A:$A,'Estatísticos Mensais'!D:D),0)</f>
        <v>0</v>
      </c>
      <c r="F702" s="157">
        <f>IFERROR(_xlfn.XLOOKUP($B:$B,'Estatísticos Mensais'!$A:$A,'Estatísticos Mensais'!E:E),0)</f>
        <v>0</v>
      </c>
      <c r="G702" s="157">
        <f>IFERROR(_xlfn.XLOOKUP($B:$B,'Estatísticos Mensais'!$A:$A,'Estatísticos Mensais'!F:F),0)</f>
        <v>0</v>
      </c>
      <c r="H702" s="35">
        <f t="shared" si="25"/>
        <v>0</v>
      </c>
      <c r="I702" s="19">
        <f t="shared" ca="1" si="26"/>
        <v>51.612903225806448</v>
      </c>
      <c r="J702" s="111">
        <f t="shared" ca="1" si="27"/>
        <v>0</v>
      </c>
      <c r="K702" s="53">
        <f>IFERROR(_xlfn.XLOOKUP($B:$B,Google!A:A,Google!B:B),0)</f>
        <v>0</v>
      </c>
      <c r="L702" s="54">
        <f t="shared" si="28"/>
        <v>0</v>
      </c>
      <c r="M702" s="59"/>
      <c r="N702" s="69">
        <f>IFERROR(VLOOKUP(B702,Tabela_Google[],3,),0)</f>
        <v>0</v>
      </c>
      <c r="O702" s="70">
        <f>SUMIF(Facebook!A:A,'Compilado 2023'!B:B,Facebook!B:B)</f>
        <v>0</v>
      </c>
      <c r="P702" s="71">
        <v>0</v>
      </c>
      <c r="Q702" s="70">
        <f ca="1">_xlfn.XLOOKUP(B:B,'E-mail'!A:A,'E-mail'!C:C)</f>
        <v>51.612903225806448</v>
      </c>
      <c r="R702" s="202">
        <f>IFERROR(VLOOKUP($B:$B,Tabela_Linkedin[],2,),0)</f>
        <v>0</v>
      </c>
      <c r="S702" s="70">
        <f>SUMIF(TikTok!A:A,'Compilado 2023'!B:B,TikTok!B:B)</f>
        <v>0</v>
      </c>
      <c r="T702" s="70">
        <v>0</v>
      </c>
      <c r="U702" s="70">
        <v>0</v>
      </c>
      <c r="V702" s="59"/>
      <c r="W702" s="70">
        <v>0</v>
      </c>
      <c r="X702" s="70">
        <v>0</v>
      </c>
      <c r="Y702" s="70">
        <v>0</v>
      </c>
      <c r="Z702" s="38"/>
      <c r="AA702" s="40"/>
    </row>
    <row r="703" spans="1:27" s="2" customFormat="1" x14ac:dyDescent="0.2">
      <c r="A703" s="16" t="str">
        <f t="shared" si="23"/>
        <v>sábado</v>
      </c>
      <c r="B703" s="17">
        <v>45262</v>
      </c>
      <c r="C703" s="19">
        <f t="shared" si="24"/>
        <v>0</v>
      </c>
      <c r="D703" s="52">
        <f>IFERROR(_xlfn.XLOOKUP($B:$B,'Estatísticos Mensais'!$A:$A,'Estatísticos Mensais'!C:C),0)</f>
        <v>0</v>
      </c>
      <c r="E703" s="52">
        <f>IFERROR(_xlfn.XLOOKUP($B:$B,'Estatísticos Mensais'!$A:$A,'Estatísticos Mensais'!D:D),0)</f>
        <v>0</v>
      </c>
      <c r="F703" s="157">
        <f>IFERROR(_xlfn.XLOOKUP($B:$B,'Estatísticos Mensais'!$A:$A,'Estatísticos Mensais'!E:E),0)</f>
        <v>0</v>
      </c>
      <c r="G703" s="157">
        <f>IFERROR(_xlfn.XLOOKUP($B:$B,'Estatísticos Mensais'!$A:$A,'Estatísticos Mensais'!F:F),0)</f>
        <v>0</v>
      </c>
      <c r="H703" s="35">
        <f t="shared" si="25"/>
        <v>0</v>
      </c>
      <c r="I703" s="19">
        <f t="shared" ca="1" si="26"/>
        <v>51.612903225806448</v>
      </c>
      <c r="J703" s="111">
        <f t="shared" ca="1" si="27"/>
        <v>0</v>
      </c>
      <c r="K703" s="53">
        <f>IFERROR(_xlfn.XLOOKUP($B:$B,Google!A:A,Google!B:B),0)</f>
        <v>0</v>
      </c>
      <c r="L703" s="54">
        <f t="shared" si="28"/>
        <v>0</v>
      </c>
      <c r="M703" s="59"/>
      <c r="N703" s="69">
        <f>IFERROR(VLOOKUP(B703,Tabela_Google[],3,),0)</f>
        <v>0</v>
      </c>
      <c r="O703" s="70">
        <f>SUMIF(Facebook!A:A,'Compilado 2023'!B:B,Facebook!B:B)</f>
        <v>0</v>
      </c>
      <c r="P703" s="71">
        <v>0</v>
      </c>
      <c r="Q703" s="70">
        <f ca="1">_xlfn.XLOOKUP(B:B,'E-mail'!A:A,'E-mail'!C:C)</f>
        <v>51.612903225806448</v>
      </c>
      <c r="R703" s="202">
        <f>IFERROR(VLOOKUP($B:$B,Tabela_Linkedin[],2,),0)</f>
        <v>0</v>
      </c>
      <c r="S703" s="70">
        <f>SUMIF(TikTok!A:A,'Compilado 2023'!B:B,TikTok!B:B)</f>
        <v>0</v>
      </c>
      <c r="T703" s="70">
        <v>0</v>
      </c>
      <c r="U703" s="70">
        <v>0</v>
      </c>
      <c r="V703" s="59"/>
      <c r="W703" s="70">
        <v>0</v>
      </c>
      <c r="X703" s="70">
        <v>0</v>
      </c>
      <c r="Y703" s="70">
        <v>0</v>
      </c>
      <c r="Z703" s="38"/>
      <c r="AA703" s="40"/>
    </row>
    <row r="704" spans="1:27" s="2" customFormat="1" x14ac:dyDescent="0.2">
      <c r="A704" s="16" t="str">
        <f t="shared" si="23"/>
        <v>domingo</v>
      </c>
      <c r="B704" s="17">
        <v>45263</v>
      </c>
      <c r="C704" s="19">
        <f t="shared" si="24"/>
        <v>0</v>
      </c>
      <c r="D704" s="52">
        <f>IFERROR(_xlfn.XLOOKUP($B:$B,'Estatísticos Mensais'!$A:$A,'Estatísticos Mensais'!C:C),0)</f>
        <v>0</v>
      </c>
      <c r="E704" s="52">
        <f>IFERROR(_xlfn.XLOOKUP($B:$B,'Estatísticos Mensais'!$A:$A,'Estatísticos Mensais'!D:D),0)</f>
        <v>0</v>
      </c>
      <c r="F704" s="157">
        <f>IFERROR(_xlfn.XLOOKUP($B:$B,'Estatísticos Mensais'!$A:$A,'Estatísticos Mensais'!E:E),0)</f>
        <v>0</v>
      </c>
      <c r="G704" s="157">
        <f>IFERROR(_xlfn.XLOOKUP($B:$B,'Estatísticos Mensais'!$A:$A,'Estatísticos Mensais'!F:F),0)</f>
        <v>0</v>
      </c>
      <c r="H704" s="35">
        <f t="shared" si="25"/>
        <v>0</v>
      </c>
      <c r="I704" s="19">
        <f t="shared" ca="1" si="26"/>
        <v>51.612903225806448</v>
      </c>
      <c r="J704" s="111">
        <f t="shared" ca="1" si="27"/>
        <v>0</v>
      </c>
      <c r="K704" s="53">
        <f>IFERROR(_xlfn.XLOOKUP($B:$B,Google!A:A,Google!B:B),0)</f>
        <v>0</v>
      </c>
      <c r="L704" s="54">
        <f t="shared" si="28"/>
        <v>0</v>
      </c>
      <c r="M704" s="59"/>
      <c r="N704" s="69">
        <f>IFERROR(VLOOKUP(B704,Tabela_Google[],3,),0)</f>
        <v>0</v>
      </c>
      <c r="O704" s="70">
        <f>SUMIF(Facebook!A:A,'Compilado 2023'!B:B,Facebook!B:B)</f>
        <v>0</v>
      </c>
      <c r="P704" s="71">
        <v>0</v>
      </c>
      <c r="Q704" s="70">
        <f ca="1">_xlfn.XLOOKUP(B:B,'E-mail'!A:A,'E-mail'!C:C)</f>
        <v>51.612903225806448</v>
      </c>
      <c r="R704" s="202">
        <f>IFERROR(VLOOKUP($B:$B,Tabela_Linkedin[],2,),0)</f>
        <v>0</v>
      </c>
      <c r="S704" s="70">
        <f>SUMIF(TikTok!A:A,'Compilado 2023'!B:B,TikTok!B:B)</f>
        <v>0</v>
      </c>
      <c r="T704" s="70">
        <v>0</v>
      </c>
      <c r="U704" s="70">
        <v>0</v>
      </c>
      <c r="V704" s="59"/>
      <c r="W704" s="70">
        <v>0</v>
      </c>
      <c r="X704" s="70">
        <v>0</v>
      </c>
      <c r="Y704" s="70">
        <v>0</v>
      </c>
      <c r="Z704" s="38"/>
      <c r="AA704" s="40"/>
    </row>
    <row r="705" spans="1:27" s="2" customFormat="1" x14ac:dyDescent="0.2">
      <c r="A705" s="16" t="str">
        <f t="shared" si="23"/>
        <v>segunda-feira</v>
      </c>
      <c r="B705" s="17">
        <v>45264</v>
      </c>
      <c r="C705" s="19">
        <f t="shared" si="24"/>
        <v>0</v>
      </c>
      <c r="D705" s="52">
        <f>IFERROR(_xlfn.XLOOKUP($B:$B,'Estatísticos Mensais'!$A:$A,'Estatísticos Mensais'!C:C),0)</f>
        <v>0</v>
      </c>
      <c r="E705" s="52">
        <f>IFERROR(_xlfn.XLOOKUP($B:$B,'Estatísticos Mensais'!$A:$A,'Estatísticos Mensais'!D:D),0)</f>
        <v>0</v>
      </c>
      <c r="F705" s="157">
        <f>IFERROR(_xlfn.XLOOKUP($B:$B,'Estatísticos Mensais'!$A:$A,'Estatísticos Mensais'!E:E),0)</f>
        <v>0</v>
      </c>
      <c r="G705" s="157">
        <f>IFERROR(_xlfn.XLOOKUP($B:$B,'Estatísticos Mensais'!$A:$A,'Estatísticos Mensais'!F:F),0)</f>
        <v>0</v>
      </c>
      <c r="H705" s="35">
        <f t="shared" si="25"/>
        <v>0</v>
      </c>
      <c r="I705" s="19">
        <f t="shared" ca="1" si="26"/>
        <v>51.612903225806448</v>
      </c>
      <c r="J705" s="111">
        <f t="shared" ca="1" si="27"/>
        <v>0</v>
      </c>
      <c r="K705" s="53">
        <f>IFERROR(_xlfn.XLOOKUP($B:$B,Google!A:A,Google!B:B),0)</f>
        <v>0</v>
      </c>
      <c r="L705" s="54">
        <f t="shared" si="28"/>
        <v>0</v>
      </c>
      <c r="M705" s="59"/>
      <c r="N705" s="69">
        <f>IFERROR(VLOOKUP(B705,Tabela_Google[],3,),0)</f>
        <v>0</v>
      </c>
      <c r="O705" s="70">
        <f>SUMIF(Facebook!A:A,'Compilado 2023'!B:B,Facebook!B:B)</f>
        <v>0</v>
      </c>
      <c r="P705" s="71">
        <v>0</v>
      </c>
      <c r="Q705" s="70">
        <f ca="1">_xlfn.XLOOKUP(B:B,'E-mail'!A:A,'E-mail'!C:C)</f>
        <v>51.612903225806448</v>
      </c>
      <c r="R705" s="202">
        <f>IFERROR(VLOOKUP($B:$B,Tabela_Linkedin[],2,),0)</f>
        <v>0</v>
      </c>
      <c r="S705" s="70">
        <f>SUMIF(TikTok!A:A,'Compilado 2023'!B:B,TikTok!B:B)</f>
        <v>0</v>
      </c>
      <c r="T705" s="70">
        <v>0</v>
      </c>
      <c r="U705" s="70">
        <v>0</v>
      </c>
      <c r="V705" s="59"/>
      <c r="W705" s="70">
        <v>0</v>
      </c>
      <c r="X705" s="70">
        <v>0</v>
      </c>
      <c r="Y705" s="70">
        <v>0</v>
      </c>
      <c r="Z705" s="38"/>
      <c r="AA705" s="40"/>
    </row>
    <row r="706" spans="1:27" s="2" customFormat="1" x14ac:dyDescent="0.2">
      <c r="A706" s="16" t="str">
        <f t="shared" si="23"/>
        <v>terça-feira</v>
      </c>
      <c r="B706" s="17">
        <v>45265</v>
      </c>
      <c r="C706" s="19">
        <f t="shared" si="24"/>
        <v>0</v>
      </c>
      <c r="D706" s="52">
        <f>IFERROR(_xlfn.XLOOKUP($B:$B,'Estatísticos Mensais'!$A:$A,'Estatísticos Mensais'!C:C),0)</f>
        <v>0</v>
      </c>
      <c r="E706" s="52">
        <f>IFERROR(_xlfn.XLOOKUP($B:$B,'Estatísticos Mensais'!$A:$A,'Estatísticos Mensais'!D:D),0)</f>
        <v>0</v>
      </c>
      <c r="F706" s="157">
        <f>IFERROR(_xlfn.XLOOKUP($B:$B,'Estatísticos Mensais'!$A:$A,'Estatísticos Mensais'!E:E),0)</f>
        <v>0</v>
      </c>
      <c r="G706" s="157">
        <f>IFERROR(_xlfn.XLOOKUP($B:$B,'Estatísticos Mensais'!$A:$A,'Estatísticos Mensais'!F:F),0)</f>
        <v>0</v>
      </c>
      <c r="H706" s="35">
        <f t="shared" si="25"/>
        <v>0</v>
      </c>
      <c r="I706" s="19">
        <f t="shared" ca="1" si="26"/>
        <v>51.612903225806448</v>
      </c>
      <c r="J706" s="111">
        <f t="shared" ca="1" si="27"/>
        <v>0</v>
      </c>
      <c r="K706" s="53">
        <f>IFERROR(_xlfn.XLOOKUP($B:$B,Google!A:A,Google!B:B),0)</f>
        <v>0</v>
      </c>
      <c r="L706" s="54">
        <f t="shared" si="28"/>
        <v>0</v>
      </c>
      <c r="M706" s="59"/>
      <c r="N706" s="69">
        <f>IFERROR(VLOOKUP(B706,Tabela_Google[],3,),0)</f>
        <v>0</v>
      </c>
      <c r="O706" s="70">
        <f>SUMIF(Facebook!A:A,'Compilado 2023'!B:B,Facebook!B:B)</f>
        <v>0</v>
      </c>
      <c r="P706" s="71">
        <v>0</v>
      </c>
      <c r="Q706" s="70">
        <f ca="1">_xlfn.XLOOKUP(B:B,'E-mail'!A:A,'E-mail'!C:C)</f>
        <v>51.612903225806448</v>
      </c>
      <c r="R706" s="202">
        <f>IFERROR(VLOOKUP($B:$B,Tabela_Linkedin[],2,),0)</f>
        <v>0</v>
      </c>
      <c r="S706" s="70">
        <f>SUMIF(TikTok!A:A,'Compilado 2023'!B:B,TikTok!B:B)</f>
        <v>0</v>
      </c>
      <c r="T706" s="70">
        <v>0</v>
      </c>
      <c r="U706" s="70">
        <v>0</v>
      </c>
      <c r="V706" s="59"/>
      <c r="W706" s="70">
        <v>0</v>
      </c>
      <c r="X706" s="70">
        <v>0</v>
      </c>
      <c r="Y706" s="70">
        <v>0</v>
      </c>
      <c r="Z706" s="38"/>
      <c r="AA706" s="40"/>
    </row>
    <row r="707" spans="1:27" s="2" customFormat="1" x14ac:dyDescent="0.2">
      <c r="A707" s="16" t="str">
        <f t="shared" si="23"/>
        <v>quarta-feira</v>
      </c>
      <c r="B707" s="17">
        <v>45266</v>
      </c>
      <c r="C707" s="19">
        <f t="shared" si="24"/>
        <v>0</v>
      </c>
      <c r="D707" s="52">
        <f>IFERROR(_xlfn.XLOOKUP($B:$B,'Estatísticos Mensais'!$A:$A,'Estatísticos Mensais'!C:C),0)</f>
        <v>0</v>
      </c>
      <c r="E707" s="52">
        <f>IFERROR(_xlfn.XLOOKUP($B:$B,'Estatísticos Mensais'!$A:$A,'Estatísticos Mensais'!D:D),0)</f>
        <v>0</v>
      </c>
      <c r="F707" s="157">
        <f>IFERROR(_xlfn.XLOOKUP($B:$B,'Estatísticos Mensais'!$A:$A,'Estatísticos Mensais'!E:E),0)</f>
        <v>0</v>
      </c>
      <c r="G707" s="157">
        <f>IFERROR(_xlfn.XLOOKUP($B:$B,'Estatísticos Mensais'!$A:$A,'Estatísticos Mensais'!F:F),0)</f>
        <v>0</v>
      </c>
      <c r="H707" s="35">
        <f t="shared" si="25"/>
        <v>0</v>
      </c>
      <c r="I707" s="19">
        <f t="shared" ca="1" si="26"/>
        <v>51.612903225806448</v>
      </c>
      <c r="J707" s="111">
        <f t="shared" ca="1" si="27"/>
        <v>0</v>
      </c>
      <c r="K707" s="53">
        <f>IFERROR(_xlfn.XLOOKUP($B:$B,Google!A:A,Google!B:B),0)</f>
        <v>0</v>
      </c>
      <c r="L707" s="54">
        <f t="shared" si="28"/>
        <v>0</v>
      </c>
      <c r="M707" s="59"/>
      <c r="N707" s="69">
        <f>IFERROR(VLOOKUP(B707,Tabela_Google[],3,),0)</f>
        <v>0</v>
      </c>
      <c r="O707" s="70">
        <f>SUMIF(Facebook!A:A,'Compilado 2023'!B:B,Facebook!B:B)</f>
        <v>0</v>
      </c>
      <c r="P707" s="71">
        <v>0</v>
      </c>
      <c r="Q707" s="70">
        <f ca="1">_xlfn.XLOOKUP(B:B,'E-mail'!A:A,'E-mail'!C:C)</f>
        <v>51.612903225806448</v>
      </c>
      <c r="R707" s="202">
        <f>IFERROR(VLOOKUP($B:$B,Tabela_Linkedin[],2,),0)</f>
        <v>0</v>
      </c>
      <c r="S707" s="70">
        <f>SUMIF(TikTok!A:A,'Compilado 2023'!B:B,TikTok!B:B)</f>
        <v>0</v>
      </c>
      <c r="T707" s="70">
        <v>0</v>
      </c>
      <c r="U707" s="70">
        <v>0</v>
      </c>
      <c r="V707" s="59"/>
      <c r="W707" s="70">
        <v>0</v>
      </c>
      <c r="X707" s="70">
        <v>0</v>
      </c>
      <c r="Y707" s="70">
        <v>0</v>
      </c>
      <c r="Z707" s="38"/>
      <c r="AA707" s="40"/>
    </row>
    <row r="708" spans="1:27" s="2" customFormat="1" x14ac:dyDescent="0.2">
      <c r="A708" s="16" t="str">
        <f t="shared" si="23"/>
        <v>quinta-feira</v>
      </c>
      <c r="B708" s="17">
        <v>45267</v>
      </c>
      <c r="C708" s="19">
        <f t="shared" si="24"/>
        <v>0</v>
      </c>
      <c r="D708" s="52">
        <f>IFERROR(_xlfn.XLOOKUP($B:$B,'Estatísticos Mensais'!$A:$A,'Estatísticos Mensais'!C:C),0)</f>
        <v>0</v>
      </c>
      <c r="E708" s="52">
        <f>IFERROR(_xlfn.XLOOKUP($B:$B,'Estatísticos Mensais'!$A:$A,'Estatísticos Mensais'!D:D),0)</f>
        <v>0</v>
      </c>
      <c r="F708" s="157">
        <f>IFERROR(_xlfn.XLOOKUP($B:$B,'Estatísticos Mensais'!$A:$A,'Estatísticos Mensais'!E:E),0)</f>
        <v>0</v>
      </c>
      <c r="G708" s="157">
        <f>IFERROR(_xlfn.XLOOKUP($B:$B,'Estatísticos Mensais'!$A:$A,'Estatísticos Mensais'!F:F),0)</f>
        <v>0</v>
      </c>
      <c r="H708" s="35">
        <f t="shared" si="25"/>
        <v>0</v>
      </c>
      <c r="I708" s="19">
        <f t="shared" ca="1" si="26"/>
        <v>51.612903225806448</v>
      </c>
      <c r="J708" s="111">
        <f t="shared" ca="1" si="27"/>
        <v>0</v>
      </c>
      <c r="K708" s="53">
        <f>IFERROR(_xlfn.XLOOKUP($B:$B,Google!A:A,Google!B:B),0)</f>
        <v>0</v>
      </c>
      <c r="L708" s="54">
        <f t="shared" si="28"/>
        <v>0</v>
      </c>
      <c r="M708" s="59"/>
      <c r="N708" s="69">
        <f>IFERROR(VLOOKUP(B708,Tabela_Google[],3,),0)</f>
        <v>0</v>
      </c>
      <c r="O708" s="70">
        <f>SUMIF(Facebook!A:A,'Compilado 2023'!B:B,Facebook!B:B)</f>
        <v>0</v>
      </c>
      <c r="P708" s="71">
        <v>0</v>
      </c>
      <c r="Q708" s="70">
        <f ca="1">_xlfn.XLOOKUP(B:B,'E-mail'!A:A,'E-mail'!C:C)</f>
        <v>51.612903225806448</v>
      </c>
      <c r="R708" s="202">
        <f>IFERROR(VLOOKUP($B:$B,Tabela_Linkedin[],2,),0)</f>
        <v>0</v>
      </c>
      <c r="S708" s="70">
        <f>SUMIF(TikTok!A:A,'Compilado 2023'!B:B,TikTok!B:B)</f>
        <v>0</v>
      </c>
      <c r="T708" s="70">
        <v>0</v>
      </c>
      <c r="U708" s="70">
        <v>0</v>
      </c>
      <c r="V708" s="59"/>
      <c r="W708" s="70">
        <v>0</v>
      </c>
      <c r="X708" s="70">
        <v>0</v>
      </c>
      <c r="Y708" s="70">
        <v>0</v>
      </c>
      <c r="Z708" s="38"/>
      <c r="AA708" s="40"/>
    </row>
    <row r="709" spans="1:27" s="2" customFormat="1" x14ac:dyDescent="0.2">
      <c r="A709" s="16" t="str">
        <f t="shared" ref="A709:A732" si="29">TEXT(B709,"DDDD")</f>
        <v>sexta-feira</v>
      </c>
      <c r="B709" s="17">
        <v>45268</v>
      </c>
      <c r="C709" s="19">
        <f t="shared" si="24"/>
        <v>0</v>
      </c>
      <c r="D709" s="52">
        <f>IFERROR(_xlfn.XLOOKUP($B:$B,'Estatísticos Mensais'!$A:$A,'Estatísticos Mensais'!C:C),0)</f>
        <v>0</v>
      </c>
      <c r="E709" s="52">
        <f>IFERROR(_xlfn.XLOOKUP($B:$B,'Estatísticos Mensais'!$A:$A,'Estatísticos Mensais'!D:D),0)</f>
        <v>0</v>
      </c>
      <c r="F709" s="157">
        <f>IFERROR(_xlfn.XLOOKUP($B:$B,'Estatísticos Mensais'!$A:$A,'Estatísticos Mensais'!E:E),0)</f>
        <v>0</v>
      </c>
      <c r="G709" s="157">
        <f>IFERROR(_xlfn.XLOOKUP($B:$B,'Estatísticos Mensais'!$A:$A,'Estatísticos Mensais'!F:F),0)</f>
        <v>0</v>
      </c>
      <c r="H709" s="35">
        <f t="shared" si="25"/>
        <v>0</v>
      </c>
      <c r="I709" s="19">
        <f t="shared" ca="1" si="26"/>
        <v>51.612903225806448</v>
      </c>
      <c r="J709" s="111">
        <f t="shared" ca="1" si="27"/>
        <v>0</v>
      </c>
      <c r="K709" s="53">
        <f>IFERROR(_xlfn.XLOOKUP($B:$B,Google!A:A,Google!B:B),0)</f>
        <v>0</v>
      </c>
      <c r="L709" s="54">
        <f t="shared" si="28"/>
        <v>0</v>
      </c>
      <c r="M709" s="59"/>
      <c r="N709" s="69">
        <f>IFERROR(VLOOKUP(B709,Tabela_Google[],3,),0)</f>
        <v>0</v>
      </c>
      <c r="O709" s="70">
        <f>SUMIF(Facebook!A:A,'Compilado 2023'!B:B,Facebook!B:B)</f>
        <v>0</v>
      </c>
      <c r="P709" s="71">
        <v>0</v>
      </c>
      <c r="Q709" s="70">
        <f ca="1">_xlfn.XLOOKUP(B:B,'E-mail'!A:A,'E-mail'!C:C)</f>
        <v>51.612903225806448</v>
      </c>
      <c r="R709" s="202">
        <f>IFERROR(VLOOKUP($B:$B,Tabela_Linkedin[],2,),0)</f>
        <v>0</v>
      </c>
      <c r="S709" s="70">
        <f>SUMIF(TikTok!A:A,'Compilado 2023'!B:B,TikTok!B:B)</f>
        <v>0</v>
      </c>
      <c r="T709" s="70">
        <v>0</v>
      </c>
      <c r="U709" s="70">
        <v>0</v>
      </c>
      <c r="V709" s="59"/>
      <c r="W709" s="70">
        <v>0</v>
      </c>
      <c r="X709" s="70">
        <v>0</v>
      </c>
      <c r="Y709" s="70">
        <v>0</v>
      </c>
      <c r="Z709" s="38"/>
      <c r="AA709" s="40"/>
    </row>
    <row r="710" spans="1:27" s="2" customFormat="1" x14ac:dyDescent="0.2">
      <c r="A710" s="16" t="str">
        <f t="shared" si="29"/>
        <v>sábado</v>
      </c>
      <c r="B710" s="17">
        <v>45269</v>
      </c>
      <c r="C710" s="19">
        <f t="shared" si="24"/>
        <v>0</v>
      </c>
      <c r="D710" s="52">
        <f>IFERROR(_xlfn.XLOOKUP($B:$B,'Estatísticos Mensais'!$A:$A,'Estatísticos Mensais'!C:C),0)</f>
        <v>0</v>
      </c>
      <c r="E710" s="52">
        <f>IFERROR(_xlfn.XLOOKUP($B:$B,'Estatísticos Mensais'!$A:$A,'Estatísticos Mensais'!D:D),0)</f>
        <v>0</v>
      </c>
      <c r="F710" s="157">
        <f>IFERROR(_xlfn.XLOOKUP($B:$B,'Estatísticos Mensais'!$A:$A,'Estatísticos Mensais'!E:E),0)</f>
        <v>0</v>
      </c>
      <c r="G710" s="157">
        <f>IFERROR(_xlfn.XLOOKUP($B:$B,'Estatísticos Mensais'!$A:$A,'Estatísticos Mensais'!F:F),0)</f>
        <v>0</v>
      </c>
      <c r="H710" s="35">
        <f t="shared" si="25"/>
        <v>0</v>
      </c>
      <c r="I710" s="19">
        <f t="shared" ca="1" si="26"/>
        <v>51.612903225806448</v>
      </c>
      <c r="J710" s="111">
        <f t="shared" ca="1" si="27"/>
        <v>0</v>
      </c>
      <c r="K710" s="53">
        <f>IFERROR(_xlfn.XLOOKUP($B:$B,Google!A:A,Google!B:B),0)</f>
        <v>0</v>
      </c>
      <c r="L710" s="54">
        <f t="shared" si="28"/>
        <v>0</v>
      </c>
      <c r="M710" s="59"/>
      <c r="N710" s="69">
        <f>IFERROR(VLOOKUP(B710,Tabela_Google[],3,),0)</f>
        <v>0</v>
      </c>
      <c r="O710" s="70">
        <f>SUMIF(Facebook!A:A,'Compilado 2023'!B:B,Facebook!B:B)</f>
        <v>0</v>
      </c>
      <c r="P710" s="71">
        <v>0</v>
      </c>
      <c r="Q710" s="70">
        <f ca="1">_xlfn.XLOOKUP(B:B,'E-mail'!A:A,'E-mail'!C:C)</f>
        <v>51.612903225806448</v>
      </c>
      <c r="R710" s="202">
        <f>IFERROR(VLOOKUP($B:$B,Tabela_Linkedin[],2,),0)</f>
        <v>0</v>
      </c>
      <c r="S710" s="70">
        <f>SUMIF(TikTok!A:A,'Compilado 2023'!B:B,TikTok!B:B)</f>
        <v>0</v>
      </c>
      <c r="T710" s="70">
        <v>0</v>
      </c>
      <c r="U710" s="70">
        <v>0</v>
      </c>
      <c r="V710" s="59"/>
      <c r="W710" s="70">
        <v>0</v>
      </c>
      <c r="X710" s="70">
        <v>0</v>
      </c>
      <c r="Y710" s="70">
        <v>0</v>
      </c>
      <c r="Z710" s="38"/>
      <c r="AA710" s="40"/>
    </row>
    <row r="711" spans="1:27" s="2" customFormat="1" x14ac:dyDescent="0.2">
      <c r="A711" s="16" t="str">
        <f t="shared" si="29"/>
        <v>domingo</v>
      </c>
      <c r="B711" s="17">
        <v>45270</v>
      </c>
      <c r="C711" s="19">
        <f t="shared" si="24"/>
        <v>0</v>
      </c>
      <c r="D711" s="52">
        <f>IFERROR(_xlfn.XLOOKUP($B:$B,'Estatísticos Mensais'!$A:$A,'Estatísticos Mensais'!C:C),0)</f>
        <v>0</v>
      </c>
      <c r="E711" s="52">
        <f>IFERROR(_xlfn.XLOOKUP($B:$B,'Estatísticos Mensais'!$A:$A,'Estatísticos Mensais'!D:D),0)</f>
        <v>0</v>
      </c>
      <c r="F711" s="157">
        <f>IFERROR(_xlfn.XLOOKUP($B:$B,'Estatísticos Mensais'!$A:$A,'Estatísticos Mensais'!E:E),0)</f>
        <v>0</v>
      </c>
      <c r="G711" s="157">
        <f>IFERROR(_xlfn.XLOOKUP($B:$B,'Estatísticos Mensais'!$A:$A,'Estatísticos Mensais'!F:F),0)</f>
        <v>0</v>
      </c>
      <c r="H711" s="35">
        <f t="shared" si="25"/>
        <v>0</v>
      </c>
      <c r="I711" s="19">
        <f t="shared" ca="1" si="26"/>
        <v>51.612903225806448</v>
      </c>
      <c r="J711" s="111">
        <f t="shared" ca="1" si="27"/>
        <v>0</v>
      </c>
      <c r="K711" s="53">
        <f>IFERROR(_xlfn.XLOOKUP($B:$B,Google!A:A,Google!B:B),0)</f>
        <v>0</v>
      </c>
      <c r="L711" s="54">
        <f t="shared" si="28"/>
        <v>0</v>
      </c>
      <c r="M711" s="59"/>
      <c r="N711" s="69">
        <f>IFERROR(VLOOKUP(B711,Tabela_Google[],3,),0)</f>
        <v>0</v>
      </c>
      <c r="O711" s="70">
        <f>SUMIF(Facebook!A:A,'Compilado 2023'!B:B,Facebook!B:B)</f>
        <v>0</v>
      </c>
      <c r="P711" s="71">
        <v>0</v>
      </c>
      <c r="Q711" s="70">
        <f ca="1">_xlfn.XLOOKUP(B:B,'E-mail'!A:A,'E-mail'!C:C)</f>
        <v>51.612903225806448</v>
      </c>
      <c r="R711" s="202">
        <f>IFERROR(VLOOKUP($B:$B,Tabela_Linkedin[],2,),0)</f>
        <v>0</v>
      </c>
      <c r="S711" s="70">
        <f>SUMIF(TikTok!A:A,'Compilado 2023'!B:B,TikTok!B:B)</f>
        <v>0</v>
      </c>
      <c r="T711" s="70">
        <v>0</v>
      </c>
      <c r="U711" s="70">
        <v>0</v>
      </c>
      <c r="V711" s="59"/>
      <c r="W711" s="70">
        <v>0</v>
      </c>
      <c r="X711" s="70">
        <v>0</v>
      </c>
      <c r="Y711" s="70">
        <v>0</v>
      </c>
      <c r="Z711" s="38"/>
      <c r="AA711" s="40"/>
    </row>
    <row r="712" spans="1:27" s="2" customFormat="1" x14ac:dyDescent="0.2">
      <c r="A712" s="16" t="str">
        <f t="shared" si="29"/>
        <v>segunda-feira</v>
      </c>
      <c r="B712" s="17">
        <v>45271</v>
      </c>
      <c r="C712" s="19">
        <f t="shared" si="24"/>
        <v>0</v>
      </c>
      <c r="D712" s="52">
        <f>IFERROR(_xlfn.XLOOKUP($B:$B,'Estatísticos Mensais'!$A:$A,'Estatísticos Mensais'!C:C),0)</f>
        <v>0</v>
      </c>
      <c r="E712" s="52">
        <f>IFERROR(_xlfn.XLOOKUP($B:$B,'Estatísticos Mensais'!$A:$A,'Estatísticos Mensais'!D:D),0)</f>
        <v>0</v>
      </c>
      <c r="F712" s="157">
        <f>IFERROR(_xlfn.XLOOKUP($B:$B,'Estatísticos Mensais'!$A:$A,'Estatísticos Mensais'!E:E),0)</f>
        <v>0</v>
      </c>
      <c r="G712" s="157">
        <f>IFERROR(_xlfn.XLOOKUP($B:$B,'Estatísticos Mensais'!$A:$A,'Estatísticos Mensais'!F:F),0)</f>
        <v>0</v>
      </c>
      <c r="H712" s="35">
        <f t="shared" si="25"/>
        <v>0</v>
      </c>
      <c r="I712" s="19">
        <f t="shared" ca="1" si="26"/>
        <v>51.612903225806448</v>
      </c>
      <c r="J712" s="111">
        <f t="shared" ca="1" si="27"/>
        <v>0</v>
      </c>
      <c r="K712" s="53">
        <f>IFERROR(_xlfn.XLOOKUP($B:$B,Google!A:A,Google!B:B),0)</f>
        <v>0</v>
      </c>
      <c r="L712" s="54">
        <f t="shared" si="28"/>
        <v>0</v>
      </c>
      <c r="M712" s="59"/>
      <c r="N712" s="69">
        <f>IFERROR(VLOOKUP(B712,Tabela_Google[],3,),0)</f>
        <v>0</v>
      </c>
      <c r="O712" s="70">
        <f>SUMIF(Facebook!A:A,'Compilado 2023'!B:B,Facebook!B:B)</f>
        <v>0</v>
      </c>
      <c r="P712" s="71">
        <v>0</v>
      </c>
      <c r="Q712" s="70">
        <f ca="1">_xlfn.XLOOKUP(B:B,'E-mail'!A:A,'E-mail'!C:C)</f>
        <v>51.612903225806448</v>
      </c>
      <c r="R712" s="202">
        <f>IFERROR(VLOOKUP($B:$B,Tabela_Linkedin[],2,),0)</f>
        <v>0</v>
      </c>
      <c r="S712" s="70">
        <f>SUMIF(TikTok!A:A,'Compilado 2023'!B:B,TikTok!B:B)</f>
        <v>0</v>
      </c>
      <c r="T712" s="70">
        <v>0</v>
      </c>
      <c r="U712" s="70">
        <v>0</v>
      </c>
      <c r="V712" s="59"/>
      <c r="W712" s="70">
        <v>0</v>
      </c>
      <c r="X712" s="70">
        <v>0</v>
      </c>
      <c r="Y712" s="70">
        <v>0</v>
      </c>
      <c r="Z712" s="38"/>
      <c r="AA712" s="40"/>
    </row>
    <row r="713" spans="1:27" s="2" customFormat="1" x14ac:dyDescent="0.2">
      <c r="A713" s="16" t="str">
        <f t="shared" si="29"/>
        <v>terça-feira</v>
      </c>
      <c r="B713" s="17">
        <v>45272</v>
      </c>
      <c r="C713" s="19">
        <f t="shared" si="24"/>
        <v>0</v>
      </c>
      <c r="D713" s="52">
        <f>IFERROR(_xlfn.XLOOKUP($B:$B,'Estatísticos Mensais'!$A:$A,'Estatísticos Mensais'!C:C),0)</f>
        <v>0</v>
      </c>
      <c r="E713" s="52">
        <f>IFERROR(_xlfn.XLOOKUP($B:$B,'Estatísticos Mensais'!$A:$A,'Estatísticos Mensais'!D:D),0)</f>
        <v>0</v>
      </c>
      <c r="F713" s="157">
        <f>IFERROR(_xlfn.XLOOKUP($B:$B,'Estatísticos Mensais'!$A:$A,'Estatísticos Mensais'!E:E),0)</f>
        <v>0</v>
      </c>
      <c r="G713" s="157">
        <f>IFERROR(_xlfn.XLOOKUP($B:$B,'Estatísticos Mensais'!$A:$A,'Estatísticos Mensais'!F:F),0)</f>
        <v>0</v>
      </c>
      <c r="H713" s="35">
        <f t="shared" si="25"/>
        <v>0</v>
      </c>
      <c r="I713" s="19">
        <f t="shared" ca="1" si="26"/>
        <v>51.612903225806448</v>
      </c>
      <c r="J713" s="111">
        <f t="shared" ca="1" si="27"/>
        <v>0</v>
      </c>
      <c r="K713" s="53">
        <f>IFERROR(_xlfn.XLOOKUP($B:$B,Google!A:A,Google!B:B),0)</f>
        <v>0</v>
      </c>
      <c r="L713" s="54">
        <f t="shared" si="28"/>
        <v>0</v>
      </c>
      <c r="M713" s="59"/>
      <c r="N713" s="69">
        <f>IFERROR(VLOOKUP(B713,Tabela_Google[],3,),0)</f>
        <v>0</v>
      </c>
      <c r="O713" s="70">
        <f>SUMIF(Facebook!A:A,'Compilado 2023'!B:B,Facebook!B:B)</f>
        <v>0</v>
      </c>
      <c r="P713" s="71">
        <v>0</v>
      </c>
      <c r="Q713" s="70">
        <f ca="1">_xlfn.XLOOKUP(B:B,'E-mail'!A:A,'E-mail'!C:C)</f>
        <v>51.612903225806448</v>
      </c>
      <c r="R713" s="202">
        <f>IFERROR(VLOOKUP($B:$B,Tabela_Linkedin[],2,),0)</f>
        <v>0</v>
      </c>
      <c r="S713" s="70">
        <f>SUMIF(TikTok!A:A,'Compilado 2023'!B:B,TikTok!B:B)</f>
        <v>0</v>
      </c>
      <c r="T713" s="70">
        <v>0</v>
      </c>
      <c r="U713" s="70">
        <v>0</v>
      </c>
      <c r="V713" s="59"/>
      <c r="W713" s="70">
        <v>0</v>
      </c>
      <c r="X713" s="70">
        <v>0</v>
      </c>
      <c r="Y713" s="70">
        <v>0</v>
      </c>
      <c r="Z713" s="38"/>
      <c r="AA713" s="40"/>
    </row>
    <row r="714" spans="1:27" s="2" customFormat="1" x14ac:dyDescent="0.2">
      <c r="A714" s="16" t="str">
        <f t="shared" si="29"/>
        <v>quarta-feira</v>
      </c>
      <c r="B714" s="17">
        <v>45273</v>
      </c>
      <c r="C714" s="19">
        <f t="shared" si="24"/>
        <v>0</v>
      </c>
      <c r="D714" s="52">
        <f>IFERROR(_xlfn.XLOOKUP($B:$B,'Estatísticos Mensais'!$A:$A,'Estatísticos Mensais'!C:C),0)</f>
        <v>0</v>
      </c>
      <c r="E714" s="52">
        <f>IFERROR(_xlfn.XLOOKUP($B:$B,'Estatísticos Mensais'!$A:$A,'Estatísticos Mensais'!D:D),0)</f>
        <v>0</v>
      </c>
      <c r="F714" s="157">
        <f>IFERROR(_xlfn.XLOOKUP($B:$B,'Estatísticos Mensais'!$A:$A,'Estatísticos Mensais'!E:E),0)</f>
        <v>0</v>
      </c>
      <c r="G714" s="157">
        <f>IFERROR(_xlfn.XLOOKUP($B:$B,'Estatísticos Mensais'!$A:$A,'Estatísticos Mensais'!F:F),0)</f>
        <v>0</v>
      </c>
      <c r="H714" s="35">
        <f t="shared" si="25"/>
        <v>0</v>
      </c>
      <c r="I714" s="19">
        <f t="shared" ca="1" si="26"/>
        <v>51.612903225806448</v>
      </c>
      <c r="J714" s="111">
        <f t="shared" ca="1" si="27"/>
        <v>0</v>
      </c>
      <c r="K714" s="53">
        <f>IFERROR(_xlfn.XLOOKUP($B:$B,Google!A:A,Google!B:B),0)</f>
        <v>0</v>
      </c>
      <c r="L714" s="54">
        <f t="shared" si="28"/>
        <v>0</v>
      </c>
      <c r="M714" s="59"/>
      <c r="N714" s="69">
        <f>IFERROR(VLOOKUP(B714,Tabela_Google[],3,),0)</f>
        <v>0</v>
      </c>
      <c r="O714" s="70">
        <f>SUMIF(Facebook!A:A,'Compilado 2023'!B:B,Facebook!B:B)</f>
        <v>0</v>
      </c>
      <c r="P714" s="71">
        <v>0</v>
      </c>
      <c r="Q714" s="70">
        <f ca="1">_xlfn.XLOOKUP(B:B,'E-mail'!A:A,'E-mail'!C:C)</f>
        <v>51.612903225806448</v>
      </c>
      <c r="R714" s="202">
        <f>IFERROR(VLOOKUP($B:$B,Tabela_Linkedin[],2,),0)</f>
        <v>0</v>
      </c>
      <c r="S714" s="70">
        <f>SUMIF(TikTok!A:A,'Compilado 2023'!B:B,TikTok!B:B)</f>
        <v>0</v>
      </c>
      <c r="T714" s="70">
        <v>0</v>
      </c>
      <c r="U714" s="70">
        <v>0</v>
      </c>
      <c r="V714" s="59"/>
      <c r="W714" s="70">
        <v>0</v>
      </c>
      <c r="X714" s="70">
        <v>0</v>
      </c>
      <c r="Y714" s="70">
        <v>0</v>
      </c>
      <c r="Z714" s="38"/>
      <c r="AA714" s="40"/>
    </row>
    <row r="715" spans="1:27" s="2" customFormat="1" x14ac:dyDescent="0.2">
      <c r="A715" s="16" t="str">
        <f t="shared" si="29"/>
        <v>quinta-feira</v>
      </c>
      <c r="B715" s="17">
        <v>45274</v>
      </c>
      <c r="C715" s="19">
        <f t="shared" ref="C715:C732" si="30">D715+E715</f>
        <v>0</v>
      </c>
      <c r="D715" s="52">
        <f>IFERROR(_xlfn.XLOOKUP($B:$B,'Estatísticos Mensais'!$A:$A,'Estatísticos Mensais'!C:C),0)</f>
        <v>0</v>
      </c>
      <c r="E715" s="52">
        <f>IFERROR(_xlfn.XLOOKUP($B:$B,'Estatísticos Mensais'!$A:$A,'Estatísticos Mensais'!D:D),0)</f>
        <v>0</v>
      </c>
      <c r="F715" s="157">
        <f>IFERROR(_xlfn.XLOOKUP($B:$B,'Estatísticos Mensais'!$A:$A,'Estatísticos Mensais'!E:E),0)</f>
        <v>0</v>
      </c>
      <c r="G715" s="157">
        <f>IFERROR(_xlfn.XLOOKUP($B:$B,'Estatísticos Mensais'!$A:$A,'Estatísticos Mensais'!F:F),0)</f>
        <v>0</v>
      </c>
      <c r="H715" s="35">
        <f t="shared" si="25"/>
        <v>0</v>
      </c>
      <c r="I715" s="19">
        <f t="shared" ca="1" si="26"/>
        <v>51.612903225806448</v>
      </c>
      <c r="J715" s="111">
        <f t="shared" ca="1" si="27"/>
        <v>0</v>
      </c>
      <c r="K715" s="53">
        <f>IFERROR(_xlfn.XLOOKUP($B:$B,Google!A:A,Google!B:B),0)</f>
        <v>0</v>
      </c>
      <c r="L715" s="54">
        <f t="shared" si="28"/>
        <v>0</v>
      </c>
      <c r="M715" s="59"/>
      <c r="N715" s="69">
        <f>IFERROR(VLOOKUP(B715,Tabela_Google[],3,),0)</f>
        <v>0</v>
      </c>
      <c r="O715" s="70">
        <f>SUMIF(Facebook!A:A,'Compilado 2023'!B:B,Facebook!B:B)</f>
        <v>0</v>
      </c>
      <c r="P715" s="71">
        <v>0</v>
      </c>
      <c r="Q715" s="70">
        <f ca="1">_xlfn.XLOOKUP(B:B,'E-mail'!A:A,'E-mail'!C:C)</f>
        <v>51.612903225806448</v>
      </c>
      <c r="R715" s="202">
        <f>IFERROR(VLOOKUP($B:$B,Tabela_Linkedin[],2,),0)</f>
        <v>0</v>
      </c>
      <c r="S715" s="70">
        <f>SUMIF(TikTok!A:A,'Compilado 2023'!B:B,TikTok!B:B)</f>
        <v>0</v>
      </c>
      <c r="T715" s="70">
        <v>0</v>
      </c>
      <c r="U715" s="70">
        <v>0</v>
      </c>
      <c r="V715" s="59"/>
      <c r="W715" s="70">
        <v>0</v>
      </c>
      <c r="X715" s="70">
        <v>0</v>
      </c>
      <c r="Y715" s="70">
        <v>0</v>
      </c>
      <c r="Z715" s="38"/>
      <c r="AA715" s="40"/>
    </row>
    <row r="716" spans="1:27" s="2" customFormat="1" x14ac:dyDescent="0.2">
      <c r="A716" s="16" t="str">
        <f t="shared" si="29"/>
        <v>sexta-feira</v>
      </c>
      <c r="B716" s="17">
        <v>45275</v>
      </c>
      <c r="C716" s="19">
        <f t="shared" si="30"/>
        <v>0</v>
      </c>
      <c r="D716" s="52">
        <f>IFERROR(_xlfn.XLOOKUP($B:$B,'Estatísticos Mensais'!$A:$A,'Estatísticos Mensais'!C:C),0)</f>
        <v>0</v>
      </c>
      <c r="E716" s="52">
        <f>IFERROR(_xlfn.XLOOKUP($B:$B,'Estatísticos Mensais'!$A:$A,'Estatísticos Mensais'!D:D),0)</f>
        <v>0</v>
      </c>
      <c r="F716" s="157">
        <f>IFERROR(_xlfn.XLOOKUP($B:$B,'Estatísticos Mensais'!$A:$A,'Estatísticos Mensais'!E:E),0)</f>
        <v>0</v>
      </c>
      <c r="G716" s="157">
        <f>IFERROR(_xlfn.XLOOKUP($B:$B,'Estatísticos Mensais'!$A:$A,'Estatísticos Mensais'!F:F),0)</f>
        <v>0</v>
      </c>
      <c r="H716" s="35">
        <f t="shared" si="25"/>
        <v>0</v>
      </c>
      <c r="I716" s="19">
        <f t="shared" ca="1" si="26"/>
        <v>51.612903225806448</v>
      </c>
      <c r="J716" s="111">
        <f t="shared" ca="1" si="27"/>
        <v>0</v>
      </c>
      <c r="K716" s="53">
        <f>IFERROR(_xlfn.XLOOKUP($B:$B,Google!A:A,Google!B:B),0)</f>
        <v>0</v>
      </c>
      <c r="L716" s="54">
        <f t="shared" si="28"/>
        <v>0</v>
      </c>
      <c r="M716" s="59"/>
      <c r="N716" s="69">
        <f>IFERROR(VLOOKUP(B716,Tabela_Google[],3,),0)</f>
        <v>0</v>
      </c>
      <c r="O716" s="70">
        <f>SUMIF(Facebook!A:A,'Compilado 2023'!B:B,Facebook!B:B)</f>
        <v>0</v>
      </c>
      <c r="P716" s="71">
        <v>0</v>
      </c>
      <c r="Q716" s="70">
        <f ca="1">_xlfn.XLOOKUP(B:B,'E-mail'!A:A,'E-mail'!C:C)</f>
        <v>51.612903225806448</v>
      </c>
      <c r="R716" s="202">
        <f>IFERROR(VLOOKUP($B:$B,Tabela_Linkedin[],2,),0)</f>
        <v>0</v>
      </c>
      <c r="S716" s="70">
        <f>SUMIF(TikTok!A:A,'Compilado 2023'!B:B,TikTok!B:B)</f>
        <v>0</v>
      </c>
      <c r="T716" s="70">
        <v>0</v>
      </c>
      <c r="U716" s="70">
        <v>0</v>
      </c>
      <c r="V716" s="59"/>
      <c r="W716" s="70">
        <v>0</v>
      </c>
      <c r="X716" s="70">
        <v>0</v>
      </c>
      <c r="Y716" s="70">
        <v>0</v>
      </c>
      <c r="Z716" s="38"/>
      <c r="AA716" s="40"/>
    </row>
    <row r="717" spans="1:27" s="2" customFormat="1" x14ac:dyDescent="0.2">
      <c r="A717" s="16" t="str">
        <f t="shared" si="29"/>
        <v>sábado</v>
      </c>
      <c r="B717" s="17">
        <v>45276</v>
      </c>
      <c r="C717" s="19">
        <f t="shared" si="30"/>
        <v>0</v>
      </c>
      <c r="D717" s="52">
        <f>IFERROR(_xlfn.XLOOKUP($B:$B,'Estatísticos Mensais'!$A:$A,'Estatísticos Mensais'!C:C),0)</f>
        <v>0</v>
      </c>
      <c r="E717" s="52">
        <f>IFERROR(_xlfn.XLOOKUP($B:$B,'Estatísticos Mensais'!$A:$A,'Estatísticos Mensais'!D:D),0)</f>
        <v>0</v>
      </c>
      <c r="F717" s="157">
        <f>IFERROR(_xlfn.XLOOKUP($B:$B,'Estatísticos Mensais'!$A:$A,'Estatísticos Mensais'!E:E),0)</f>
        <v>0</v>
      </c>
      <c r="G717" s="157">
        <f>IFERROR(_xlfn.XLOOKUP($B:$B,'Estatísticos Mensais'!$A:$A,'Estatísticos Mensais'!F:F),0)</f>
        <v>0</v>
      </c>
      <c r="H717" s="35">
        <f t="shared" si="25"/>
        <v>0</v>
      </c>
      <c r="I717" s="19">
        <f t="shared" ca="1" si="26"/>
        <v>51.612903225806448</v>
      </c>
      <c r="J717" s="111">
        <f t="shared" ca="1" si="27"/>
        <v>0</v>
      </c>
      <c r="K717" s="53">
        <f>IFERROR(_xlfn.XLOOKUP($B:$B,Google!A:A,Google!B:B),0)</f>
        <v>0</v>
      </c>
      <c r="L717" s="54">
        <f t="shared" si="28"/>
        <v>0</v>
      </c>
      <c r="M717" s="59"/>
      <c r="N717" s="69">
        <f>IFERROR(VLOOKUP(B717,Tabela_Google[],3,),0)</f>
        <v>0</v>
      </c>
      <c r="O717" s="70">
        <f>SUMIF(Facebook!A:A,'Compilado 2023'!B:B,Facebook!B:B)</f>
        <v>0</v>
      </c>
      <c r="P717" s="71">
        <v>0</v>
      </c>
      <c r="Q717" s="70">
        <f ca="1">_xlfn.XLOOKUP(B:B,'E-mail'!A:A,'E-mail'!C:C)</f>
        <v>51.612903225806448</v>
      </c>
      <c r="R717" s="202">
        <f>IFERROR(VLOOKUP($B:$B,Tabela_Linkedin[],2,),0)</f>
        <v>0</v>
      </c>
      <c r="S717" s="70">
        <f>SUMIF(TikTok!A:A,'Compilado 2023'!B:B,TikTok!B:B)</f>
        <v>0</v>
      </c>
      <c r="T717" s="70">
        <v>0</v>
      </c>
      <c r="U717" s="70">
        <v>0</v>
      </c>
      <c r="V717" s="59"/>
      <c r="W717" s="70">
        <v>0</v>
      </c>
      <c r="X717" s="70">
        <v>0</v>
      </c>
      <c r="Y717" s="70">
        <v>0</v>
      </c>
      <c r="Z717" s="38"/>
      <c r="AA717" s="40"/>
    </row>
    <row r="718" spans="1:27" s="2" customFormat="1" x14ac:dyDescent="0.2">
      <c r="A718" s="16" t="str">
        <f t="shared" si="29"/>
        <v>domingo</v>
      </c>
      <c r="B718" s="17">
        <v>45277</v>
      </c>
      <c r="C718" s="19">
        <f t="shared" si="30"/>
        <v>0</v>
      </c>
      <c r="D718" s="52">
        <f>IFERROR(_xlfn.XLOOKUP($B:$B,'Estatísticos Mensais'!$A:$A,'Estatísticos Mensais'!C:C),0)</f>
        <v>0</v>
      </c>
      <c r="E718" s="52">
        <f>IFERROR(_xlfn.XLOOKUP($B:$B,'Estatísticos Mensais'!$A:$A,'Estatísticos Mensais'!D:D),0)</f>
        <v>0</v>
      </c>
      <c r="F718" s="157">
        <f>IFERROR(_xlfn.XLOOKUP($B:$B,'Estatísticos Mensais'!$A:$A,'Estatísticos Mensais'!E:E),0)</f>
        <v>0</v>
      </c>
      <c r="G718" s="157">
        <f>IFERROR(_xlfn.XLOOKUP($B:$B,'Estatísticos Mensais'!$A:$A,'Estatísticos Mensais'!F:F),0)</f>
        <v>0</v>
      </c>
      <c r="H718" s="35">
        <f t="shared" ref="H718:H732" si="31">IFERROR(C718/F718,0)</f>
        <v>0</v>
      </c>
      <c r="I718" s="19">
        <f t="shared" ref="I718:I732" ca="1" si="32">SUM(N718:U718)</f>
        <v>51.612903225806448</v>
      </c>
      <c r="J718" s="111">
        <f t="shared" ref="J718:J732" ca="1" si="33">IF(I718&gt;0,C718/I718,0)</f>
        <v>0</v>
      </c>
      <c r="K718" s="53">
        <f>IFERROR(_xlfn.XLOOKUP($B:$B,Google!A:A,Google!B:B),0)</f>
        <v>0</v>
      </c>
      <c r="L718" s="54">
        <f t="shared" ref="L718:L732" si="34">IFERROR(F718/K718,0)</f>
        <v>0</v>
      </c>
      <c r="M718" s="59"/>
      <c r="N718" s="69">
        <f>IFERROR(VLOOKUP(B718,Tabela_Google[],3,),0)</f>
        <v>0</v>
      </c>
      <c r="O718" s="70">
        <f>SUMIF(Facebook!A:A,'Compilado 2023'!B:B,Facebook!B:B)</f>
        <v>0</v>
      </c>
      <c r="P718" s="71">
        <v>0</v>
      </c>
      <c r="Q718" s="70">
        <f ca="1">_xlfn.XLOOKUP(B:B,'E-mail'!A:A,'E-mail'!C:C)</f>
        <v>51.612903225806448</v>
      </c>
      <c r="R718" s="202">
        <f>IFERROR(VLOOKUP($B:$B,Tabela_Linkedin[],2,),0)</f>
        <v>0</v>
      </c>
      <c r="S718" s="70">
        <f>SUMIF(TikTok!A:A,'Compilado 2023'!B:B,TikTok!B:B)</f>
        <v>0</v>
      </c>
      <c r="T718" s="70">
        <v>0</v>
      </c>
      <c r="U718" s="70">
        <v>0</v>
      </c>
      <c r="V718" s="59"/>
      <c r="W718" s="70">
        <v>0</v>
      </c>
      <c r="X718" s="70">
        <v>0</v>
      </c>
      <c r="Y718" s="70">
        <v>0</v>
      </c>
      <c r="Z718" s="38"/>
      <c r="AA718" s="40"/>
    </row>
    <row r="719" spans="1:27" s="2" customFormat="1" x14ac:dyDescent="0.2">
      <c r="A719" s="16" t="str">
        <f t="shared" si="29"/>
        <v>segunda-feira</v>
      </c>
      <c r="B719" s="17">
        <v>45278</v>
      </c>
      <c r="C719" s="19">
        <f t="shared" si="30"/>
        <v>0</v>
      </c>
      <c r="D719" s="52">
        <f>IFERROR(_xlfn.XLOOKUP($B:$B,'Estatísticos Mensais'!$A:$A,'Estatísticos Mensais'!C:C),0)</f>
        <v>0</v>
      </c>
      <c r="E719" s="52">
        <f>IFERROR(_xlfn.XLOOKUP($B:$B,'Estatísticos Mensais'!$A:$A,'Estatísticos Mensais'!D:D),0)</f>
        <v>0</v>
      </c>
      <c r="F719" s="157">
        <f>IFERROR(_xlfn.XLOOKUP($B:$B,'Estatísticos Mensais'!$A:$A,'Estatísticos Mensais'!E:E),0)</f>
        <v>0</v>
      </c>
      <c r="G719" s="157">
        <f>IFERROR(_xlfn.XLOOKUP($B:$B,'Estatísticos Mensais'!$A:$A,'Estatísticos Mensais'!F:F),0)</f>
        <v>0</v>
      </c>
      <c r="H719" s="35">
        <f t="shared" si="31"/>
        <v>0</v>
      </c>
      <c r="I719" s="19">
        <f t="shared" ca="1" si="32"/>
        <v>51.612903225806448</v>
      </c>
      <c r="J719" s="111">
        <f t="shared" ca="1" si="33"/>
        <v>0</v>
      </c>
      <c r="K719" s="53">
        <f>IFERROR(_xlfn.XLOOKUP($B:$B,Google!A:A,Google!B:B),0)</f>
        <v>0</v>
      </c>
      <c r="L719" s="54">
        <f t="shared" si="34"/>
        <v>0</v>
      </c>
      <c r="M719" s="59"/>
      <c r="N719" s="69">
        <f>IFERROR(VLOOKUP(B719,Tabela_Google[],3,),0)</f>
        <v>0</v>
      </c>
      <c r="O719" s="70">
        <f>SUMIF(Facebook!A:A,'Compilado 2023'!B:B,Facebook!B:B)</f>
        <v>0</v>
      </c>
      <c r="P719" s="71">
        <v>0</v>
      </c>
      <c r="Q719" s="70">
        <f ca="1">_xlfn.XLOOKUP(B:B,'E-mail'!A:A,'E-mail'!C:C)</f>
        <v>51.612903225806448</v>
      </c>
      <c r="R719" s="202">
        <f>IFERROR(VLOOKUP($B:$B,Tabela_Linkedin[],2,),0)</f>
        <v>0</v>
      </c>
      <c r="S719" s="70">
        <f>SUMIF(TikTok!A:A,'Compilado 2023'!B:B,TikTok!B:B)</f>
        <v>0</v>
      </c>
      <c r="T719" s="70">
        <v>0</v>
      </c>
      <c r="U719" s="70">
        <v>0</v>
      </c>
      <c r="V719" s="59"/>
      <c r="W719" s="70">
        <v>0</v>
      </c>
      <c r="X719" s="70">
        <v>0</v>
      </c>
      <c r="Y719" s="70">
        <v>0</v>
      </c>
      <c r="Z719" s="38"/>
      <c r="AA719" s="40"/>
    </row>
    <row r="720" spans="1:27" s="2" customFormat="1" x14ac:dyDescent="0.2">
      <c r="A720" s="16" t="str">
        <f t="shared" si="29"/>
        <v>terça-feira</v>
      </c>
      <c r="B720" s="17">
        <v>45279</v>
      </c>
      <c r="C720" s="19">
        <f t="shared" si="30"/>
        <v>0</v>
      </c>
      <c r="D720" s="52">
        <f>IFERROR(_xlfn.XLOOKUP($B:$B,'Estatísticos Mensais'!$A:$A,'Estatísticos Mensais'!C:C),0)</f>
        <v>0</v>
      </c>
      <c r="E720" s="52">
        <f>IFERROR(_xlfn.XLOOKUP($B:$B,'Estatísticos Mensais'!$A:$A,'Estatísticos Mensais'!D:D),0)</f>
        <v>0</v>
      </c>
      <c r="F720" s="157">
        <f>IFERROR(_xlfn.XLOOKUP($B:$B,'Estatísticos Mensais'!$A:$A,'Estatísticos Mensais'!E:E),0)</f>
        <v>0</v>
      </c>
      <c r="G720" s="157">
        <f>IFERROR(_xlfn.XLOOKUP($B:$B,'Estatísticos Mensais'!$A:$A,'Estatísticos Mensais'!F:F),0)</f>
        <v>0</v>
      </c>
      <c r="H720" s="35">
        <f t="shared" si="31"/>
        <v>0</v>
      </c>
      <c r="I720" s="19">
        <f t="shared" ca="1" si="32"/>
        <v>51.612903225806448</v>
      </c>
      <c r="J720" s="111">
        <f t="shared" ca="1" si="33"/>
        <v>0</v>
      </c>
      <c r="K720" s="53">
        <f>IFERROR(_xlfn.XLOOKUP($B:$B,Google!A:A,Google!B:B),0)</f>
        <v>0</v>
      </c>
      <c r="L720" s="54">
        <f t="shared" si="34"/>
        <v>0</v>
      </c>
      <c r="M720" s="59"/>
      <c r="N720" s="69">
        <f>IFERROR(VLOOKUP(B720,Tabela_Google[],3,),0)</f>
        <v>0</v>
      </c>
      <c r="O720" s="70">
        <f>SUMIF(Facebook!A:A,'Compilado 2023'!B:B,Facebook!B:B)</f>
        <v>0</v>
      </c>
      <c r="P720" s="71">
        <v>0</v>
      </c>
      <c r="Q720" s="70">
        <f ca="1">_xlfn.XLOOKUP(B:B,'E-mail'!A:A,'E-mail'!C:C)</f>
        <v>51.612903225806448</v>
      </c>
      <c r="R720" s="202">
        <f>IFERROR(VLOOKUP($B:$B,Tabela_Linkedin[],2,),0)</f>
        <v>0</v>
      </c>
      <c r="S720" s="70">
        <f>SUMIF(TikTok!A:A,'Compilado 2023'!B:B,TikTok!B:B)</f>
        <v>0</v>
      </c>
      <c r="T720" s="70">
        <v>0</v>
      </c>
      <c r="U720" s="70">
        <v>0</v>
      </c>
      <c r="V720" s="59"/>
      <c r="W720" s="70">
        <v>0</v>
      </c>
      <c r="X720" s="70">
        <v>0</v>
      </c>
      <c r="Y720" s="70">
        <v>0</v>
      </c>
      <c r="Z720" s="38"/>
      <c r="AA720" s="40"/>
    </row>
    <row r="721" spans="1:27" s="2" customFormat="1" x14ac:dyDescent="0.2">
      <c r="A721" s="16" t="str">
        <f t="shared" si="29"/>
        <v>quarta-feira</v>
      </c>
      <c r="B721" s="17">
        <v>45280</v>
      </c>
      <c r="C721" s="19">
        <f t="shared" si="30"/>
        <v>0</v>
      </c>
      <c r="D721" s="52">
        <f>IFERROR(_xlfn.XLOOKUP($B:$B,'Estatísticos Mensais'!$A:$A,'Estatísticos Mensais'!C:C),0)</f>
        <v>0</v>
      </c>
      <c r="E721" s="52">
        <f>IFERROR(_xlfn.XLOOKUP($B:$B,'Estatísticos Mensais'!$A:$A,'Estatísticos Mensais'!D:D),0)</f>
        <v>0</v>
      </c>
      <c r="F721" s="157">
        <f>IFERROR(_xlfn.XLOOKUP($B:$B,'Estatísticos Mensais'!$A:$A,'Estatísticos Mensais'!E:E),0)</f>
        <v>0</v>
      </c>
      <c r="G721" s="157">
        <f>IFERROR(_xlfn.XLOOKUP($B:$B,'Estatísticos Mensais'!$A:$A,'Estatísticos Mensais'!F:F),0)</f>
        <v>0</v>
      </c>
      <c r="H721" s="35">
        <f t="shared" si="31"/>
        <v>0</v>
      </c>
      <c r="I721" s="19">
        <f t="shared" ca="1" si="32"/>
        <v>51.612903225806448</v>
      </c>
      <c r="J721" s="111">
        <f t="shared" ca="1" si="33"/>
        <v>0</v>
      </c>
      <c r="K721" s="53">
        <f>IFERROR(_xlfn.XLOOKUP($B:$B,Google!A:A,Google!B:B),0)</f>
        <v>0</v>
      </c>
      <c r="L721" s="54">
        <f t="shared" si="34"/>
        <v>0</v>
      </c>
      <c r="M721" s="59"/>
      <c r="N721" s="69">
        <f>IFERROR(VLOOKUP(B721,Tabela_Google[],3,),0)</f>
        <v>0</v>
      </c>
      <c r="O721" s="70">
        <f>SUMIF(Facebook!A:A,'Compilado 2023'!B:B,Facebook!B:B)</f>
        <v>0</v>
      </c>
      <c r="P721" s="71">
        <v>0</v>
      </c>
      <c r="Q721" s="70">
        <f ca="1">_xlfn.XLOOKUP(B:B,'E-mail'!A:A,'E-mail'!C:C)</f>
        <v>51.612903225806448</v>
      </c>
      <c r="R721" s="202">
        <f>IFERROR(VLOOKUP($B:$B,Tabela_Linkedin[],2,),0)</f>
        <v>0</v>
      </c>
      <c r="S721" s="70">
        <f>SUMIF(TikTok!A:A,'Compilado 2023'!B:B,TikTok!B:B)</f>
        <v>0</v>
      </c>
      <c r="T721" s="70">
        <v>0</v>
      </c>
      <c r="U721" s="70">
        <v>0</v>
      </c>
      <c r="V721" s="59"/>
      <c r="W721" s="70">
        <v>0</v>
      </c>
      <c r="X721" s="70">
        <v>0</v>
      </c>
      <c r="Y721" s="70">
        <v>0</v>
      </c>
      <c r="Z721" s="38"/>
      <c r="AA721" s="40"/>
    </row>
    <row r="722" spans="1:27" s="2" customFormat="1" x14ac:dyDescent="0.2">
      <c r="A722" s="16" t="str">
        <f t="shared" si="29"/>
        <v>quinta-feira</v>
      </c>
      <c r="B722" s="17">
        <v>45281</v>
      </c>
      <c r="C722" s="19">
        <f t="shared" si="30"/>
        <v>0</v>
      </c>
      <c r="D722" s="52">
        <f>IFERROR(_xlfn.XLOOKUP($B:$B,'Estatísticos Mensais'!$A:$A,'Estatísticos Mensais'!C:C),0)</f>
        <v>0</v>
      </c>
      <c r="E722" s="52">
        <f>IFERROR(_xlfn.XLOOKUP($B:$B,'Estatísticos Mensais'!$A:$A,'Estatísticos Mensais'!D:D),0)</f>
        <v>0</v>
      </c>
      <c r="F722" s="157">
        <f>IFERROR(_xlfn.XLOOKUP($B:$B,'Estatísticos Mensais'!$A:$A,'Estatísticos Mensais'!E:E),0)</f>
        <v>0</v>
      </c>
      <c r="G722" s="157">
        <f>IFERROR(_xlfn.XLOOKUP($B:$B,'Estatísticos Mensais'!$A:$A,'Estatísticos Mensais'!F:F),0)</f>
        <v>0</v>
      </c>
      <c r="H722" s="35">
        <f t="shared" si="31"/>
        <v>0</v>
      </c>
      <c r="I722" s="19">
        <f t="shared" ca="1" si="32"/>
        <v>51.612903225806448</v>
      </c>
      <c r="J722" s="111">
        <f t="shared" ca="1" si="33"/>
        <v>0</v>
      </c>
      <c r="K722" s="53">
        <f>IFERROR(_xlfn.XLOOKUP($B:$B,Google!A:A,Google!B:B),0)</f>
        <v>0</v>
      </c>
      <c r="L722" s="54">
        <f t="shared" si="34"/>
        <v>0</v>
      </c>
      <c r="M722" s="59"/>
      <c r="N722" s="69">
        <f>IFERROR(VLOOKUP(B722,Tabela_Google[],3,),0)</f>
        <v>0</v>
      </c>
      <c r="O722" s="70">
        <f>SUMIF(Facebook!A:A,'Compilado 2023'!B:B,Facebook!B:B)</f>
        <v>0</v>
      </c>
      <c r="P722" s="71">
        <v>0</v>
      </c>
      <c r="Q722" s="70">
        <f ca="1">_xlfn.XLOOKUP(B:B,'E-mail'!A:A,'E-mail'!C:C)</f>
        <v>51.612903225806448</v>
      </c>
      <c r="R722" s="202">
        <f>IFERROR(VLOOKUP($B:$B,Tabela_Linkedin[],2,),0)</f>
        <v>0</v>
      </c>
      <c r="S722" s="70">
        <f>SUMIF(TikTok!A:A,'Compilado 2023'!B:B,TikTok!B:B)</f>
        <v>0</v>
      </c>
      <c r="T722" s="70">
        <v>0</v>
      </c>
      <c r="U722" s="70">
        <v>0</v>
      </c>
      <c r="V722" s="59"/>
      <c r="W722" s="70">
        <v>0</v>
      </c>
      <c r="X722" s="70">
        <v>0</v>
      </c>
      <c r="Y722" s="70">
        <v>0</v>
      </c>
      <c r="Z722" s="38"/>
      <c r="AA722" s="40"/>
    </row>
    <row r="723" spans="1:27" s="2" customFormat="1" x14ac:dyDescent="0.2">
      <c r="A723" s="16" t="str">
        <f t="shared" si="29"/>
        <v>sexta-feira</v>
      </c>
      <c r="B723" s="17">
        <v>45282</v>
      </c>
      <c r="C723" s="19">
        <f t="shared" si="30"/>
        <v>0</v>
      </c>
      <c r="D723" s="52">
        <f>IFERROR(_xlfn.XLOOKUP($B:$B,'Estatísticos Mensais'!$A:$A,'Estatísticos Mensais'!C:C),0)</f>
        <v>0</v>
      </c>
      <c r="E723" s="52">
        <f>IFERROR(_xlfn.XLOOKUP($B:$B,'Estatísticos Mensais'!$A:$A,'Estatísticos Mensais'!D:D),0)</f>
        <v>0</v>
      </c>
      <c r="F723" s="157">
        <f>IFERROR(_xlfn.XLOOKUP($B:$B,'Estatísticos Mensais'!$A:$A,'Estatísticos Mensais'!E:E),0)</f>
        <v>0</v>
      </c>
      <c r="G723" s="157">
        <f>IFERROR(_xlfn.XLOOKUP($B:$B,'Estatísticos Mensais'!$A:$A,'Estatísticos Mensais'!F:F),0)</f>
        <v>0</v>
      </c>
      <c r="H723" s="35">
        <f t="shared" si="31"/>
        <v>0</v>
      </c>
      <c r="I723" s="19">
        <f t="shared" ca="1" si="32"/>
        <v>51.612903225806448</v>
      </c>
      <c r="J723" s="111">
        <f t="shared" ca="1" si="33"/>
        <v>0</v>
      </c>
      <c r="K723" s="53">
        <f>IFERROR(_xlfn.XLOOKUP($B:$B,Google!A:A,Google!B:B),0)</f>
        <v>0</v>
      </c>
      <c r="L723" s="54">
        <f t="shared" si="34"/>
        <v>0</v>
      </c>
      <c r="M723" s="59"/>
      <c r="N723" s="69">
        <f>IFERROR(VLOOKUP(B723,Tabela_Google[],3,),0)</f>
        <v>0</v>
      </c>
      <c r="O723" s="70">
        <f>SUMIF(Facebook!A:A,'Compilado 2023'!B:B,Facebook!B:B)</f>
        <v>0</v>
      </c>
      <c r="P723" s="71">
        <v>0</v>
      </c>
      <c r="Q723" s="70">
        <f ca="1">_xlfn.XLOOKUP(B:B,'E-mail'!A:A,'E-mail'!C:C)</f>
        <v>51.612903225806448</v>
      </c>
      <c r="R723" s="202">
        <f>IFERROR(VLOOKUP($B:$B,Tabela_Linkedin[],2,),0)</f>
        <v>0</v>
      </c>
      <c r="S723" s="70">
        <f>SUMIF(TikTok!A:A,'Compilado 2023'!B:B,TikTok!B:B)</f>
        <v>0</v>
      </c>
      <c r="T723" s="70">
        <v>0</v>
      </c>
      <c r="U723" s="70">
        <v>0</v>
      </c>
      <c r="V723" s="59"/>
      <c r="W723" s="70">
        <v>0</v>
      </c>
      <c r="X723" s="70">
        <v>0</v>
      </c>
      <c r="Y723" s="70">
        <v>0</v>
      </c>
      <c r="Z723" s="38"/>
      <c r="AA723" s="40"/>
    </row>
    <row r="724" spans="1:27" s="2" customFormat="1" x14ac:dyDescent="0.2">
      <c r="A724" s="16" t="str">
        <f t="shared" si="29"/>
        <v>sábado</v>
      </c>
      <c r="B724" s="17">
        <v>45283</v>
      </c>
      <c r="C724" s="19">
        <f t="shared" si="30"/>
        <v>0</v>
      </c>
      <c r="D724" s="52">
        <f>IFERROR(_xlfn.XLOOKUP($B:$B,'Estatísticos Mensais'!$A:$A,'Estatísticos Mensais'!C:C),0)</f>
        <v>0</v>
      </c>
      <c r="E724" s="52">
        <f>IFERROR(_xlfn.XLOOKUP($B:$B,'Estatísticos Mensais'!$A:$A,'Estatísticos Mensais'!D:D),0)</f>
        <v>0</v>
      </c>
      <c r="F724" s="157">
        <f>IFERROR(_xlfn.XLOOKUP($B:$B,'Estatísticos Mensais'!$A:$A,'Estatísticos Mensais'!E:E),0)</f>
        <v>0</v>
      </c>
      <c r="G724" s="157">
        <f>IFERROR(_xlfn.XLOOKUP($B:$B,'Estatísticos Mensais'!$A:$A,'Estatísticos Mensais'!F:F),0)</f>
        <v>0</v>
      </c>
      <c r="H724" s="35">
        <f t="shared" si="31"/>
        <v>0</v>
      </c>
      <c r="I724" s="19">
        <f t="shared" ca="1" si="32"/>
        <v>51.612903225806448</v>
      </c>
      <c r="J724" s="111">
        <f t="shared" ca="1" si="33"/>
        <v>0</v>
      </c>
      <c r="K724" s="53">
        <f>IFERROR(_xlfn.XLOOKUP($B:$B,Google!A:A,Google!B:B),0)</f>
        <v>0</v>
      </c>
      <c r="L724" s="54">
        <f t="shared" si="34"/>
        <v>0</v>
      </c>
      <c r="M724" s="59"/>
      <c r="N724" s="69">
        <f>IFERROR(VLOOKUP(B724,Tabela_Google[],3,),0)</f>
        <v>0</v>
      </c>
      <c r="O724" s="70">
        <f>SUMIF(Facebook!A:A,'Compilado 2023'!B:B,Facebook!B:B)</f>
        <v>0</v>
      </c>
      <c r="P724" s="71">
        <v>0</v>
      </c>
      <c r="Q724" s="70">
        <f ca="1">_xlfn.XLOOKUP(B:B,'E-mail'!A:A,'E-mail'!C:C)</f>
        <v>51.612903225806448</v>
      </c>
      <c r="R724" s="202">
        <f>IFERROR(VLOOKUP($B:$B,Tabela_Linkedin[],2,),0)</f>
        <v>0</v>
      </c>
      <c r="S724" s="70">
        <f>SUMIF(TikTok!A:A,'Compilado 2023'!B:B,TikTok!B:B)</f>
        <v>0</v>
      </c>
      <c r="T724" s="70">
        <v>0</v>
      </c>
      <c r="U724" s="70">
        <v>0</v>
      </c>
      <c r="V724" s="59"/>
      <c r="W724" s="70">
        <v>0</v>
      </c>
      <c r="X724" s="70">
        <v>0</v>
      </c>
      <c r="Y724" s="70">
        <v>0</v>
      </c>
      <c r="Z724" s="38"/>
      <c r="AA724" s="40"/>
    </row>
    <row r="725" spans="1:27" s="2" customFormat="1" x14ac:dyDescent="0.2">
      <c r="A725" s="16" t="str">
        <f t="shared" si="29"/>
        <v>domingo</v>
      </c>
      <c r="B725" s="17">
        <v>45284</v>
      </c>
      <c r="C725" s="19">
        <f t="shared" si="30"/>
        <v>0</v>
      </c>
      <c r="D725" s="52">
        <f>IFERROR(_xlfn.XLOOKUP($B:$B,'Estatísticos Mensais'!$A:$A,'Estatísticos Mensais'!C:C),0)</f>
        <v>0</v>
      </c>
      <c r="E725" s="52">
        <f>IFERROR(_xlfn.XLOOKUP($B:$B,'Estatísticos Mensais'!$A:$A,'Estatísticos Mensais'!D:D),0)</f>
        <v>0</v>
      </c>
      <c r="F725" s="157">
        <f>IFERROR(_xlfn.XLOOKUP($B:$B,'Estatísticos Mensais'!$A:$A,'Estatísticos Mensais'!E:E),0)</f>
        <v>0</v>
      </c>
      <c r="G725" s="157">
        <f>IFERROR(_xlfn.XLOOKUP($B:$B,'Estatísticos Mensais'!$A:$A,'Estatísticos Mensais'!F:F),0)</f>
        <v>0</v>
      </c>
      <c r="H725" s="35">
        <f t="shared" si="31"/>
        <v>0</v>
      </c>
      <c r="I725" s="19">
        <f t="shared" ca="1" si="32"/>
        <v>51.612903225806448</v>
      </c>
      <c r="J725" s="111">
        <f t="shared" ca="1" si="33"/>
        <v>0</v>
      </c>
      <c r="K725" s="53">
        <f>IFERROR(_xlfn.XLOOKUP($B:$B,Google!A:A,Google!B:B),0)</f>
        <v>0</v>
      </c>
      <c r="L725" s="54">
        <f t="shared" si="34"/>
        <v>0</v>
      </c>
      <c r="M725" s="59"/>
      <c r="N725" s="69">
        <f>IFERROR(VLOOKUP(B725,Tabela_Google[],3,),0)</f>
        <v>0</v>
      </c>
      <c r="O725" s="70">
        <f>SUMIF(Facebook!A:A,'Compilado 2023'!B:B,Facebook!B:B)</f>
        <v>0</v>
      </c>
      <c r="P725" s="71">
        <v>0</v>
      </c>
      <c r="Q725" s="70">
        <f ca="1">_xlfn.XLOOKUP(B:B,'E-mail'!A:A,'E-mail'!C:C)</f>
        <v>51.612903225806448</v>
      </c>
      <c r="R725" s="202">
        <f>IFERROR(VLOOKUP($B:$B,Tabela_Linkedin[],2,),0)</f>
        <v>0</v>
      </c>
      <c r="S725" s="70">
        <f>SUMIF(TikTok!A:A,'Compilado 2023'!B:B,TikTok!B:B)</f>
        <v>0</v>
      </c>
      <c r="T725" s="70">
        <v>0</v>
      </c>
      <c r="U725" s="70">
        <v>0</v>
      </c>
      <c r="V725" s="59"/>
      <c r="W725" s="70">
        <v>0</v>
      </c>
      <c r="X725" s="70">
        <v>0</v>
      </c>
      <c r="Y725" s="70">
        <v>0</v>
      </c>
      <c r="Z725" s="38"/>
      <c r="AA725" s="40"/>
    </row>
    <row r="726" spans="1:27" s="2" customFormat="1" x14ac:dyDescent="0.2">
      <c r="A726" s="16" t="str">
        <f t="shared" si="29"/>
        <v>segunda-feira</v>
      </c>
      <c r="B726" s="17">
        <v>45285</v>
      </c>
      <c r="C726" s="19">
        <f t="shared" si="30"/>
        <v>0</v>
      </c>
      <c r="D726" s="52">
        <f>IFERROR(_xlfn.XLOOKUP($B:$B,'Estatísticos Mensais'!$A:$A,'Estatísticos Mensais'!C:C),0)</f>
        <v>0</v>
      </c>
      <c r="E726" s="52">
        <f>IFERROR(_xlfn.XLOOKUP($B:$B,'Estatísticos Mensais'!$A:$A,'Estatísticos Mensais'!D:D),0)</f>
        <v>0</v>
      </c>
      <c r="F726" s="157">
        <f>IFERROR(_xlfn.XLOOKUP($B:$B,'Estatísticos Mensais'!$A:$A,'Estatísticos Mensais'!E:E),0)</f>
        <v>0</v>
      </c>
      <c r="G726" s="157">
        <f>IFERROR(_xlfn.XLOOKUP($B:$B,'Estatísticos Mensais'!$A:$A,'Estatísticos Mensais'!F:F),0)</f>
        <v>0</v>
      </c>
      <c r="H726" s="35">
        <f t="shared" si="31"/>
        <v>0</v>
      </c>
      <c r="I726" s="19">
        <f t="shared" ca="1" si="32"/>
        <v>51.612903225806448</v>
      </c>
      <c r="J726" s="111">
        <f t="shared" ca="1" si="33"/>
        <v>0</v>
      </c>
      <c r="K726" s="53">
        <f>IFERROR(_xlfn.XLOOKUP($B:$B,Google!A:A,Google!B:B),0)</f>
        <v>0</v>
      </c>
      <c r="L726" s="54">
        <f t="shared" si="34"/>
        <v>0</v>
      </c>
      <c r="M726" s="59"/>
      <c r="N726" s="69">
        <f>IFERROR(VLOOKUP(B726,Tabela_Google[],3,),0)</f>
        <v>0</v>
      </c>
      <c r="O726" s="70">
        <f>SUMIF(Facebook!A:A,'Compilado 2023'!B:B,Facebook!B:B)</f>
        <v>0</v>
      </c>
      <c r="P726" s="71">
        <v>0</v>
      </c>
      <c r="Q726" s="70">
        <f ca="1">_xlfn.XLOOKUP(B:B,'E-mail'!A:A,'E-mail'!C:C)</f>
        <v>51.612903225806448</v>
      </c>
      <c r="R726" s="202">
        <f>IFERROR(VLOOKUP($B:$B,Tabela_Linkedin[],2,),0)</f>
        <v>0</v>
      </c>
      <c r="S726" s="70">
        <f>SUMIF(TikTok!A:A,'Compilado 2023'!B:B,TikTok!B:B)</f>
        <v>0</v>
      </c>
      <c r="T726" s="70">
        <v>0</v>
      </c>
      <c r="U726" s="70">
        <v>0</v>
      </c>
      <c r="V726" s="59"/>
      <c r="W726" s="70">
        <v>0</v>
      </c>
      <c r="X726" s="70">
        <v>0</v>
      </c>
      <c r="Y726" s="70">
        <v>0</v>
      </c>
      <c r="Z726" s="38"/>
      <c r="AA726" s="40"/>
    </row>
    <row r="727" spans="1:27" s="2" customFormat="1" x14ac:dyDescent="0.2">
      <c r="A727" s="16" t="str">
        <f t="shared" si="29"/>
        <v>terça-feira</v>
      </c>
      <c r="B727" s="17">
        <v>45286</v>
      </c>
      <c r="C727" s="19">
        <f t="shared" si="30"/>
        <v>0</v>
      </c>
      <c r="D727" s="52">
        <f>IFERROR(_xlfn.XLOOKUP($B:$B,'Estatísticos Mensais'!$A:$A,'Estatísticos Mensais'!C:C),0)</f>
        <v>0</v>
      </c>
      <c r="E727" s="52">
        <f>IFERROR(_xlfn.XLOOKUP($B:$B,'Estatísticos Mensais'!$A:$A,'Estatísticos Mensais'!D:D),0)</f>
        <v>0</v>
      </c>
      <c r="F727" s="157">
        <f>IFERROR(_xlfn.XLOOKUP($B:$B,'Estatísticos Mensais'!$A:$A,'Estatísticos Mensais'!E:E),0)</f>
        <v>0</v>
      </c>
      <c r="G727" s="157">
        <f>IFERROR(_xlfn.XLOOKUP($B:$B,'Estatísticos Mensais'!$A:$A,'Estatísticos Mensais'!F:F),0)</f>
        <v>0</v>
      </c>
      <c r="H727" s="35">
        <f t="shared" si="31"/>
        <v>0</v>
      </c>
      <c r="I727" s="19">
        <f t="shared" ca="1" si="32"/>
        <v>51.612903225806448</v>
      </c>
      <c r="J727" s="111">
        <f t="shared" ca="1" si="33"/>
        <v>0</v>
      </c>
      <c r="K727" s="53">
        <f>IFERROR(_xlfn.XLOOKUP($B:$B,Google!A:A,Google!B:B),0)</f>
        <v>0</v>
      </c>
      <c r="L727" s="54">
        <f t="shared" si="34"/>
        <v>0</v>
      </c>
      <c r="M727" s="59"/>
      <c r="N727" s="69">
        <f>IFERROR(VLOOKUP(B727,Tabela_Google[],3,),0)</f>
        <v>0</v>
      </c>
      <c r="O727" s="70">
        <f>SUMIF(Facebook!A:A,'Compilado 2023'!B:B,Facebook!B:B)</f>
        <v>0</v>
      </c>
      <c r="P727" s="71">
        <v>0</v>
      </c>
      <c r="Q727" s="70">
        <f ca="1">_xlfn.XLOOKUP(B:B,'E-mail'!A:A,'E-mail'!C:C)</f>
        <v>51.612903225806448</v>
      </c>
      <c r="R727" s="202">
        <f>IFERROR(VLOOKUP($B:$B,Tabela_Linkedin[],2,),0)</f>
        <v>0</v>
      </c>
      <c r="S727" s="70">
        <f>SUMIF(TikTok!A:A,'Compilado 2023'!B:B,TikTok!B:B)</f>
        <v>0</v>
      </c>
      <c r="T727" s="70">
        <v>0</v>
      </c>
      <c r="U727" s="70">
        <v>0</v>
      </c>
      <c r="V727" s="59"/>
      <c r="W727" s="70">
        <v>0</v>
      </c>
      <c r="X727" s="70">
        <v>0</v>
      </c>
      <c r="Y727" s="70">
        <v>0</v>
      </c>
      <c r="Z727" s="38"/>
      <c r="AA727" s="40"/>
    </row>
    <row r="728" spans="1:27" s="2" customFormat="1" x14ac:dyDescent="0.2">
      <c r="A728" s="16" t="str">
        <f t="shared" si="29"/>
        <v>quarta-feira</v>
      </c>
      <c r="B728" s="17">
        <v>45287</v>
      </c>
      <c r="C728" s="19">
        <f t="shared" si="30"/>
        <v>0</v>
      </c>
      <c r="D728" s="52">
        <f>IFERROR(_xlfn.XLOOKUP($B:$B,'Estatísticos Mensais'!$A:$A,'Estatísticos Mensais'!C:C),0)</f>
        <v>0</v>
      </c>
      <c r="E728" s="52">
        <f>IFERROR(_xlfn.XLOOKUP($B:$B,'Estatísticos Mensais'!$A:$A,'Estatísticos Mensais'!D:D),0)</f>
        <v>0</v>
      </c>
      <c r="F728" s="157">
        <f>IFERROR(_xlfn.XLOOKUP($B:$B,'Estatísticos Mensais'!$A:$A,'Estatísticos Mensais'!E:E),0)</f>
        <v>0</v>
      </c>
      <c r="G728" s="157">
        <f>IFERROR(_xlfn.XLOOKUP($B:$B,'Estatísticos Mensais'!$A:$A,'Estatísticos Mensais'!F:F),0)</f>
        <v>0</v>
      </c>
      <c r="H728" s="35">
        <f t="shared" si="31"/>
        <v>0</v>
      </c>
      <c r="I728" s="19">
        <f t="shared" ca="1" si="32"/>
        <v>51.612903225806448</v>
      </c>
      <c r="J728" s="111">
        <f t="shared" ca="1" si="33"/>
        <v>0</v>
      </c>
      <c r="K728" s="53">
        <f>IFERROR(_xlfn.XLOOKUP($B:$B,Google!A:A,Google!B:B),0)</f>
        <v>0</v>
      </c>
      <c r="L728" s="54">
        <f t="shared" si="34"/>
        <v>0</v>
      </c>
      <c r="M728" s="59"/>
      <c r="N728" s="69">
        <f>IFERROR(VLOOKUP(B728,Tabela_Google[],3,),0)</f>
        <v>0</v>
      </c>
      <c r="O728" s="70">
        <f>SUMIF(Facebook!A:A,'Compilado 2023'!B:B,Facebook!B:B)</f>
        <v>0</v>
      </c>
      <c r="P728" s="71">
        <v>0</v>
      </c>
      <c r="Q728" s="70">
        <f ca="1">_xlfn.XLOOKUP(B:B,'E-mail'!A:A,'E-mail'!C:C)</f>
        <v>51.612903225806448</v>
      </c>
      <c r="R728" s="202">
        <f>IFERROR(VLOOKUP($B:$B,Tabela_Linkedin[],2,),0)</f>
        <v>0</v>
      </c>
      <c r="S728" s="70">
        <f>SUMIF(TikTok!A:A,'Compilado 2023'!B:B,TikTok!B:B)</f>
        <v>0</v>
      </c>
      <c r="T728" s="70">
        <v>0</v>
      </c>
      <c r="U728" s="70">
        <v>0</v>
      </c>
      <c r="V728" s="59"/>
      <c r="W728" s="70">
        <v>0</v>
      </c>
      <c r="X728" s="70">
        <v>0</v>
      </c>
      <c r="Y728" s="70">
        <v>0</v>
      </c>
      <c r="Z728" s="38"/>
      <c r="AA728" s="40"/>
    </row>
    <row r="729" spans="1:27" s="2" customFormat="1" x14ac:dyDescent="0.2">
      <c r="A729" s="16" t="str">
        <f t="shared" si="29"/>
        <v>quinta-feira</v>
      </c>
      <c r="B729" s="17">
        <v>45288</v>
      </c>
      <c r="C729" s="19">
        <f t="shared" si="30"/>
        <v>0</v>
      </c>
      <c r="D729" s="52">
        <f>IFERROR(_xlfn.XLOOKUP($B:$B,'Estatísticos Mensais'!$A:$A,'Estatísticos Mensais'!C:C),0)</f>
        <v>0</v>
      </c>
      <c r="E729" s="52">
        <f>IFERROR(_xlfn.XLOOKUP($B:$B,'Estatísticos Mensais'!$A:$A,'Estatísticos Mensais'!D:D),0)</f>
        <v>0</v>
      </c>
      <c r="F729" s="157">
        <f>IFERROR(_xlfn.XLOOKUP($B:$B,'Estatísticos Mensais'!$A:$A,'Estatísticos Mensais'!E:E),0)</f>
        <v>0</v>
      </c>
      <c r="G729" s="157">
        <f>IFERROR(_xlfn.XLOOKUP($B:$B,'Estatísticos Mensais'!$A:$A,'Estatísticos Mensais'!F:F),0)</f>
        <v>0</v>
      </c>
      <c r="H729" s="35">
        <f t="shared" si="31"/>
        <v>0</v>
      </c>
      <c r="I729" s="19">
        <f t="shared" ca="1" si="32"/>
        <v>51.612903225806448</v>
      </c>
      <c r="J729" s="111">
        <f t="shared" ca="1" si="33"/>
        <v>0</v>
      </c>
      <c r="K729" s="53">
        <f>IFERROR(_xlfn.XLOOKUP($B:$B,Google!A:A,Google!B:B),0)</f>
        <v>0</v>
      </c>
      <c r="L729" s="54">
        <f t="shared" si="34"/>
        <v>0</v>
      </c>
      <c r="M729" s="59"/>
      <c r="N729" s="69">
        <f>IFERROR(VLOOKUP(B729,Tabela_Google[],3,),0)</f>
        <v>0</v>
      </c>
      <c r="O729" s="70">
        <f>SUMIF(Facebook!A:A,'Compilado 2023'!B:B,Facebook!B:B)</f>
        <v>0</v>
      </c>
      <c r="P729" s="71">
        <v>0</v>
      </c>
      <c r="Q729" s="70">
        <f ca="1">_xlfn.XLOOKUP(B:B,'E-mail'!A:A,'E-mail'!C:C)</f>
        <v>51.612903225806448</v>
      </c>
      <c r="R729" s="202">
        <f>IFERROR(VLOOKUP($B:$B,Tabela_Linkedin[],2,),0)</f>
        <v>0</v>
      </c>
      <c r="S729" s="70">
        <f>SUMIF(TikTok!A:A,'Compilado 2023'!B:B,TikTok!B:B)</f>
        <v>0</v>
      </c>
      <c r="T729" s="70">
        <v>0</v>
      </c>
      <c r="U729" s="70">
        <v>0</v>
      </c>
      <c r="V729" s="59"/>
      <c r="W729" s="70">
        <v>0</v>
      </c>
      <c r="X729" s="70">
        <v>0</v>
      </c>
      <c r="Y729" s="70">
        <v>0</v>
      </c>
      <c r="Z729" s="38"/>
      <c r="AA729" s="40"/>
    </row>
    <row r="730" spans="1:27" s="2" customFormat="1" x14ac:dyDescent="0.2">
      <c r="A730" s="16" t="str">
        <f t="shared" si="29"/>
        <v>sexta-feira</v>
      </c>
      <c r="B730" s="17">
        <v>45289</v>
      </c>
      <c r="C730" s="19">
        <f t="shared" si="30"/>
        <v>0</v>
      </c>
      <c r="D730" s="52">
        <f>IFERROR(_xlfn.XLOOKUP($B:$B,'Estatísticos Mensais'!$A:$A,'Estatísticos Mensais'!C:C),0)</f>
        <v>0</v>
      </c>
      <c r="E730" s="52">
        <f>IFERROR(_xlfn.XLOOKUP($B:$B,'Estatísticos Mensais'!$A:$A,'Estatísticos Mensais'!D:D),0)</f>
        <v>0</v>
      </c>
      <c r="F730" s="157">
        <f>IFERROR(_xlfn.XLOOKUP($B:$B,'Estatísticos Mensais'!$A:$A,'Estatísticos Mensais'!E:E),0)</f>
        <v>0</v>
      </c>
      <c r="G730" s="157">
        <f>IFERROR(_xlfn.XLOOKUP($B:$B,'Estatísticos Mensais'!$A:$A,'Estatísticos Mensais'!F:F),0)</f>
        <v>0</v>
      </c>
      <c r="H730" s="35">
        <f t="shared" si="31"/>
        <v>0</v>
      </c>
      <c r="I730" s="19">
        <f t="shared" ca="1" si="32"/>
        <v>51.612903225806448</v>
      </c>
      <c r="J730" s="111">
        <f t="shared" ca="1" si="33"/>
        <v>0</v>
      </c>
      <c r="K730" s="53">
        <f>IFERROR(_xlfn.XLOOKUP($B:$B,Google!A:A,Google!B:B),0)</f>
        <v>0</v>
      </c>
      <c r="L730" s="54">
        <f t="shared" si="34"/>
        <v>0</v>
      </c>
      <c r="M730" s="59"/>
      <c r="N730" s="69">
        <f>IFERROR(VLOOKUP(B730,Tabela_Google[],3,),0)</f>
        <v>0</v>
      </c>
      <c r="O730" s="70">
        <f>SUMIF(Facebook!A:A,'Compilado 2023'!B:B,Facebook!B:B)</f>
        <v>0</v>
      </c>
      <c r="P730" s="71">
        <v>0</v>
      </c>
      <c r="Q730" s="70">
        <f ca="1">_xlfn.XLOOKUP(B:B,'E-mail'!A:A,'E-mail'!C:C)</f>
        <v>51.612903225806448</v>
      </c>
      <c r="R730" s="202">
        <f>IFERROR(VLOOKUP($B:$B,Tabela_Linkedin[],2,),0)</f>
        <v>0</v>
      </c>
      <c r="S730" s="70">
        <f>SUMIF(TikTok!A:A,'Compilado 2023'!B:B,TikTok!B:B)</f>
        <v>0</v>
      </c>
      <c r="T730" s="70">
        <v>0</v>
      </c>
      <c r="U730" s="70">
        <v>0</v>
      </c>
      <c r="V730" s="59"/>
      <c r="W730" s="70">
        <v>0</v>
      </c>
      <c r="X730" s="70">
        <v>0</v>
      </c>
      <c r="Y730" s="70">
        <v>0</v>
      </c>
      <c r="Z730" s="38"/>
      <c r="AA730" s="40"/>
    </row>
    <row r="731" spans="1:27" s="2" customFormat="1" x14ac:dyDescent="0.2">
      <c r="A731" s="16" t="str">
        <f t="shared" si="29"/>
        <v>sábado</v>
      </c>
      <c r="B731" s="17">
        <v>45290</v>
      </c>
      <c r="C731" s="19">
        <f t="shared" si="30"/>
        <v>0</v>
      </c>
      <c r="D731" s="52">
        <f>IFERROR(_xlfn.XLOOKUP($B:$B,'Estatísticos Mensais'!$A:$A,'Estatísticos Mensais'!C:C),0)</f>
        <v>0</v>
      </c>
      <c r="E731" s="52">
        <f>IFERROR(_xlfn.XLOOKUP($B:$B,'Estatísticos Mensais'!$A:$A,'Estatísticos Mensais'!D:D),0)</f>
        <v>0</v>
      </c>
      <c r="F731" s="157">
        <f>IFERROR(_xlfn.XLOOKUP($B:$B,'Estatísticos Mensais'!$A:$A,'Estatísticos Mensais'!E:E),0)</f>
        <v>0</v>
      </c>
      <c r="G731" s="157">
        <f>IFERROR(_xlfn.XLOOKUP($B:$B,'Estatísticos Mensais'!$A:$A,'Estatísticos Mensais'!F:F),0)</f>
        <v>0</v>
      </c>
      <c r="H731" s="35">
        <f t="shared" si="31"/>
        <v>0</v>
      </c>
      <c r="I731" s="19">
        <f t="shared" ca="1" si="32"/>
        <v>51.612903225806448</v>
      </c>
      <c r="J731" s="111">
        <f t="shared" ca="1" si="33"/>
        <v>0</v>
      </c>
      <c r="K731" s="53">
        <f>IFERROR(_xlfn.XLOOKUP($B:$B,Google!A:A,Google!B:B),0)</f>
        <v>0</v>
      </c>
      <c r="L731" s="54">
        <f t="shared" si="34"/>
        <v>0</v>
      </c>
      <c r="M731" s="59"/>
      <c r="N731" s="69">
        <f>IFERROR(VLOOKUP(B731,Tabela_Google[],3,),0)</f>
        <v>0</v>
      </c>
      <c r="O731" s="70">
        <f>SUMIF(Facebook!A:A,'Compilado 2023'!B:B,Facebook!B:B)</f>
        <v>0</v>
      </c>
      <c r="P731" s="71">
        <v>0</v>
      </c>
      <c r="Q731" s="70">
        <f ca="1">_xlfn.XLOOKUP(B:B,'E-mail'!A:A,'E-mail'!C:C)</f>
        <v>51.612903225806448</v>
      </c>
      <c r="R731" s="202">
        <f>IFERROR(VLOOKUP($B:$B,Tabela_Linkedin[],2,),0)</f>
        <v>0</v>
      </c>
      <c r="S731" s="70">
        <f>SUMIF(TikTok!A:A,'Compilado 2023'!B:B,TikTok!B:B)</f>
        <v>0</v>
      </c>
      <c r="T731" s="70">
        <v>0</v>
      </c>
      <c r="U731" s="70">
        <v>0</v>
      </c>
      <c r="V731" s="59"/>
      <c r="W731" s="70">
        <v>0</v>
      </c>
      <c r="X731" s="70">
        <v>0</v>
      </c>
      <c r="Y731" s="70">
        <v>0</v>
      </c>
      <c r="Z731" s="38"/>
      <c r="AA731" s="40"/>
    </row>
    <row r="732" spans="1:27" s="2" customFormat="1" x14ac:dyDescent="0.2">
      <c r="A732" s="16" t="str">
        <f t="shared" si="29"/>
        <v>domingo</v>
      </c>
      <c r="B732" s="17">
        <v>45291</v>
      </c>
      <c r="C732" s="19">
        <f t="shared" si="30"/>
        <v>0</v>
      </c>
      <c r="D732" s="52">
        <f>IFERROR(_xlfn.XLOOKUP($B:$B,'Estatísticos Mensais'!$A:$A,'Estatísticos Mensais'!C:C),0)</f>
        <v>0</v>
      </c>
      <c r="E732" s="52">
        <f>IFERROR(_xlfn.XLOOKUP($B:$B,'Estatísticos Mensais'!$A:$A,'Estatísticos Mensais'!D:D),0)</f>
        <v>0</v>
      </c>
      <c r="F732" s="157">
        <f>IFERROR(_xlfn.XLOOKUP($B:$B,'Estatísticos Mensais'!$A:$A,'Estatísticos Mensais'!E:E),0)</f>
        <v>0</v>
      </c>
      <c r="G732" s="157">
        <f>IFERROR(_xlfn.XLOOKUP($B:$B,'Estatísticos Mensais'!$A:$A,'Estatísticos Mensais'!F:F),0)</f>
        <v>0</v>
      </c>
      <c r="H732" s="35">
        <f t="shared" si="31"/>
        <v>0</v>
      </c>
      <c r="I732" s="19">
        <f t="shared" ca="1" si="32"/>
        <v>51.612903225806448</v>
      </c>
      <c r="J732" s="111">
        <f t="shared" ca="1" si="33"/>
        <v>0</v>
      </c>
      <c r="K732" s="53">
        <f>IFERROR(_xlfn.XLOOKUP($B:$B,Google!A:A,Google!B:B),0)</f>
        <v>0</v>
      </c>
      <c r="L732" s="54">
        <f t="shared" si="34"/>
        <v>0</v>
      </c>
      <c r="M732" s="59"/>
      <c r="N732" s="69">
        <f>IFERROR(VLOOKUP(B732,Tabela_Google[],3,),0)</f>
        <v>0</v>
      </c>
      <c r="O732" s="70">
        <f>SUMIF(Facebook!A:A,'Compilado 2023'!B:B,Facebook!B:B)</f>
        <v>0</v>
      </c>
      <c r="P732" s="71">
        <v>0</v>
      </c>
      <c r="Q732" s="70">
        <f ca="1">_xlfn.XLOOKUP(B:B,'E-mail'!A:A,'E-mail'!C:C)</f>
        <v>51.612903225806448</v>
      </c>
      <c r="R732" s="202">
        <f>IFERROR(VLOOKUP($B:$B,Tabela_Linkedin[],2,),0)</f>
        <v>0</v>
      </c>
      <c r="S732" s="70">
        <f>SUMIF(TikTok!A:A,'Compilado 2023'!B:B,TikTok!B:B)</f>
        <v>0</v>
      </c>
      <c r="T732" s="70">
        <v>0</v>
      </c>
      <c r="U732" s="70">
        <v>0</v>
      </c>
      <c r="V732" s="59"/>
      <c r="W732" s="70">
        <v>0</v>
      </c>
      <c r="X732" s="70">
        <v>0</v>
      </c>
      <c r="Y732" s="70">
        <v>0</v>
      </c>
      <c r="Z732" s="38"/>
      <c r="AA732" s="40"/>
    </row>
  </sheetData>
  <autoFilter ref="A2:AG732" xr:uid="{277866D5-16AA-4205-A8B4-D332D1D26362}"/>
  <sortState xmlns:xlrd2="http://schemas.microsoft.com/office/spreadsheetml/2017/richdata2" ref="A3:Y580">
    <sortCondition ref="A1:A1098"/>
  </sortState>
  <conditionalFormatting sqref="B2:H3">
    <cfRule type="cellIs" dxfId="355" priority="1" operator="equal">
      <formula>TODAY()</formula>
    </cfRule>
  </conditionalFormatting>
  <conditionalFormatting sqref="C3:H732 B4:B732">
    <cfRule type="cellIs" dxfId="354" priority="2" operator="equal">
      <formula>TODAY()</formula>
    </cfRule>
  </conditionalFormatting>
  <conditionalFormatting sqref="C5:H732 B2:H2">
    <cfRule type="cellIs" dxfId="353" priority="26" operator="equal">
      <formula>$A$1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20F60-FDA4-4202-BF4E-5ED4DB367FC0}">
  <dimension ref="A1:H589"/>
  <sheetViews>
    <sheetView topLeftCell="A571" workbookViewId="0">
      <selection activeCell="B589" sqref="B589"/>
    </sheetView>
  </sheetViews>
  <sheetFormatPr defaultRowHeight="12.75" x14ac:dyDescent="0.2"/>
  <cols>
    <col min="1" max="1" width="10.140625" bestFit="1" customWidth="1"/>
    <col min="2" max="2" width="16.85546875" bestFit="1" customWidth="1"/>
    <col min="3" max="3" width="18.85546875" bestFit="1" customWidth="1"/>
    <col min="4" max="4" width="10.5703125" bestFit="1" customWidth="1"/>
    <col min="5" max="5" width="10.7109375" bestFit="1" customWidth="1"/>
    <col min="6" max="6" width="7.5703125" bestFit="1" customWidth="1"/>
    <col min="7" max="7" width="13.28515625" bestFit="1" customWidth="1"/>
    <col min="8" max="8" width="17" bestFit="1" customWidth="1"/>
  </cols>
  <sheetData>
    <row r="1" spans="1:8" x14ac:dyDescent="0.2">
      <c r="A1" t="s">
        <v>20</v>
      </c>
      <c r="B1" s="129" t="s">
        <v>149</v>
      </c>
      <c r="C1" s="129" t="s">
        <v>150</v>
      </c>
      <c r="D1" s="129" t="s">
        <v>77</v>
      </c>
      <c r="E1" t="s">
        <v>78</v>
      </c>
      <c r="F1" t="s">
        <v>79</v>
      </c>
      <c r="G1" s="129" t="s">
        <v>151</v>
      </c>
      <c r="H1" s="129" t="s">
        <v>152</v>
      </c>
    </row>
    <row r="2" spans="1:8" x14ac:dyDescent="0.2">
      <c r="A2" s="128">
        <v>44562</v>
      </c>
      <c r="B2" s="145">
        <v>5604.5</v>
      </c>
      <c r="C2" s="145">
        <v>5604.5</v>
      </c>
      <c r="D2" s="145">
        <v>0</v>
      </c>
      <c r="E2" s="203">
        <v>16</v>
      </c>
      <c r="F2" s="203">
        <v>20</v>
      </c>
      <c r="G2" s="145">
        <v>17</v>
      </c>
      <c r="H2" s="145">
        <v>0</v>
      </c>
    </row>
    <row r="3" spans="1:8" x14ac:dyDescent="0.2">
      <c r="A3" s="128">
        <v>44563</v>
      </c>
      <c r="B3" s="145">
        <v>14542.06</v>
      </c>
      <c r="C3" s="145">
        <v>14542.06</v>
      </c>
      <c r="D3" s="145">
        <v>0</v>
      </c>
      <c r="E3" s="203">
        <v>49</v>
      </c>
      <c r="F3" s="203">
        <v>53</v>
      </c>
      <c r="G3" s="145">
        <v>20.04</v>
      </c>
      <c r="H3" s="145">
        <v>0</v>
      </c>
    </row>
    <row r="4" spans="1:8" x14ac:dyDescent="0.2">
      <c r="A4" s="128">
        <v>44564</v>
      </c>
      <c r="B4" s="145">
        <v>32070.35</v>
      </c>
      <c r="C4" s="145">
        <v>32070.35</v>
      </c>
      <c r="D4" s="145">
        <v>0</v>
      </c>
      <c r="E4" s="203">
        <v>110</v>
      </c>
      <c r="F4" s="203">
        <v>132</v>
      </c>
      <c r="G4" s="145">
        <v>463.4</v>
      </c>
      <c r="H4" s="145">
        <v>0</v>
      </c>
    </row>
    <row r="5" spans="1:8" x14ac:dyDescent="0.2">
      <c r="A5" s="128">
        <v>44565</v>
      </c>
      <c r="B5" s="145">
        <v>29496.3</v>
      </c>
      <c r="C5" s="145">
        <v>29496.3</v>
      </c>
      <c r="D5" s="145">
        <v>0</v>
      </c>
      <c r="E5" s="203">
        <v>90</v>
      </c>
      <c r="F5" s="203">
        <v>113</v>
      </c>
      <c r="G5" s="145">
        <v>238.7</v>
      </c>
      <c r="H5" s="145">
        <v>334</v>
      </c>
    </row>
    <row r="6" spans="1:8" x14ac:dyDescent="0.2">
      <c r="A6" s="128">
        <v>44566</v>
      </c>
      <c r="B6" s="145">
        <v>31936.07</v>
      </c>
      <c r="C6" s="145">
        <v>31936.07</v>
      </c>
      <c r="D6" s="145">
        <v>0</v>
      </c>
      <c r="E6" s="203">
        <v>100</v>
      </c>
      <c r="F6" s="203">
        <v>112</v>
      </c>
      <c r="G6" s="145">
        <v>592.92999999999995</v>
      </c>
      <c r="H6" s="145">
        <v>0</v>
      </c>
    </row>
    <row r="7" spans="1:8" x14ac:dyDescent="0.2">
      <c r="A7" s="128">
        <v>44567</v>
      </c>
      <c r="B7" s="145">
        <v>31305.439999999999</v>
      </c>
      <c r="C7" s="145">
        <v>31305.439999999999</v>
      </c>
      <c r="D7" s="145">
        <v>0</v>
      </c>
      <c r="E7" s="203">
        <v>102</v>
      </c>
      <c r="F7" s="203">
        <v>125</v>
      </c>
      <c r="G7" s="145">
        <v>747.56</v>
      </c>
      <c r="H7" s="145">
        <v>962</v>
      </c>
    </row>
    <row r="8" spans="1:8" x14ac:dyDescent="0.2">
      <c r="A8" s="128">
        <v>44568</v>
      </c>
      <c r="B8" s="145">
        <v>23900.41</v>
      </c>
      <c r="C8" s="145">
        <v>23900.41</v>
      </c>
      <c r="D8" s="145">
        <v>0</v>
      </c>
      <c r="E8" s="203">
        <v>84</v>
      </c>
      <c r="F8" s="203">
        <v>103</v>
      </c>
      <c r="G8" s="145">
        <v>726.55</v>
      </c>
      <c r="H8" s="145">
        <v>203.04</v>
      </c>
    </row>
    <row r="9" spans="1:8" x14ac:dyDescent="0.2">
      <c r="A9" s="128">
        <v>44569</v>
      </c>
      <c r="B9" s="145">
        <v>11335.06</v>
      </c>
      <c r="C9" s="145">
        <v>11298.96</v>
      </c>
      <c r="D9" s="145">
        <v>36.1</v>
      </c>
      <c r="E9" s="203">
        <v>42</v>
      </c>
      <c r="F9" s="203">
        <v>51</v>
      </c>
      <c r="G9" s="145">
        <v>198.04</v>
      </c>
      <c r="H9" s="145">
        <v>0</v>
      </c>
    </row>
    <row r="10" spans="1:8" x14ac:dyDescent="0.2">
      <c r="A10" s="128">
        <v>44570</v>
      </c>
      <c r="B10" s="145">
        <v>11848.73</v>
      </c>
      <c r="C10" s="145">
        <v>11796.75</v>
      </c>
      <c r="D10" s="145">
        <v>51.98</v>
      </c>
      <c r="E10" s="203">
        <v>40</v>
      </c>
      <c r="F10" s="203">
        <v>43</v>
      </c>
      <c r="G10" s="145">
        <v>78.099999999999994</v>
      </c>
      <c r="H10" s="145">
        <v>254.15</v>
      </c>
    </row>
    <row r="11" spans="1:8" x14ac:dyDescent="0.2">
      <c r="A11" s="128">
        <v>44571</v>
      </c>
      <c r="B11" s="145">
        <v>30538.06</v>
      </c>
      <c r="C11" s="145">
        <v>30538.06</v>
      </c>
      <c r="D11" s="145">
        <v>0</v>
      </c>
      <c r="E11" s="203">
        <v>106</v>
      </c>
      <c r="F11" s="203">
        <v>120</v>
      </c>
      <c r="G11" s="145">
        <v>328.94</v>
      </c>
      <c r="H11" s="145">
        <v>521</v>
      </c>
    </row>
    <row r="12" spans="1:8" x14ac:dyDescent="0.2">
      <c r="A12" s="128">
        <v>44572</v>
      </c>
      <c r="B12" s="145">
        <v>23086.73</v>
      </c>
      <c r="C12" s="145">
        <v>23086.73</v>
      </c>
      <c r="D12" s="145">
        <v>0</v>
      </c>
      <c r="E12" s="203">
        <v>81</v>
      </c>
      <c r="F12" s="203">
        <v>97</v>
      </c>
      <c r="G12" s="145">
        <v>418.27</v>
      </c>
      <c r="H12" s="145">
        <v>521</v>
      </c>
    </row>
    <row r="13" spans="1:8" x14ac:dyDescent="0.2">
      <c r="A13" s="128">
        <v>44573</v>
      </c>
      <c r="B13" s="145">
        <v>27521.47</v>
      </c>
      <c r="C13" s="145">
        <v>27521.47</v>
      </c>
      <c r="D13" s="145">
        <v>0</v>
      </c>
      <c r="E13" s="203">
        <v>104</v>
      </c>
      <c r="F13" s="203">
        <v>132</v>
      </c>
      <c r="G13" s="145">
        <v>384.53</v>
      </c>
      <c r="H13" s="145">
        <v>0</v>
      </c>
    </row>
    <row r="14" spans="1:8" x14ac:dyDescent="0.2">
      <c r="A14" s="128">
        <v>44574</v>
      </c>
      <c r="B14" s="145">
        <v>29283.95</v>
      </c>
      <c r="C14" s="145">
        <v>29283.95</v>
      </c>
      <c r="D14" s="145">
        <v>0</v>
      </c>
      <c r="E14" s="203">
        <v>104</v>
      </c>
      <c r="F14" s="203">
        <v>129</v>
      </c>
      <c r="G14" s="145">
        <v>452.55</v>
      </c>
      <c r="H14" s="145">
        <v>1240.5</v>
      </c>
    </row>
    <row r="15" spans="1:8" x14ac:dyDescent="0.2">
      <c r="A15" s="128">
        <v>44575</v>
      </c>
      <c r="B15" s="145">
        <v>29457.77</v>
      </c>
      <c r="C15" s="145">
        <v>29457.77</v>
      </c>
      <c r="D15" s="145">
        <v>0</v>
      </c>
      <c r="E15" s="203">
        <v>109</v>
      </c>
      <c r="F15" s="203">
        <v>133</v>
      </c>
      <c r="G15" s="145">
        <v>396.23</v>
      </c>
      <c r="H15" s="145">
        <v>651</v>
      </c>
    </row>
    <row r="16" spans="1:8" x14ac:dyDescent="0.2">
      <c r="A16" s="128">
        <v>44576</v>
      </c>
      <c r="B16" s="145">
        <v>17356.990000000002</v>
      </c>
      <c r="C16" s="145">
        <v>17288.830000000002</v>
      </c>
      <c r="D16" s="145">
        <v>68.16</v>
      </c>
      <c r="E16" s="203">
        <v>64</v>
      </c>
      <c r="F16" s="203">
        <v>80</v>
      </c>
      <c r="G16" s="145">
        <v>259.04000000000002</v>
      </c>
      <c r="H16" s="145">
        <v>23.13</v>
      </c>
    </row>
    <row r="17" spans="1:8" x14ac:dyDescent="0.2">
      <c r="A17" s="128">
        <v>44577</v>
      </c>
      <c r="B17" s="145">
        <v>16479.939999999999</v>
      </c>
      <c r="C17" s="145">
        <v>16479.939999999999</v>
      </c>
      <c r="D17" s="145">
        <v>0</v>
      </c>
      <c r="E17" s="203">
        <v>57</v>
      </c>
      <c r="F17" s="203">
        <v>67</v>
      </c>
      <c r="G17" s="145">
        <v>266.06</v>
      </c>
      <c r="H17" s="145">
        <v>0</v>
      </c>
    </row>
    <row r="18" spans="1:8" x14ac:dyDescent="0.2">
      <c r="A18" s="128">
        <v>44578</v>
      </c>
      <c r="B18" s="145">
        <v>29037.33</v>
      </c>
      <c r="C18" s="145">
        <v>29037.33</v>
      </c>
      <c r="D18" s="145">
        <v>0</v>
      </c>
      <c r="E18" s="203">
        <v>114</v>
      </c>
      <c r="F18" s="203">
        <v>147</v>
      </c>
      <c r="G18" s="145">
        <v>261.35000000000002</v>
      </c>
      <c r="H18" s="145">
        <v>502.32</v>
      </c>
    </row>
    <row r="19" spans="1:8" x14ac:dyDescent="0.2">
      <c r="A19" s="128">
        <v>44579</v>
      </c>
      <c r="B19" s="145">
        <v>23704.3</v>
      </c>
      <c r="C19" s="145">
        <v>23704.3</v>
      </c>
      <c r="D19" s="145">
        <v>0</v>
      </c>
      <c r="E19" s="203">
        <v>84</v>
      </c>
      <c r="F19" s="203">
        <v>104</v>
      </c>
      <c r="G19" s="145">
        <v>240.7</v>
      </c>
      <c r="H19" s="145">
        <v>0</v>
      </c>
    </row>
    <row r="20" spans="1:8" x14ac:dyDescent="0.2">
      <c r="A20" s="128">
        <v>44580</v>
      </c>
      <c r="B20" s="145">
        <v>30359.67</v>
      </c>
      <c r="C20" s="145">
        <v>30324.67</v>
      </c>
      <c r="D20" s="145">
        <v>35</v>
      </c>
      <c r="E20" s="203">
        <v>95</v>
      </c>
      <c r="F20" s="203">
        <v>124</v>
      </c>
      <c r="G20" s="145">
        <v>444.33</v>
      </c>
      <c r="H20" s="145">
        <v>283</v>
      </c>
    </row>
    <row r="21" spans="1:8" x14ac:dyDescent="0.2">
      <c r="A21" s="128">
        <v>44581</v>
      </c>
      <c r="B21" s="145">
        <v>23211.75</v>
      </c>
      <c r="C21" s="145">
        <v>23211.75</v>
      </c>
      <c r="D21" s="145">
        <v>0</v>
      </c>
      <c r="E21" s="203">
        <v>84</v>
      </c>
      <c r="F21" s="203">
        <v>104</v>
      </c>
      <c r="G21" s="145">
        <v>480.25</v>
      </c>
      <c r="H21" s="145">
        <v>269</v>
      </c>
    </row>
    <row r="22" spans="1:8" x14ac:dyDescent="0.2">
      <c r="A22" s="128">
        <v>44582</v>
      </c>
      <c r="B22" s="145">
        <v>28186.44</v>
      </c>
      <c r="C22" s="145">
        <v>28164.080000000002</v>
      </c>
      <c r="D22" s="145">
        <v>22.36</v>
      </c>
      <c r="E22" s="203">
        <v>101</v>
      </c>
      <c r="F22" s="203">
        <v>129</v>
      </c>
      <c r="G22" s="145">
        <v>355.92</v>
      </c>
      <c r="H22" s="145">
        <v>35</v>
      </c>
    </row>
    <row r="23" spans="1:8" x14ac:dyDescent="0.2">
      <c r="A23" s="128">
        <v>44583</v>
      </c>
      <c r="B23" s="145">
        <v>17544.060000000001</v>
      </c>
      <c r="C23" s="145">
        <v>17544.060000000001</v>
      </c>
      <c r="D23" s="145">
        <v>0</v>
      </c>
      <c r="E23" s="203">
        <v>55</v>
      </c>
      <c r="F23" s="203">
        <v>62</v>
      </c>
      <c r="G23" s="145">
        <v>224.94</v>
      </c>
      <c r="H23" s="145">
        <v>0</v>
      </c>
    </row>
    <row r="24" spans="1:8" x14ac:dyDescent="0.2">
      <c r="A24" s="128">
        <v>44584</v>
      </c>
      <c r="B24" s="145">
        <v>13039.53</v>
      </c>
      <c r="C24" s="145">
        <v>13039.53</v>
      </c>
      <c r="D24" s="145">
        <v>0</v>
      </c>
      <c r="E24" s="203">
        <v>50</v>
      </c>
      <c r="F24" s="203">
        <v>58</v>
      </c>
      <c r="G24" s="145">
        <v>320.47000000000003</v>
      </c>
      <c r="H24" s="145">
        <v>251</v>
      </c>
    </row>
    <row r="25" spans="1:8" x14ac:dyDescent="0.2">
      <c r="A25" s="128">
        <v>44585</v>
      </c>
      <c r="B25" s="145">
        <v>22746.44</v>
      </c>
      <c r="C25" s="145">
        <v>22746.44</v>
      </c>
      <c r="D25" s="145">
        <v>0</v>
      </c>
      <c r="E25" s="203">
        <v>85</v>
      </c>
      <c r="F25" s="203">
        <v>101</v>
      </c>
      <c r="G25" s="145">
        <v>437.56</v>
      </c>
      <c r="H25" s="145">
        <v>176</v>
      </c>
    </row>
    <row r="26" spans="1:8" x14ac:dyDescent="0.2">
      <c r="A26" s="128">
        <v>44586</v>
      </c>
      <c r="B26" s="145">
        <v>22863.53</v>
      </c>
      <c r="C26" s="145">
        <v>22863.53</v>
      </c>
      <c r="D26" s="145">
        <v>0</v>
      </c>
      <c r="E26" s="203">
        <v>81</v>
      </c>
      <c r="F26" s="203">
        <v>96</v>
      </c>
      <c r="G26" s="145">
        <v>245.47</v>
      </c>
      <c r="H26" s="145">
        <v>0</v>
      </c>
    </row>
    <row r="27" spans="1:8" x14ac:dyDescent="0.2">
      <c r="A27" s="128">
        <v>44587</v>
      </c>
      <c r="B27" s="145">
        <v>31040.799999999999</v>
      </c>
      <c r="C27" s="145">
        <v>31040.799999999999</v>
      </c>
      <c r="D27" s="145">
        <v>0</v>
      </c>
      <c r="E27" s="203">
        <v>98</v>
      </c>
      <c r="F27" s="203">
        <v>118</v>
      </c>
      <c r="G27" s="145">
        <v>192.2</v>
      </c>
      <c r="H27" s="145">
        <v>521</v>
      </c>
    </row>
    <row r="28" spans="1:8" x14ac:dyDescent="0.2">
      <c r="A28" s="128">
        <v>44588</v>
      </c>
      <c r="B28" s="145">
        <v>27183.93</v>
      </c>
      <c r="C28" s="145">
        <v>27183.93</v>
      </c>
      <c r="D28" s="145">
        <v>0</v>
      </c>
      <c r="E28" s="203">
        <v>94</v>
      </c>
      <c r="F28" s="203">
        <v>114</v>
      </c>
      <c r="G28" s="145">
        <v>185.07</v>
      </c>
      <c r="H28" s="145">
        <v>0</v>
      </c>
    </row>
    <row r="29" spans="1:8" x14ac:dyDescent="0.2">
      <c r="A29" s="128">
        <v>44589</v>
      </c>
      <c r="B29" s="145">
        <v>34283.760000000002</v>
      </c>
      <c r="C29" s="145">
        <v>34248.76</v>
      </c>
      <c r="D29" s="145">
        <v>35</v>
      </c>
      <c r="E29" s="203">
        <v>120</v>
      </c>
      <c r="F29" s="203">
        <v>143</v>
      </c>
      <c r="G29" s="145">
        <v>530.24</v>
      </c>
      <c r="H29" s="145">
        <v>158</v>
      </c>
    </row>
    <row r="30" spans="1:8" x14ac:dyDescent="0.2">
      <c r="A30" s="128">
        <v>44590</v>
      </c>
      <c r="B30" s="145">
        <v>20013.04</v>
      </c>
      <c r="C30" s="145">
        <v>19991.099999999999</v>
      </c>
      <c r="D30" s="145">
        <v>21.94</v>
      </c>
      <c r="E30" s="203">
        <v>64</v>
      </c>
      <c r="F30" s="203">
        <v>81</v>
      </c>
      <c r="G30" s="145">
        <v>227.9</v>
      </c>
      <c r="H30" s="145">
        <v>0</v>
      </c>
    </row>
    <row r="31" spans="1:8" x14ac:dyDescent="0.2">
      <c r="A31" s="128">
        <v>44591</v>
      </c>
      <c r="B31" s="145">
        <v>12825.9</v>
      </c>
      <c r="C31" s="145">
        <v>12825.9</v>
      </c>
      <c r="D31" s="145">
        <v>0</v>
      </c>
      <c r="E31" s="203">
        <v>50</v>
      </c>
      <c r="F31" s="203">
        <v>56</v>
      </c>
      <c r="G31" s="145">
        <v>75.099999999999994</v>
      </c>
      <c r="H31" s="145">
        <v>962</v>
      </c>
    </row>
    <row r="32" spans="1:8" x14ac:dyDescent="0.2">
      <c r="A32" s="128">
        <v>44592</v>
      </c>
      <c r="B32" s="145">
        <v>32690.98</v>
      </c>
      <c r="C32" s="145">
        <v>32667</v>
      </c>
      <c r="D32" s="145">
        <v>23.98</v>
      </c>
      <c r="E32" s="203">
        <v>112</v>
      </c>
      <c r="F32" s="203">
        <v>135</v>
      </c>
      <c r="G32" s="145">
        <v>522</v>
      </c>
      <c r="H32" s="145">
        <v>0</v>
      </c>
    </row>
    <row r="33" spans="1:8" x14ac:dyDescent="0.2">
      <c r="A33" s="128">
        <v>44593</v>
      </c>
      <c r="B33" s="145">
        <v>34727.58</v>
      </c>
      <c r="C33" s="145">
        <v>34692.58</v>
      </c>
      <c r="D33" s="145">
        <v>35</v>
      </c>
      <c r="E33" s="203">
        <v>120</v>
      </c>
      <c r="F33" s="203">
        <v>150</v>
      </c>
      <c r="G33" s="145">
        <v>443.42</v>
      </c>
      <c r="H33" s="145">
        <v>521</v>
      </c>
    </row>
    <row r="34" spans="1:8" x14ac:dyDescent="0.2">
      <c r="A34" s="128">
        <v>44594</v>
      </c>
      <c r="B34" s="145">
        <v>34513.9</v>
      </c>
      <c r="C34" s="145">
        <v>34513.9</v>
      </c>
      <c r="D34" s="145">
        <v>0</v>
      </c>
      <c r="E34" s="203">
        <v>114</v>
      </c>
      <c r="F34" s="203">
        <v>130</v>
      </c>
      <c r="G34" s="145">
        <v>125.85</v>
      </c>
      <c r="H34" s="145">
        <v>528</v>
      </c>
    </row>
    <row r="35" spans="1:8" x14ac:dyDescent="0.2">
      <c r="A35" s="128">
        <v>44595</v>
      </c>
      <c r="B35" s="145">
        <v>34177.800000000003</v>
      </c>
      <c r="C35" s="145">
        <v>34177.800000000003</v>
      </c>
      <c r="D35" s="145">
        <v>0</v>
      </c>
      <c r="E35" s="203">
        <v>113</v>
      </c>
      <c r="F35" s="203">
        <v>144</v>
      </c>
      <c r="G35" s="145">
        <v>848.05</v>
      </c>
      <c r="H35" s="145">
        <v>675.3</v>
      </c>
    </row>
    <row r="36" spans="1:8" x14ac:dyDescent="0.2">
      <c r="A36" s="128">
        <v>44596</v>
      </c>
      <c r="B36" s="145">
        <v>43437.4</v>
      </c>
      <c r="C36" s="145">
        <v>43437.4</v>
      </c>
      <c r="D36" s="145">
        <v>0</v>
      </c>
      <c r="E36" s="203">
        <v>137</v>
      </c>
      <c r="F36" s="203">
        <v>200</v>
      </c>
      <c r="G36" s="145">
        <v>1682.9</v>
      </c>
      <c r="H36" s="145">
        <v>0</v>
      </c>
    </row>
    <row r="37" spans="1:8" x14ac:dyDescent="0.2">
      <c r="A37" s="128">
        <v>44597</v>
      </c>
      <c r="B37" s="145">
        <v>19563.78</v>
      </c>
      <c r="C37" s="145">
        <v>19563.78</v>
      </c>
      <c r="D37" s="145">
        <v>0</v>
      </c>
      <c r="E37" s="203">
        <v>74</v>
      </c>
      <c r="F37" s="203">
        <v>82</v>
      </c>
      <c r="G37" s="145">
        <v>157.32</v>
      </c>
      <c r="H37" s="145">
        <v>0</v>
      </c>
    </row>
    <row r="38" spans="1:8" x14ac:dyDescent="0.2">
      <c r="A38" s="128">
        <v>44598</v>
      </c>
      <c r="B38" s="145">
        <v>16604.64</v>
      </c>
      <c r="C38" s="145">
        <v>16604.64</v>
      </c>
      <c r="D38" s="145">
        <v>0</v>
      </c>
      <c r="E38" s="203">
        <v>67</v>
      </c>
      <c r="F38" s="203">
        <v>73</v>
      </c>
      <c r="G38" s="145">
        <v>182.56</v>
      </c>
      <c r="H38" s="145">
        <v>0</v>
      </c>
    </row>
    <row r="39" spans="1:8" x14ac:dyDescent="0.2">
      <c r="A39" s="128">
        <v>44599</v>
      </c>
      <c r="B39" s="145">
        <v>33095.360000000001</v>
      </c>
      <c r="C39" s="145">
        <v>33000.32</v>
      </c>
      <c r="D39" s="145">
        <v>95.04</v>
      </c>
      <c r="E39" s="203">
        <v>133</v>
      </c>
      <c r="F39" s="203">
        <v>141</v>
      </c>
      <c r="G39" s="145">
        <v>378.13</v>
      </c>
      <c r="H39" s="145">
        <v>890.95</v>
      </c>
    </row>
    <row r="40" spans="1:8" x14ac:dyDescent="0.2">
      <c r="A40" s="128">
        <v>44600</v>
      </c>
      <c r="B40" s="145">
        <v>44882.03</v>
      </c>
      <c r="C40" s="145">
        <v>44882.03</v>
      </c>
      <c r="D40" s="145">
        <v>0</v>
      </c>
      <c r="E40" s="203">
        <v>141</v>
      </c>
      <c r="F40" s="203">
        <v>163</v>
      </c>
      <c r="G40" s="145">
        <v>310.02</v>
      </c>
      <c r="H40" s="145">
        <v>0</v>
      </c>
    </row>
    <row r="41" spans="1:8" x14ac:dyDescent="0.2">
      <c r="A41" s="128">
        <v>44601</v>
      </c>
      <c r="B41" s="145">
        <v>35537.760000000002</v>
      </c>
      <c r="C41" s="145">
        <v>35475.599999999999</v>
      </c>
      <c r="D41" s="145">
        <v>62.16</v>
      </c>
      <c r="E41" s="203">
        <v>122</v>
      </c>
      <c r="F41" s="203">
        <v>149</v>
      </c>
      <c r="G41" s="145">
        <v>353.3</v>
      </c>
      <c r="H41" s="145">
        <v>0</v>
      </c>
    </row>
    <row r="42" spans="1:8" x14ac:dyDescent="0.2">
      <c r="A42" s="128">
        <v>44602</v>
      </c>
      <c r="B42" s="145">
        <v>32915.71</v>
      </c>
      <c r="C42" s="145">
        <v>32915.71</v>
      </c>
      <c r="D42" s="145">
        <v>0</v>
      </c>
      <c r="E42" s="203">
        <v>111</v>
      </c>
      <c r="F42" s="203">
        <v>127</v>
      </c>
      <c r="G42" s="145">
        <v>302.44</v>
      </c>
      <c r="H42" s="145">
        <v>508.3</v>
      </c>
    </row>
    <row r="43" spans="1:8" x14ac:dyDescent="0.2">
      <c r="A43" s="128">
        <v>44603</v>
      </c>
      <c r="B43" s="145">
        <v>35620.559999999998</v>
      </c>
      <c r="C43" s="145">
        <v>35576.080000000002</v>
      </c>
      <c r="D43" s="145">
        <v>44.48</v>
      </c>
      <c r="E43" s="203">
        <v>128</v>
      </c>
      <c r="F43" s="203">
        <v>149</v>
      </c>
      <c r="G43" s="145">
        <v>181.27</v>
      </c>
      <c r="H43" s="145">
        <v>448.8</v>
      </c>
    </row>
    <row r="44" spans="1:8" x14ac:dyDescent="0.2">
      <c r="A44" s="128">
        <v>44604</v>
      </c>
      <c r="B44" s="145">
        <v>24216.17</v>
      </c>
      <c r="C44" s="145">
        <v>24216.17</v>
      </c>
      <c r="D44" s="145">
        <v>0</v>
      </c>
      <c r="E44" s="203">
        <v>86</v>
      </c>
      <c r="F44" s="203">
        <v>94</v>
      </c>
      <c r="G44" s="145">
        <v>225.63</v>
      </c>
      <c r="H44" s="145">
        <v>35</v>
      </c>
    </row>
    <row r="45" spans="1:8" x14ac:dyDescent="0.2">
      <c r="A45" s="128">
        <v>44605</v>
      </c>
      <c r="B45" s="145">
        <v>17251.7</v>
      </c>
      <c r="C45" s="145">
        <v>17251.7</v>
      </c>
      <c r="D45" s="145">
        <v>0</v>
      </c>
      <c r="E45" s="203">
        <v>56</v>
      </c>
      <c r="F45" s="203">
        <v>71</v>
      </c>
      <c r="G45" s="145">
        <v>139.65</v>
      </c>
      <c r="H45" s="145">
        <v>0</v>
      </c>
    </row>
    <row r="46" spans="1:8" x14ac:dyDescent="0.2">
      <c r="A46" s="128">
        <v>44606</v>
      </c>
      <c r="B46" s="145">
        <v>49152.92</v>
      </c>
      <c r="C46" s="145">
        <v>49152.92</v>
      </c>
      <c r="D46" s="145">
        <v>0</v>
      </c>
      <c r="E46" s="203">
        <v>161</v>
      </c>
      <c r="F46" s="203">
        <v>195</v>
      </c>
      <c r="G46" s="145">
        <v>422.88</v>
      </c>
      <c r="H46" s="145">
        <v>250</v>
      </c>
    </row>
    <row r="47" spans="1:8" x14ac:dyDescent="0.2">
      <c r="A47" s="128">
        <v>44607</v>
      </c>
      <c r="B47" s="145">
        <v>37487.620000000003</v>
      </c>
      <c r="C47" s="145">
        <v>37487.620000000003</v>
      </c>
      <c r="D47" s="145">
        <v>0</v>
      </c>
      <c r="E47" s="203">
        <v>118</v>
      </c>
      <c r="F47" s="203">
        <v>150</v>
      </c>
      <c r="G47" s="145">
        <v>550.08000000000004</v>
      </c>
      <c r="H47" s="145">
        <v>0</v>
      </c>
    </row>
    <row r="48" spans="1:8" x14ac:dyDescent="0.2">
      <c r="A48" s="128">
        <v>44608</v>
      </c>
      <c r="B48" s="145">
        <v>34466.01</v>
      </c>
      <c r="C48" s="145">
        <v>34466.01</v>
      </c>
      <c r="D48" s="145">
        <v>0</v>
      </c>
      <c r="E48" s="203">
        <v>119</v>
      </c>
      <c r="F48" s="203">
        <v>131</v>
      </c>
      <c r="G48" s="145">
        <v>275.07</v>
      </c>
      <c r="H48" s="145">
        <v>575.12</v>
      </c>
    </row>
    <row r="49" spans="1:8" x14ac:dyDescent="0.2">
      <c r="A49" s="128">
        <v>44609</v>
      </c>
      <c r="B49" s="145">
        <v>48035.64</v>
      </c>
      <c r="C49" s="145">
        <v>48035.64</v>
      </c>
      <c r="D49" s="145">
        <v>0</v>
      </c>
      <c r="E49" s="203">
        <v>146</v>
      </c>
      <c r="F49" s="203">
        <v>200</v>
      </c>
      <c r="G49" s="145">
        <v>957.31</v>
      </c>
      <c r="H49" s="145">
        <v>299</v>
      </c>
    </row>
    <row r="50" spans="1:8" x14ac:dyDescent="0.2">
      <c r="A50" s="128">
        <v>44610</v>
      </c>
      <c r="B50" s="145">
        <v>48224.45</v>
      </c>
      <c r="C50" s="145">
        <v>48202.37</v>
      </c>
      <c r="D50" s="145">
        <v>22.08</v>
      </c>
      <c r="E50" s="203">
        <v>163</v>
      </c>
      <c r="F50" s="203">
        <v>194</v>
      </c>
      <c r="G50" s="145">
        <v>574.08000000000004</v>
      </c>
      <c r="H50" s="145">
        <v>937.7</v>
      </c>
    </row>
    <row r="51" spans="1:8" x14ac:dyDescent="0.2">
      <c r="A51" s="128">
        <v>44611</v>
      </c>
      <c r="B51" s="145">
        <v>22149.7</v>
      </c>
      <c r="C51" s="145">
        <v>22149.7</v>
      </c>
      <c r="D51" s="145">
        <v>0</v>
      </c>
      <c r="E51" s="203">
        <v>77</v>
      </c>
      <c r="F51" s="203">
        <v>93</v>
      </c>
      <c r="G51" s="145">
        <v>190.75</v>
      </c>
      <c r="H51" s="145">
        <v>0</v>
      </c>
    </row>
    <row r="52" spans="1:8" x14ac:dyDescent="0.2">
      <c r="A52" s="128">
        <v>44612</v>
      </c>
      <c r="B52" s="145">
        <v>18486.900000000001</v>
      </c>
      <c r="C52" s="145">
        <v>18486.900000000001</v>
      </c>
      <c r="D52" s="145">
        <v>0</v>
      </c>
      <c r="E52" s="203">
        <v>67</v>
      </c>
      <c r="F52" s="203">
        <v>76</v>
      </c>
      <c r="G52" s="145">
        <v>64.45</v>
      </c>
      <c r="H52" s="145">
        <v>0</v>
      </c>
    </row>
    <row r="53" spans="1:8" x14ac:dyDescent="0.2">
      <c r="A53" s="128">
        <v>44613</v>
      </c>
      <c r="B53" s="145">
        <v>29771.11</v>
      </c>
      <c r="C53" s="145">
        <v>29736.11</v>
      </c>
      <c r="D53" s="145">
        <v>35</v>
      </c>
      <c r="E53" s="203">
        <v>115</v>
      </c>
      <c r="F53" s="203">
        <v>130</v>
      </c>
      <c r="G53" s="145">
        <v>370.52</v>
      </c>
      <c r="H53" s="145">
        <v>1421.52</v>
      </c>
    </row>
    <row r="54" spans="1:8" x14ac:dyDescent="0.2">
      <c r="A54" s="128">
        <v>44614</v>
      </c>
      <c r="B54" s="145">
        <v>41774.85</v>
      </c>
      <c r="C54" s="145">
        <v>41774.85</v>
      </c>
      <c r="D54" s="145">
        <v>0</v>
      </c>
      <c r="E54" s="203">
        <v>135</v>
      </c>
      <c r="F54" s="203">
        <v>153</v>
      </c>
      <c r="G54" s="145">
        <v>362.8</v>
      </c>
      <c r="H54" s="145">
        <v>442.85</v>
      </c>
    </row>
    <row r="55" spans="1:8" x14ac:dyDescent="0.2">
      <c r="A55" s="128">
        <v>44615</v>
      </c>
      <c r="B55" s="145">
        <v>36378.120000000003</v>
      </c>
      <c r="C55" s="145">
        <v>36378.120000000003</v>
      </c>
      <c r="D55" s="145">
        <v>0</v>
      </c>
      <c r="E55" s="203">
        <v>133</v>
      </c>
      <c r="F55" s="203">
        <v>156</v>
      </c>
      <c r="G55" s="145">
        <v>343.83</v>
      </c>
      <c r="H55" s="145">
        <v>299</v>
      </c>
    </row>
    <row r="56" spans="1:8" x14ac:dyDescent="0.2">
      <c r="A56" s="128">
        <v>44616</v>
      </c>
      <c r="B56" s="145">
        <v>47748.09</v>
      </c>
      <c r="C56" s="145">
        <v>47748.09</v>
      </c>
      <c r="D56" s="145">
        <v>0</v>
      </c>
      <c r="E56" s="203">
        <v>135</v>
      </c>
      <c r="F56" s="203">
        <v>253</v>
      </c>
      <c r="G56" s="145">
        <v>3539.26</v>
      </c>
      <c r="H56" s="145">
        <v>0</v>
      </c>
    </row>
    <row r="57" spans="1:8" x14ac:dyDescent="0.2">
      <c r="A57" s="128">
        <v>44617</v>
      </c>
      <c r="B57" s="145">
        <v>52562</v>
      </c>
      <c r="C57" s="145">
        <v>52533.82</v>
      </c>
      <c r="D57" s="145">
        <v>28.18</v>
      </c>
      <c r="E57" s="203">
        <v>147</v>
      </c>
      <c r="F57" s="203">
        <v>192</v>
      </c>
      <c r="G57" s="145">
        <v>395.23</v>
      </c>
      <c r="H57" s="145">
        <v>0</v>
      </c>
    </row>
    <row r="58" spans="1:8" x14ac:dyDescent="0.2">
      <c r="A58" s="128">
        <v>44618</v>
      </c>
      <c r="B58" s="145">
        <v>24624.39</v>
      </c>
      <c r="C58" s="145">
        <v>24602.11</v>
      </c>
      <c r="D58" s="145">
        <v>22.28</v>
      </c>
      <c r="E58" s="203">
        <v>75</v>
      </c>
      <c r="F58" s="203">
        <v>86</v>
      </c>
      <c r="G58" s="145">
        <v>122.59</v>
      </c>
      <c r="H58" s="145">
        <v>0</v>
      </c>
    </row>
    <row r="59" spans="1:8" x14ac:dyDescent="0.2">
      <c r="A59" s="128">
        <v>44619</v>
      </c>
      <c r="B59" s="145">
        <v>14697.45</v>
      </c>
      <c r="C59" s="145">
        <v>14697.45</v>
      </c>
      <c r="D59" s="145">
        <v>0</v>
      </c>
      <c r="E59" s="203">
        <v>50</v>
      </c>
      <c r="F59" s="203">
        <v>55</v>
      </c>
      <c r="G59" s="145">
        <v>18.8</v>
      </c>
      <c r="H59" s="145">
        <v>250</v>
      </c>
    </row>
    <row r="60" spans="1:8" x14ac:dyDescent="0.2">
      <c r="A60" s="128">
        <v>44620</v>
      </c>
      <c r="B60" s="145">
        <v>20827.53</v>
      </c>
      <c r="C60" s="145">
        <v>20827.53</v>
      </c>
      <c r="D60" s="145">
        <v>0</v>
      </c>
      <c r="E60" s="203">
        <v>67</v>
      </c>
      <c r="F60" s="203">
        <v>82</v>
      </c>
      <c r="G60" s="145">
        <v>248.42</v>
      </c>
      <c r="H60" s="145">
        <v>0</v>
      </c>
    </row>
    <row r="61" spans="1:8" x14ac:dyDescent="0.2">
      <c r="A61" s="128">
        <v>44621</v>
      </c>
      <c r="B61" s="145">
        <v>26424.45</v>
      </c>
      <c r="C61" s="145">
        <v>26424.45</v>
      </c>
      <c r="D61" s="145">
        <v>0</v>
      </c>
      <c r="E61" s="203">
        <v>79</v>
      </c>
      <c r="F61" s="203">
        <v>106</v>
      </c>
      <c r="G61" s="145">
        <v>260.8</v>
      </c>
      <c r="H61" s="145">
        <v>0</v>
      </c>
    </row>
    <row r="62" spans="1:8" x14ac:dyDescent="0.2">
      <c r="A62" s="128">
        <v>44622</v>
      </c>
      <c r="B62" s="145">
        <v>33508.92</v>
      </c>
      <c r="C62" s="145">
        <v>33508.92</v>
      </c>
      <c r="D62" s="145">
        <v>0</v>
      </c>
      <c r="E62" s="203">
        <v>115</v>
      </c>
      <c r="F62" s="203">
        <v>135</v>
      </c>
      <c r="G62" s="145">
        <v>609.88</v>
      </c>
      <c r="H62" s="145">
        <v>448.8</v>
      </c>
    </row>
    <row r="63" spans="1:8" x14ac:dyDescent="0.2">
      <c r="A63" s="128">
        <v>44623</v>
      </c>
      <c r="B63" s="145">
        <v>38636.53</v>
      </c>
      <c r="C63" s="145">
        <v>38636.53</v>
      </c>
      <c r="D63" s="145">
        <v>0</v>
      </c>
      <c r="E63" s="203">
        <v>131</v>
      </c>
      <c r="F63" s="203">
        <v>185</v>
      </c>
      <c r="G63" s="145">
        <v>1397.47</v>
      </c>
      <c r="H63" s="145">
        <v>0</v>
      </c>
    </row>
    <row r="64" spans="1:8" x14ac:dyDescent="0.2">
      <c r="A64" s="128">
        <v>44624</v>
      </c>
      <c r="B64" s="145">
        <v>34604.03</v>
      </c>
      <c r="C64" s="145">
        <v>34579.99</v>
      </c>
      <c r="D64" s="145">
        <v>24.04</v>
      </c>
      <c r="E64" s="203">
        <v>111</v>
      </c>
      <c r="F64" s="203">
        <v>172</v>
      </c>
      <c r="G64" s="145">
        <v>2310.0100000000002</v>
      </c>
      <c r="H64" s="145">
        <v>0</v>
      </c>
    </row>
    <row r="65" spans="1:8" x14ac:dyDescent="0.2">
      <c r="A65" s="128">
        <v>44625</v>
      </c>
      <c r="B65" s="145">
        <v>20933.25</v>
      </c>
      <c r="C65" s="145">
        <v>20933.25</v>
      </c>
      <c r="D65" s="145">
        <v>0</v>
      </c>
      <c r="E65" s="203">
        <v>71</v>
      </c>
      <c r="F65" s="203">
        <v>87</v>
      </c>
      <c r="G65" s="145">
        <v>435.75</v>
      </c>
      <c r="H65" s="145">
        <v>0</v>
      </c>
    </row>
    <row r="66" spans="1:8" x14ac:dyDescent="0.2">
      <c r="A66" s="128">
        <v>44626</v>
      </c>
      <c r="B66" s="145">
        <v>20185.64</v>
      </c>
      <c r="C66" s="145">
        <v>20161.580000000002</v>
      </c>
      <c r="D66" s="145">
        <v>24.06</v>
      </c>
      <c r="E66" s="203">
        <v>57</v>
      </c>
      <c r="F66" s="203">
        <v>83</v>
      </c>
      <c r="G66" s="145">
        <v>628.41999999999996</v>
      </c>
      <c r="H66" s="145">
        <v>0</v>
      </c>
    </row>
    <row r="67" spans="1:8" x14ac:dyDescent="0.2">
      <c r="A67" s="128">
        <v>44627</v>
      </c>
      <c r="B67" s="145">
        <v>53461.25</v>
      </c>
      <c r="C67" s="145">
        <v>53461.25</v>
      </c>
      <c r="D67" s="145">
        <v>0</v>
      </c>
      <c r="E67" s="203">
        <v>165</v>
      </c>
      <c r="F67" s="203">
        <v>273</v>
      </c>
      <c r="G67" s="145">
        <v>2329.6</v>
      </c>
      <c r="H67" s="145">
        <v>1546.15</v>
      </c>
    </row>
    <row r="68" spans="1:8" x14ac:dyDescent="0.2">
      <c r="A68" s="128">
        <v>44628</v>
      </c>
      <c r="B68" s="145">
        <v>69122.89</v>
      </c>
      <c r="C68" s="145">
        <v>69122.89</v>
      </c>
      <c r="D68" s="145">
        <v>0</v>
      </c>
      <c r="E68" s="203">
        <v>227</v>
      </c>
      <c r="F68" s="203">
        <v>341</v>
      </c>
      <c r="G68" s="145">
        <v>1615.96</v>
      </c>
      <c r="H68" s="145">
        <v>588.15</v>
      </c>
    </row>
    <row r="69" spans="1:8" x14ac:dyDescent="0.2">
      <c r="A69" s="128">
        <v>44629</v>
      </c>
      <c r="B69" s="145">
        <v>39587.160000000003</v>
      </c>
      <c r="C69" s="145">
        <v>39587.160000000003</v>
      </c>
      <c r="D69" s="145">
        <v>0</v>
      </c>
      <c r="E69" s="203">
        <v>124</v>
      </c>
      <c r="F69" s="203">
        <v>167</v>
      </c>
      <c r="G69" s="145">
        <v>1209.8399999999999</v>
      </c>
      <c r="H69" s="145">
        <v>0</v>
      </c>
    </row>
    <row r="70" spans="1:8" x14ac:dyDescent="0.2">
      <c r="A70" s="128">
        <v>44630</v>
      </c>
      <c r="B70" s="145">
        <v>28431.84</v>
      </c>
      <c r="C70" s="145">
        <v>28431.84</v>
      </c>
      <c r="D70" s="145">
        <v>0</v>
      </c>
      <c r="E70" s="203">
        <v>105</v>
      </c>
      <c r="F70" s="203">
        <v>126</v>
      </c>
      <c r="G70" s="145">
        <v>537.16</v>
      </c>
      <c r="H70" s="145">
        <v>1229</v>
      </c>
    </row>
    <row r="71" spans="1:8" x14ac:dyDescent="0.2">
      <c r="A71" s="128">
        <v>44631</v>
      </c>
      <c r="B71" s="145">
        <v>31452.85</v>
      </c>
      <c r="C71" s="145">
        <v>31452.85</v>
      </c>
      <c r="D71" s="145">
        <v>0</v>
      </c>
      <c r="E71" s="203">
        <v>109</v>
      </c>
      <c r="F71" s="203">
        <v>123</v>
      </c>
      <c r="G71" s="145">
        <v>189.15</v>
      </c>
      <c r="H71" s="145">
        <v>299</v>
      </c>
    </row>
    <row r="72" spans="1:8" x14ac:dyDescent="0.2">
      <c r="A72" s="128">
        <v>44632</v>
      </c>
      <c r="B72" s="145">
        <v>20817.13</v>
      </c>
      <c r="C72" s="145">
        <v>20794.89</v>
      </c>
      <c r="D72" s="145">
        <v>22.24</v>
      </c>
      <c r="E72" s="203">
        <v>70</v>
      </c>
      <c r="F72" s="203">
        <v>84</v>
      </c>
      <c r="G72" s="145">
        <v>248.11</v>
      </c>
      <c r="H72" s="145">
        <v>0</v>
      </c>
    </row>
    <row r="73" spans="1:8" x14ac:dyDescent="0.2">
      <c r="A73" s="128">
        <v>44633</v>
      </c>
      <c r="B73" s="145">
        <v>21368.78</v>
      </c>
      <c r="C73" s="145">
        <v>21368.78</v>
      </c>
      <c r="D73" s="145">
        <v>0</v>
      </c>
      <c r="E73" s="203">
        <v>73</v>
      </c>
      <c r="F73" s="203">
        <v>83</v>
      </c>
      <c r="G73" s="145">
        <v>80.22</v>
      </c>
      <c r="H73" s="145">
        <v>0</v>
      </c>
    </row>
    <row r="74" spans="1:8" x14ac:dyDescent="0.2">
      <c r="A74" s="128">
        <v>44634</v>
      </c>
      <c r="B74" s="145">
        <v>55459.98</v>
      </c>
      <c r="C74" s="145">
        <v>55459.98</v>
      </c>
      <c r="D74" s="145">
        <v>0</v>
      </c>
      <c r="E74" s="203">
        <v>260</v>
      </c>
      <c r="F74" s="203">
        <v>378</v>
      </c>
      <c r="G74" s="145">
        <v>475.42</v>
      </c>
      <c r="H74" s="145">
        <v>1439.6</v>
      </c>
    </row>
    <row r="75" spans="1:8" x14ac:dyDescent="0.2">
      <c r="A75" s="128">
        <v>44635</v>
      </c>
      <c r="B75" s="145">
        <v>40873.85</v>
      </c>
      <c r="C75" s="145">
        <v>40873.85</v>
      </c>
      <c r="D75" s="145">
        <v>0</v>
      </c>
      <c r="E75" s="203">
        <v>170</v>
      </c>
      <c r="F75" s="203">
        <v>244</v>
      </c>
      <c r="G75" s="145">
        <v>556.15</v>
      </c>
      <c r="H75" s="145">
        <v>0</v>
      </c>
    </row>
    <row r="76" spans="1:8" x14ac:dyDescent="0.2">
      <c r="A76" s="128">
        <v>44636</v>
      </c>
      <c r="B76" s="145">
        <v>46762.31</v>
      </c>
      <c r="C76" s="145">
        <v>46762.31</v>
      </c>
      <c r="D76" s="145">
        <v>0</v>
      </c>
      <c r="E76" s="203">
        <v>181</v>
      </c>
      <c r="F76" s="203">
        <v>238</v>
      </c>
      <c r="G76" s="145">
        <v>596.69000000000005</v>
      </c>
      <c r="H76" s="145">
        <v>448</v>
      </c>
    </row>
    <row r="77" spans="1:8" x14ac:dyDescent="0.2">
      <c r="A77" s="128">
        <v>44637</v>
      </c>
      <c r="B77" s="145">
        <v>37319.58</v>
      </c>
      <c r="C77" s="145">
        <v>37297.300000000003</v>
      </c>
      <c r="D77" s="145">
        <v>22.28</v>
      </c>
      <c r="E77" s="203">
        <v>151</v>
      </c>
      <c r="F77" s="203">
        <v>194</v>
      </c>
      <c r="G77" s="145">
        <v>468.7</v>
      </c>
      <c r="H77" s="145">
        <v>0</v>
      </c>
    </row>
    <row r="78" spans="1:8" x14ac:dyDescent="0.2">
      <c r="A78" s="128">
        <v>44638</v>
      </c>
      <c r="B78" s="145">
        <v>38156.839999999997</v>
      </c>
      <c r="C78" s="145">
        <v>38120.74</v>
      </c>
      <c r="D78" s="145">
        <v>36.1</v>
      </c>
      <c r="E78" s="203">
        <v>119</v>
      </c>
      <c r="F78" s="203">
        <v>171</v>
      </c>
      <c r="G78" s="145">
        <v>1561.26</v>
      </c>
      <c r="H78" s="145">
        <v>0</v>
      </c>
    </row>
    <row r="79" spans="1:8" x14ac:dyDescent="0.2">
      <c r="A79" s="128">
        <v>44639</v>
      </c>
      <c r="B79" s="145">
        <v>21362.15</v>
      </c>
      <c r="C79" s="145">
        <v>21362.15</v>
      </c>
      <c r="D79" s="145">
        <v>0</v>
      </c>
      <c r="E79" s="203">
        <v>79</v>
      </c>
      <c r="F79" s="203">
        <v>89</v>
      </c>
      <c r="G79" s="145">
        <v>162.85</v>
      </c>
      <c r="H79" s="145">
        <v>350</v>
      </c>
    </row>
    <row r="80" spans="1:8" x14ac:dyDescent="0.2">
      <c r="A80" s="128">
        <v>44640</v>
      </c>
      <c r="B80" s="145">
        <v>18377.78</v>
      </c>
      <c r="C80" s="145">
        <v>18319.2</v>
      </c>
      <c r="D80" s="145">
        <v>58.58</v>
      </c>
      <c r="E80" s="203">
        <v>68</v>
      </c>
      <c r="F80" s="203">
        <v>80</v>
      </c>
      <c r="G80" s="145">
        <v>195.8</v>
      </c>
      <c r="H80" s="145">
        <v>0</v>
      </c>
    </row>
    <row r="81" spans="1:8" x14ac:dyDescent="0.2">
      <c r="A81" s="128">
        <v>44641</v>
      </c>
      <c r="B81" s="145">
        <v>34908.94</v>
      </c>
      <c r="C81" s="145">
        <v>34908.94</v>
      </c>
      <c r="D81" s="145">
        <v>0</v>
      </c>
      <c r="E81" s="203">
        <v>126</v>
      </c>
      <c r="F81" s="203">
        <v>155</v>
      </c>
      <c r="G81" s="145">
        <v>732.76</v>
      </c>
      <c r="H81" s="145">
        <v>300.3</v>
      </c>
    </row>
    <row r="82" spans="1:8" x14ac:dyDescent="0.2">
      <c r="A82" s="128">
        <v>44642</v>
      </c>
      <c r="B82" s="145">
        <v>32690.080000000002</v>
      </c>
      <c r="C82" s="145">
        <v>32690.080000000002</v>
      </c>
      <c r="D82" s="145">
        <v>0</v>
      </c>
      <c r="E82" s="203">
        <v>110</v>
      </c>
      <c r="F82" s="203">
        <v>130</v>
      </c>
      <c r="G82" s="145">
        <v>358.92</v>
      </c>
      <c r="H82" s="145">
        <v>319</v>
      </c>
    </row>
    <row r="83" spans="1:8" x14ac:dyDescent="0.2">
      <c r="A83" s="128">
        <v>44643</v>
      </c>
      <c r="B83" s="145">
        <v>35630.86</v>
      </c>
      <c r="C83" s="145">
        <v>35608.58</v>
      </c>
      <c r="D83" s="145">
        <v>22.28</v>
      </c>
      <c r="E83" s="203">
        <v>143</v>
      </c>
      <c r="F83" s="203">
        <v>182</v>
      </c>
      <c r="G83" s="145">
        <v>424.42</v>
      </c>
      <c r="H83" s="145">
        <v>0</v>
      </c>
    </row>
    <row r="84" spans="1:8" x14ac:dyDescent="0.2">
      <c r="A84" s="128">
        <v>44644</v>
      </c>
      <c r="B84" s="145">
        <v>29448.65</v>
      </c>
      <c r="C84" s="145">
        <v>29448.65</v>
      </c>
      <c r="D84" s="145">
        <v>0</v>
      </c>
      <c r="E84" s="203">
        <v>119</v>
      </c>
      <c r="F84" s="203">
        <v>141</v>
      </c>
      <c r="G84" s="145">
        <v>530.35</v>
      </c>
      <c r="H84" s="145">
        <v>500</v>
      </c>
    </row>
    <row r="85" spans="1:8" x14ac:dyDescent="0.2">
      <c r="A85" s="128">
        <v>44645</v>
      </c>
      <c r="B85" s="145">
        <v>31942.81</v>
      </c>
      <c r="C85" s="145">
        <v>31899.01</v>
      </c>
      <c r="D85" s="145">
        <v>43.8</v>
      </c>
      <c r="E85" s="203">
        <v>125</v>
      </c>
      <c r="F85" s="203">
        <v>154</v>
      </c>
      <c r="G85" s="145">
        <v>547.79</v>
      </c>
      <c r="H85" s="145">
        <v>433.2</v>
      </c>
    </row>
    <row r="86" spans="1:8" x14ac:dyDescent="0.2">
      <c r="A86" s="128">
        <v>44646</v>
      </c>
      <c r="B86" s="145">
        <v>23258.31</v>
      </c>
      <c r="C86" s="145">
        <v>23258.31</v>
      </c>
      <c r="D86" s="145">
        <v>0</v>
      </c>
      <c r="E86" s="203">
        <v>81</v>
      </c>
      <c r="F86" s="203">
        <v>103</v>
      </c>
      <c r="G86" s="145">
        <v>444.69</v>
      </c>
      <c r="H86" s="145">
        <v>0</v>
      </c>
    </row>
    <row r="87" spans="1:8" x14ac:dyDescent="0.2">
      <c r="A87" s="128">
        <v>44647</v>
      </c>
      <c r="B87" s="145">
        <v>15994.4</v>
      </c>
      <c r="C87" s="145">
        <v>15994.4</v>
      </c>
      <c r="D87" s="145">
        <v>0</v>
      </c>
      <c r="E87" s="203">
        <v>57</v>
      </c>
      <c r="F87" s="203">
        <v>73</v>
      </c>
      <c r="G87" s="145">
        <v>181.6</v>
      </c>
      <c r="H87" s="145">
        <v>0</v>
      </c>
    </row>
    <row r="88" spans="1:8" x14ac:dyDescent="0.2">
      <c r="A88" s="128">
        <v>44648</v>
      </c>
      <c r="B88" s="145">
        <v>31252.33</v>
      </c>
      <c r="C88" s="145">
        <v>31252.33</v>
      </c>
      <c r="D88" s="145">
        <v>0</v>
      </c>
      <c r="E88" s="203">
        <v>125</v>
      </c>
      <c r="F88" s="203">
        <v>141</v>
      </c>
      <c r="G88" s="145">
        <v>561.66999999999996</v>
      </c>
      <c r="H88" s="145">
        <v>489</v>
      </c>
    </row>
    <row r="89" spans="1:8" x14ac:dyDescent="0.2">
      <c r="A89" s="128">
        <v>44649</v>
      </c>
      <c r="B89" s="145">
        <v>52253.94</v>
      </c>
      <c r="C89" s="145">
        <v>52253.94</v>
      </c>
      <c r="D89" s="145">
        <v>0</v>
      </c>
      <c r="E89" s="203">
        <v>201</v>
      </c>
      <c r="F89" s="203">
        <v>282</v>
      </c>
      <c r="G89" s="145">
        <v>688.26</v>
      </c>
      <c r="H89" s="145">
        <v>960.8</v>
      </c>
    </row>
    <row r="90" spans="1:8" x14ac:dyDescent="0.2">
      <c r="A90" s="128">
        <v>44650</v>
      </c>
      <c r="B90" s="145">
        <v>47794.42</v>
      </c>
      <c r="C90" s="145">
        <v>47794.42</v>
      </c>
      <c r="D90" s="145">
        <v>0</v>
      </c>
      <c r="E90" s="203">
        <v>175</v>
      </c>
      <c r="F90" s="203">
        <v>231</v>
      </c>
      <c r="G90" s="145">
        <v>374.58</v>
      </c>
      <c r="H90" s="145">
        <v>614</v>
      </c>
    </row>
    <row r="91" spans="1:8" x14ac:dyDescent="0.2">
      <c r="A91" s="128">
        <v>44651</v>
      </c>
      <c r="B91" s="145">
        <v>45492.77</v>
      </c>
      <c r="C91" s="145">
        <v>45492.77</v>
      </c>
      <c r="D91" s="145">
        <v>0</v>
      </c>
      <c r="E91" s="203">
        <v>174</v>
      </c>
      <c r="F91" s="203">
        <v>210</v>
      </c>
      <c r="G91" s="145">
        <v>481.23</v>
      </c>
      <c r="H91" s="145">
        <v>274</v>
      </c>
    </row>
    <row r="92" spans="1:8" x14ac:dyDescent="0.2">
      <c r="A92" s="128">
        <v>44652</v>
      </c>
      <c r="B92" s="145">
        <v>48264.800000000003</v>
      </c>
      <c r="C92" s="145">
        <v>48264.800000000003</v>
      </c>
      <c r="D92" s="145">
        <v>0</v>
      </c>
      <c r="E92" s="203">
        <v>164</v>
      </c>
      <c r="F92" s="203">
        <v>211</v>
      </c>
      <c r="G92" s="145">
        <v>550.20000000000005</v>
      </c>
      <c r="H92" s="145">
        <v>1011</v>
      </c>
    </row>
    <row r="93" spans="1:8" x14ac:dyDescent="0.2">
      <c r="A93" s="128">
        <v>44653</v>
      </c>
      <c r="B93" s="145">
        <v>34612.26</v>
      </c>
      <c r="C93" s="145">
        <v>34589.9</v>
      </c>
      <c r="D93" s="145">
        <v>22.36</v>
      </c>
      <c r="E93" s="203">
        <v>124</v>
      </c>
      <c r="F93" s="203">
        <v>173</v>
      </c>
      <c r="G93" s="145">
        <v>257.10000000000002</v>
      </c>
      <c r="H93" s="145">
        <v>0</v>
      </c>
    </row>
    <row r="94" spans="1:8" x14ac:dyDescent="0.2">
      <c r="A94" s="128">
        <v>44654</v>
      </c>
      <c r="B94" s="145">
        <v>19526.830000000002</v>
      </c>
      <c r="C94" s="145">
        <v>19526.830000000002</v>
      </c>
      <c r="D94" s="145">
        <v>0</v>
      </c>
      <c r="E94" s="203">
        <v>75</v>
      </c>
      <c r="F94" s="203">
        <v>85</v>
      </c>
      <c r="G94" s="145">
        <v>118.17</v>
      </c>
      <c r="H94" s="145">
        <v>0</v>
      </c>
    </row>
    <row r="95" spans="1:8" x14ac:dyDescent="0.2">
      <c r="A95" s="128">
        <v>44655</v>
      </c>
      <c r="B95" s="145">
        <v>55338.26</v>
      </c>
      <c r="C95" s="145">
        <v>55338.26</v>
      </c>
      <c r="D95" s="145">
        <v>0</v>
      </c>
      <c r="E95" s="203">
        <v>232</v>
      </c>
      <c r="F95" s="203">
        <v>327</v>
      </c>
      <c r="G95" s="145">
        <v>521.74</v>
      </c>
      <c r="H95" s="145">
        <v>615</v>
      </c>
    </row>
    <row r="96" spans="1:8" x14ac:dyDescent="0.2">
      <c r="A96" s="128">
        <v>44656</v>
      </c>
      <c r="B96" s="145">
        <v>37150.1</v>
      </c>
      <c r="C96" s="145">
        <v>37100.36</v>
      </c>
      <c r="D96" s="145">
        <v>49.74</v>
      </c>
      <c r="E96" s="203">
        <v>157</v>
      </c>
      <c r="F96" s="203">
        <v>206</v>
      </c>
      <c r="G96" s="145">
        <v>535.64</v>
      </c>
      <c r="H96" s="145">
        <v>731</v>
      </c>
    </row>
    <row r="97" spans="1:8" x14ac:dyDescent="0.2">
      <c r="A97" s="128">
        <v>44657</v>
      </c>
      <c r="B97" s="145">
        <v>48005.71</v>
      </c>
      <c r="C97" s="145">
        <v>48005.71</v>
      </c>
      <c r="D97" s="145">
        <v>0</v>
      </c>
      <c r="E97" s="203">
        <v>201</v>
      </c>
      <c r="F97" s="203">
        <v>256</v>
      </c>
      <c r="G97" s="145">
        <v>356.29</v>
      </c>
      <c r="H97" s="145">
        <v>790</v>
      </c>
    </row>
    <row r="98" spans="1:8" x14ac:dyDescent="0.2">
      <c r="A98" s="128">
        <v>44658</v>
      </c>
      <c r="B98" s="145">
        <v>48798.1</v>
      </c>
      <c r="C98" s="145">
        <v>48798.1</v>
      </c>
      <c r="D98" s="145">
        <v>0</v>
      </c>
      <c r="E98" s="203">
        <v>203</v>
      </c>
      <c r="F98" s="203">
        <v>259</v>
      </c>
      <c r="G98" s="145">
        <v>373.9</v>
      </c>
      <c r="H98" s="145">
        <v>1550</v>
      </c>
    </row>
    <row r="99" spans="1:8" x14ac:dyDescent="0.2">
      <c r="A99" s="128">
        <v>44659</v>
      </c>
      <c r="B99" s="145">
        <v>48386.76</v>
      </c>
      <c r="C99" s="145">
        <v>48386.76</v>
      </c>
      <c r="D99" s="145">
        <v>0</v>
      </c>
      <c r="E99" s="203">
        <v>197</v>
      </c>
      <c r="F99" s="203">
        <v>263</v>
      </c>
      <c r="G99" s="145">
        <v>494.24</v>
      </c>
      <c r="H99" s="145">
        <v>827</v>
      </c>
    </row>
    <row r="100" spans="1:8" x14ac:dyDescent="0.2">
      <c r="A100" s="128">
        <v>44660</v>
      </c>
      <c r="B100" s="145">
        <v>30618.080000000002</v>
      </c>
      <c r="C100" s="145">
        <v>30586.2</v>
      </c>
      <c r="D100" s="145">
        <v>31.88</v>
      </c>
      <c r="E100" s="203">
        <v>130</v>
      </c>
      <c r="F100" s="203">
        <v>168</v>
      </c>
      <c r="G100" s="145">
        <v>323.8</v>
      </c>
      <c r="H100" s="145">
        <v>0</v>
      </c>
    </row>
    <row r="101" spans="1:8" x14ac:dyDescent="0.2">
      <c r="A101" s="128">
        <v>44661</v>
      </c>
      <c r="B101" s="145">
        <v>24846.03</v>
      </c>
      <c r="C101" s="145">
        <v>24846.03</v>
      </c>
      <c r="D101" s="145">
        <v>0</v>
      </c>
      <c r="E101" s="203">
        <v>109</v>
      </c>
      <c r="F101" s="203">
        <v>140</v>
      </c>
      <c r="G101" s="145">
        <v>115.97</v>
      </c>
      <c r="H101" s="145">
        <v>0</v>
      </c>
    </row>
    <row r="102" spans="1:8" x14ac:dyDescent="0.2">
      <c r="A102" s="128">
        <v>44662</v>
      </c>
      <c r="B102" s="145">
        <v>40179.22</v>
      </c>
      <c r="C102" s="145">
        <v>40179.22</v>
      </c>
      <c r="D102" s="145">
        <v>0</v>
      </c>
      <c r="E102" s="203">
        <v>152</v>
      </c>
      <c r="F102" s="203">
        <v>190</v>
      </c>
      <c r="G102" s="145">
        <v>390.78</v>
      </c>
      <c r="H102" s="145">
        <v>105</v>
      </c>
    </row>
    <row r="103" spans="1:8" x14ac:dyDescent="0.2">
      <c r="A103" s="128">
        <v>44663</v>
      </c>
      <c r="B103" s="145">
        <v>50744.22</v>
      </c>
      <c r="C103" s="145">
        <v>50744.22</v>
      </c>
      <c r="D103" s="145">
        <v>0</v>
      </c>
      <c r="E103" s="203">
        <v>177</v>
      </c>
      <c r="F103" s="203">
        <v>238</v>
      </c>
      <c r="G103" s="145">
        <v>766.78</v>
      </c>
      <c r="H103" s="145">
        <v>0</v>
      </c>
    </row>
    <row r="104" spans="1:8" x14ac:dyDescent="0.2">
      <c r="A104" s="128">
        <v>44664</v>
      </c>
      <c r="B104" s="145">
        <v>39104.629999999997</v>
      </c>
      <c r="C104" s="145">
        <v>39082.35</v>
      </c>
      <c r="D104" s="145">
        <v>22.28</v>
      </c>
      <c r="E104" s="203">
        <v>152</v>
      </c>
      <c r="F104" s="203">
        <v>184</v>
      </c>
      <c r="G104" s="145">
        <v>636.65</v>
      </c>
      <c r="H104" s="145">
        <v>0</v>
      </c>
    </row>
    <row r="105" spans="1:8" x14ac:dyDescent="0.2">
      <c r="A105" s="128">
        <v>44665</v>
      </c>
      <c r="B105" s="145">
        <v>52367.01</v>
      </c>
      <c r="C105" s="145">
        <v>52344.65</v>
      </c>
      <c r="D105" s="145">
        <v>22.36</v>
      </c>
      <c r="E105" s="203">
        <v>195</v>
      </c>
      <c r="F105" s="203">
        <v>255</v>
      </c>
      <c r="G105" s="145">
        <v>464.35</v>
      </c>
      <c r="H105" s="145">
        <v>167</v>
      </c>
    </row>
    <row r="106" spans="1:8" x14ac:dyDescent="0.2">
      <c r="A106" s="128">
        <v>44666</v>
      </c>
      <c r="B106" s="145">
        <v>20921.53</v>
      </c>
      <c r="C106" s="145">
        <v>20921.53</v>
      </c>
      <c r="D106" s="145">
        <v>0</v>
      </c>
      <c r="E106" s="203">
        <v>78</v>
      </c>
      <c r="F106" s="203">
        <v>106</v>
      </c>
      <c r="G106" s="145">
        <v>107.47</v>
      </c>
      <c r="H106" s="145">
        <v>0</v>
      </c>
    </row>
    <row r="107" spans="1:8" x14ac:dyDescent="0.2">
      <c r="A107" s="128">
        <v>44667</v>
      </c>
      <c r="B107" s="145">
        <v>27300.05</v>
      </c>
      <c r="C107" s="145">
        <v>27300.05</v>
      </c>
      <c r="D107" s="145">
        <v>0</v>
      </c>
      <c r="E107" s="203">
        <v>114</v>
      </c>
      <c r="F107" s="203">
        <v>165</v>
      </c>
      <c r="G107" s="145">
        <v>63.95</v>
      </c>
      <c r="H107" s="145">
        <v>0</v>
      </c>
    </row>
    <row r="108" spans="1:8" x14ac:dyDescent="0.2">
      <c r="A108" s="128">
        <v>44668</v>
      </c>
      <c r="B108" s="145">
        <v>16434.91</v>
      </c>
      <c r="C108" s="145">
        <v>16409.150000000001</v>
      </c>
      <c r="D108" s="145">
        <v>25.76</v>
      </c>
      <c r="E108" s="203">
        <v>68</v>
      </c>
      <c r="F108" s="203">
        <v>91</v>
      </c>
      <c r="G108" s="145">
        <v>195.85</v>
      </c>
      <c r="H108" s="145">
        <v>0</v>
      </c>
    </row>
    <row r="109" spans="1:8" x14ac:dyDescent="0.2">
      <c r="A109" s="128">
        <v>44669</v>
      </c>
      <c r="B109" s="145">
        <v>33019.06</v>
      </c>
      <c r="C109" s="145">
        <v>33019.06</v>
      </c>
      <c r="D109" s="145">
        <v>0</v>
      </c>
      <c r="E109" s="203">
        <v>117</v>
      </c>
      <c r="F109" s="203">
        <v>141</v>
      </c>
      <c r="G109" s="145">
        <v>234.94</v>
      </c>
      <c r="H109" s="145">
        <v>299</v>
      </c>
    </row>
    <row r="110" spans="1:8" x14ac:dyDescent="0.2">
      <c r="A110" s="128">
        <v>44670</v>
      </c>
      <c r="B110" s="145">
        <v>48457.27</v>
      </c>
      <c r="C110" s="145">
        <v>48457.27</v>
      </c>
      <c r="D110" s="145">
        <v>0</v>
      </c>
      <c r="E110" s="203">
        <v>166</v>
      </c>
      <c r="F110" s="203">
        <v>259</v>
      </c>
      <c r="G110" s="145">
        <v>1803.73</v>
      </c>
      <c r="H110" s="145">
        <v>655</v>
      </c>
    </row>
    <row r="111" spans="1:8" x14ac:dyDescent="0.2">
      <c r="A111" s="128">
        <v>44671</v>
      </c>
      <c r="B111" s="145">
        <v>34555.19</v>
      </c>
      <c r="C111" s="145">
        <v>34555.19</v>
      </c>
      <c r="D111" s="145">
        <v>0</v>
      </c>
      <c r="E111" s="203">
        <v>130</v>
      </c>
      <c r="F111" s="203">
        <v>163</v>
      </c>
      <c r="G111" s="145">
        <v>366.81</v>
      </c>
      <c r="H111" s="145">
        <v>190</v>
      </c>
    </row>
    <row r="112" spans="1:8" x14ac:dyDescent="0.2">
      <c r="A112" s="128">
        <v>44672</v>
      </c>
      <c r="B112" s="145">
        <v>23262.32</v>
      </c>
      <c r="C112" s="145">
        <v>23240.240000000002</v>
      </c>
      <c r="D112" s="145">
        <v>22.08</v>
      </c>
      <c r="E112" s="203">
        <v>83</v>
      </c>
      <c r="F112" s="203">
        <v>103</v>
      </c>
      <c r="G112" s="145">
        <v>191.76</v>
      </c>
      <c r="H112" s="145">
        <v>0</v>
      </c>
    </row>
    <row r="113" spans="1:8" x14ac:dyDescent="0.2">
      <c r="A113" s="128">
        <v>44673</v>
      </c>
      <c r="B113" s="145">
        <v>34228.5</v>
      </c>
      <c r="C113" s="145">
        <v>34228.5</v>
      </c>
      <c r="D113" s="145">
        <v>0</v>
      </c>
      <c r="E113" s="203">
        <v>133</v>
      </c>
      <c r="F113" s="203">
        <v>175</v>
      </c>
      <c r="G113" s="145">
        <v>538.5</v>
      </c>
      <c r="H113" s="145">
        <v>167</v>
      </c>
    </row>
    <row r="114" spans="1:8" x14ac:dyDescent="0.2">
      <c r="A114" s="128">
        <v>44674</v>
      </c>
      <c r="B114" s="145">
        <v>14434.7</v>
      </c>
      <c r="C114" s="145">
        <v>14434.7</v>
      </c>
      <c r="D114" s="145">
        <v>0</v>
      </c>
      <c r="E114" s="203">
        <v>55</v>
      </c>
      <c r="F114" s="203">
        <v>75</v>
      </c>
      <c r="G114" s="145">
        <v>177.3</v>
      </c>
      <c r="H114" s="145">
        <v>0</v>
      </c>
    </row>
    <row r="115" spans="1:8" x14ac:dyDescent="0.2">
      <c r="A115" s="128">
        <v>44675</v>
      </c>
      <c r="B115" s="145">
        <v>22858.3</v>
      </c>
      <c r="C115" s="145">
        <v>22858.3</v>
      </c>
      <c r="D115" s="145">
        <v>0</v>
      </c>
      <c r="E115" s="203">
        <v>87</v>
      </c>
      <c r="F115" s="203">
        <v>107</v>
      </c>
      <c r="G115" s="145">
        <v>212.7</v>
      </c>
      <c r="H115" s="145">
        <v>0</v>
      </c>
    </row>
    <row r="116" spans="1:8" x14ac:dyDescent="0.2">
      <c r="A116" s="128">
        <v>44676</v>
      </c>
      <c r="B116" s="145">
        <v>60267.72</v>
      </c>
      <c r="C116" s="145">
        <v>60245.74</v>
      </c>
      <c r="D116" s="145">
        <v>21.98</v>
      </c>
      <c r="E116" s="203">
        <v>209</v>
      </c>
      <c r="F116" s="203">
        <v>316</v>
      </c>
      <c r="G116" s="145">
        <v>2249.2600000000002</v>
      </c>
      <c r="H116" s="145">
        <v>190</v>
      </c>
    </row>
    <row r="117" spans="1:8" x14ac:dyDescent="0.2">
      <c r="A117" s="128">
        <v>44677</v>
      </c>
      <c r="B117" s="145">
        <v>43606.53</v>
      </c>
      <c r="C117" s="145">
        <v>43606.53</v>
      </c>
      <c r="D117" s="145">
        <v>0</v>
      </c>
      <c r="E117" s="203">
        <v>132</v>
      </c>
      <c r="F117" s="203">
        <v>173</v>
      </c>
      <c r="G117" s="145">
        <v>1773.47</v>
      </c>
      <c r="H117" s="145">
        <v>195</v>
      </c>
    </row>
    <row r="118" spans="1:8" x14ac:dyDescent="0.2">
      <c r="A118" s="128">
        <v>44678</v>
      </c>
      <c r="B118" s="145">
        <v>62249.99</v>
      </c>
      <c r="C118" s="145">
        <v>62249.99</v>
      </c>
      <c r="D118" s="145">
        <v>0</v>
      </c>
      <c r="E118" s="203">
        <v>175</v>
      </c>
      <c r="F118" s="203">
        <v>265</v>
      </c>
      <c r="G118" s="145">
        <v>1129.26</v>
      </c>
      <c r="H118" s="145">
        <v>692</v>
      </c>
    </row>
    <row r="119" spans="1:8" x14ac:dyDescent="0.2">
      <c r="A119" s="128">
        <v>44679</v>
      </c>
      <c r="B119" s="145">
        <v>68461.149999999994</v>
      </c>
      <c r="C119" s="145">
        <v>68393.11</v>
      </c>
      <c r="D119" s="145">
        <v>68.040000000000006</v>
      </c>
      <c r="E119" s="203">
        <v>187</v>
      </c>
      <c r="F119" s="203">
        <v>314</v>
      </c>
      <c r="G119" s="145">
        <v>2341.39</v>
      </c>
      <c r="H119" s="145">
        <v>349.15</v>
      </c>
    </row>
    <row r="120" spans="1:8" x14ac:dyDescent="0.2">
      <c r="A120" s="128">
        <v>44680</v>
      </c>
      <c r="B120" s="145">
        <v>65289.74</v>
      </c>
      <c r="C120" s="145">
        <v>65264.76</v>
      </c>
      <c r="D120" s="145">
        <v>24.98</v>
      </c>
      <c r="E120" s="203">
        <v>203</v>
      </c>
      <c r="F120" s="203">
        <v>294</v>
      </c>
      <c r="G120" s="145">
        <v>598.59</v>
      </c>
      <c r="H120" s="145">
        <v>349.7</v>
      </c>
    </row>
    <row r="121" spans="1:8" x14ac:dyDescent="0.2">
      <c r="A121" s="128">
        <v>44681</v>
      </c>
      <c r="B121" s="145">
        <v>39173.85</v>
      </c>
      <c r="C121" s="145">
        <v>39173.85</v>
      </c>
      <c r="D121" s="145">
        <v>0</v>
      </c>
      <c r="E121" s="203">
        <v>141</v>
      </c>
      <c r="F121" s="203">
        <v>159</v>
      </c>
      <c r="G121" s="145">
        <v>171.7</v>
      </c>
      <c r="H121" s="145">
        <v>0</v>
      </c>
    </row>
    <row r="122" spans="1:8" x14ac:dyDescent="0.2">
      <c r="A122" s="128">
        <v>44682</v>
      </c>
      <c r="B122" s="145">
        <v>42443.15</v>
      </c>
      <c r="C122" s="145">
        <v>42378.51</v>
      </c>
      <c r="D122" s="145">
        <v>64.64</v>
      </c>
      <c r="E122" s="203">
        <v>129</v>
      </c>
      <c r="F122" s="203">
        <v>151</v>
      </c>
      <c r="G122" s="145">
        <v>403.89</v>
      </c>
      <c r="H122" s="145">
        <v>0</v>
      </c>
    </row>
    <row r="123" spans="1:8" x14ac:dyDescent="0.2">
      <c r="A123" s="128">
        <v>44683</v>
      </c>
      <c r="B123" s="145">
        <v>154579.29999999999</v>
      </c>
      <c r="C123" s="145">
        <v>154554.23000000001</v>
      </c>
      <c r="D123" s="145">
        <v>25.07</v>
      </c>
      <c r="E123" s="203">
        <v>408</v>
      </c>
      <c r="F123" s="203">
        <v>625</v>
      </c>
      <c r="G123" s="145">
        <v>1190.6199999999999</v>
      </c>
      <c r="H123" s="145">
        <v>827</v>
      </c>
    </row>
    <row r="124" spans="1:8" x14ac:dyDescent="0.2">
      <c r="A124" s="128">
        <v>44684</v>
      </c>
      <c r="B124" s="145">
        <v>149914.43</v>
      </c>
      <c r="C124" s="145">
        <v>149914.43</v>
      </c>
      <c r="D124" s="145">
        <v>0</v>
      </c>
      <c r="E124" s="203">
        <v>452</v>
      </c>
      <c r="F124" s="203">
        <v>553</v>
      </c>
      <c r="G124" s="145">
        <v>1564.17</v>
      </c>
      <c r="H124" s="145">
        <v>0</v>
      </c>
    </row>
    <row r="125" spans="1:8" x14ac:dyDescent="0.2">
      <c r="A125" s="128">
        <v>44685</v>
      </c>
      <c r="B125" s="145">
        <v>164851.48000000001</v>
      </c>
      <c r="C125" s="145">
        <v>164851.48000000001</v>
      </c>
      <c r="D125" s="145">
        <v>0</v>
      </c>
      <c r="E125" s="203">
        <v>483</v>
      </c>
      <c r="F125" s="203">
        <v>688</v>
      </c>
      <c r="G125" s="145">
        <v>2722.67</v>
      </c>
      <c r="H125" s="145">
        <v>1490</v>
      </c>
    </row>
    <row r="126" spans="1:8" x14ac:dyDescent="0.2">
      <c r="A126" s="128">
        <v>44686</v>
      </c>
      <c r="B126" s="145">
        <v>187138.48</v>
      </c>
      <c r="C126" s="145">
        <v>187103.48</v>
      </c>
      <c r="D126" s="145">
        <v>35</v>
      </c>
      <c r="E126" s="203">
        <v>569</v>
      </c>
      <c r="F126" s="203">
        <v>731</v>
      </c>
      <c r="G126" s="145">
        <v>2454.0500000000002</v>
      </c>
      <c r="H126" s="145">
        <v>541.22</v>
      </c>
    </row>
    <row r="127" spans="1:8" x14ac:dyDescent="0.2">
      <c r="A127" s="128">
        <v>44687</v>
      </c>
      <c r="B127" s="145">
        <v>283599.35999999999</v>
      </c>
      <c r="C127" s="145">
        <v>283599.35999999999</v>
      </c>
      <c r="D127" s="145">
        <v>0</v>
      </c>
      <c r="E127" s="203">
        <v>857</v>
      </c>
      <c r="F127" s="203">
        <v>1034</v>
      </c>
      <c r="G127" s="145">
        <v>1318.84</v>
      </c>
      <c r="H127" s="145">
        <v>1123.3</v>
      </c>
    </row>
    <row r="128" spans="1:8" x14ac:dyDescent="0.2">
      <c r="A128" s="128">
        <v>44688</v>
      </c>
      <c r="B128" s="145">
        <v>328478.06</v>
      </c>
      <c r="C128" s="145">
        <v>328478.06</v>
      </c>
      <c r="D128" s="145">
        <v>0</v>
      </c>
      <c r="E128" s="203">
        <v>1048</v>
      </c>
      <c r="F128" s="203">
        <v>1168</v>
      </c>
      <c r="G128" s="145">
        <v>568.49</v>
      </c>
      <c r="H128" s="145">
        <v>0</v>
      </c>
    </row>
    <row r="129" spans="1:8" x14ac:dyDescent="0.2">
      <c r="A129" s="128">
        <v>44689</v>
      </c>
      <c r="B129" s="145">
        <v>304478.12</v>
      </c>
      <c r="C129" s="145">
        <v>304478.12</v>
      </c>
      <c r="D129" s="145">
        <v>0</v>
      </c>
      <c r="E129" s="203">
        <v>976</v>
      </c>
      <c r="F129" s="203">
        <v>1101</v>
      </c>
      <c r="G129" s="145">
        <v>464.73</v>
      </c>
      <c r="H129" s="145">
        <v>0</v>
      </c>
    </row>
    <row r="130" spans="1:8" x14ac:dyDescent="0.2">
      <c r="A130" s="128">
        <v>44690</v>
      </c>
      <c r="B130" s="145">
        <v>69381.47</v>
      </c>
      <c r="C130" s="145">
        <v>69381.47</v>
      </c>
      <c r="D130" s="145">
        <v>0</v>
      </c>
      <c r="E130" s="203">
        <v>281</v>
      </c>
      <c r="F130" s="203">
        <v>355</v>
      </c>
      <c r="G130" s="145">
        <v>321.63</v>
      </c>
      <c r="H130" s="145">
        <v>3408.35</v>
      </c>
    </row>
    <row r="131" spans="1:8" x14ac:dyDescent="0.2">
      <c r="A131" s="128">
        <v>44691</v>
      </c>
      <c r="B131" s="145">
        <v>53879.05</v>
      </c>
      <c r="C131" s="145">
        <v>53879.05</v>
      </c>
      <c r="D131" s="145">
        <v>0</v>
      </c>
      <c r="E131" s="203">
        <v>185</v>
      </c>
      <c r="F131" s="203">
        <v>246</v>
      </c>
      <c r="G131" s="145">
        <v>301.58</v>
      </c>
      <c r="H131" s="145">
        <v>1445.42</v>
      </c>
    </row>
    <row r="132" spans="1:8" x14ac:dyDescent="0.2">
      <c r="A132" s="128">
        <v>44692</v>
      </c>
      <c r="B132" s="145">
        <v>56363.07</v>
      </c>
      <c r="C132" s="145">
        <v>56363.07</v>
      </c>
      <c r="D132" s="145">
        <v>0</v>
      </c>
      <c r="E132" s="203">
        <v>184</v>
      </c>
      <c r="F132" s="203">
        <v>280</v>
      </c>
      <c r="G132" s="145">
        <v>1117.78</v>
      </c>
      <c r="H132" s="145">
        <v>837.4</v>
      </c>
    </row>
    <row r="133" spans="1:8" x14ac:dyDescent="0.2">
      <c r="A133" s="128">
        <v>44693</v>
      </c>
      <c r="B133" s="145">
        <v>51690.61</v>
      </c>
      <c r="C133" s="145">
        <v>51690.61</v>
      </c>
      <c r="D133" s="145">
        <v>0</v>
      </c>
      <c r="E133" s="203">
        <v>193</v>
      </c>
      <c r="F133" s="203">
        <v>246</v>
      </c>
      <c r="G133" s="145">
        <v>347.34</v>
      </c>
      <c r="H133" s="145">
        <v>1178.2</v>
      </c>
    </row>
    <row r="134" spans="1:8" x14ac:dyDescent="0.2">
      <c r="A134" s="128">
        <v>44694</v>
      </c>
      <c r="B134" s="145">
        <v>41311.440000000002</v>
      </c>
      <c r="C134" s="145">
        <v>41311.440000000002</v>
      </c>
      <c r="D134" s="145">
        <v>0</v>
      </c>
      <c r="E134" s="203">
        <v>164</v>
      </c>
      <c r="F134" s="203">
        <v>196</v>
      </c>
      <c r="G134" s="145">
        <v>225.01</v>
      </c>
      <c r="H134" s="145">
        <v>604.5</v>
      </c>
    </row>
    <row r="135" spans="1:8" x14ac:dyDescent="0.2">
      <c r="A135" s="128">
        <v>44695</v>
      </c>
      <c r="B135" s="145">
        <v>33446.58</v>
      </c>
      <c r="C135" s="145">
        <v>33446.58</v>
      </c>
      <c r="D135" s="145">
        <v>0</v>
      </c>
      <c r="E135" s="203">
        <v>137</v>
      </c>
      <c r="F135" s="203">
        <v>180</v>
      </c>
      <c r="G135" s="145">
        <v>324.92</v>
      </c>
      <c r="H135" s="145">
        <v>381.65</v>
      </c>
    </row>
    <row r="136" spans="1:8" x14ac:dyDescent="0.2">
      <c r="A136" s="128">
        <v>44696</v>
      </c>
      <c r="B136" s="145">
        <v>36932.65</v>
      </c>
      <c r="C136" s="145">
        <v>36932.65</v>
      </c>
      <c r="D136" s="145">
        <v>0</v>
      </c>
      <c r="E136" s="203">
        <v>186</v>
      </c>
      <c r="F136" s="203">
        <v>252</v>
      </c>
      <c r="G136" s="145">
        <v>49.8</v>
      </c>
      <c r="H136" s="145">
        <v>0</v>
      </c>
    </row>
    <row r="137" spans="1:8" x14ac:dyDescent="0.2">
      <c r="A137" s="128">
        <v>44697</v>
      </c>
      <c r="B137" s="145">
        <v>46064.13</v>
      </c>
      <c r="C137" s="145">
        <v>46064.13</v>
      </c>
      <c r="D137" s="145">
        <v>0</v>
      </c>
      <c r="E137" s="203">
        <v>169</v>
      </c>
      <c r="F137" s="203">
        <v>190</v>
      </c>
      <c r="G137" s="145">
        <v>192.82</v>
      </c>
      <c r="H137" s="145">
        <v>1221.8</v>
      </c>
    </row>
    <row r="138" spans="1:8" x14ac:dyDescent="0.2">
      <c r="A138" s="128">
        <v>44698</v>
      </c>
      <c r="B138" s="145">
        <v>30920.560000000001</v>
      </c>
      <c r="C138" s="145">
        <v>30920.560000000001</v>
      </c>
      <c r="D138" s="145">
        <v>0</v>
      </c>
      <c r="E138" s="203">
        <v>124</v>
      </c>
      <c r="F138" s="203">
        <v>139</v>
      </c>
      <c r="G138" s="145">
        <v>543.39</v>
      </c>
      <c r="H138" s="145">
        <v>1055.0999999999999</v>
      </c>
    </row>
    <row r="139" spans="1:8" x14ac:dyDescent="0.2">
      <c r="A139" s="128">
        <v>44699</v>
      </c>
      <c r="B139" s="145">
        <v>33362.79</v>
      </c>
      <c r="C139" s="145">
        <v>33336.800000000003</v>
      </c>
      <c r="D139" s="145">
        <v>25.99</v>
      </c>
      <c r="E139" s="203">
        <v>142</v>
      </c>
      <c r="F139" s="203">
        <v>169</v>
      </c>
      <c r="G139" s="145">
        <v>217.6</v>
      </c>
      <c r="H139" s="145">
        <v>1730.1</v>
      </c>
    </row>
    <row r="140" spans="1:8" x14ac:dyDescent="0.2">
      <c r="A140" s="128">
        <v>44700</v>
      </c>
      <c r="B140" s="145">
        <v>39236.49</v>
      </c>
      <c r="C140" s="145">
        <v>39236.49</v>
      </c>
      <c r="D140" s="145">
        <v>0</v>
      </c>
      <c r="E140" s="203">
        <v>144</v>
      </c>
      <c r="F140" s="203">
        <v>172</v>
      </c>
      <c r="G140" s="145">
        <v>412.41</v>
      </c>
      <c r="H140" s="145">
        <v>190</v>
      </c>
    </row>
    <row r="141" spans="1:8" x14ac:dyDescent="0.2">
      <c r="A141" s="128">
        <v>44701</v>
      </c>
      <c r="B141" s="145">
        <v>37411.68</v>
      </c>
      <c r="C141" s="145">
        <v>37411.68</v>
      </c>
      <c r="D141" s="145">
        <v>0</v>
      </c>
      <c r="E141" s="203">
        <v>138</v>
      </c>
      <c r="F141" s="203">
        <v>162</v>
      </c>
      <c r="G141" s="145">
        <v>630.02</v>
      </c>
      <c r="H141" s="145">
        <v>809.1</v>
      </c>
    </row>
    <row r="142" spans="1:8" x14ac:dyDescent="0.2">
      <c r="A142" s="128">
        <v>44702</v>
      </c>
      <c r="B142" s="145">
        <v>20893.580000000002</v>
      </c>
      <c r="C142" s="145">
        <v>20893.580000000002</v>
      </c>
      <c r="D142" s="145">
        <v>0</v>
      </c>
      <c r="E142" s="203">
        <v>84</v>
      </c>
      <c r="F142" s="203">
        <v>96</v>
      </c>
      <c r="G142" s="145">
        <v>115.07</v>
      </c>
      <c r="H142" s="145">
        <v>0</v>
      </c>
    </row>
    <row r="143" spans="1:8" x14ac:dyDescent="0.2">
      <c r="A143" s="128">
        <v>44703</v>
      </c>
      <c r="B143" s="145">
        <v>17382.490000000002</v>
      </c>
      <c r="C143" s="145">
        <v>17382.490000000002</v>
      </c>
      <c r="D143" s="145">
        <v>0</v>
      </c>
      <c r="E143" s="203">
        <v>66</v>
      </c>
      <c r="F143" s="203">
        <v>78</v>
      </c>
      <c r="G143" s="145">
        <v>116.11</v>
      </c>
      <c r="H143" s="145">
        <v>0</v>
      </c>
    </row>
    <row r="144" spans="1:8" x14ac:dyDescent="0.2">
      <c r="A144" s="128">
        <v>44704</v>
      </c>
      <c r="B144" s="145">
        <v>51145</v>
      </c>
      <c r="C144" s="145">
        <v>51145</v>
      </c>
      <c r="D144" s="145">
        <v>0</v>
      </c>
      <c r="E144" s="203">
        <v>177</v>
      </c>
      <c r="F144" s="203">
        <v>247</v>
      </c>
      <c r="G144" s="145">
        <v>1969.75</v>
      </c>
      <c r="H144" s="145">
        <v>442.8</v>
      </c>
    </row>
    <row r="145" spans="1:8" x14ac:dyDescent="0.2">
      <c r="A145" s="128">
        <v>44705</v>
      </c>
      <c r="B145" s="145">
        <v>33726.129999999997</v>
      </c>
      <c r="C145" s="145">
        <v>33726.129999999997</v>
      </c>
      <c r="D145" s="145">
        <v>0</v>
      </c>
      <c r="E145" s="203">
        <v>118</v>
      </c>
      <c r="F145" s="203">
        <v>135</v>
      </c>
      <c r="G145" s="145">
        <v>167.52</v>
      </c>
      <c r="H145" s="145">
        <v>446.25</v>
      </c>
    </row>
    <row r="146" spans="1:8" x14ac:dyDescent="0.2">
      <c r="A146" s="128">
        <v>44706</v>
      </c>
      <c r="B146" s="145">
        <v>38414.57</v>
      </c>
      <c r="C146" s="145">
        <v>38389.64</v>
      </c>
      <c r="D146" s="145">
        <v>24.93</v>
      </c>
      <c r="E146" s="203">
        <v>141</v>
      </c>
      <c r="F146" s="203">
        <v>158</v>
      </c>
      <c r="G146" s="145">
        <v>172.76</v>
      </c>
      <c r="H146" s="145">
        <v>315.35000000000002</v>
      </c>
    </row>
    <row r="147" spans="1:8" x14ac:dyDescent="0.2">
      <c r="A147" s="128">
        <v>44707</v>
      </c>
      <c r="B147" s="145">
        <v>37953.9</v>
      </c>
      <c r="C147" s="145">
        <v>37953.9</v>
      </c>
      <c r="D147" s="145">
        <v>0</v>
      </c>
      <c r="E147" s="203">
        <v>135</v>
      </c>
      <c r="F147" s="203">
        <v>149</v>
      </c>
      <c r="G147" s="145">
        <v>158.35</v>
      </c>
      <c r="H147" s="145">
        <v>315.35000000000002</v>
      </c>
    </row>
    <row r="148" spans="1:8" x14ac:dyDescent="0.2">
      <c r="A148" s="128">
        <v>44708</v>
      </c>
      <c r="B148" s="145">
        <v>39442.199999999997</v>
      </c>
      <c r="C148" s="145">
        <v>39442.199999999997</v>
      </c>
      <c r="D148" s="145">
        <v>0</v>
      </c>
      <c r="E148" s="203">
        <v>145</v>
      </c>
      <c r="F148" s="203">
        <v>170</v>
      </c>
      <c r="G148" s="145">
        <v>181.05</v>
      </c>
      <c r="H148" s="145">
        <v>953</v>
      </c>
    </row>
    <row r="149" spans="1:8" x14ac:dyDescent="0.2">
      <c r="A149" s="128">
        <v>44709</v>
      </c>
      <c r="B149" s="145">
        <v>25814.95</v>
      </c>
      <c r="C149" s="145">
        <v>25814.95</v>
      </c>
      <c r="D149" s="145">
        <v>0</v>
      </c>
      <c r="E149" s="203">
        <v>90</v>
      </c>
      <c r="F149" s="203">
        <v>99</v>
      </c>
      <c r="G149" s="145">
        <v>172.8</v>
      </c>
      <c r="H149" s="145">
        <v>0</v>
      </c>
    </row>
    <row r="150" spans="1:8" x14ac:dyDescent="0.2">
      <c r="A150" s="128">
        <v>44710</v>
      </c>
      <c r="B150" s="145">
        <v>15903.98</v>
      </c>
      <c r="C150" s="145">
        <v>15903.98</v>
      </c>
      <c r="D150" s="145">
        <v>0</v>
      </c>
      <c r="E150" s="203">
        <v>67</v>
      </c>
      <c r="F150" s="203">
        <v>74</v>
      </c>
      <c r="G150" s="145">
        <v>282.02</v>
      </c>
      <c r="H150" s="145">
        <v>0</v>
      </c>
    </row>
    <row r="151" spans="1:8" x14ac:dyDescent="0.2">
      <c r="A151" s="128">
        <v>44711</v>
      </c>
      <c r="B151" s="145">
        <v>37897.050000000003</v>
      </c>
      <c r="C151" s="145">
        <v>37897.050000000003</v>
      </c>
      <c r="D151" s="145">
        <v>0</v>
      </c>
      <c r="E151" s="203">
        <v>138</v>
      </c>
      <c r="F151" s="203">
        <v>149</v>
      </c>
      <c r="G151" s="145">
        <v>81.7</v>
      </c>
      <c r="H151" s="145">
        <v>501</v>
      </c>
    </row>
    <row r="152" spans="1:8" x14ac:dyDescent="0.2">
      <c r="A152" s="128">
        <v>44712</v>
      </c>
      <c r="B152" s="145">
        <v>40676.800000000003</v>
      </c>
      <c r="C152" s="145">
        <v>40676.800000000003</v>
      </c>
      <c r="D152" s="145">
        <v>0</v>
      </c>
      <c r="E152" s="203">
        <v>141</v>
      </c>
      <c r="F152" s="203">
        <v>156</v>
      </c>
      <c r="G152" s="145">
        <v>43.85</v>
      </c>
      <c r="H152" s="145">
        <v>0</v>
      </c>
    </row>
    <row r="153" spans="1:8" x14ac:dyDescent="0.2">
      <c r="A153" s="128">
        <v>44713</v>
      </c>
      <c r="B153" s="145">
        <v>49373.24</v>
      </c>
      <c r="C153" s="145">
        <v>49373.24</v>
      </c>
      <c r="D153" s="145">
        <v>0</v>
      </c>
      <c r="E153" s="203">
        <v>152</v>
      </c>
      <c r="F153" s="203">
        <v>169</v>
      </c>
      <c r="G153" s="145">
        <v>170.66</v>
      </c>
      <c r="H153" s="145">
        <v>177.6</v>
      </c>
    </row>
    <row r="154" spans="1:8" x14ac:dyDescent="0.2">
      <c r="A154" s="128">
        <v>44714</v>
      </c>
      <c r="B154" s="145">
        <v>51427.8</v>
      </c>
      <c r="C154" s="145">
        <v>51405.49</v>
      </c>
      <c r="D154" s="145">
        <v>22.31</v>
      </c>
      <c r="E154" s="203">
        <v>164</v>
      </c>
      <c r="F154" s="203">
        <v>186</v>
      </c>
      <c r="G154" s="145">
        <v>77.709999999999994</v>
      </c>
      <c r="H154" s="145">
        <v>111</v>
      </c>
    </row>
    <row r="155" spans="1:8" x14ac:dyDescent="0.2">
      <c r="A155" s="128">
        <v>44715</v>
      </c>
      <c r="B155" s="145">
        <v>50800.02</v>
      </c>
      <c r="C155" s="145">
        <v>50733.2</v>
      </c>
      <c r="D155" s="145">
        <v>66.819999999999993</v>
      </c>
      <c r="E155" s="203">
        <v>167</v>
      </c>
      <c r="F155" s="203">
        <v>201</v>
      </c>
      <c r="G155" s="145">
        <v>395.9</v>
      </c>
      <c r="H155" s="145">
        <v>188</v>
      </c>
    </row>
    <row r="156" spans="1:8" x14ac:dyDescent="0.2">
      <c r="A156" s="128">
        <v>44716</v>
      </c>
      <c r="B156" s="145">
        <v>33834</v>
      </c>
      <c r="C156" s="145">
        <v>33834</v>
      </c>
      <c r="D156" s="145">
        <v>0</v>
      </c>
      <c r="E156" s="203">
        <v>113</v>
      </c>
      <c r="F156" s="203">
        <v>118</v>
      </c>
      <c r="G156" s="145">
        <v>26.85</v>
      </c>
      <c r="H156" s="145">
        <v>0</v>
      </c>
    </row>
    <row r="157" spans="1:8" x14ac:dyDescent="0.2">
      <c r="A157" s="128">
        <v>44717</v>
      </c>
      <c r="B157" s="145">
        <v>25679.15</v>
      </c>
      <c r="C157" s="145">
        <v>25679.15</v>
      </c>
      <c r="D157" s="145">
        <v>0</v>
      </c>
      <c r="E157" s="203">
        <v>89</v>
      </c>
      <c r="F157" s="203">
        <v>92</v>
      </c>
      <c r="G157" s="145">
        <v>85.3</v>
      </c>
      <c r="H157" s="145">
        <v>0</v>
      </c>
    </row>
    <row r="158" spans="1:8" x14ac:dyDescent="0.2">
      <c r="A158" s="128">
        <v>44718</v>
      </c>
      <c r="B158" s="145">
        <v>69575.03</v>
      </c>
      <c r="C158" s="145">
        <v>69575.03</v>
      </c>
      <c r="D158" s="145">
        <v>0</v>
      </c>
      <c r="E158" s="203">
        <v>227</v>
      </c>
      <c r="F158" s="203">
        <v>259</v>
      </c>
      <c r="G158" s="145">
        <v>368.37</v>
      </c>
      <c r="H158" s="145">
        <v>535.29999999999995</v>
      </c>
    </row>
    <row r="159" spans="1:8" x14ac:dyDescent="0.2">
      <c r="A159" s="128">
        <v>44719</v>
      </c>
      <c r="B159" s="145">
        <v>75026.94</v>
      </c>
      <c r="C159" s="145">
        <v>75026.94</v>
      </c>
      <c r="D159" s="145">
        <v>0</v>
      </c>
      <c r="E159" s="203">
        <v>214</v>
      </c>
      <c r="F159" s="203">
        <v>298</v>
      </c>
      <c r="G159" s="145">
        <v>2918.31</v>
      </c>
      <c r="H159" s="145">
        <v>0</v>
      </c>
    </row>
    <row r="160" spans="1:8" x14ac:dyDescent="0.2">
      <c r="A160" s="128">
        <v>44720</v>
      </c>
      <c r="B160" s="145">
        <v>86884.65</v>
      </c>
      <c r="C160" s="145">
        <v>86884.65</v>
      </c>
      <c r="D160" s="145">
        <v>0</v>
      </c>
      <c r="E160" s="203">
        <v>262</v>
      </c>
      <c r="F160" s="203">
        <v>304</v>
      </c>
      <c r="G160" s="145">
        <v>590</v>
      </c>
      <c r="H160" s="145">
        <v>693.25</v>
      </c>
    </row>
    <row r="161" spans="1:8" x14ac:dyDescent="0.2">
      <c r="A161" s="128">
        <v>44721</v>
      </c>
      <c r="B161" s="145">
        <v>98967.56</v>
      </c>
      <c r="C161" s="145">
        <v>98945.33</v>
      </c>
      <c r="D161" s="145">
        <v>22.23</v>
      </c>
      <c r="E161" s="203">
        <v>305</v>
      </c>
      <c r="F161" s="203">
        <v>337</v>
      </c>
      <c r="G161" s="145">
        <v>2745.57</v>
      </c>
      <c r="H161" s="145">
        <v>948.3</v>
      </c>
    </row>
    <row r="162" spans="1:8" x14ac:dyDescent="0.2">
      <c r="A162" s="128">
        <v>44722</v>
      </c>
      <c r="B162" s="145">
        <v>131263.9</v>
      </c>
      <c r="C162" s="145">
        <v>131263.9</v>
      </c>
      <c r="D162" s="145">
        <v>0</v>
      </c>
      <c r="E162" s="203">
        <v>402</v>
      </c>
      <c r="F162" s="203">
        <v>441</v>
      </c>
      <c r="G162" s="145">
        <v>517.95000000000005</v>
      </c>
      <c r="H162" s="145">
        <v>1331.55</v>
      </c>
    </row>
    <row r="163" spans="1:8" x14ac:dyDescent="0.2">
      <c r="A163" s="128">
        <v>44723</v>
      </c>
      <c r="B163" s="145">
        <v>107821.73</v>
      </c>
      <c r="C163" s="145">
        <v>107821.73</v>
      </c>
      <c r="D163" s="145">
        <v>0</v>
      </c>
      <c r="E163" s="203">
        <v>326</v>
      </c>
      <c r="F163" s="203">
        <v>359</v>
      </c>
      <c r="G163" s="145">
        <v>251.52</v>
      </c>
      <c r="H163" s="145">
        <v>0</v>
      </c>
    </row>
    <row r="164" spans="1:8" x14ac:dyDescent="0.2">
      <c r="A164" s="128">
        <v>44724</v>
      </c>
      <c r="B164" s="145">
        <v>74115.429999999993</v>
      </c>
      <c r="C164" s="145">
        <v>74115.429999999993</v>
      </c>
      <c r="D164" s="145">
        <v>0</v>
      </c>
      <c r="E164" s="203">
        <v>229</v>
      </c>
      <c r="F164" s="203">
        <v>254</v>
      </c>
      <c r="G164" s="145">
        <v>219.62</v>
      </c>
      <c r="H164" s="145">
        <v>0</v>
      </c>
    </row>
    <row r="165" spans="1:8" x14ac:dyDescent="0.2">
      <c r="A165" s="128">
        <v>44725</v>
      </c>
      <c r="B165" s="145">
        <v>56578.89</v>
      </c>
      <c r="C165" s="145">
        <v>56557</v>
      </c>
      <c r="D165" s="145">
        <v>21.89</v>
      </c>
      <c r="E165" s="203">
        <v>185</v>
      </c>
      <c r="F165" s="203">
        <v>240</v>
      </c>
      <c r="G165" s="145">
        <v>477.96</v>
      </c>
      <c r="H165" s="145">
        <v>7526.09</v>
      </c>
    </row>
    <row r="166" spans="1:8" x14ac:dyDescent="0.2">
      <c r="A166" s="128">
        <v>44726</v>
      </c>
      <c r="B166" s="145">
        <v>34765.64</v>
      </c>
      <c r="C166" s="145">
        <v>34765.64</v>
      </c>
      <c r="D166" s="145">
        <v>0</v>
      </c>
      <c r="E166" s="203">
        <v>132</v>
      </c>
      <c r="F166" s="203">
        <v>154</v>
      </c>
      <c r="G166" s="145">
        <v>226.41</v>
      </c>
      <c r="H166" s="145">
        <v>1950.25</v>
      </c>
    </row>
    <row r="167" spans="1:8" x14ac:dyDescent="0.2">
      <c r="A167" s="128">
        <v>44727</v>
      </c>
      <c r="B167" s="145">
        <v>41865.39</v>
      </c>
      <c r="C167" s="145">
        <v>41865.39</v>
      </c>
      <c r="D167" s="145">
        <v>0</v>
      </c>
      <c r="E167" s="203">
        <v>149</v>
      </c>
      <c r="F167" s="203">
        <v>165</v>
      </c>
      <c r="G167" s="145">
        <v>228.11</v>
      </c>
      <c r="H167" s="145">
        <v>501</v>
      </c>
    </row>
    <row r="168" spans="1:8" x14ac:dyDescent="0.2">
      <c r="A168" s="128">
        <v>44728</v>
      </c>
      <c r="B168" s="145">
        <v>25783</v>
      </c>
      <c r="C168" s="145">
        <v>25783</v>
      </c>
      <c r="D168" s="145">
        <v>0</v>
      </c>
      <c r="E168" s="203">
        <v>87</v>
      </c>
      <c r="F168" s="203">
        <v>96</v>
      </c>
      <c r="G168" s="145">
        <v>51.5</v>
      </c>
      <c r="H168" s="145">
        <v>815.8</v>
      </c>
    </row>
    <row r="169" spans="1:8" x14ac:dyDescent="0.2">
      <c r="A169" s="128">
        <v>44729</v>
      </c>
      <c r="B169" s="145">
        <v>28389.99</v>
      </c>
      <c r="C169" s="145">
        <v>28389.99</v>
      </c>
      <c r="D169" s="145">
        <v>0</v>
      </c>
      <c r="E169" s="203">
        <v>98</v>
      </c>
      <c r="F169" s="203">
        <v>118</v>
      </c>
      <c r="G169" s="145">
        <v>201.86</v>
      </c>
      <c r="H169" s="145">
        <v>1636.55</v>
      </c>
    </row>
    <row r="170" spans="1:8" x14ac:dyDescent="0.2">
      <c r="A170" s="128">
        <v>44730</v>
      </c>
      <c r="B170" s="145">
        <v>18816.2</v>
      </c>
      <c r="C170" s="145">
        <v>18816.2</v>
      </c>
      <c r="D170" s="145">
        <v>0</v>
      </c>
      <c r="E170" s="203">
        <v>68</v>
      </c>
      <c r="F170" s="203">
        <v>78</v>
      </c>
      <c r="G170" s="145">
        <v>218.25</v>
      </c>
      <c r="H170" s="145">
        <v>0</v>
      </c>
    </row>
    <row r="171" spans="1:8" x14ac:dyDescent="0.2">
      <c r="A171" s="128">
        <v>44731</v>
      </c>
      <c r="B171" s="145">
        <v>14449.23</v>
      </c>
      <c r="C171" s="145">
        <v>14410.2</v>
      </c>
      <c r="D171" s="145">
        <v>39.03</v>
      </c>
      <c r="E171" s="203">
        <v>55</v>
      </c>
      <c r="F171" s="203">
        <v>59</v>
      </c>
      <c r="G171" s="145">
        <v>18.8</v>
      </c>
      <c r="H171" s="145">
        <v>0</v>
      </c>
    </row>
    <row r="172" spans="1:8" x14ac:dyDescent="0.2">
      <c r="A172" s="128">
        <v>44732</v>
      </c>
      <c r="B172" s="145">
        <v>44265.18</v>
      </c>
      <c r="C172" s="145">
        <v>44265.18</v>
      </c>
      <c r="D172" s="145">
        <v>0</v>
      </c>
      <c r="E172" s="203">
        <v>163</v>
      </c>
      <c r="F172" s="203">
        <v>187</v>
      </c>
      <c r="G172" s="145">
        <v>172.77</v>
      </c>
      <c r="H172" s="145">
        <v>442.8</v>
      </c>
    </row>
    <row r="173" spans="1:8" x14ac:dyDescent="0.2">
      <c r="A173" s="128">
        <v>44733</v>
      </c>
      <c r="B173" s="145">
        <v>35675.360000000001</v>
      </c>
      <c r="C173" s="145">
        <v>35675.360000000001</v>
      </c>
      <c r="D173" s="145">
        <v>0</v>
      </c>
      <c r="E173" s="203">
        <v>140</v>
      </c>
      <c r="F173" s="203">
        <v>160</v>
      </c>
      <c r="G173" s="145">
        <v>138.34</v>
      </c>
      <c r="H173" s="145">
        <v>1145.8</v>
      </c>
    </row>
    <row r="174" spans="1:8" x14ac:dyDescent="0.2">
      <c r="A174" s="128">
        <v>44734</v>
      </c>
      <c r="B174" s="145">
        <v>42666.17</v>
      </c>
      <c r="C174" s="145">
        <v>42666.17</v>
      </c>
      <c r="D174" s="145">
        <v>0</v>
      </c>
      <c r="E174" s="203">
        <v>142</v>
      </c>
      <c r="F174" s="203">
        <v>183</v>
      </c>
      <c r="G174" s="145">
        <v>458.63</v>
      </c>
      <c r="H174" s="145">
        <v>254.15</v>
      </c>
    </row>
    <row r="175" spans="1:8" x14ac:dyDescent="0.2">
      <c r="A175" s="128">
        <v>44735</v>
      </c>
      <c r="B175" s="145">
        <v>44840.61</v>
      </c>
      <c r="C175" s="145">
        <v>44815.68</v>
      </c>
      <c r="D175" s="145">
        <v>24.93</v>
      </c>
      <c r="E175" s="203">
        <v>163</v>
      </c>
      <c r="F175" s="203">
        <v>187</v>
      </c>
      <c r="G175" s="145">
        <v>245.02</v>
      </c>
      <c r="H175" s="145">
        <v>0</v>
      </c>
    </row>
    <row r="176" spans="1:8" x14ac:dyDescent="0.2">
      <c r="A176" s="128">
        <v>44736</v>
      </c>
      <c r="B176" s="145">
        <v>30881</v>
      </c>
      <c r="C176" s="145">
        <v>30881</v>
      </c>
      <c r="D176" s="145">
        <v>0</v>
      </c>
      <c r="E176" s="203">
        <v>122</v>
      </c>
      <c r="F176" s="203">
        <v>148</v>
      </c>
      <c r="G176" s="145">
        <v>159.5</v>
      </c>
      <c r="H176" s="145">
        <v>944.95</v>
      </c>
    </row>
    <row r="177" spans="1:8" x14ac:dyDescent="0.2">
      <c r="A177" s="128">
        <v>44737</v>
      </c>
      <c r="B177" s="145">
        <v>32339.3</v>
      </c>
      <c r="C177" s="145">
        <v>32339.3</v>
      </c>
      <c r="D177" s="145">
        <v>0</v>
      </c>
      <c r="E177" s="203">
        <v>116</v>
      </c>
      <c r="F177" s="203">
        <v>144</v>
      </c>
      <c r="G177" s="145">
        <v>53.45</v>
      </c>
      <c r="H177" s="145">
        <v>0</v>
      </c>
    </row>
    <row r="178" spans="1:8" x14ac:dyDescent="0.2">
      <c r="A178" s="128">
        <v>44738</v>
      </c>
      <c r="B178" s="145">
        <v>22976.75</v>
      </c>
      <c r="C178" s="145">
        <v>22976.75</v>
      </c>
      <c r="D178" s="145">
        <v>0</v>
      </c>
      <c r="E178" s="203">
        <v>82</v>
      </c>
      <c r="F178" s="203">
        <v>123</v>
      </c>
      <c r="G178" s="145">
        <v>63.5</v>
      </c>
      <c r="H178" s="145">
        <v>0</v>
      </c>
    </row>
    <row r="179" spans="1:8" x14ac:dyDescent="0.2">
      <c r="A179" s="128">
        <v>44739</v>
      </c>
      <c r="B179" s="145">
        <v>42091.839999999997</v>
      </c>
      <c r="C179" s="145">
        <v>42069.95</v>
      </c>
      <c r="D179" s="145">
        <v>21.89</v>
      </c>
      <c r="E179" s="203">
        <v>156</v>
      </c>
      <c r="F179" s="203">
        <v>200</v>
      </c>
      <c r="G179" s="145">
        <v>4251.3999999999996</v>
      </c>
      <c r="H179" s="145">
        <v>737.3</v>
      </c>
    </row>
    <row r="180" spans="1:8" x14ac:dyDescent="0.2">
      <c r="A180" s="128">
        <v>44740</v>
      </c>
      <c r="B180" s="145">
        <v>35210.839999999997</v>
      </c>
      <c r="C180" s="145">
        <v>35154.35</v>
      </c>
      <c r="D180" s="145">
        <v>56.49</v>
      </c>
      <c r="E180" s="203">
        <v>117</v>
      </c>
      <c r="F180" s="203">
        <v>179</v>
      </c>
      <c r="G180" s="145">
        <v>7726.3</v>
      </c>
      <c r="H180" s="145">
        <v>0</v>
      </c>
    </row>
    <row r="181" spans="1:8" x14ac:dyDescent="0.2">
      <c r="A181" s="128">
        <v>44741</v>
      </c>
      <c r="B181" s="145">
        <v>55177.34</v>
      </c>
      <c r="C181" s="145">
        <v>55177.34</v>
      </c>
      <c r="D181" s="145">
        <v>0</v>
      </c>
      <c r="E181" s="203">
        <v>155</v>
      </c>
      <c r="F181" s="203">
        <v>198</v>
      </c>
      <c r="G181" s="145">
        <v>187.66</v>
      </c>
      <c r="H181" s="145">
        <v>254.15</v>
      </c>
    </row>
    <row r="182" spans="1:8" x14ac:dyDescent="0.2">
      <c r="A182" s="128">
        <v>44742</v>
      </c>
      <c r="B182" s="145">
        <v>43925.25</v>
      </c>
      <c r="C182" s="145">
        <v>43925.25</v>
      </c>
      <c r="D182" s="145">
        <v>0</v>
      </c>
      <c r="E182" s="203">
        <v>160</v>
      </c>
      <c r="F182" s="203">
        <v>177</v>
      </c>
      <c r="G182" s="145">
        <v>36.700000000000003</v>
      </c>
      <c r="H182" s="145">
        <v>1016.6</v>
      </c>
    </row>
    <row r="183" spans="1:8" x14ac:dyDescent="0.2">
      <c r="A183" s="128">
        <v>44743</v>
      </c>
      <c r="B183" s="145">
        <v>39442.19</v>
      </c>
      <c r="C183" s="145">
        <v>39442.19</v>
      </c>
      <c r="D183" s="145">
        <v>0</v>
      </c>
      <c r="E183" s="203">
        <v>134</v>
      </c>
      <c r="F183" s="203">
        <v>179</v>
      </c>
      <c r="G183" s="145">
        <v>826.16</v>
      </c>
      <c r="H183" s="145">
        <v>2218.9499999999998</v>
      </c>
    </row>
    <row r="184" spans="1:8" x14ac:dyDescent="0.2">
      <c r="A184" s="128">
        <v>44744</v>
      </c>
      <c r="B184" s="145">
        <v>26341.55</v>
      </c>
      <c r="C184" s="145">
        <v>26341.55</v>
      </c>
      <c r="D184" s="145">
        <v>0</v>
      </c>
      <c r="E184" s="203">
        <v>90</v>
      </c>
      <c r="F184" s="203">
        <v>115</v>
      </c>
      <c r="G184" s="145">
        <v>437.45</v>
      </c>
      <c r="H184" s="145">
        <v>0</v>
      </c>
    </row>
    <row r="185" spans="1:8" x14ac:dyDescent="0.2">
      <c r="A185" s="128">
        <v>44745</v>
      </c>
      <c r="B185" s="145">
        <v>15608.35</v>
      </c>
      <c r="C185" s="145">
        <v>15608.35</v>
      </c>
      <c r="D185" s="145">
        <v>0</v>
      </c>
      <c r="E185" s="203">
        <v>59</v>
      </c>
      <c r="F185" s="203">
        <v>74</v>
      </c>
      <c r="G185" s="145">
        <v>188.05</v>
      </c>
      <c r="H185" s="145">
        <v>149.6</v>
      </c>
    </row>
    <row r="186" spans="1:8" x14ac:dyDescent="0.2">
      <c r="A186" s="128">
        <v>44746</v>
      </c>
      <c r="B186" s="145">
        <v>29378.33</v>
      </c>
      <c r="C186" s="145">
        <v>29378.33</v>
      </c>
      <c r="D186" s="145">
        <v>0</v>
      </c>
      <c r="E186" s="203">
        <v>103</v>
      </c>
      <c r="F186" s="203">
        <v>132</v>
      </c>
      <c r="G186" s="145">
        <v>633.52</v>
      </c>
      <c r="H186" s="145">
        <v>720.15</v>
      </c>
    </row>
    <row r="187" spans="1:8" x14ac:dyDescent="0.2">
      <c r="A187" s="128">
        <v>44747</v>
      </c>
      <c r="B187" s="145">
        <v>36634.06</v>
      </c>
      <c r="C187" s="145">
        <v>36634.06</v>
      </c>
      <c r="D187" s="145">
        <v>0</v>
      </c>
      <c r="E187" s="203">
        <v>128</v>
      </c>
      <c r="F187" s="203">
        <v>152</v>
      </c>
      <c r="G187" s="145">
        <v>1043.94</v>
      </c>
      <c r="H187" s="145">
        <v>0</v>
      </c>
    </row>
    <row r="188" spans="1:8" x14ac:dyDescent="0.2">
      <c r="A188" s="128">
        <v>44748</v>
      </c>
      <c r="B188" s="145">
        <v>42395.32</v>
      </c>
      <c r="C188" s="145">
        <v>42395.32</v>
      </c>
      <c r="D188" s="145">
        <v>0</v>
      </c>
      <c r="E188" s="203">
        <v>142</v>
      </c>
      <c r="F188" s="203">
        <v>182</v>
      </c>
      <c r="G188" s="145">
        <v>700.68</v>
      </c>
      <c r="H188" s="145">
        <v>598</v>
      </c>
    </row>
    <row r="189" spans="1:8" x14ac:dyDescent="0.2">
      <c r="A189" s="128">
        <v>44749</v>
      </c>
      <c r="B189" s="145">
        <v>37480.370000000003</v>
      </c>
      <c r="C189" s="145">
        <v>37455.300000000003</v>
      </c>
      <c r="D189" s="145">
        <v>50.14</v>
      </c>
      <c r="E189" s="203">
        <v>127</v>
      </c>
      <c r="F189" s="203">
        <v>156</v>
      </c>
      <c r="G189" s="145">
        <v>578.85</v>
      </c>
      <c r="H189" s="145">
        <v>1029.92</v>
      </c>
    </row>
    <row r="190" spans="1:8" x14ac:dyDescent="0.2">
      <c r="A190" s="128">
        <v>44750</v>
      </c>
      <c r="B190" s="145">
        <v>50251.18</v>
      </c>
      <c r="C190" s="145">
        <v>50186.29</v>
      </c>
      <c r="D190" s="145">
        <v>64.89</v>
      </c>
      <c r="E190" s="203">
        <v>169</v>
      </c>
      <c r="F190" s="203">
        <v>196</v>
      </c>
      <c r="G190" s="145">
        <v>431.31</v>
      </c>
      <c r="H190" s="145">
        <v>691.15</v>
      </c>
    </row>
    <row r="191" spans="1:8" x14ac:dyDescent="0.2">
      <c r="A191" s="128">
        <v>44751</v>
      </c>
      <c r="B191" s="145">
        <v>28220.48</v>
      </c>
      <c r="C191" s="145">
        <v>28220.48</v>
      </c>
      <c r="D191" s="145">
        <v>0</v>
      </c>
      <c r="E191" s="203">
        <v>95</v>
      </c>
      <c r="F191" s="203">
        <v>117</v>
      </c>
      <c r="G191" s="145">
        <v>338.32</v>
      </c>
      <c r="H191" s="145">
        <v>0</v>
      </c>
    </row>
    <row r="192" spans="1:8" x14ac:dyDescent="0.2">
      <c r="A192" s="128">
        <v>44752</v>
      </c>
      <c r="B192" s="145">
        <v>17813.48</v>
      </c>
      <c r="C192" s="145">
        <v>17813.48</v>
      </c>
      <c r="D192" s="145">
        <v>0</v>
      </c>
      <c r="E192" s="203">
        <v>64</v>
      </c>
      <c r="F192" s="203">
        <v>79</v>
      </c>
      <c r="G192" s="145">
        <v>186.27</v>
      </c>
      <c r="H192" s="145">
        <v>0</v>
      </c>
    </row>
    <row r="193" spans="1:8" x14ac:dyDescent="0.2">
      <c r="A193" s="128">
        <v>44753</v>
      </c>
      <c r="B193" s="145">
        <v>41088.559999999998</v>
      </c>
      <c r="C193" s="145">
        <v>41088.559999999998</v>
      </c>
      <c r="D193" s="145">
        <v>0</v>
      </c>
      <c r="E193" s="203">
        <v>135</v>
      </c>
      <c r="F193" s="203">
        <v>198</v>
      </c>
      <c r="G193" s="145">
        <v>3598.59</v>
      </c>
      <c r="H193" s="145">
        <v>747.95</v>
      </c>
    </row>
    <row r="194" spans="1:8" x14ac:dyDescent="0.2">
      <c r="A194" s="128">
        <v>44754</v>
      </c>
      <c r="B194" s="145">
        <v>39520.199999999997</v>
      </c>
      <c r="C194" s="145">
        <v>39520.199999999997</v>
      </c>
      <c r="D194" s="145">
        <v>0</v>
      </c>
      <c r="E194" s="203">
        <v>124</v>
      </c>
      <c r="F194" s="203">
        <v>138</v>
      </c>
      <c r="G194" s="145">
        <v>568.79999999999995</v>
      </c>
      <c r="H194" s="145">
        <v>0</v>
      </c>
    </row>
    <row r="195" spans="1:8" x14ac:dyDescent="0.2">
      <c r="A195" s="128">
        <v>44755</v>
      </c>
      <c r="B195" s="145">
        <v>29366.97</v>
      </c>
      <c r="C195" s="145">
        <v>29344.74</v>
      </c>
      <c r="D195" s="145">
        <v>22.23</v>
      </c>
      <c r="E195" s="203">
        <v>108</v>
      </c>
      <c r="F195" s="203">
        <v>132</v>
      </c>
      <c r="G195" s="145">
        <v>972.76</v>
      </c>
      <c r="H195" s="145">
        <v>648.5</v>
      </c>
    </row>
    <row r="196" spans="1:8" x14ac:dyDescent="0.2">
      <c r="A196" s="128">
        <v>44756</v>
      </c>
      <c r="B196" s="145">
        <v>43354.31</v>
      </c>
      <c r="C196" s="145">
        <v>43354.31</v>
      </c>
      <c r="D196" s="145">
        <v>0</v>
      </c>
      <c r="E196" s="203">
        <v>150</v>
      </c>
      <c r="F196" s="203">
        <v>188</v>
      </c>
      <c r="G196" s="145">
        <v>1283.69</v>
      </c>
      <c r="H196" s="145">
        <v>0</v>
      </c>
    </row>
    <row r="197" spans="1:8" x14ac:dyDescent="0.2">
      <c r="A197" s="128">
        <v>44757</v>
      </c>
      <c r="B197" s="145">
        <v>31410.61</v>
      </c>
      <c r="C197" s="145">
        <v>31410.61</v>
      </c>
      <c r="D197" s="145">
        <v>0</v>
      </c>
      <c r="E197" s="203">
        <v>123</v>
      </c>
      <c r="F197" s="203">
        <v>132</v>
      </c>
      <c r="G197" s="145">
        <v>635.39</v>
      </c>
      <c r="H197" s="145">
        <v>0</v>
      </c>
    </row>
    <row r="198" spans="1:8" x14ac:dyDescent="0.2">
      <c r="A198" s="128">
        <v>44758</v>
      </c>
      <c r="B198" s="145">
        <v>25911.83</v>
      </c>
      <c r="C198" s="145">
        <v>25911.83</v>
      </c>
      <c r="D198" s="145">
        <v>0</v>
      </c>
      <c r="E198" s="203">
        <v>93</v>
      </c>
      <c r="F198" s="203">
        <v>108</v>
      </c>
      <c r="G198" s="145">
        <v>476.17</v>
      </c>
      <c r="H198" s="145">
        <v>0</v>
      </c>
    </row>
    <row r="199" spans="1:8" x14ac:dyDescent="0.2">
      <c r="A199" s="128">
        <v>44759</v>
      </c>
      <c r="B199" s="145">
        <v>16770.150000000001</v>
      </c>
      <c r="C199" s="145">
        <v>16770.150000000001</v>
      </c>
      <c r="D199" s="145">
        <v>0</v>
      </c>
      <c r="E199" s="203">
        <v>55</v>
      </c>
      <c r="F199" s="203">
        <v>64</v>
      </c>
      <c r="G199" s="145">
        <v>408.85</v>
      </c>
      <c r="H199" s="145">
        <v>0</v>
      </c>
    </row>
    <row r="200" spans="1:8" x14ac:dyDescent="0.2">
      <c r="A200" s="128">
        <v>44760</v>
      </c>
      <c r="B200" s="145">
        <v>44997.21</v>
      </c>
      <c r="C200" s="145">
        <v>44997.21</v>
      </c>
      <c r="D200" s="145">
        <v>0</v>
      </c>
      <c r="E200" s="203">
        <v>146</v>
      </c>
      <c r="F200" s="203">
        <v>175</v>
      </c>
      <c r="G200" s="145">
        <v>610.79</v>
      </c>
      <c r="H200" s="145">
        <v>0</v>
      </c>
    </row>
    <row r="201" spans="1:8" x14ac:dyDescent="0.2">
      <c r="A201" s="128">
        <v>44761</v>
      </c>
      <c r="B201" s="145">
        <v>30103.75</v>
      </c>
      <c r="C201" s="145">
        <v>30103.75</v>
      </c>
      <c r="D201" s="145">
        <v>0</v>
      </c>
      <c r="E201" s="203">
        <v>110</v>
      </c>
      <c r="F201" s="203">
        <v>128</v>
      </c>
      <c r="G201" s="145">
        <v>493.25</v>
      </c>
      <c r="H201" s="145">
        <v>0</v>
      </c>
    </row>
    <row r="202" spans="1:8" x14ac:dyDescent="0.2">
      <c r="A202" s="128">
        <v>44762</v>
      </c>
      <c r="B202" s="145">
        <v>38463.339999999997</v>
      </c>
      <c r="C202" s="145">
        <v>38441.449999999997</v>
      </c>
      <c r="D202" s="145">
        <v>21.89</v>
      </c>
      <c r="E202" s="203">
        <v>139</v>
      </c>
      <c r="F202" s="203">
        <v>172</v>
      </c>
      <c r="G202" s="145">
        <v>530.04999999999995</v>
      </c>
      <c r="H202" s="145">
        <v>528</v>
      </c>
    </row>
    <row r="203" spans="1:8" x14ac:dyDescent="0.2">
      <c r="A203" s="128">
        <v>44763</v>
      </c>
      <c r="B203" s="145">
        <v>43953.52</v>
      </c>
      <c r="C203" s="145">
        <v>43931.29</v>
      </c>
      <c r="D203" s="145">
        <v>22.23</v>
      </c>
      <c r="E203" s="203">
        <v>146</v>
      </c>
      <c r="F203" s="203">
        <v>178</v>
      </c>
      <c r="G203" s="145">
        <v>995.71</v>
      </c>
      <c r="H203" s="145">
        <v>425</v>
      </c>
    </row>
    <row r="204" spans="1:8" x14ac:dyDescent="0.2">
      <c r="A204" s="128">
        <v>44764</v>
      </c>
      <c r="B204" s="145">
        <v>46043.34</v>
      </c>
      <c r="C204" s="145">
        <v>45932.66</v>
      </c>
      <c r="D204" s="145">
        <v>110.68</v>
      </c>
      <c r="E204" s="203">
        <v>142</v>
      </c>
      <c r="F204" s="203">
        <v>219</v>
      </c>
      <c r="G204" s="145">
        <v>2530.84</v>
      </c>
      <c r="H204" s="145">
        <v>167</v>
      </c>
    </row>
    <row r="205" spans="1:8" x14ac:dyDescent="0.2">
      <c r="A205" s="128">
        <v>44765</v>
      </c>
      <c r="B205" s="145">
        <v>29208.240000000002</v>
      </c>
      <c r="C205" s="145">
        <v>29208.240000000002</v>
      </c>
      <c r="D205" s="145">
        <v>0</v>
      </c>
      <c r="E205" s="203">
        <v>101</v>
      </c>
      <c r="F205" s="203">
        <v>116</v>
      </c>
      <c r="G205" s="145">
        <v>367.26</v>
      </c>
      <c r="H205" s="145">
        <v>0</v>
      </c>
    </row>
    <row r="206" spans="1:8" x14ac:dyDescent="0.2">
      <c r="A206" s="128">
        <v>44766</v>
      </c>
      <c r="B206" s="145">
        <v>15852.57</v>
      </c>
      <c r="C206" s="145">
        <v>15852.57</v>
      </c>
      <c r="D206" s="145">
        <v>0</v>
      </c>
      <c r="E206" s="203">
        <v>61</v>
      </c>
      <c r="F206" s="203">
        <v>75</v>
      </c>
      <c r="G206" s="145">
        <v>69.95</v>
      </c>
      <c r="H206" s="145">
        <v>958.48</v>
      </c>
    </row>
    <row r="207" spans="1:8" x14ac:dyDescent="0.2">
      <c r="A207" s="128">
        <v>44767</v>
      </c>
      <c r="B207" s="145">
        <v>42420.56</v>
      </c>
      <c r="C207" s="145">
        <v>42420.56</v>
      </c>
      <c r="D207" s="145">
        <v>0</v>
      </c>
      <c r="E207" s="203">
        <v>181</v>
      </c>
      <c r="F207" s="203">
        <v>233</v>
      </c>
      <c r="G207" s="145">
        <v>1520.44</v>
      </c>
      <c r="H207" s="145">
        <v>222</v>
      </c>
    </row>
    <row r="208" spans="1:8" x14ac:dyDescent="0.2">
      <c r="A208" s="128">
        <v>44768</v>
      </c>
      <c r="B208" s="145">
        <v>41337.86</v>
      </c>
      <c r="C208" s="145">
        <v>41337.86</v>
      </c>
      <c r="D208" s="145">
        <v>0</v>
      </c>
      <c r="E208" s="203">
        <v>163</v>
      </c>
      <c r="F208" s="203">
        <v>209</v>
      </c>
      <c r="G208" s="145">
        <v>1394.49</v>
      </c>
      <c r="H208" s="145">
        <v>775.15</v>
      </c>
    </row>
    <row r="209" spans="1:8" x14ac:dyDescent="0.2">
      <c r="A209" s="128">
        <v>44769</v>
      </c>
      <c r="B209" s="145">
        <v>43697.78</v>
      </c>
      <c r="C209" s="145">
        <v>43697.78</v>
      </c>
      <c r="D209" s="145">
        <v>0</v>
      </c>
      <c r="E209" s="203">
        <v>185</v>
      </c>
      <c r="F209" s="203">
        <v>247</v>
      </c>
      <c r="G209" s="145">
        <v>569.57000000000005</v>
      </c>
      <c r="H209" s="145">
        <v>254.15</v>
      </c>
    </row>
    <row r="210" spans="1:8" x14ac:dyDescent="0.2">
      <c r="A210" s="128">
        <v>44770</v>
      </c>
      <c r="B210" s="145">
        <v>45484.15</v>
      </c>
      <c r="C210" s="145">
        <v>45484.15</v>
      </c>
      <c r="D210" s="145">
        <v>0</v>
      </c>
      <c r="E210" s="203">
        <v>175</v>
      </c>
      <c r="F210" s="203">
        <v>227</v>
      </c>
      <c r="G210" s="145">
        <v>1004.85</v>
      </c>
      <c r="H210" s="145">
        <v>0</v>
      </c>
    </row>
    <row r="211" spans="1:8" x14ac:dyDescent="0.2">
      <c r="A211" s="128">
        <v>44771</v>
      </c>
      <c r="B211" s="145">
        <v>54603.91</v>
      </c>
      <c r="C211" s="145">
        <v>54603.91</v>
      </c>
      <c r="D211" s="145">
        <v>0</v>
      </c>
      <c r="E211" s="203">
        <v>214</v>
      </c>
      <c r="F211" s="203">
        <v>289</v>
      </c>
      <c r="G211" s="145">
        <v>1379.09</v>
      </c>
      <c r="H211" s="145">
        <v>528</v>
      </c>
    </row>
    <row r="212" spans="1:8" x14ac:dyDescent="0.2">
      <c r="A212" s="128">
        <v>44772</v>
      </c>
      <c r="B212" s="145">
        <v>33714.1</v>
      </c>
      <c r="C212" s="145">
        <v>33714.1</v>
      </c>
      <c r="D212" s="145">
        <v>0</v>
      </c>
      <c r="E212" s="203">
        <v>139</v>
      </c>
      <c r="F212" s="203">
        <v>196</v>
      </c>
      <c r="G212" s="145">
        <v>344.9</v>
      </c>
      <c r="H212" s="145">
        <v>0</v>
      </c>
    </row>
    <row r="213" spans="1:8" x14ac:dyDescent="0.2">
      <c r="A213" s="128">
        <v>44773</v>
      </c>
      <c r="B213" s="145">
        <v>29380.99</v>
      </c>
      <c r="C213" s="145">
        <v>29380.99</v>
      </c>
      <c r="D213" s="145">
        <v>0</v>
      </c>
      <c r="E213" s="203">
        <v>129</v>
      </c>
      <c r="F213" s="203">
        <v>183</v>
      </c>
      <c r="G213" s="145">
        <v>308.51</v>
      </c>
      <c r="H213" s="145">
        <v>111</v>
      </c>
    </row>
    <row r="214" spans="1:8" x14ac:dyDescent="0.2">
      <c r="A214" s="128">
        <v>44774</v>
      </c>
      <c r="B214" s="145">
        <v>52333.59</v>
      </c>
      <c r="C214" s="145">
        <v>52333.59</v>
      </c>
      <c r="D214" s="145">
        <v>0</v>
      </c>
      <c r="E214" s="203">
        <v>187</v>
      </c>
      <c r="F214" s="203">
        <v>217</v>
      </c>
      <c r="G214" s="145">
        <v>537.51</v>
      </c>
      <c r="H214" s="145">
        <v>1042</v>
      </c>
    </row>
    <row r="215" spans="1:8" x14ac:dyDescent="0.2">
      <c r="A215" s="128">
        <v>44775</v>
      </c>
      <c r="B215" s="145">
        <v>45930.39</v>
      </c>
      <c r="C215" s="145">
        <v>45930.39</v>
      </c>
      <c r="D215" s="145">
        <v>0</v>
      </c>
      <c r="E215" s="203">
        <v>158</v>
      </c>
      <c r="F215" s="203">
        <v>218</v>
      </c>
      <c r="G215" s="145">
        <v>6543.41</v>
      </c>
      <c r="H215" s="145">
        <v>466</v>
      </c>
    </row>
    <row r="216" spans="1:8" x14ac:dyDescent="0.2">
      <c r="A216" s="128">
        <v>44776</v>
      </c>
      <c r="B216" s="145">
        <v>45753.91</v>
      </c>
      <c r="C216" s="145">
        <v>45753.91</v>
      </c>
      <c r="D216" s="145">
        <v>0</v>
      </c>
      <c r="E216" s="203">
        <v>152</v>
      </c>
      <c r="F216" s="203">
        <v>185</v>
      </c>
      <c r="G216" s="145">
        <v>533.94000000000005</v>
      </c>
      <c r="H216" s="145">
        <v>0</v>
      </c>
    </row>
    <row r="217" spans="1:8" x14ac:dyDescent="0.2">
      <c r="A217" s="128">
        <v>44777</v>
      </c>
      <c r="B217" s="145">
        <v>44512.45</v>
      </c>
      <c r="C217" s="145">
        <v>44512.45</v>
      </c>
      <c r="D217" s="145">
        <v>0</v>
      </c>
      <c r="E217" s="203">
        <v>164</v>
      </c>
      <c r="F217" s="203">
        <v>195</v>
      </c>
      <c r="G217" s="145">
        <v>3174.7</v>
      </c>
      <c r="H217" s="145">
        <v>254.15</v>
      </c>
    </row>
    <row r="218" spans="1:8" x14ac:dyDescent="0.2">
      <c r="A218" s="128">
        <v>44778</v>
      </c>
      <c r="B218" s="145">
        <v>45445.14</v>
      </c>
      <c r="C218" s="145">
        <v>45445.14</v>
      </c>
      <c r="D218" s="145">
        <v>0</v>
      </c>
      <c r="E218" s="203">
        <v>170</v>
      </c>
      <c r="F218" s="203">
        <v>225</v>
      </c>
      <c r="G218" s="145">
        <v>8081.96</v>
      </c>
      <c r="H218" s="145">
        <v>433.15</v>
      </c>
    </row>
    <row r="219" spans="1:8" x14ac:dyDescent="0.2">
      <c r="A219" s="128">
        <v>44779</v>
      </c>
      <c r="B219" s="145">
        <v>30357.83</v>
      </c>
      <c r="C219" s="145">
        <v>30290.46</v>
      </c>
      <c r="D219" s="145">
        <v>67.37</v>
      </c>
      <c r="E219" s="203">
        <v>125</v>
      </c>
      <c r="F219" s="203">
        <v>153</v>
      </c>
      <c r="G219" s="145">
        <v>371.59</v>
      </c>
      <c r="H219" s="145">
        <v>0</v>
      </c>
    </row>
    <row r="220" spans="1:8" x14ac:dyDescent="0.2">
      <c r="A220" s="128">
        <v>44780</v>
      </c>
      <c r="B220" s="145">
        <v>24401.55</v>
      </c>
      <c r="C220" s="145">
        <v>24401.55</v>
      </c>
      <c r="D220" s="145">
        <v>0</v>
      </c>
      <c r="E220" s="203">
        <v>84</v>
      </c>
      <c r="F220" s="203">
        <v>98</v>
      </c>
      <c r="G220" s="145">
        <v>120.3</v>
      </c>
      <c r="H220" s="145">
        <v>337</v>
      </c>
    </row>
    <row r="221" spans="1:8" x14ac:dyDescent="0.2">
      <c r="A221" s="128">
        <v>44781</v>
      </c>
      <c r="B221" s="145">
        <v>61070.12</v>
      </c>
      <c r="C221" s="145">
        <v>61038.25</v>
      </c>
      <c r="D221" s="145">
        <v>31.87</v>
      </c>
      <c r="E221" s="203">
        <v>192</v>
      </c>
      <c r="F221" s="203">
        <v>236</v>
      </c>
      <c r="G221" s="145">
        <v>200.65</v>
      </c>
      <c r="H221" s="145">
        <v>561.79999999999995</v>
      </c>
    </row>
    <row r="222" spans="1:8" x14ac:dyDescent="0.2">
      <c r="A222" s="128">
        <v>44782</v>
      </c>
      <c r="B222" s="145">
        <v>59006.1</v>
      </c>
      <c r="C222" s="145">
        <v>59006.1</v>
      </c>
      <c r="D222" s="145">
        <v>0</v>
      </c>
      <c r="E222" s="203">
        <v>199</v>
      </c>
      <c r="F222" s="203">
        <v>251</v>
      </c>
      <c r="G222" s="145">
        <v>662</v>
      </c>
      <c r="H222" s="145">
        <v>552.15</v>
      </c>
    </row>
    <row r="223" spans="1:8" x14ac:dyDescent="0.2">
      <c r="A223" s="128">
        <v>44783</v>
      </c>
      <c r="B223" s="145">
        <v>57417.25</v>
      </c>
      <c r="C223" s="145">
        <v>57417.25</v>
      </c>
      <c r="D223" s="145">
        <v>0</v>
      </c>
      <c r="E223" s="203">
        <v>211</v>
      </c>
      <c r="F223" s="203">
        <v>246</v>
      </c>
      <c r="G223" s="145">
        <v>448.15</v>
      </c>
      <c r="H223" s="145">
        <v>0</v>
      </c>
    </row>
    <row r="224" spans="1:8" x14ac:dyDescent="0.2">
      <c r="A224" s="128">
        <v>44784</v>
      </c>
      <c r="B224" s="145">
        <v>56325.45</v>
      </c>
      <c r="C224" s="145">
        <v>56301.440000000002</v>
      </c>
      <c r="D224" s="145">
        <v>24.01</v>
      </c>
      <c r="E224" s="203">
        <v>201</v>
      </c>
      <c r="F224" s="203">
        <v>266</v>
      </c>
      <c r="G224" s="145">
        <v>996.21</v>
      </c>
      <c r="H224" s="145">
        <v>1446.25</v>
      </c>
    </row>
    <row r="225" spans="1:8" x14ac:dyDescent="0.2">
      <c r="A225" s="128">
        <v>44785</v>
      </c>
      <c r="B225" s="145">
        <v>81631.37</v>
      </c>
      <c r="C225" s="145">
        <v>81631.37</v>
      </c>
      <c r="D225" s="145">
        <v>0</v>
      </c>
      <c r="E225" s="203">
        <v>291</v>
      </c>
      <c r="F225" s="203">
        <v>364</v>
      </c>
      <c r="G225" s="145">
        <v>1638.98</v>
      </c>
      <c r="H225" s="145">
        <v>334</v>
      </c>
    </row>
    <row r="226" spans="1:8" x14ac:dyDescent="0.2">
      <c r="A226" s="128">
        <v>44786</v>
      </c>
      <c r="B226" s="145">
        <v>64479.040000000001</v>
      </c>
      <c r="C226" s="145">
        <v>64479.040000000001</v>
      </c>
      <c r="D226" s="145">
        <v>0</v>
      </c>
      <c r="E226" s="203">
        <v>242</v>
      </c>
      <c r="F226" s="203">
        <v>273</v>
      </c>
      <c r="G226" s="145">
        <v>307.66000000000003</v>
      </c>
      <c r="H226" s="145">
        <v>0</v>
      </c>
    </row>
    <row r="227" spans="1:8" x14ac:dyDescent="0.2">
      <c r="A227" s="128">
        <v>44787</v>
      </c>
      <c r="B227" s="145">
        <v>61507.839999999997</v>
      </c>
      <c r="C227" s="145">
        <v>61507.839999999997</v>
      </c>
      <c r="D227" s="145">
        <v>0</v>
      </c>
      <c r="E227" s="203">
        <v>230</v>
      </c>
      <c r="F227" s="203">
        <v>263</v>
      </c>
      <c r="G227" s="145">
        <v>395.66</v>
      </c>
      <c r="H227" s="145">
        <v>0</v>
      </c>
    </row>
    <row r="228" spans="1:8" x14ac:dyDescent="0.2">
      <c r="A228" s="128">
        <v>44788</v>
      </c>
      <c r="B228" s="145">
        <v>71912</v>
      </c>
      <c r="C228" s="145">
        <v>71912</v>
      </c>
      <c r="D228" s="145">
        <v>0</v>
      </c>
      <c r="E228" s="203">
        <v>341</v>
      </c>
      <c r="F228" s="203">
        <v>500</v>
      </c>
      <c r="G228" s="145">
        <v>3023.55</v>
      </c>
      <c r="H228" s="145">
        <v>664.85</v>
      </c>
    </row>
    <row r="229" spans="1:8" x14ac:dyDescent="0.2">
      <c r="A229" s="128">
        <v>44789</v>
      </c>
      <c r="B229" s="145">
        <v>55887</v>
      </c>
      <c r="C229" s="145">
        <v>55887</v>
      </c>
      <c r="D229" s="145">
        <v>0</v>
      </c>
      <c r="E229" s="203">
        <v>245</v>
      </c>
      <c r="F229" s="203">
        <v>326</v>
      </c>
      <c r="G229" s="145">
        <v>414.15</v>
      </c>
      <c r="H229" s="145">
        <v>632.15</v>
      </c>
    </row>
    <row r="230" spans="1:8" x14ac:dyDescent="0.2">
      <c r="A230" s="128">
        <v>44790</v>
      </c>
      <c r="B230" s="145">
        <v>48064.41</v>
      </c>
      <c r="C230" s="145">
        <v>48064.41</v>
      </c>
      <c r="D230" s="145">
        <v>0</v>
      </c>
      <c r="E230" s="203">
        <v>206</v>
      </c>
      <c r="F230" s="203">
        <v>262</v>
      </c>
      <c r="G230" s="145">
        <v>444.49</v>
      </c>
      <c r="H230" s="145">
        <v>671.65</v>
      </c>
    </row>
    <row r="231" spans="1:8" x14ac:dyDescent="0.2">
      <c r="A231" s="128">
        <v>44791</v>
      </c>
      <c r="B231" s="145">
        <v>50528.83</v>
      </c>
      <c r="C231" s="145">
        <v>50528.83</v>
      </c>
      <c r="D231" s="145">
        <v>0</v>
      </c>
      <c r="E231" s="203">
        <v>174</v>
      </c>
      <c r="F231" s="203">
        <v>237</v>
      </c>
      <c r="G231" s="145">
        <v>541.27</v>
      </c>
      <c r="H231" s="145">
        <v>290</v>
      </c>
    </row>
    <row r="232" spans="1:8" x14ac:dyDescent="0.2">
      <c r="A232" s="128">
        <v>44792</v>
      </c>
      <c r="B232" s="145">
        <v>46428.93</v>
      </c>
      <c r="C232" s="145">
        <v>46428.93</v>
      </c>
      <c r="D232" s="145">
        <v>0</v>
      </c>
      <c r="E232" s="203">
        <v>172</v>
      </c>
      <c r="F232" s="203">
        <v>213</v>
      </c>
      <c r="G232" s="145">
        <v>841.22</v>
      </c>
      <c r="H232" s="145">
        <v>917.65</v>
      </c>
    </row>
    <row r="233" spans="1:8" x14ac:dyDescent="0.2">
      <c r="A233" s="128">
        <v>44793</v>
      </c>
      <c r="B233" s="145">
        <v>26075.7</v>
      </c>
      <c r="C233" s="145">
        <v>26075.7</v>
      </c>
      <c r="D233" s="145">
        <v>0</v>
      </c>
      <c r="E233" s="203">
        <v>102</v>
      </c>
      <c r="F233" s="203">
        <v>119</v>
      </c>
      <c r="G233" s="145">
        <v>77.25</v>
      </c>
      <c r="H233" s="145">
        <v>0</v>
      </c>
    </row>
    <row r="234" spans="1:8" x14ac:dyDescent="0.2">
      <c r="A234" s="128">
        <v>44794</v>
      </c>
      <c r="B234" s="145">
        <v>20508.25</v>
      </c>
      <c r="C234" s="145">
        <v>20508.25</v>
      </c>
      <c r="D234" s="145">
        <v>0</v>
      </c>
      <c r="E234" s="203">
        <v>90</v>
      </c>
      <c r="F234" s="203">
        <v>104</v>
      </c>
      <c r="G234" s="145">
        <v>122.35</v>
      </c>
      <c r="H234" s="145">
        <v>537</v>
      </c>
    </row>
    <row r="235" spans="1:8" x14ac:dyDescent="0.2">
      <c r="A235" s="128">
        <v>44795</v>
      </c>
      <c r="B235" s="145">
        <v>37077.56</v>
      </c>
      <c r="C235" s="145">
        <v>37000.129999999997</v>
      </c>
      <c r="D235" s="145">
        <v>77.430000000000007</v>
      </c>
      <c r="E235" s="203">
        <v>130</v>
      </c>
      <c r="F235" s="203">
        <v>151</v>
      </c>
      <c r="G235" s="145">
        <v>333.12</v>
      </c>
      <c r="H235" s="145">
        <v>835</v>
      </c>
    </row>
    <row r="236" spans="1:8" x14ac:dyDescent="0.2">
      <c r="A236" s="128">
        <v>44796</v>
      </c>
      <c r="B236" s="145">
        <v>38042.04</v>
      </c>
      <c r="C236" s="145">
        <v>38042.04</v>
      </c>
      <c r="D236" s="145">
        <v>0</v>
      </c>
      <c r="E236" s="203">
        <v>125</v>
      </c>
      <c r="F236" s="203">
        <v>160</v>
      </c>
      <c r="G236" s="145">
        <v>227.11</v>
      </c>
      <c r="H236" s="145">
        <v>127.5</v>
      </c>
    </row>
    <row r="237" spans="1:8" x14ac:dyDescent="0.2">
      <c r="A237" s="128">
        <v>44797</v>
      </c>
      <c r="B237" s="145">
        <v>36249.040000000001</v>
      </c>
      <c r="C237" s="145">
        <v>36249.040000000001</v>
      </c>
      <c r="D237" s="145">
        <v>0</v>
      </c>
      <c r="E237" s="203">
        <v>133</v>
      </c>
      <c r="F237" s="203">
        <v>153</v>
      </c>
      <c r="G237" s="145">
        <v>381.21</v>
      </c>
      <c r="H237" s="145">
        <v>212.5</v>
      </c>
    </row>
    <row r="238" spans="1:8" x14ac:dyDescent="0.2">
      <c r="A238" s="128">
        <v>44798</v>
      </c>
      <c r="B238" s="145">
        <v>38652.47</v>
      </c>
      <c r="C238" s="145">
        <v>38652.47</v>
      </c>
      <c r="D238" s="145">
        <v>0</v>
      </c>
      <c r="E238" s="203">
        <v>141</v>
      </c>
      <c r="F238" s="203">
        <v>169</v>
      </c>
      <c r="G238" s="145">
        <v>308.52999999999997</v>
      </c>
      <c r="H238" s="145">
        <v>951.15</v>
      </c>
    </row>
    <row r="239" spans="1:8" x14ac:dyDescent="0.2">
      <c r="A239" s="128">
        <v>44799</v>
      </c>
      <c r="B239" s="145">
        <v>43292.67</v>
      </c>
      <c r="C239" s="145">
        <v>43292.67</v>
      </c>
      <c r="D239" s="145">
        <v>0</v>
      </c>
      <c r="E239" s="203">
        <v>156</v>
      </c>
      <c r="F239" s="203">
        <v>184</v>
      </c>
      <c r="G239" s="145">
        <v>655.43</v>
      </c>
      <c r="H239" s="145">
        <v>254.15</v>
      </c>
    </row>
    <row r="240" spans="1:8" x14ac:dyDescent="0.2">
      <c r="A240" s="128">
        <v>44800</v>
      </c>
      <c r="B240" s="145">
        <v>27367.82</v>
      </c>
      <c r="C240" s="145">
        <v>27367.82</v>
      </c>
      <c r="D240" s="145">
        <v>0</v>
      </c>
      <c r="E240" s="203">
        <v>101</v>
      </c>
      <c r="F240" s="203">
        <v>119</v>
      </c>
      <c r="G240" s="145">
        <v>468.38</v>
      </c>
      <c r="H240" s="145">
        <v>0</v>
      </c>
    </row>
    <row r="241" spans="1:8" x14ac:dyDescent="0.2">
      <c r="A241" s="128">
        <v>44801</v>
      </c>
      <c r="B241" s="145">
        <v>21585.8</v>
      </c>
      <c r="C241" s="145">
        <v>21585.8</v>
      </c>
      <c r="D241" s="145">
        <v>0</v>
      </c>
      <c r="E241" s="203">
        <v>74</v>
      </c>
      <c r="F241" s="203">
        <v>82</v>
      </c>
      <c r="G241" s="145">
        <v>215.25</v>
      </c>
      <c r="H241" s="145">
        <v>0</v>
      </c>
    </row>
    <row r="242" spans="1:8" x14ac:dyDescent="0.2">
      <c r="A242" s="128">
        <v>44802</v>
      </c>
      <c r="B242" s="145">
        <v>39502.67</v>
      </c>
      <c r="C242" s="145">
        <v>39502.67</v>
      </c>
      <c r="D242" s="145">
        <v>0</v>
      </c>
      <c r="E242" s="203">
        <v>149</v>
      </c>
      <c r="F242" s="203">
        <v>172</v>
      </c>
      <c r="G242" s="145">
        <v>245.83</v>
      </c>
      <c r="H242" s="145">
        <v>692.75</v>
      </c>
    </row>
    <row r="243" spans="1:8" x14ac:dyDescent="0.2">
      <c r="A243" s="128">
        <v>44803</v>
      </c>
      <c r="B243" s="145">
        <v>36029.29</v>
      </c>
      <c r="C243" s="145">
        <v>36029.29</v>
      </c>
      <c r="D243" s="145">
        <v>0</v>
      </c>
      <c r="E243" s="203">
        <v>135</v>
      </c>
      <c r="F243" s="203">
        <v>162</v>
      </c>
      <c r="G243" s="145">
        <v>1830.81</v>
      </c>
      <c r="H243" s="145">
        <v>620</v>
      </c>
    </row>
    <row r="244" spans="1:8" x14ac:dyDescent="0.2">
      <c r="A244" s="128">
        <v>44804</v>
      </c>
      <c r="B244" s="145">
        <v>55833.37</v>
      </c>
      <c r="C244" s="145">
        <v>55833.37</v>
      </c>
      <c r="D244" s="145">
        <v>0</v>
      </c>
      <c r="E244" s="203">
        <v>226</v>
      </c>
      <c r="F244" s="203">
        <v>282</v>
      </c>
      <c r="G244" s="145">
        <v>494.13</v>
      </c>
      <c r="H244" s="145">
        <v>274</v>
      </c>
    </row>
    <row r="245" spans="1:8" x14ac:dyDescent="0.2">
      <c r="A245" s="128">
        <v>44805</v>
      </c>
      <c r="B245" s="145">
        <v>78671.47</v>
      </c>
      <c r="C245" s="145">
        <v>78671.47</v>
      </c>
      <c r="D245" s="145">
        <v>0</v>
      </c>
      <c r="E245" s="203">
        <v>342</v>
      </c>
      <c r="F245" s="203">
        <v>516</v>
      </c>
      <c r="G245" s="145">
        <v>987.28</v>
      </c>
      <c r="H245" s="145">
        <v>0</v>
      </c>
    </row>
    <row r="246" spans="1:8" x14ac:dyDescent="0.2">
      <c r="A246" s="128">
        <v>44806</v>
      </c>
      <c r="B246" s="145">
        <v>64168.27</v>
      </c>
      <c r="C246" s="145">
        <v>64168.27</v>
      </c>
      <c r="D246" s="145">
        <v>0</v>
      </c>
      <c r="E246" s="203">
        <v>270</v>
      </c>
      <c r="F246" s="203">
        <v>412</v>
      </c>
      <c r="G246" s="145">
        <v>978.88</v>
      </c>
      <c r="H246" s="145">
        <v>0</v>
      </c>
    </row>
    <row r="247" spans="1:8" x14ac:dyDescent="0.2">
      <c r="A247" s="128">
        <v>44807</v>
      </c>
      <c r="B247" s="145">
        <v>39457.31</v>
      </c>
      <c r="C247" s="145">
        <v>39457.31</v>
      </c>
      <c r="D247" s="145">
        <v>0</v>
      </c>
      <c r="E247" s="203">
        <v>192</v>
      </c>
      <c r="F247" s="203">
        <v>283</v>
      </c>
      <c r="G247" s="145">
        <v>165.19</v>
      </c>
      <c r="H247" s="145">
        <v>0</v>
      </c>
    </row>
    <row r="248" spans="1:8" x14ac:dyDescent="0.2">
      <c r="A248" s="128">
        <v>44808</v>
      </c>
      <c r="B248" s="145">
        <v>43705.19</v>
      </c>
      <c r="C248" s="145">
        <v>43705.19</v>
      </c>
      <c r="D248" s="145">
        <v>0</v>
      </c>
      <c r="E248" s="203">
        <v>198</v>
      </c>
      <c r="F248" s="203">
        <v>296</v>
      </c>
      <c r="G248" s="145">
        <v>476.01</v>
      </c>
      <c r="H248" s="145">
        <v>0</v>
      </c>
    </row>
    <row r="249" spans="1:8" x14ac:dyDescent="0.2">
      <c r="A249" s="128">
        <v>44809</v>
      </c>
      <c r="B249" s="145">
        <v>59206.32</v>
      </c>
      <c r="C249" s="145">
        <v>59206.32</v>
      </c>
      <c r="D249" s="145">
        <v>0</v>
      </c>
      <c r="E249" s="203">
        <v>230</v>
      </c>
      <c r="F249" s="203">
        <v>343</v>
      </c>
      <c r="G249" s="145">
        <v>1283.1300000000001</v>
      </c>
      <c r="H249" s="145">
        <v>632.85</v>
      </c>
    </row>
    <row r="250" spans="1:8" x14ac:dyDescent="0.2">
      <c r="A250" s="128">
        <v>44810</v>
      </c>
      <c r="B250" s="145">
        <v>53971.99</v>
      </c>
      <c r="C250" s="145">
        <v>53971.99</v>
      </c>
      <c r="D250" s="145">
        <v>0</v>
      </c>
      <c r="E250" s="203">
        <v>254</v>
      </c>
      <c r="F250" s="203">
        <v>375</v>
      </c>
      <c r="G250" s="145">
        <v>367.71</v>
      </c>
      <c r="H250" s="145">
        <v>1649.55</v>
      </c>
    </row>
    <row r="251" spans="1:8" x14ac:dyDescent="0.2">
      <c r="A251" s="128">
        <v>44811</v>
      </c>
      <c r="B251" s="145">
        <v>28432.95</v>
      </c>
      <c r="C251" s="145">
        <v>28432.95</v>
      </c>
      <c r="D251" s="145">
        <v>0</v>
      </c>
      <c r="E251" s="203">
        <v>121</v>
      </c>
      <c r="F251" s="203">
        <v>164</v>
      </c>
      <c r="G251" s="145">
        <v>149.55000000000001</v>
      </c>
      <c r="H251" s="145">
        <v>0</v>
      </c>
    </row>
    <row r="252" spans="1:8" x14ac:dyDescent="0.2">
      <c r="A252" s="128">
        <v>44812</v>
      </c>
      <c r="B252" s="145">
        <v>56579.35</v>
      </c>
      <c r="C252" s="145">
        <v>56579.35</v>
      </c>
      <c r="D252" s="145">
        <v>0</v>
      </c>
      <c r="E252" s="203">
        <v>216</v>
      </c>
      <c r="F252" s="203">
        <v>305</v>
      </c>
      <c r="G252" s="145">
        <v>731.1</v>
      </c>
      <c r="H252" s="145">
        <v>95</v>
      </c>
    </row>
    <row r="253" spans="1:8" x14ac:dyDescent="0.2">
      <c r="A253" s="128">
        <v>44813</v>
      </c>
      <c r="B253" s="145">
        <v>51745.83</v>
      </c>
      <c r="C253" s="145">
        <v>51745.83</v>
      </c>
      <c r="D253" s="145">
        <v>0</v>
      </c>
      <c r="E253" s="203">
        <v>210</v>
      </c>
      <c r="F253" s="203">
        <v>299</v>
      </c>
      <c r="G253" s="145">
        <v>621.66999999999996</v>
      </c>
      <c r="H253" s="145">
        <v>2161.4499999999998</v>
      </c>
    </row>
    <row r="254" spans="1:8" x14ac:dyDescent="0.2">
      <c r="A254" s="128">
        <v>44814</v>
      </c>
      <c r="B254" s="145">
        <v>37821.11</v>
      </c>
      <c r="C254" s="145">
        <v>37784.699999999997</v>
      </c>
      <c r="D254" s="145">
        <v>36.409999999999997</v>
      </c>
      <c r="E254" s="203">
        <v>149</v>
      </c>
      <c r="F254" s="203">
        <v>181</v>
      </c>
      <c r="G254" s="145">
        <v>500</v>
      </c>
      <c r="H254" s="145">
        <v>0</v>
      </c>
    </row>
    <row r="255" spans="1:8" x14ac:dyDescent="0.2">
      <c r="A255" s="128">
        <v>44815</v>
      </c>
      <c r="B255" s="145">
        <v>21783.94</v>
      </c>
      <c r="C255" s="145">
        <v>21783.94</v>
      </c>
      <c r="D255" s="145">
        <v>0</v>
      </c>
      <c r="E255" s="203">
        <v>93</v>
      </c>
      <c r="F255" s="203">
        <v>120</v>
      </c>
      <c r="G255" s="145">
        <v>122.86</v>
      </c>
      <c r="H255" s="145">
        <v>0</v>
      </c>
    </row>
    <row r="256" spans="1:8" x14ac:dyDescent="0.2">
      <c r="A256" s="128">
        <v>44816</v>
      </c>
      <c r="B256" s="145">
        <v>56171.27</v>
      </c>
      <c r="C256" s="145">
        <v>56171.27</v>
      </c>
      <c r="D256" s="145">
        <v>0</v>
      </c>
      <c r="E256" s="203">
        <v>212</v>
      </c>
      <c r="F256" s="203">
        <v>301</v>
      </c>
      <c r="G256" s="145">
        <v>1074.8800000000001</v>
      </c>
      <c r="H256" s="145">
        <v>0</v>
      </c>
    </row>
    <row r="257" spans="1:8" x14ac:dyDescent="0.2">
      <c r="A257" s="128">
        <v>44817</v>
      </c>
      <c r="B257" s="145">
        <v>54652.83</v>
      </c>
      <c r="C257" s="145">
        <v>54652.83</v>
      </c>
      <c r="D257" s="145">
        <v>0</v>
      </c>
      <c r="E257" s="203">
        <v>234</v>
      </c>
      <c r="F257" s="203">
        <v>346</v>
      </c>
      <c r="G257" s="145">
        <v>1002.77</v>
      </c>
      <c r="H257" s="145">
        <v>711</v>
      </c>
    </row>
    <row r="258" spans="1:8" x14ac:dyDescent="0.2">
      <c r="A258" s="128">
        <v>44818</v>
      </c>
      <c r="B258" s="145">
        <v>58360.29</v>
      </c>
      <c r="C258" s="145">
        <v>58360.29</v>
      </c>
      <c r="D258" s="145">
        <v>0</v>
      </c>
      <c r="E258" s="203">
        <v>274</v>
      </c>
      <c r="F258" s="203">
        <v>376</v>
      </c>
      <c r="G258" s="145">
        <v>446.41</v>
      </c>
      <c r="H258" s="145">
        <v>212.5</v>
      </c>
    </row>
    <row r="259" spans="1:8" x14ac:dyDescent="0.2">
      <c r="A259" s="128">
        <v>44819</v>
      </c>
      <c r="B259" s="145">
        <v>53315.81</v>
      </c>
      <c r="C259" s="145">
        <v>53315.81</v>
      </c>
      <c r="D259" s="145">
        <v>0</v>
      </c>
      <c r="E259" s="203">
        <v>181</v>
      </c>
      <c r="F259" s="203">
        <v>222</v>
      </c>
      <c r="G259" s="145">
        <v>698.54</v>
      </c>
      <c r="H259" s="145">
        <v>1048.9000000000001</v>
      </c>
    </row>
    <row r="260" spans="1:8" x14ac:dyDescent="0.2">
      <c r="A260" s="128">
        <v>44820</v>
      </c>
      <c r="B260" s="145">
        <v>47071.95</v>
      </c>
      <c r="C260" s="145">
        <v>47071.95</v>
      </c>
      <c r="D260" s="145">
        <v>0</v>
      </c>
      <c r="E260" s="203">
        <v>163</v>
      </c>
      <c r="F260" s="203">
        <v>194</v>
      </c>
      <c r="G260" s="145">
        <v>404.8</v>
      </c>
      <c r="H260" s="145">
        <v>1299</v>
      </c>
    </row>
    <row r="261" spans="1:8" x14ac:dyDescent="0.2">
      <c r="A261" s="128">
        <v>44821</v>
      </c>
      <c r="B261" s="145">
        <v>32546.26</v>
      </c>
      <c r="C261" s="145">
        <v>32520.55</v>
      </c>
      <c r="D261" s="145">
        <v>25.71</v>
      </c>
      <c r="E261" s="203">
        <v>108</v>
      </c>
      <c r="F261" s="203">
        <v>135</v>
      </c>
      <c r="G261" s="145">
        <v>556.25</v>
      </c>
      <c r="H261" s="145">
        <v>0</v>
      </c>
    </row>
    <row r="262" spans="1:8" x14ac:dyDescent="0.2">
      <c r="A262" s="128">
        <v>44822</v>
      </c>
      <c r="B262" s="145">
        <v>20304.75</v>
      </c>
      <c r="C262" s="145">
        <v>20304.75</v>
      </c>
      <c r="D262" s="145">
        <v>0</v>
      </c>
      <c r="E262" s="203">
        <v>73</v>
      </c>
      <c r="F262" s="203">
        <v>83</v>
      </c>
      <c r="G262" s="145">
        <v>293.10000000000002</v>
      </c>
      <c r="H262" s="145">
        <v>0</v>
      </c>
    </row>
    <row r="263" spans="1:8" x14ac:dyDescent="0.2">
      <c r="A263" s="128">
        <v>44823</v>
      </c>
      <c r="B263" s="145">
        <v>71887.570000000007</v>
      </c>
      <c r="C263" s="145">
        <v>71831.789999999994</v>
      </c>
      <c r="D263" s="145">
        <v>55.78</v>
      </c>
      <c r="E263" s="203">
        <v>295</v>
      </c>
      <c r="F263" s="203">
        <v>415</v>
      </c>
      <c r="G263" s="145">
        <v>1320.36</v>
      </c>
      <c r="H263" s="145">
        <v>1316.85</v>
      </c>
    </row>
    <row r="264" spans="1:8" x14ac:dyDescent="0.2">
      <c r="A264" s="128">
        <v>44824</v>
      </c>
      <c r="B264" s="145">
        <v>65118.879999999997</v>
      </c>
      <c r="C264" s="145">
        <v>65118.879999999997</v>
      </c>
      <c r="D264" s="145">
        <v>0</v>
      </c>
      <c r="E264" s="203">
        <v>241</v>
      </c>
      <c r="F264" s="203">
        <v>337</v>
      </c>
      <c r="G264" s="145">
        <v>793.67</v>
      </c>
      <c r="H264" s="145">
        <v>285</v>
      </c>
    </row>
    <row r="265" spans="1:8" x14ac:dyDescent="0.2">
      <c r="A265" s="128">
        <v>44825</v>
      </c>
      <c r="B265" s="145">
        <v>61030.95</v>
      </c>
      <c r="C265" s="145">
        <v>61030.95</v>
      </c>
      <c r="D265" s="145">
        <v>0</v>
      </c>
      <c r="E265" s="203">
        <v>240</v>
      </c>
      <c r="F265" s="203">
        <v>352</v>
      </c>
      <c r="G265" s="145">
        <v>839.05</v>
      </c>
      <c r="H265" s="145">
        <v>349.8</v>
      </c>
    </row>
    <row r="266" spans="1:8" x14ac:dyDescent="0.2">
      <c r="A266" s="128">
        <v>44826</v>
      </c>
      <c r="B266" s="145">
        <v>58325.86</v>
      </c>
      <c r="C266" s="145">
        <v>58301.17</v>
      </c>
      <c r="D266" s="145">
        <v>24.69</v>
      </c>
      <c r="E266" s="203">
        <v>257</v>
      </c>
      <c r="F266" s="203">
        <v>366</v>
      </c>
      <c r="G266" s="145">
        <v>1398.68</v>
      </c>
      <c r="H266" s="145">
        <v>1248.8499999999999</v>
      </c>
    </row>
    <row r="267" spans="1:8" x14ac:dyDescent="0.2">
      <c r="A267" s="128">
        <v>44827</v>
      </c>
      <c r="B267" s="145">
        <v>49237.4</v>
      </c>
      <c r="C267" s="145">
        <v>49237.4</v>
      </c>
      <c r="D267" s="145">
        <v>0</v>
      </c>
      <c r="E267" s="203">
        <v>158</v>
      </c>
      <c r="F267" s="203">
        <v>224</v>
      </c>
      <c r="G267" s="145">
        <v>1066.45</v>
      </c>
      <c r="H267" s="145">
        <v>993.25</v>
      </c>
    </row>
    <row r="268" spans="1:8" x14ac:dyDescent="0.2">
      <c r="A268" s="128">
        <v>44828</v>
      </c>
      <c r="B268" s="145">
        <v>26717.62</v>
      </c>
      <c r="C268" s="145">
        <v>26717.62</v>
      </c>
      <c r="D268" s="145">
        <v>0</v>
      </c>
      <c r="E268" s="203">
        <v>96</v>
      </c>
      <c r="F268" s="203">
        <v>138</v>
      </c>
      <c r="G268" s="145">
        <v>928.63</v>
      </c>
      <c r="H268" s="145">
        <v>0</v>
      </c>
    </row>
    <row r="269" spans="1:8" x14ac:dyDescent="0.2">
      <c r="A269" s="128">
        <v>44829</v>
      </c>
      <c r="B269" s="145">
        <v>16274.91</v>
      </c>
      <c r="C269" s="145">
        <v>16274.91</v>
      </c>
      <c r="D269" s="145">
        <v>0</v>
      </c>
      <c r="E269" s="203">
        <v>59</v>
      </c>
      <c r="F269" s="203">
        <v>66</v>
      </c>
      <c r="G269" s="145">
        <v>45.09</v>
      </c>
      <c r="H269" s="145">
        <v>0</v>
      </c>
    </row>
    <row r="270" spans="1:8" x14ac:dyDescent="0.2">
      <c r="A270" s="128">
        <v>44830</v>
      </c>
      <c r="B270" s="145">
        <v>41882.97</v>
      </c>
      <c r="C270" s="145">
        <v>41882.97</v>
      </c>
      <c r="D270" s="145">
        <v>0</v>
      </c>
      <c r="E270" s="203">
        <v>148</v>
      </c>
      <c r="F270" s="203">
        <v>186</v>
      </c>
      <c r="G270" s="145">
        <v>545.75</v>
      </c>
      <c r="H270" s="145">
        <v>2078.9299999999998</v>
      </c>
    </row>
    <row r="271" spans="1:8" x14ac:dyDescent="0.2">
      <c r="A271" s="128">
        <v>44831</v>
      </c>
      <c r="B271" s="145">
        <v>44967.11</v>
      </c>
      <c r="C271" s="145">
        <v>44967.11</v>
      </c>
      <c r="D271" s="145">
        <v>0</v>
      </c>
      <c r="E271" s="203">
        <v>160</v>
      </c>
      <c r="F271" s="203">
        <v>209</v>
      </c>
      <c r="G271" s="145">
        <v>812.89</v>
      </c>
      <c r="H271" s="145">
        <v>1123</v>
      </c>
    </row>
    <row r="272" spans="1:8" x14ac:dyDescent="0.2">
      <c r="A272" s="128">
        <v>44832</v>
      </c>
      <c r="B272" s="145">
        <v>66855.64</v>
      </c>
      <c r="C272" s="145">
        <v>66855.64</v>
      </c>
      <c r="D272" s="145">
        <v>0</v>
      </c>
      <c r="E272" s="203">
        <v>193</v>
      </c>
      <c r="F272" s="203">
        <v>328</v>
      </c>
      <c r="G272" s="145">
        <v>3053.76</v>
      </c>
      <c r="H272" s="145">
        <v>3558.1</v>
      </c>
    </row>
    <row r="273" spans="1:8" x14ac:dyDescent="0.2">
      <c r="A273" s="128">
        <v>44833</v>
      </c>
      <c r="B273" s="145">
        <v>67928.87</v>
      </c>
      <c r="C273" s="145">
        <v>67928.87</v>
      </c>
      <c r="D273" s="145">
        <v>0</v>
      </c>
      <c r="E273" s="203">
        <v>210</v>
      </c>
      <c r="F273" s="203">
        <v>301</v>
      </c>
      <c r="G273" s="145">
        <v>1287.1300000000001</v>
      </c>
      <c r="H273" s="145">
        <v>0</v>
      </c>
    </row>
    <row r="274" spans="1:8" x14ac:dyDescent="0.2">
      <c r="A274" s="128">
        <v>44834</v>
      </c>
      <c r="B274" s="145">
        <v>72018.289999999994</v>
      </c>
      <c r="C274" s="145">
        <v>72018.289999999994</v>
      </c>
      <c r="D274" s="145">
        <v>0</v>
      </c>
      <c r="E274" s="203">
        <v>213</v>
      </c>
      <c r="F274" s="203">
        <v>348</v>
      </c>
      <c r="G274" s="145">
        <v>3127.41</v>
      </c>
      <c r="H274" s="145">
        <v>167</v>
      </c>
    </row>
    <row r="275" spans="1:8" x14ac:dyDescent="0.2">
      <c r="A275" s="128">
        <v>44835</v>
      </c>
      <c r="B275" s="145">
        <v>27208.94</v>
      </c>
      <c r="C275" s="145">
        <v>27208.94</v>
      </c>
      <c r="D275" s="145">
        <v>0</v>
      </c>
      <c r="E275" s="203">
        <v>103</v>
      </c>
      <c r="F275" s="203">
        <v>133</v>
      </c>
      <c r="G275" s="145">
        <v>386.86</v>
      </c>
      <c r="H275" s="145">
        <v>285</v>
      </c>
    </row>
    <row r="276" spans="1:8" x14ac:dyDescent="0.2">
      <c r="A276" s="128">
        <v>44836</v>
      </c>
      <c r="B276" s="145">
        <v>19267.509999999998</v>
      </c>
      <c r="C276" s="145">
        <v>19267.509999999998</v>
      </c>
      <c r="D276" s="145">
        <v>0</v>
      </c>
      <c r="E276" s="203">
        <v>78</v>
      </c>
      <c r="F276" s="203">
        <v>98</v>
      </c>
      <c r="G276" s="145">
        <v>252.19</v>
      </c>
      <c r="H276" s="145">
        <v>0</v>
      </c>
    </row>
    <row r="277" spans="1:8" x14ac:dyDescent="0.2">
      <c r="A277" s="128">
        <v>44837</v>
      </c>
      <c r="B277" s="145">
        <v>53382.78</v>
      </c>
      <c r="C277" s="145">
        <v>53382.78</v>
      </c>
      <c r="D277" s="145">
        <v>0</v>
      </c>
      <c r="E277" s="203">
        <v>165</v>
      </c>
      <c r="F277" s="203">
        <v>218</v>
      </c>
      <c r="G277" s="145">
        <v>1352.22</v>
      </c>
      <c r="H277" s="145">
        <v>962</v>
      </c>
    </row>
    <row r="278" spans="1:8" x14ac:dyDescent="0.2">
      <c r="A278" s="128">
        <v>44838</v>
      </c>
      <c r="B278" s="145">
        <v>53991.78</v>
      </c>
      <c r="C278" s="145">
        <v>53991.78</v>
      </c>
      <c r="D278" s="145">
        <v>0</v>
      </c>
      <c r="E278" s="203">
        <v>165</v>
      </c>
      <c r="F278" s="203">
        <v>233</v>
      </c>
      <c r="G278" s="145">
        <v>1882.22</v>
      </c>
      <c r="H278" s="145">
        <v>0</v>
      </c>
    </row>
    <row r="279" spans="1:8" x14ac:dyDescent="0.2">
      <c r="A279" s="128">
        <v>44839</v>
      </c>
      <c r="B279" s="145">
        <v>63410.69</v>
      </c>
      <c r="C279" s="145">
        <v>63410.69</v>
      </c>
      <c r="D279" s="145">
        <v>0</v>
      </c>
      <c r="E279" s="203">
        <v>211</v>
      </c>
      <c r="F279" s="203">
        <v>286</v>
      </c>
      <c r="G279" s="145">
        <v>916.31</v>
      </c>
      <c r="H279" s="145">
        <v>357</v>
      </c>
    </row>
    <row r="280" spans="1:8" x14ac:dyDescent="0.2">
      <c r="A280" s="128">
        <v>44840</v>
      </c>
      <c r="B280" s="145">
        <v>70591.55</v>
      </c>
      <c r="C280" s="145">
        <v>70591.55</v>
      </c>
      <c r="D280" s="145">
        <v>0</v>
      </c>
      <c r="E280" s="203">
        <v>205</v>
      </c>
      <c r="F280" s="203">
        <v>335</v>
      </c>
      <c r="G280" s="145">
        <v>2894.45</v>
      </c>
      <c r="H280" s="145">
        <v>334</v>
      </c>
    </row>
    <row r="281" spans="1:8" x14ac:dyDescent="0.2">
      <c r="A281" s="128">
        <v>44841</v>
      </c>
      <c r="B281" s="145">
        <v>56426.45</v>
      </c>
      <c r="C281" s="145">
        <v>56390.74</v>
      </c>
      <c r="D281" s="145">
        <v>35.71</v>
      </c>
      <c r="E281" s="203">
        <v>194</v>
      </c>
      <c r="F281" s="203">
        <v>269</v>
      </c>
      <c r="G281" s="145">
        <v>1178.26</v>
      </c>
      <c r="H281" s="145">
        <v>478</v>
      </c>
    </row>
    <row r="282" spans="1:8" x14ac:dyDescent="0.2">
      <c r="A282" s="128">
        <v>44842</v>
      </c>
      <c r="B282" s="145">
        <v>34045.519999999997</v>
      </c>
      <c r="C282" s="145">
        <v>34045.519999999997</v>
      </c>
      <c r="D282" s="145">
        <v>0</v>
      </c>
      <c r="E282" s="203">
        <v>122</v>
      </c>
      <c r="F282" s="203">
        <v>153</v>
      </c>
      <c r="G282" s="145">
        <v>446.48</v>
      </c>
      <c r="H282" s="145">
        <v>0</v>
      </c>
    </row>
    <row r="283" spans="1:8" x14ac:dyDescent="0.2">
      <c r="A283" s="128">
        <v>44843</v>
      </c>
      <c r="B283" s="145">
        <v>31413.88</v>
      </c>
      <c r="C283" s="145">
        <v>31413.88</v>
      </c>
      <c r="D283" s="145">
        <v>0</v>
      </c>
      <c r="E283" s="203">
        <v>102</v>
      </c>
      <c r="F283" s="203">
        <v>147</v>
      </c>
      <c r="G283" s="145">
        <v>840.12</v>
      </c>
      <c r="H283" s="145">
        <v>0</v>
      </c>
    </row>
    <row r="284" spans="1:8" x14ac:dyDescent="0.2">
      <c r="A284" s="128">
        <v>44844</v>
      </c>
      <c r="B284" s="145">
        <v>83088.41</v>
      </c>
      <c r="C284" s="145">
        <v>83088.41</v>
      </c>
      <c r="D284" s="145">
        <v>0</v>
      </c>
      <c r="E284" s="203">
        <v>246</v>
      </c>
      <c r="F284" s="203">
        <v>405</v>
      </c>
      <c r="G284" s="145">
        <v>2369.59</v>
      </c>
      <c r="H284" s="145">
        <v>710</v>
      </c>
    </row>
    <row r="285" spans="1:8" x14ac:dyDescent="0.2">
      <c r="A285" s="128">
        <v>44845</v>
      </c>
      <c r="B285" s="145">
        <v>54145.53</v>
      </c>
      <c r="C285" s="145">
        <v>54098.21</v>
      </c>
      <c r="D285" s="145">
        <v>47.32</v>
      </c>
      <c r="E285" s="203">
        <v>183</v>
      </c>
      <c r="F285" s="203">
        <v>272</v>
      </c>
      <c r="G285" s="145">
        <v>1329.79</v>
      </c>
      <c r="H285" s="145">
        <v>827</v>
      </c>
    </row>
    <row r="286" spans="1:8" x14ac:dyDescent="0.2">
      <c r="A286" s="128">
        <v>44846</v>
      </c>
      <c r="B286" s="145">
        <v>28637.71</v>
      </c>
      <c r="C286" s="145">
        <v>28614.12</v>
      </c>
      <c r="D286" s="145">
        <v>23.59</v>
      </c>
      <c r="E286" s="203">
        <v>109</v>
      </c>
      <c r="F286" s="203">
        <v>130</v>
      </c>
      <c r="G286" s="145">
        <v>195.88</v>
      </c>
      <c r="H286" s="145">
        <v>0</v>
      </c>
    </row>
    <row r="287" spans="1:8" x14ac:dyDescent="0.2">
      <c r="A287" s="128">
        <v>44847</v>
      </c>
      <c r="B287" s="145">
        <v>75178.97</v>
      </c>
      <c r="C287" s="145">
        <v>75178.97</v>
      </c>
      <c r="D287" s="145">
        <v>0</v>
      </c>
      <c r="E287" s="203">
        <v>229</v>
      </c>
      <c r="F287" s="203">
        <v>356</v>
      </c>
      <c r="G287" s="145">
        <v>1836.03</v>
      </c>
      <c r="H287" s="145">
        <v>0</v>
      </c>
    </row>
    <row r="288" spans="1:8" x14ac:dyDescent="0.2">
      <c r="A288" s="128">
        <v>44848</v>
      </c>
      <c r="B288" s="145">
        <v>69021.100000000006</v>
      </c>
      <c r="C288" s="145">
        <v>69021.100000000006</v>
      </c>
      <c r="D288" s="145">
        <v>0</v>
      </c>
      <c r="E288" s="203">
        <v>211</v>
      </c>
      <c r="F288" s="203">
        <v>277</v>
      </c>
      <c r="G288" s="145">
        <v>2497.1</v>
      </c>
      <c r="H288" s="145">
        <v>199.8</v>
      </c>
    </row>
    <row r="289" spans="1:8" x14ac:dyDescent="0.2">
      <c r="A289" s="128">
        <v>44849</v>
      </c>
      <c r="B289" s="145">
        <v>32945.99</v>
      </c>
      <c r="C289" s="145">
        <v>32945.99</v>
      </c>
      <c r="D289" s="145">
        <v>0</v>
      </c>
      <c r="E289" s="203">
        <v>116</v>
      </c>
      <c r="F289" s="203">
        <v>142</v>
      </c>
      <c r="G289" s="145">
        <v>288.01</v>
      </c>
      <c r="H289" s="145">
        <v>0</v>
      </c>
    </row>
    <row r="290" spans="1:8" x14ac:dyDescent="0.2">
      <c r="A290" s="128">
        <v>44850</v>
      </c>
      <c r="B290" s="145">
        <v>33301.06</v>
      </c>
      <c r="C290" s="145">
        <v>33275.550000000003</v>
      </c>
      <c r="D290" s="145">
        <v>25.51</v>
      </c>
      <c r="E290" s="203">
        <v>100</v>
      </c>
      <c r="F290" s="203">
        <v>157</v>
      </c>
      <c r="G290" s="145">
        <v>1778.95</v>
      </c>
      <c r="H290" s="145">
        <v>733.5</v>
      </c>
    </row>
    <row r="291" spans="1:8" x14ac:dyDescent="0.2">
      <c r="A291" s="128">
        <v>44851</v>
      </c>
      <c r="B291" s="145">
        <v>54198.73</v>
      </c>
      <c r="C291" s="145">
        <v>54198.73</v>
      </c>
      <c r="D291" s="145">
        <v>0</v>
      </c>
      <c r="E291" s="203">
        <v>208</v>
      </c>
      <c r="F291" s="203">
        <v>256</v>
      </c>
      <c r="G291" s="145">
        <v>701.27</v>
      </c>
      <c r="H291" s="145">
        <v>299</v>
      </c>
    </row>
    <row r="292" spans="1:8" x14ac:dyDescent="0.2">
      <c r="A292" s="128">
        <v>44852</v>
      </c>
      <c r="B292" s="145">
        <v>53864.959999999999</v>
      </c>
      <c r="C292" s="145">
        <v>53839.25</v>
      </c>
      <c r="D292" s="145">
        <v>25.71</v>
      </c>
      <c r="E292" s="203">
        <v>186</v>
      </c>
      <c r="F292" s="203">
        <v>242</v>
      </c>
      <c r="G292" s="145">
        <v>1267.2</v>
      </c>
      <c r="H292" s="145">
        <v>1016.55</v>
      </c>
    </row>
    <row r="293" spans="1:8" x14ac:dyDescent="0.2">
      <c r="A293" s="128">
        <v>44853</v>
      </c>
      <c r="B293" s="145">
        <v>54580.46</v>
      </c>
      <c r="C293" s="145">
        <v>54580.46</v>
      </c>
      <c r="D293" s="145">
        <v>0</v>
      </c>
      <c r="E293" s="203">
        <v>203</v>
      </c>
      <c r="F293" s="203">
        <v>241</v>
      </c>
      <c r="G293" s="145">
        <v>934.54</v>
      </c>
      <c r="H293" s="145">
        <v>496</v>
      </c>
    </row>
    <row r="294" spans="1:8" x14ac:dyDescent="0.2">
      <c r="A294" s="128">
        <v>44854</v>
      </c>
      <c r="B294" s="145">
        <v>52917.62</v>
      </c>
      <c r="C294" s="145">
        <v>52917.62</v>
      </c>
      <c r="D294" s="145">
        <v>0</v>
      </c>
      <c r="E294" s="203">
        <v>197</v>
      </c>
      <c r="F294" s="203">
        <v>244</v>
      </c>
      <c r="G294" s="145">
        <v>579.38</v>
      </c>
      <c r="H294" s="145">
        <v>179</v>
      </c>
    </row>
    <row r="295" spans="1:8" x14ac:dyDescent="0.2">
      <c r="A295" s="128">
        <v>44855</v>
      </c>
      <c r="B295" s="145">
        <v>60429.95</v>
      </c>
      <c r="C295" s="145">
        <v>60429.95</v>
      </c>
      <c r="D295" s="145">
        <v>0</v>
      </c>
      <c r="E295" s="203">
        <v>207</v>
      </c>
      <c r="F295" s="203">
        <v>273</v>
      </c>
      <c r="G295" s="145">
        <v>1323.05</v>
      </c>
      <c r="H295" s="145">
        <v>111</v>
      </c>
    </row>
    <row r="296" spans="1:8" x14ac:dyDescent="0.2">
      <c r="A296" s="128">
        <v>44856</v>
      </c>
      <c r="B296" s="145">
        <v>44015.68</v>
      </c>
      <c r="C296" s="145">
        <v>44015.68</v>
      </c>
      <c r="D296" s="145">
        <v>0</v>
      </c>
      <c r="E296" s="203">
        <v>169</v>
      </c>
      <c r="F296" s="203">
        <v>225</v>
      </c>
      <c r="G296" s="145">
        <v>456.32</v>
      </c>
      <c r="H296" s="145">
        <v>0</v>
      </c>
    </row>
    <row r="297" spans="1:8" x14ac:dyDescent="0.2">
      <c r="A297" s="128">
        <v>44857</v>
      </c>
      <c r="B297" s="145">
        <v>24770.07</v>
      </c>
      <c r="C297" s="145">
        <v>24770.07</v>
      </c>
      <c r="D297" s="145">
        <v>0</v>
      </c>
      <c r="E297" s="203">
        <v>112</v>
      </c>
      <c r="F297" s="203">
        <v>142</v>
      </c>
      <c r="G297" s="145">
        <v>231.93</v>
      </c>
      <c r="H297" s="145">
        <v>0</v>
      </c>
    </row>
    <row r="298" spans="1:8" x14ac:dyDescent="0.2">
      <c r="A298" s="128">
        <v>44858</v>
      </c>
      <c r="B298" s="145">
        <v>43638.16</v>
      </c>
      <c r="C298" s="145">
        <v>43539.53</v>
      </c>
      <c r="D298" s="145">
        <v>98.63</v>
      </c>
      <c r="E298" s="203">
        <v>151</v>
      </c>
      <c r="F298" s="203">
        <v>181</v>
      </c>
      <c r="G298" s="145">
        <v>603.47</v>
      </c>
      <c r="H298" s="145">
        <v>370</v>
      </c>
    </row>
    <row r="299" spans="1:8" x14ac:dyDescent="0.2">
      <c r="A299" s="128">
        <v>44859</v>
      </c>
      <c r="B299" s="145">
        <v>42354.62</v>
      </c>
      <c r="C299" s="145">
        <v>42354.62</v>
      </c>
      <c r="D299" s="145">
        <v>0</v>
      </c>
      <c r="E299" s="203">
        <v>138</v>
      </c>
      <c r="F299" s="203">
        <v>195</v>
      </c>
      <c r="G299" s="145">
        <v>1466.38</v>
      </c>
      <c r="H299" s="145">
        <v>616</v>
      </c>
    </row>
    <row r="300" spans="1:8" x14ac:dyDescent="0.2">
      <c r="A300" s="128">
        <v>44860</v>
      </c>
      <c r="B300" s="145">
        <v>42003.97</v>
      </c>
      <c r="C300" s="145">
        <v>42003.97</v>
      </c>
      <c r="D300" s="145">
        <v>0</v>
      </c>
      <c r="E300" s="203">
        <v>152</v>
      </c>
      <c r="F300" s="203">
        <v>218</v>
      </c>
      <c r="G300" s="145">
        <v>5532.03</v>
      </c>
      <c r="H300" s="145">
        <v>179</v>
      </c>
    </row>
    <row r="301" spans="1:8" x14ac:dyDescent="0.2">
      <c r="A301" s="128">
        <v>44861</v>
      </c>
      <c r="B301" s="145">
        <v>41668.050000000003</v>
      </c>
      <c r="C301" s="145">
        <v>41645.82</v>
      </c>
      <c r="D301" s="145">
        <v>22.23</v>
      </c>
      <c r="E301" s="203">
        <v>144</v>
      </c>
      <c r="F301" s="203">
        <v>162</v>
      </c>
      <c r="G301" s="145">
        <v>681.18</v>
      </c>
      <c r="H301" s="145">
        <v>0</v>
      </c>
    </row>
    <row r="302" spans="1:8" x14ac:dyDescent="0.2">
      <c r="A302" s="128">
        <v>44862</v>
      </c>
      <c r="B302" s="145">
        <v>46037.66</v>
      </c>
      <c r="C302" s="145">
        <v>46037.66</v>
      </c>
      <c r="D302" s="145">
        <v>0</v>
      </c>
      <c r="E302" s="203">
        <v>161</v>
      </c>
      <c r="F302" s="203">
        <v>186</v>
      </c>
      <c r="G302" s="145">
        <v>621.34</v>
      </c>
      <c r="H302" s="145">
        <v>95</v>
      </c>
    </row>
    <row r="303" spans="1:8" x14ac:dyDescent="0.2">
      <c r="A303" s="128">
        <v>44863</v>
      </c>
      <c r="B303" s="145">
        <v>27353.200000000001</v>
      </c>
      <c r="C303" s="145">
        <v>27353.200000000001</v>
      </c>
      <c r="D303" s="145">
        <v>0</v>
      </c>
      <c r="E303" s="203">
        <v>101</v>
      </c>
      <c r="F303" s="203">
        <v>124</v>
      </c>
      <c r="G303" s="145">
        <v>316.8</v>
      </c>
      <c r="H303" s="145">
        <v>0</v>
      </c>
    </row>
    <row r="304" spans="1:8" x14ac:dyDescent="0.2">
      <c r="A304" s="128">
        <v>44864</v>
      </c>
      <c r="B304" s="145">
        <v>16529.8</v>
      </c>
      <c r="C304" s="145">
        <v>16529.8</v>
      </c>
      <c r="D304" s="145">
        <v>0</v>
      </c>
      <c r="E304" s="203">
        <v>59</v>
      </c>
      <c r="F304" s="203">
        <v>67</v>
      </c>
      <c r="G304" s="145">
        <v>52.2</v>
      </c>
      <c r="H304" s="145">
        <v>0</v>
      </c>
    </row>
    <row r="305" spans="1:8" x14ac:dyDescent="0.2">
      <c r="A305" s="128">
        <v>44865</v>
      </c>
      <c r="B305" s="145">
        <v>40416.239999999998</v>
      </c>
      <c r="C305" s="145">
        <v>40416.239999999998</v>
      </c>
      <c r="D305" s="145">
        <v>0</v>
      </c>
      <c r="E305" s="203">
        <v>142</v>
      </c>
      <c r="F305" s="203">
        <v>172</v>
      </c>
      <c r="G305" s="145">
        <v>1843.51</v>
      </c>
      <c r="H305" s="145">
        <v>1268.25</v>
      </c>
    </row>
    <row r="306" spans="1:8" x14ac:dyDescent="0.2">
      <c r="A306" s="128">
        <v>44866</v>
      </c>
      <c r="B306" s="145">
        <v>52463.95</v>
      </c>
      <c r="C306" s="145">
        <v>52463.95</v>
      </c>
      <c r="D306" s="145">
        <v>0</v>
      </c>
      <c r="E306" s="203">
        <v>183</v>
      </c>
      <c r="F306" s="203">
        <v>245</v>
      </c>
      <c r="G306" s="145">
        <v>1142</v>
      </c>
      <c r="H306" s="145">
        <v>1400.9</v>
      </c>
    </row>
    <row r="307" spans="1:8" x14ac:dyDescent="0.2">
      <c r="A307" s="128">
        <v>44867</v>
      </c>
      <c r="B307" s="145">
        <v>28179.040000000001</v>
      </c>
      <c r="C307" s="145">
        <v>28179.040000000001</v>
      </c>
      <c r="D307" s="145">
        <v>0</v>
      </c>
      <c r="E307" s="203">
        <v>107</v>
      </c>
      <c r="F307" s="203">
        <v>139</v>
      </c>
      <c r="G307" s="145">
        <v>213.41</v>
      </c>
      <c r="H307" s="145">
        <v>95</v>
      </c>
    </row>
    <row r="308" spans="1:8" x14ac:dyDescent="0.2">
      <c r="A308" s="128">
        <v>44868</v>
      </c>
      <c r="B308" s="145">
        <v>41401.97</v>
      </c>
      <c r="C308" s="145">
        <v>41357.79</v>
      </c>
      <c r="D308" s="145">
        <v>44.18</v>
      </c>
      <c r="E308" s="203">
        <v>154</v>
      </c>
      <c r="F308" s="203">
        <v>196</v>
      </c>
      <c r="G308" s="145">
        <v>655.41</v>
      </c>
      <c r="H308" s="145">
        <v>568.79999999999995</v>
      </c>
    </row>
    <row r="309" spans="1:8" x14ac:dyDescent="0.2">
      <c r="A309" s="128">
        <v>44869</v>
      </c>
      <c r="B309" s="145">
        <v>49293.59</v>
      </c>
      <c r="C309" s="145">
        <v>49293.59</v>
      </c>
      <c r="D309" s="145">
        <v>0</v>
      </c>
      <c r="E309" s="203">
        <v>178</v>
      </c>
      <c r="F309" s="203">
        <v>257</v>
      </c>
      <c r="G309" s="145">
        <v>10386.41</v>
      </c>
      <c r="H309" s="145">
        <v>299</v>
      </c>
    </row>
    <row r="310" spans="1:8" x14ac:dyDescent="0.2">
      <c r="A310" s="128">
        <v>44870</v>
      </c>
      <c r="B310" s="145">
        <v>32532.11</v>
      </c>
      <c r="C310" s="145">
        <v>32532.11</v>
      </c>
      <c r="D310" s="145">
        <v>0</v>
      </c>
      <c r="E310" s="203">
        <v>112</v>
      </c>
      <c r="F310" s="203">
        <v>137</v>
      </c>
      <c r="G310" s="145">
        <v>571.89</v>
      </c>
      <c r="H310" s="145">
        <v>0</v>
      </c>
    </row>
    <row r="311" spans="1:8" x14ac:dyDescent="0.2">
      <c r="A311" s="128">
        <v>44871</v>
      </c>
      <c r="B311" s="145">
        <v>18743.48</v>
      </c>
      <c r="C311" s="145">
        <v>18743.48</v>
      </c>
      <c r="D311" s="145">
        <v>0</v>
      </c>
      <c r="E311" s="203">
        <v>66</v>
      </c>
      <c r="F311" s="203">
        <v>83</v>
      </c>
      <c r="G311" s="145">
        <v>440.52</v>
      </c>
      <c r="H311" s="145">
        <v>0</v>
      </c>
    </row>
    <row r="312" spans="1:8" x14ac:dyDescent="0.2">
      <c r="A312" s="128">
        <v>44872</v>
      </c>
      <c r="B312" s="145">
        <v>50476.14</v>
      </c>
      <c r="C312" s="145">
        <v>50453.83</v>
      </c>
      <c r="D312" s="145">
        <v>22.31</v>
      </c>
      <c r="E312" s="203">
        <v>156</v>
      </c>
      <c r="F312" s="203">
        <v>236</v>
      </c>
      <c r="G312" s="145">
        <v>1762.17</v>
      </c>
      <c r="H312" s="145">
        <v>0</v>
      </c>
    </row>
    <row r="313" spans="1:8" x14ac:dyDescent="0.2">
      <c r="A313" s="128">
        <v>44873</v>
      </c>
      <c r="B313" s="145">
        <v>45692.1</v>
      </c>
      <c r="C313" s="145">
        <v>45692.1</v>
      </c>
      <c r="D313" s="145">
        <v>0</v>
      </c>
      <c r="E313" s="203">
        <v>157</v>
      </c>
      <c r="F313" s="203">
        <v>187</v>
      </c>
      <c r="G313" s="145">
        <v>926.9</v>
      </c>
      <c r="H313" s="145">
        <v>188</v>
      </c>
    </row>
    <row r="314" spans="1:8" x14ac:dyDescent="0.2">
      <c r="A314" s="128">
        <v>44874</v>
      </c>
      <c r="B314" s="145">
        <v>64711.35</v>
      </c>
      <c r="C314" s="145">
        <v>64711.35</v>
      </c>
      <c r="D314" s="145">
        <v>0</v>
      </c>
      <c r="E314" s="203">
        <v>281</v>
      </c>
      <c r="F314" s="203">
        <v>407</v>
      </c>
      <c r="G314" s="145">
        <v>3306.65</v>
      </c>
      <c r="H314" s="145">
        <v>744</v>
      </c>
    </row>
    <row r="315" spans="1:8" x14ac:dyDescent="0.2">
      <c r="A315" s="128">
        <v>44875</v>
      </c>
      <c r="B315" s="145">
        <v>62344.07</v>
      </c>
      <c r="C315" s="145">
        <v>62344.07</v>
      </c>
      <c r="D315" s="145">
        <v>0</v>
      </c>
      <c r="E315" s="203">
        <v>241</v>
      </c>
      <c r="F315" s="203">
        <v>356</v>
      </c>
      <c r="G315" s="145">
        <v>1255.93</v>
      </c>
      <c r="H315" s="145">
        <v>475</v>
      </c>
    </row>
    <row r="316" spans="1:8" x14ac:dyDescent="0.2">
      <c r="A316" s="128">
        <v>44876</v>
      </c>
      <c r="B316" s="145">
        <v>59936.65</v>
      </c>
      <c r="C316" s="145">
        <v>59936.65</v>
      </c>
      <c r="D316" s="145">
        <v>0</v>
      </c>
      <c r="E316" s="203">
        <v>246</v>
      </c>
      <c r="F316" s="203">
        <v>335</v>
      </c>
      <c r="G316" s="145">
        <v>3483.35</v>
      </c>
      <c r="H316" s="145">
        <v>0</v>
      </c>
    </row>
    <row r="317" spans="1:8" x14ac:dyDescent="0.2">
      <c r="A317" s="128">
        <v>44877</v>
      </c>
      <c r="B317" s="145">
        <v>34354.720000000001</v>
      </c>
      <c r="C317" s="145">
        <v>34354.720000000001</v>
      </c>
      <c r="D317" s="145">
        <v>0</v>
      </c>
      <c r="E317" s="203">
        <v>142</v>
      </c>
      <c r="F317" s="203">
        <v>200</v>
      </c>
      <c r="G317" s="145">
        <v>457.28</v>
      </c>
      <c r="H317" s="145">
        <v>0</v>
      </c>
    </row>
    <row r="318" spans="1:8" x14ac:dyDescent="0.2">
      <c r="A318" s="128">
        <v>44878</v>
      </c>
      <c r="B318" s="145">
        <v>20268.12</v>
      </c>
      <c r="C318" s="145">
        <v>20268.12</v>
      </c>
      <c r="D318" s="145">
        <v>0</v>
      </c>
      <c r="E318" s="203">
        <v>90</v>
      </c>
      <c r="F318" s="203">
        <v>118</v>
      </c>
      <c r="G318" s="145">
        <v>209.88</v>
      </c>
      <c r="H318" s="145">
        <v>0</v>
      </c>
    </row>
    <row r="319" spans="1:8" x14ac:dyDescent="0.2">
      <c r="A319" s="128">
        <v>44879</v>
      </c>
      <c r="B319" s="145">
        <v>48541.04</v>
      </c>
      <c r="C319" s="145">
        <v>48516.29</v>
      </c>
      <c r="D319" s="145">
        <v>24.75</v>
      </c>
      <c r="E319" s="203">
        <v>190</v>
      </c>
      <c r="F319" s="203">
        <v>275</v>
      </c>
      <c r="G319" s="145">
        <v>499.71</v>
      </c>
      <c r="H319" s="145">
        <v>505</v>
      </c>
    </row>
    <row r="320" spans="1:8" x14ac:dyDescent="0.2">
      <c r="A320" s="128">
        <v>44880</v>
      </c>
      <c r="B320" s="145">
        <v>45918.36</v>
      </c>
      <c r="C320" s="145">
        <v>45918.36</v>
      </c>
      <c r="D320" s="145">
        <v>0</v>
      </c>
      <c r="E320" s="203">
        <v>190</v>
      </c>
      <c r="F320" s="203">
        <v>287</v>
      </c>
      <c r="G320" s="145">
        <v>150.63999999999999</v>
      </c>
      <c r="H320" s="145">
        <v>0</v>
      </c>
    </row>
    <row r="321" spans="1:8" x14ac:dyDescent="0.2">
      <c r="A321" s="128">
        <v>44881</v>
      </c>
      <c r="B321" s="145">
        <v>47671.23</v>
      </c>
      <c r="C321" s="145">
        <v>47671.23</v>
      </c>
      <c r="D321" s="145">
        <v>0</v>
      </c>
      <c r="E321" s="203">
        <v>164</v>
      </c>
      <c r="F321" s="203">
        <v>207</v>
      </c>
      <c r="G321" s="145">
        <v>1760.77</v>
      </c>
      <c r="H321" s="145">
        <v>167</v>
      </c>
    </row>
    <row r="322" spans="1:8" x14ac:dyDescent="0.2">
      <c r="A322" s="128">
        <v>44882</v>
      </c>
      <c r="B322" s="145">
        <v>57858.69</v>
      </c>
      <c r="C322" s="145">
        <v>57814.49</v>
      </c>
      <c r="D322" s="145">
        <v>44.2</v>
      </c>
      <c r="E322" s="203">
        <v>167</v>
      </c>
      <c r="F322" s="203">
        <v>256</v>
      </c>
      <c r="G322" s="145">
        <v>2756.16</v>
      </c>
      <c r="H322" s="145">
        <v>754.35</v>
      </c>
    </row>
    <row r="323" spans="1:8" x14ac:dyDescent="0.2">
      <c r="A323" s="128">
        <v>44883</v>
      </c>
      <c r="B323" s="145">
        <v>60713.56</v>
      </c>
      <c r="C323" s="145">
        <v>60691.73</v>
      </c>
      <c r="D323" s="145">
        <v>21.83</v>
      </c>
      <c r="E323" s="203">
        <v>175</v>
      </c>
      <c r="F323" s="203">
        <v>255</v>
      </c>
      <c r="G323" s="145">
        <v>1873.47</v>
      </c>
      <c r="H323" s="145">
        <v>1563.8</v>
      </c>
    </row>
    <row r="324" spans="1:8" x14ac:dyDescent="0.2">
      <c r="A324" s="128">
        <v>44884</v>
      </c>
      <c r="B324" s="145">
        <v>34580.47</v>
      </c>
      <c r="C324" s="145">
        <v>34580.47</v>
      </c>
      <c r="D324" s="145">
        <v>0</v>
      </c>
      <c r="E324" s="203">
        <v>107</v>
      </c>
      <c r="F324" s="203">
        <v>137</v>
      </c>
      <c r="G324" s="145">
        <v>550.53</v>
      </c>
      <c r="H324" s="145">
        <v>0</v>
      </c>
    </row>
    <row r="325" spans="1:8" x14ac:dyDescent="0.2">
      <c r="A325" s="128">
        <v>44885</v>
      </c>
      <c r="B325" s="145">
        <v>24648.560000000001</v>
      </c>
      <c r="C325" s="145">
        <v>24648.560000000001</v>
      </c>
      <c r="D325" s="145">
        <v>0</v>
      </c>
      <c r="E325" s="203">
        <v>71</v>
      </c>
      <c r="F325" s="203">
        <v>87</v>
      </c>
      <c r="G325" s="145">
        <v>274.44</v>
      </c>
      <c r="H325" s="145">
        <v>197</v>
      </c>
    </row>
    <row r="326" spans="1:8" x14ac:dyDescent="0.2">
      <c r="A326" s="128">
        <v>44886</v>
      </c>
      <c r="B326" s="145">
        <v>77449.23</v>
      </c>
      <c r="C326" s="145">
        <v>77449.23</v>
      </c>
      <c r="D326" s="145">
        <v>0</v>
      </c>
      <c r="E326" s="203">
        <v>268</v>
      </c>
      <c r="F326" s="203">
        <v>359</v>
      </c>
      <c r="G326" s="145">
        <v>67.3</v>
      </c>
      <c r="H326" s="145">
        <v>2456.77</v>
      </c>
    </row>
    <row r="327" spans="1:8" x14ac:dyDescent="0.2">
      <c r="A327" s="128">
        <v>44887</v>
      </c>
      <c r="B327" s="145">
        <v>72089.929999999993</v>
      </c>
      <c r="C327" s="145">
        <v>72089.929999999993</v>
      </c>
      <c r="D327" s="145">
        <v>0</v>
      </c>
      <c r="E327" s="203">
        <v>240</v>
      </c>
      <c r="F327" s="203">
        <v>317</v>
      </c>
      <c r="G327" s="145">
        <v>52.2</v>
      </c>
      <c r="H327" s="145">
        <v>306.5</v>
      </c>
    </row>
    <row r="328" spans="1:8" x14ac:dyDescent="0.2">
      <c r="A328" s="128">
        <v>44888</v>
      </c>
      <c r="B328" s="145">
        <v>72712.94</v>
      </c>
      <c r="C328" s="145">
        <v>72680.87</v>
      </c>
      <c r="D328" s="145">
        <v>32.07</v>
      </c>
      <c r="E328" s="203">
        <v>235</v>
      </c>
      <c r="F328" s="203">
        <v>312</v>
      </c>
      <c r="G328" s="145">
        <v>58.32</v>
      </c>
      <c r="H328" s="145">
        <v>516</v>
      </c>
    </row>
    <row r="329" spans="1:8" x14ac:dyDescent="0.2">
      <c r="A329" s="128">
        <v>44889</v>
      </c>
      <c r="B329" s="145">
        <v>72854.37</v>
      </c>
      <c r="C329" s="145">
        <v>72854.37</v>
      </c>
      <c r="D329" s="145">
        <v>0</v>
      </c>
      <c r="E329" s="203">
        <v>230</v>
      </c>
      <c r="F329" s="203">
        <v>302</v>
      </c>
      <c r="G329" s="145">
        <v>123.02</v>
      </c>
      <c r="H329" s="145">
        <v>838.02</v>
      </c>
    </row>
    <row r="330" spans="1:8" x14ac:dyDescent="0.2">
      <c r="A330" s="128">
        <v>44890</v>
      </c>
      <c r="B330" s="145">
        <v>202447.33</v>
      </c>
      <c r="C330" s="145">
        <v>202411.28</v>
      </c>
      <c r="D330" s="145">
        <v>36.049999999999997</v>
      </c>
      <c r="E330" s="203">
        <v>631</v>
      </c>
      <c r="F330" s="203">
        <v>958</v>
      </c>
      <c r="G330" s="145">
        <v>877.36</v>
      </c>
      <c r="H330" s="145">
        <v>1498.62</v>
      </c>
    </row>
    <row r="331" spans="1:8" x14ac:dyDescent="0.2">
      <c r="A331" s="128">
        <v>44891</v>
      </c>
      <c r="B331" s="145">
        <v>72318.87</v>
      </c>
      <c r="C331" s="145">
        <v>72318.87</v>
      </c>
      <c r="D331" s="145">
        <v>0</v>
      </c>
      <c r="E331" s="203">
        <v>256</v>
      </c>
      <c r="F331" s="203">
        <v>331</v>
      </c>
      <c r="G331" s="145">
        <v>34.700000000000003</v>
      </c>
      <c r="H331" s="145">
        <v>0</v>
      </c>
    </row>
    <row r="332" spans="1:8" x14ac:dyDescent="0.2">
      <c r="A332" s="128">
        <v>44892</v>
      </c>
      <c r="B332" s="145">
        <v>105709.64</v>
      </c>
      <c r="C332" s="145">
        <v>105709.64</v>
      </c>
      <c r="D332" s="145">
        <v>0</v>
      </c>
      <c r="E332" s="203">
        <v>330</v>
      </c>
      <c r="F332" s="203">
        <v>510</v>
      </c>
      <c r="G332" s="145">
        <v>172.11</v>
      </c>
      <c r="H332" s="145">
        <v>0</v>
      </c>
    </row>
    <row r="333" spans="1:8" x14ac:dyDescent="0.2">
      <c r="A333" s="128">
        <v>44893</v>
      </c>
      <c r="B333" s="145">
        <v>128206.03</v>
      </c>
      <c r="C333" s="145">
        <v>128126.18</v>
      </c>
      <c r="D333" s="145">
        <v>79.849999999999994</v>
      </c>
      <c r="E333" s="203">
        <v>607</v>
      </c>
      <c r="F333" s="203">
        <v>1457</v>
      </c>
      <c r="G333" s="145">
        <v>85671.07</v>
      </c>
      <c r="H333" s="145">
        <v>1159</v>
      </c>
    </row>
    <row r="334" spans="1:8" x14ac:dyDescent="0.2">
      <c r="A334" s="128">
        <v>44894</v>
      </c>
      <c r="B334" s="145">
        <v>79620.41</v>
      </c>
      <c r="C334" s="145">
        <v>79598.100000000006</v>
      </c>
      <c r="D334" s="145">
        <v>22.31</v>
      </c>
      <c r="E334" s="203">
        <v>325</v>
      </c>
      <c r="F334" s="203">
        <v>501</v>
      </c>
      <c r="G334" s="145">
        <v>1151.03</v>
      </c>
      <c r="H334" s="145">
        <v>1142.8699999999999</v>
      </c>
    </row>
    <row r="335" spans="1:8" x14ac:dyDescent="0.2">
      <c r="A335" s="128">
        <v>44895</v>
      </c>
      <c r="B335" s="145">
        <v>72792.55</v>
      </c>
      <c r="C335" s="145">
        <v>72770.240000000005</v>
      </c>
      <c r="D335" s="145">
        <v>22.31</v>
      </c>
      <c r="E335" s="203">
        <v>257</v>
      </c>
      <c r="F335" s="203">
        <v>392</v>
      </c>
      <c r="G335" s="145">
        <v>2048.06</v>
      </c>
      <c r="H335" s="145">
        <v>640.70000000000005</v>
      </c>
    </row>
    <row r="336" spans="1:8" x14ac:dyDescent="0.2">
      <c r="A336" s="128">
        <v>44896</v>
      </c>
      <c r="B336" s="145">
        <v>86486.31</v>
      </c>
      <c r="C336" s="145">
        <v>86486.31</v>
      </c>
      <c r="D336" s="145">
        <v>0</v>
      </c>
      <c r="E336" s="203">
        <v>256</v>
      </c>
      <c r="F336" s="203">
        <v>350</v>
      </c>
      <c r="G336" s="145">
        <v>638.59</v>
      </c>
      <c r="H336" s="145">
        <v>547</v>
      </c>
    </row>
    <row r="337" spans="1:8" x14ac:dyDescent="0.2">
      <c r="A337" s="128">
        <v>44897</v>
      </c>
      <c r="B337" s="145">
        <v>74098.990000000005</v>
      </c>
      <c r="C337" s="145">
        <v>74098.990000000005</v>
      </c>
      <c r="D337" s="145">
        <v>0</v>
      </c>
      <c r="E337" s="203">
        <v>217</v>
      </c>
      <c r="F337" s="203">
        <v>296</v>
      </c>
      <c r="G337" s="145">
        <v>414.76</v>
      </c>
      <c r="H337" s="145">
        <v>992.05</v>
      </c>
    </row>
    <row r="338" spans="1:8" x14ac:dyDescent="0.2">
      <c r="A338" s="128">
        <v>44898</v>
      </c>
      <c r="B338" s="145">
        <v>37757.5</v>
      </c>
      <c r="C338" s="145">
        <v>37735.550000000003</v>
      </c>
      <c r="D338" s="145">
        <v>21.95</v>
      </c>
      <c r="E338" s="203">
        <v>140</v>
      </c>
      <c r="F338" s="203">
        <v>169</v>
      </c>
      <c r="G338" s="145">
        <v>150.44999999999999</v>
      </c>
      <c r="H338" s="145">
        <v>0</v>
      </c>
    </row>
    <row r="339" spans="1:8" x14ac:dyDescent="0.2">
      <c r="A339" s="128">
        <v>44899</v>
      </c>
      <c r="B339" s="145">
        <v>39635.199999999997</v>
      </c>
      <c r="C339" s="145">
        <v>39635.199999999997</v>
      </c>
      <c r="D339" s="145">
        <v>0</v>
      </c>
      <c r="E339" s="203">
        <v>141</v>
      </c>
      <c r="F339" s="203">
        <v>159</v>
      </c>
      <c r="G339" s="145">
        <v>34.700000000000003</v>
      </c>
      <c r="H339" s="145">
        <v>0</v>
      </c>
    </row>
    <row r="340" spans="1:8" x14ac:dyDescent="0.2">
      <c r="A340" s="128">
        <v>44900</v>
      </c>
      <c r="B340" s="145">
        <v>148777.51</v>
      </c>
      <c r="C340" s="145">
        <v>148777.51</v>
      </c>
      <c r="D340" s="145">
        <v>0</v>
      </c>
      <c r="E340" s="203">
        <v>679</v>
      </c>
      <c r="F340" s="203">
        <v>1098</v>
      </c>
      <c r="G340" s="145">
        <v>398.42</v>
      </c>
      <c r="H340" s="145">
        <v>1503.67</v>
      </c>
    </row>
    <row r="341" spans="1:8" x14ac:dyDescent="0.2">
      <c r="A341" s="128">
        <v>44901</v>
      </c>
      <c r="B341" s="145">
        <v>82021.7</v>
      </c>
      <c r="C341" s="145">
        <v>81996.63</v>
      </c>
      <c r="D341" s="145">
        <v>25.07</v>
      </c>
      <c r="E341" s="203">
        <v>267</v>
      </c>
      <c r="F341" s="203">
        <v>355</v>
      </c>
      <c r="G341" s="145">
        <v>477.27</v>
      </c>
      <c r="H341" s="145">
        <v>1641.1</v>
      </c>
    </row>
    <row r="342" spans="1:8" x14ac:dyDescent="0.2">
      <c r="A342" s="128">
        <v>44902</v>
      </c>
      <c r="B342" s="145">
        <v>112728.83</v>
      </c>
      <c r="C342" s="145">
        <v>112706.6</v>
      </c>
      <c r="D342" s="145">
        <v>22.23</v>
      </c>
      <c r="E342" s="203">
        <v>315</v>
      </c>
      <c r="F342" s="203">
        <v>429</v>
      </c>
      <c r="G342" s="145">
        <v>3045.9</v>
      </c>
      <c r="H342" s="145">
        <v>443</v>
      </c>
    </row>
    <row r="343" spans="1:8" x14ac:dyDescent="0.2">
      <c r="A343" s="128">
        <v>44903</v>
      </c>
      <c r="B343" s="145">
        <v>97402.85</v>
      </c>
      <c r="C343" s="145">
        <v>97402.85</v>
      </c>
      <c r="D343" s="145">
        <v>0</v>
      </c>
      <c r="E343" s="203">
        <v>293</v>
      </c>
      <c r="F343" s="203">
        <v>387</v>
      </c>
      <c r="G343" s="145">
        <v>145.35</v>
      </c>
      <c r="H343" s="145">
        <v>1225.5</v>
      </c>
    </row>
    <row r="344" spans="1:8" x14ac:dyDescent="0.2">
      <c r="A344" s="128">
        <v>44904</v>
      </c>
      <c r="B344" s="145">
        <v>72230.45</v>
      </c>
      <c r="C344" s="145">
        <v>72230.45</v>
      </c>
      <c r="D344" s="145">
        <v>0</v>
      </c>
      <c r="E344" s="203">
        <v>222</v>
      </c>
      <c r="F344" s="203">
        <v>278</v>
      </c>
      <c r="G344" s="145">
        <v>329.3</v>
      </c>
      <c r="H344" s="145">
        <v>1129</v>
      </c>
    </row>
    <row r="345" spans="1:8" x14ac:dyDescent="0.2">
      <c r="A345" s="128">
        <v>44905</v>
      </c>
      <c r="B345" s="145">
        <v>55323.9</v>
      </c>
      <c r="C345" s="145">
        <v>55323.9</v>
      </c>
      <c r="D345" s="145">
        <v>0</v>
      </c>
      <c r="E345" s="203">
        <v>179</v>
      </c>
      <c r="F345" s="203">
        <v>209</v>
      </c>
      <c r="G345" s="145">
        <v>246.1</v>
      </c>
      <c r="H345" s="145">
        <v>190</v>
      </c>
    </row>
    <row r="346" spans="1:8" x14ac:dyDescent="0.2">
      <c r="A346" s="128">
        <v>44906</v>
      </c>
      <c r="B346" s="145">
        <v>38946.699999999997</v>
      </c>
      <c r="C346" s="145">
        <v>38946.699999999997</v>
      </c>
      <c r="D346" s="145">
        <v>0</v>
      </c>
      <c r="E346" s="203">
        <v>127</v>
      </c>
      <c r="F346" s="203">
        <v>161</v>
      </c>
      <c r="G346" s="145">
        <v>55.05</v>
      </c>
      <c r="H346" s="145">
        <v>773.8</v>
      </c>
    </row>
    <row r="347" spans="1:8" x14ac:dyDescent="0.2">
      <c r="A347" s="128">
        <v>44907</v>
      </c>
      <c r="B347" s="145">
        <v>122650.9</v>
      </c>
      <c r="C347" s="145">
        <v>122650.9</v>
      </c>
      <c r="D347" s="145">
        <v>0</v>
      </c>
      <c r="E347" s="203">
        <v>374</v>
      </c>
      <c r="F347" s="203">
        <v>599</v>
      </c>
      <c r="G347" s="145">
        <v>6237.35</v>
      </c>
      <c r="H347" s="145">
        <v>1953.8</v>
      </c>
    </row>
    <row r="348" spans="1:8" x14ac:dyDescent="0.2">
      <c r="A348" s="128">
        <v>44908</v>
      </c>
      <c r="B348" s="145">
        <v>151315.48000000001</v>
      </c>
      <c r="C348" s="145">
        <v>151315.48000000001</v>
      </c>
      <c r="D348" s="145">
        <v>0</v>
      </c>
      <c r="E348" s="203">
        <v>417</v>
      </c>
      <c r="F348" s="203">
        <v>622</v>
      </c>
      <c r="G348" s="145">
        <v>882.22</v>
      </c>
      <c r="H348" s="145">
        <v>876.15</v>
      </c>
    </row>
    <row r="349" spans="1:8" x14ac:dyDescent="0.2">
      <c r="A349" s="128">
        <v>44909</v>
      </c>
      <c r="B349" s="145">
        <v>139784.79</v>
      </c>
      <c r="C349" s="145">
        <v>139667.01999999999</v>
      </c>
      <c r="D349" s="145">
        <v>117.77</v>
      </c>
      <c r="E349" s="203">
        <v>416</v>
      </c>
      <c r="F349" s="203">
        <v>793</v>
      </c>
      <c r="G349" s="145">
        <v>33850.43</v>
      </c>
      <c r="H349" s="145">
        <v>1780.75</v>
      </c>
    </row>
    <row r="350" spans="1:8" x14ac:dyDescent="0.2">
      <c r="A350" s="128">
        <v>44910</v>
      </c>
      <c r="B350" s="145">
        <v>140222.95000000001</v>
      </c>
      <c r="C350" s="145">
        <v>140183.35999999999</v>
      </c>
      <c r="D350" s="145">
        <v>39.590000000000003</v>
      </c>
      <c r="E350" s="203">
        <v>439</v>
      </c>
      <c r="F350" s="203">
        <v>575</v>
      </c>
      <c r="G350" s="145">
        <v>787.56</v>
      </c>
      <c r="H350" s="145">
        <v>1631.58</v>
      </c>
    </row>
    <row r="351" spans="1:8" x14ac:dyDescent="0.2">
      <c r="A351" s="128">
        <v>44911</v>
      </c>
      <c r="B351" s="145">
        <v>116080.44</v>
      </c>
      <c r="C351" s="145">
        <v>116080.44</v>
      </c>
      <c r="D351" s="145">
        <v>0</v>
      </c>
      <c r="E351" s="203">
        <v>397</v>
      </c>
      <c r="F351" s="203">
        <v>476</v>
      </c>
      <c r="G351" s="145">
        <v>602.26</v>
      </c>
      <c r="H351" s="145">
        <v>684.5</v>
      </c>
    </row>
    <row r="352" spans="1:8" x14ac:dyDescent="0.2">
      <c r="A352" s="128">
        <v>44912</v>
      </c>
      <c r="B352" s="145">
        <v>89484.36</v>
      </c>
      <c r="C352" s="145">
        <v>89484.36</v>
      </c>
      <c r="D352" s="145">
        <v>0</v>
      </c>
      <c r="E352" s="203">
        <v>293</v>
      </c>
      <c r="F352" s="203">
        <v>355</v>
      </c>
      <c r="G352" s="145">
        <v>222.99</v>
      </c>
      <c r="H352" s="145">
        <v>188</v>
      </c>
    </row>
    <row r="353" spans="1:8" x14ac:dyDescent="0.2">
      <c r="A353" s="128">
        <v>44913</v>
      </c>
      <c r="B353" s="145">
        <v>65863.39</v>
      </c>
      <c r="C353" s="145">
        <v>65816.350000000006</v>
      </c>
      <c r="D353" s="145">
        <v>47.04</v>
      </c>
      <c r="E353" s="203">
        <v>209</v>
      </c>
      <c r="F353" s="203">
        <v>256</v>
      </c>
      <c r="G353" s="145">
        <v>199.35</v>
      </c>
      <c r="H353" s="145">
        <v>0</v>
      </c>
    </row>
    <row r="354" spans="1:8" x14ac:dyDescent="0.2">
      <c r="A354" s="128">
        <v>44914</v>
      </c>
      <c r="B354" s="145">
        <v>213431.53</v>
      </c>
      <c r="C354" s="145">
        <v>213390.42</v>
      </c>
      <c r="D354" s="145">
        <v>41.11</v>
      </c>
      <c r="E354" s="203">
        <v>654</v>
      </c>
      <c r="F354" s="203">
        <v>821</v>
      </c>
      <c r="G354" s="145">
        <v>601.96</v>
      </c>
      <c r="H354" s="145">
        <v>3440.97</v>
      </c>
    </row>
    <row r="355" spans="1:8" x14ac:dyDescent="0.2">
      <c r="A355" s="128">
        <v>44915</v>
      </c>
      <c r="B355" s="145">
        <v>196362.28</v>
      </c>
      <c r="C355" s="145">
        <v>196362.28</v>
      </c>
      <c r="D355" s="145">
        <v>0</v>
      </c>
      <c r="E355" s="203">
        <v>597</v>
      </c>
      <c r="F355" s="203">
        <v>807</v>
      </c>
      <c r="G355" s="145">
        <v>8155.77</v>
      </c>
      <c r="H355" s="145">
        <v>976.65</v>
      </c>
    </row>
    <row r="356" spans="1:8" x14ac:dyDescent="0.2">
      <c r="A356" s="128">
        <v>44916</v>
      </c>
      <c r="B356" s="145">
        <v>208403.15</v>
      </c>
      <c r="C356" s="145">
        <v>208358.09</v>
      </c>
      <c r="D356" s="145">
        <v>45.06</v>
      </c>
      <c r="E356" s="203">
        <v>635</v>
      </c>
      <c r="F356" s="203">
        <v>866</v>
      </c>
      <c r="G356" s="145">
        <v>1336.21</v>
      </c>
      <c r="H356" s="145">
        <v>1288.5999999999999</v>
      </c>
    </row>
    <row r="357" spans="1:8" x14ac:dyDescent="0.2">
      <c r="A357" s="128">
        <v>44917</v>
      </c>
      <c r="B357" s="145">
        <v>235208.07</v>
      </c>
      <c r="C357" s="145">
        <v>235161.69</v>
      </c>
      <c r="D357" s="145">
        <v>73.73</v>
      </c>
      <c r="E357" s="203">
        <v>717</v>
      </c>
      <c r="F357" s="203">
        <v>943</v>
      </c>
      <c r="G357" s="145">
        <v>1849.16</v>
      </c>
      <c r="H357" s="145">
        <v>2493.35</v>
      </c>
    </row>
    <row r="358" spans="1:8" x14ac:dyDescent="0.2">
      <c r="A358" s="128">
        <v>44918</v>
      </c>
      <c r="B358" s="145">
        <v>272208.45</v>
      </c>
      <c r="C358" s="145">
        <v>272208.45</v>
      </c>
      <c r="D358" s="145">
        <v>0</v>
      </c>
      <c r="E358" s="203">
        <v>844</v>
      </c>
      <c r="F358" s="203">
        <v>1071</v>
      </c>
      <c r="G358" s="145">
        <v>1334.55</v>
      </c>
      <c r="H358" s="145">
        <v>0</v>
      </c>
    </row>
    <row r="359" spans="1:8" x14ac:dyDescent="0.2">
      <c r="A359" s="128">
        <v>44919</v>
      </c>
      <c r="B359" s="145">
        <v>266775.34999999998</v>
      </c>
      <c r="C359" s="145">
        <v>266684.13</v>
      </c>
      <c r="D359" s="145">
        <v>91.22</v>
      </c>
      <c r="E359" s="203">
        <v>817</v>
      </c>
      <c r="F359" s="203">
        <v>1038</v>
      </c>
      <c r="G359" s="145">
        <v>1213.02</v>
      </c>
      <c r="H359" s="145">
        <v>0</v>
      </c>
    </row>
    <row r="360" spans="1:8" x14ac:dyDescent="0.2">
      <c r="A360" s="128">
        <v>44920</v>
      </c>
      <c r="B360" s="145">
        <v>59416.77</v>
      </c>
      <c r="C360" s="145">
        <v>59393.62</v>
      </c>
      <c r="D360" s="145">
        <v>23.15</v>
      </c>
      <c r="E360" s="203">
        <v>193</v>
      </c>
      <c r="F360" s="203">
        <v>238</v>
      </c>
      <c r="G360" s="145">
        <v>246.13</v>
      </c>
      <c r="H360" s="145">
        <v>0</v>
      </c>
    </row>
    <row r="361" spans="1:8" x14ac:dyDescent="0.2">
      <c r="A361" s="128">
        <v>44921</v>
      </c>
      <c r="B361" s="145">
        <v>76654.78</v>
      </c>
      <c r="C361" s="145">
        <v>76654.78</v>
      </c>
      <c r="D361" s="145">
        <v>0</v>
      </c>
      <c r="E361" s="203">
        <v>256</v>
      </c>
      <c r="F361" s="203">
        <v>306</v>
      </c>
      <c r="G361" s="145">
        <v>348.12</v>
      </c>
      <c r="H361" s="145">
        <v>271.14999999999998</v>
      </c>
    </row>
    <row r="362" spans="1:8" x14ac:dyDescent="0.2">
      <c r="A362" s="128">
        <v>44922</v>
      </c>
      <c r="B362" s="145">
        <v>69194.399999999994</v>
      </c>
      <c r="C362" s="145">
        <v>69162.710000000006</v>
      </c>
      <c r="D362" s="145">
        <v>31.69</v>
      </c>
      <c r="E362" s="203">
        <v>225</v>
      </c>
      <c r="F362" s="203">
        <v>314</v>
      </c>
      <c r="G362" s="145">
        <v>4518.84</v>
      </c>
      <c r="H362" s="145">
        <v>1481.55</v>
      </c>
    </row>
    <row r="363" spans="1:8" x14ac:dyDescent="0.2">
      <c r="A363" s="128">
        <v>44923</v>
      </c>
      <c r="B363" s="145">
        <v>60668.97</v>
      </c>
      <c r="C363" s="145">
        <v>60668.97</v>
      </c>
      <c r="D363" s="145">
        <v>0</v>
      </c>
      <c r="E363" s="203">
        <v>203</v>
      </c>
      <c r="F363" s="203">
        <v>255</v>
      </c>
      <c r="G363" s="145">
        <v>6830.93</v>
      </c>
      <c r="H363" s="145">
        <v>1497.5</v>
      </c>
    </row>
    <row r="364" spans="1:8" x14ac:dyDescent="0.2">
      <c r="A364" s="128">
        <v>44924</v>
      </c>
      <c r="B364" s="145">
        <v>50730.98</v>
      </c>
      <c r="C364" s="145">
        <v>50673.86</v>
      </c>
      <c r="D364" s="145">
        <v>57.12</v>
      </c>
      <c r="E364" s="203">
        <v>168</v>
      </c>
      <c r="F364" s="203">
        <v>209</v>
      </c>
      <c r="G364" s="145">
        <v>188.29</v>
      </c>
      <c r="H364" s="145">
        <v>0</v>
      </c>
    </row>
    <row r="365" spans="1:8" x14ac:dyDescent="0.2">
      <c r="A365" s="128">
        <v>44925</v>
      </c>
      <c r="B365" s="145">
        <v>62888.12</v>
      </c>
      <c r="C365" s="145">
        <v>62888.12</v>
      </c>
      <c r="D365" s="145">
        <v>0</v>
      </c>
      <c r="E365" s="203">
        <v>122</v>
      </c>
      <c r="F365" s="203">
        <v>298</v>
      </c>
      <c r="G365" s="145">
        <v>327.25</v>
      </c>
      <c r="H365" s="145">
        <v>3763.88</v>
      </c>
    </row>
    <row r="366" spans="1:8" x14ac:dyDescent="0.2">
      <c r="A366" s="128">
        <v>44926</v>
      </c>
      <c r="B366" s="145">
        <v>27474.32</v>
      </c>
      <c r="C366" s="145">
        <v>27474.32</v>
      </c>
      <c r="D366" s="145">
        <v>0</v>
      </c>
      <c r="E366" s="203">
        <v>75</v>
      </c>
      <c r="F366" s="203">
        <v>93</v>
      </c>
      <c r="G366" s="145">
        <v>67.58</v>
      </c>
      <c r="H366" s="145">
        <v>0</v>
      </c>
    </row>
    <row r="367" spans="1:8" x14ac:dyDescent="0.2">
      <c r="A367" s="128">
        <v>44927</v>
      </c>
      <c r="B367" s="145">
        <v>6682.58</v>
      </c>
      <c r="C367" s="145">
        <v>6660.35</v>
      </c>
      <c r="D367" s="145">
        <v>22.23</v>
      </c>
      <c r="E367" s="203">
        <v>25</v>
      </c>
      <c r="F367" s="203">
        <v>33</v>
      </c>
      <c r="G367" s="145">
        <v>74.3</v>
      </c>
      <c r="H367" s="145">
        <v>0</v>
      </c>
    </row>
    <row r="368" spans="1:8" x14ac:dyDescent="0.2">
      <c r="A368" s="128">
        <v>44928</v>
      </c>
      <c r="B368" s="145">
        <v>42296.45</v>
      </c>
      <c r="C368" s="145">
        <v>42272.44</v>
      </c>
      <c r="D368" s="145">
        <v>24.01</v>
      </c>
      <c r="E368" s="203">
        <v>141</v>
      </c>
      <c r="F368" s="203">
        <v>168</v>
      </c>
      <c r="G368" s="145">
        <v>555.76</v>
      </c>
      <c r="H368" s="145">
        <v>499.8</v>
      </c>
    </row>
    <row r="369" spans="1:8" x14ac:dyDescent="0.2">
      <c r="A369" s="128">
        <v>44929</v>
      </c>
      <c r="B369" s="145">
        <v>43147.4</v>
      </c>
      <c r="C369" s="145">
        <v>43147.4</v>
      </c>
      <c r="D369" s="145">
        <v>0</v>
      </c>
      <c r="E369" s="203">
        <v>139</v>
      </c>
      <c r="F369" s="203">
        <v>170</v>
      </c>
      <c r="G369" s="145">
        <v>698.8</v>
      </c>
      <c r="H369" s="145">
        <v>689.8</v>
      </c>
    </row>
    <row r="370" spans="1:8" x14ac:dyDescent="0.2">
      <c r="A370" s="128">
        <v>44930</v>
      </c>
      <c r="B370" s="145">
        <v>38413.61</v>
      </c>
      <c r="C370" s="145">
        <v>38413.61</v>
      </c>
      <c r="D370" s="145">
        <v>0</v>
      </c>
      <c r="E370" s="203">
        <v>137</v>
      </c>
      <c r="F370" s="203">
        <v>164</v>
      </c>
      <c r="G370" s="145">
        <v>1110.79</v>
      </c>
      <c r="H370" s="145">
        <v>0</v>
      </c>
    </row>
    <row r="371" spans="1:8" x14ac:dyDescent="0.2">
      <c r="A371" s="128">
        <v>44931</v>
      </c>
      <c r="B371" s="145">
        <v>49185.48</v>
      </c>
      <c r="C371" s="145">
        <v>49163.53</v>
      </c>
      <c r="D371" s="145">
        <v>21.95</v>
      </c>
      <c r="E371" s="203">
        <v>162</v>
      </c>
      <c r="F371" s="203">
        <v>214</v>
      </c>
      <c r="G371" s="145">
        <v>2529.67</v>
      </c>
      <c r="H371" s="145">
        <v>0</v>
      </c>
    </row>
    <row r="372" spans="1:8" x14ac:dyDescent="0.2">
      <c r="A372" s="128">
        <v>44932</v>
      </c>
      <c r="B372" s="145">
        <v>51769.86</v>
      </c>
      <c r="C372" s="145">
        <v>51769.86</v>
      </c>
      <c r="D372" s="145">
        <v>0</v>
      </c>
      <c r="E372" s="203">
        <v>165</v>
      </c>
      <c r="F372" s="203">
        <v>208</v>
      </c>
      <c r="G372" s="145">
        <v>1909.99</v>
      </c>
      <c r="H372" s="145">
        <v>271.14999999999998</v>
      </c>
    </row>
    <row r="373" spans="1:8" x14ac:dyDescent="0.2">
      <c r="A373" s="128">
        <v>44933</v>
      </c>
      <c r="B373" s="145">
        <v>29276.06</v>
      </c>
      <c r="C373" s="145">
        <v>29276.06</v>
      </c>
      <c r="D373" s="145">
        <v>0</v>
      </c>
      <c r="E373" s="203">
        <v>97</v>
      </c>
      <c r="F373" s="203">
        <v>114</v>
      </c>
      <c r="G373" s="145">
        <v>358.94</v>
      </c>
      <c r="H373" s="145">
        <v>0</v>
      </c>
    </row>
    <row r="374" spans="1:8" x14ac:dyDescent="0.2">
      <c r="A374" s="128">
        <v>44934</v>
      </c>
      <c r="B374" s="145">
        <v>20412</v>
      </c>
      <c r="C374" s="145">
        <v>20384.97</v>
      </c>
      <c r="D374" s="145">
        <v>27.03</v>
      </c>
      <c r="E374" s="203">
        <v>75</v>
      </c>
      <c r="F374" s="203">
        <v>85</v>
      </c>
      <c r="G374" s="145">
        <v>138.03</v>
      </c>
      <c r="H374" s="145">
        <v>0</v>
      </c>
    </row>
    <row r="375" spans="1:8" x14ac:dyDescent="0.2">
      <c r="A375" s="128">
        <v>44935</v>
      </c>
      <c r="B375" s="145">
        <v>85246.720000000001</v>
      </c>
      <c r="C375" s="145">
        <v>85221.85</v>
      </c>
      <c r="D375" s="145">
        <v>24.87</v>
      </c>
      <c r="E375" s="203">
        <v>404</v>
      </c>
      <c r="F375" s="203">
        <v>621</v>
      </c>
      <c r="G375" s="145">
        <v>814.8</v>
      </c>
      <c r="H375" s="145">
        <v>2262.9499999999998</v>
      </c>
    </row>
    <row r="376" spans="1:8" x14ac:dyDescent="0.2">
      <c r="A376" s="128">
        <v>44936</v>
      </c>
      <c r="B376" s="145">
        <v>49229.68</v>
      </c>
      <c r="C376" s="145">
        <v>49229.68</v>
      </c>
      <c r="D376" s="145">
        <v>0</v>
      </c>
      <c r="E376" s="203">
        <v>156</v>
      </c>
      <c r="F376" s="203">
        <v>259</v>
      </c>
      <c r="G376" s="145">
        <v>2268.3200000000002</v>
      </c>
      <c r="H376" s="145">
        <v>0</v>
      </c>
    </row>
    <row r="377" spans="1:8" x14ac:dyDescent="0.2">
      <c r="A377" s="128">
        <v>44937</v>
      </c>
      <c r="B377" s="145">
        <v>48477.84</v>
      </c>
      <c r="C377" s="145">
        <v>48477.84</v>
      </c>
      <c r="D377" s="145">
        <v>0</v>
      </c>
      <c r="E377" s="203">
        <v>155</v>
      </c>
      <c r="F377" s="203">
        <v>178</v>
      </c>
      <c r="G377" s="145">
        <v>641.91</v>
      </c>
      <c r="H377" s="145">
        <v>955.05</v>
      </c>
    </row>
    <row r="378" spans="1:8" x14ac:dyDescent="0.2">
      <c r="A378" s="128">
        <v>44938</v>
      </c>
      <c r="B378" s="145">
        <v>44063.81</v>
      </c>
      <c r="C378" s="145">
        <v>44035.32</v>
      </c>
      <c r="D378" s="145">
        <v>28.49</v>
      </c>
      <c r="E378" s="203">
        <v>147</v>
      </c>
      <c r="F378" s="203">
        <v>180</v>
      </c>
      <c r="G378" s="145">
        <v>661.68</v>
      </c>
      <c r="H378" s="145">
        <v>659</v>
      </c>
    </row>
    <row r="379" spans="1:8" x14ac:dyDescent="0.2">
      <c r="A379" s="128">
        <v>44939</v>
      </c>
      <c r="B379" s="145">
        <v>52188.93</v>
      </c>
      <c r="C379" s="145">
        <v>52163.22</v>
      </c>
      <c r="D379" s="145">
        <v>25.71</v>
      </c>
      <c r="E379" s="203">
        <v>172</v>
      </c>
      <c r="F379" s="203">
        <v>197</v>
      </c>
      <c r="G379" s="145">
        <v>519.38</v>
      </c>
      <c r="H379" s="145">
        <v>0</v>
      </c>
    </row>
    <row r="380" spans="1:8" x14ac:dyDescent="0.2">
      <c r="A380" s="128">
        <v>44940</v>
      </c>
      <c r="B380" s="145">
        <v>29397.59</v>
      </c>
      <c r="C380" s="145">
        <v>29397.59</v>
      </c>
      <c r="D380" s="145">
        <v>0</v>
      </c>
      <c r="E380" s="203">
        <v>99</v>
      </c>
      <c r="F380" s="203">
        <v>123</v>
      </c>
      <c r="G380" s="145">
        <v>482.41</v>
      </c>
      <c r="H380" s="145">
        <v>283</v>
      </c>
    </row>
    <row r="381" spans="1:8" x14ac:dyDescent="0.2">
      <c r="A381" s="128">
        <v>44941</v>
      </c>
      <c r="B381" s="145">
        <v>19339.43</v>
      </c>
      <c r="C381" s="145">
        <v>19339.43</v>
      </c>
      <c r="D381" s="145">
        <v>0</v>
      </c>
      <c r="E381" s="203">
        <v>62</v>
      </c>
      <c r="F381" s="203">
        <v>74</v>
      </c>
      <c r="G381" s="145">
        <v>178.57</v>
      </c>
      <c r="H381" s="145">
        <v>0</v>
      </c>
    </row>
    <row r="382" spans="1:8" x14ac:dyDescent="0.2">
      <c r="A382" s="128">
        <v>44942</v>
      </c>
      <c r="B382" s="145">
        <v>51975.040000000001</v>
      </c>
      <c r="C382" s="145">
        <v>51975.040000000001</v>
      </c>
      <c r="D382" s="145">
        <v>0</v>
      </c>
      <c r="E382" s="203">
        <v>179</v>
      </c>
      <c r="F382" s="203">
        <v>210</v>
      </c>
      <c r="G382" s="145">
        <v>2944.06</v>
      </c>
      <c r="H382" s="145">
        <v>350</v>
      </c>
    </row>
    <row r="383" spans="1:8" x14ac:dyDescent="0.2">
      <c r="A383" s="128">
        <v>44943</v>
      </c>
      <c r="B383" s="145">
        <v>50484.39</v>
      </c>
      <c r="C383" s="145">
        <v>50459.519999999997</v>
      </c>
      <c r="D383" s="145">
        <v>24.87</v>
      </c>
      <c r="E383" s="203">
        <v>163</v>
      </c>
      <c r="F383" s="203">
        <v>193</v>
      </c>
      <c r="G383" s="145">
        <v>843.58</v>
      </c>
      <c r="H383" s="145">
        <v>1569.5</v>
      </c>
    </row>
    <row r="384" spans="1:8" x14ac:dyDescent="0.2">
      <c r="A384" s="128">
        <v>44944</v>
      </c>
      <c r="B384" s="145">
        <v>41546.6</v>
      </c>
      <c r="C384" s="145">
        <v>41522.589999999997</v>
      </c>
      <c r="D384" s="145">
        <v>24.01</v>
      </c>
      <c r="E384" s="203">
        <v>137</v>
      </c>
      <c r="F384" s="203">
        <v>166</v>
      </c>
      <c r="G384" s="145">
        <v>745.91</v>
      </c>
      <c r="H384" s="145">
        <v>0</v>
      </c>
    </row>
    <row r="385" spans="1:8" x14ac:dyDescent="0.2">
      <c r="A385" s="128">
        <v>44945</v>
      </c>
      <c r="B385" s="145">
        <v>48606.59</v>
      </c>
      <c r="C385" s="145">
        <v>48554.23</v>
      </c>
      <c r="D385" s="145">
        <v>52.36</v>
      </c>
      <c r="E385" s="203">
        <v>159</v>
      </c>
      <c r="F385" s="203">
        <v>200</v>
      </c>
      <c r="G385" s="145">
        <v>795.97</v>
      </c>
      <c r="H385" s="145">
        <v>1395</v>
      </c>
    </row>
    <row r="386" spans="1:8" x14ac:dyDescent="0.2">
      <c r="A386" s="128">
        <v>44946</v>
      </c>
      <c r="B386" s="145">
        <v>47358.7</v>
      </c>
      <c r="C386" s="145">
        <v>47358.7</v>
      </c>
      <c r="D386" s="145">
        <v>0</v>
      </c>
      <c r="E386" s="203">
        <v>156</v>
      </c>
      <c r="F386" s="203">
        <v>186</v>
      </c>
      <c r="G386" s="145">
        <v>641.5</v>
      </c>
      <c r="H386" s="145">
        <v>588</v>
      </c>
    </row>
    <row r="387" spans="1:8" x14ac:dyDescent="0.2">
      <c r="A387" s="128">
        <v>44947</v>
      </c>
      <c r="B387" s="145">
        <v>28997.52</v>
      </c>
      <c r="C387" s="145">
        <v>28997.52</v>
      </c>
      <c r="D387" s="145">
        <v>0</v>
      </c>
      <c r="E387" s="203">
        <v>107</v>
      </c>
      <c r="F387" s="203">
        <v>122</v>
      </c>
      <c r="G387" s="145">
        <v>518.98</v>
      </c>
      <c r="H387" s="145">
        <v>0</v>
      </c>
    </row>
    <row r="388" spans="1:8" x14ac:dyDescent="0.2">
      <c r="A388" s="128">
        <v>44948</v>
      </c>
      <c r="B388" s="145">
        <v>21080.97</v>
      </c>
      <c r="C388" s="145">
        <v>21080.97</v>
      </c>
      <c r="D388" s="145">
        <v>0</v>
      </c>
      <c r="E388" s="203">
        <v>76</v>
      </c>
      <c r="F388" s="203">
        <v>88</v>
      </c>
      <c r="G388" s="145">
        <v>173.03</v>
      </c>
      <c r="H388" s="145">
        <v>0</v>
      </c>
    </row>
    <row r="389" spans="1:8" x14ac:dyDescent="0.2">
      <c r="A389" s="128">
        <v>44949</v>
      </c>
      <c r="B389" s="145">
        <v>41285.769999999997</v>
      </c>
      <c r="C389" s="145">
        <v>41285.769999999997</v>
      </c>
      <c r="D389" s="145">
        <v>0</v>
      </c>
      <c r="E389" s="203">
        <v>144</v>
      </c>
      <c r="F389" s="203">
        <v>164</v>
      </c>
      <c r="G389" s="145">
        <v>600.73</v>
      </c>
      <c r="H389" s="145">
        <v>499.8</v>
      </c>
    </row>
    <row r="390" spans="1:8" x14ac:dyDescent="0.2">
      <c r="A390" s="128">
        <v>44950</v>
      </c>
      <c r="B390" s="145">
        <v>37590.089999999997</v>
      </c>
      <c r="C390" s="145">
        <v>37563.42</v>
      </c>
      <c r="D390" s="145">
        <v>26.67</v>
      </c>
      <c r="E390" s="203">
        <v>139</v>
      </c>
      <c r="F390" s="203">
        <v>155</v>
      </c>
      <c r="G390" s="145">
        <v>426.98</v>
      </c>
      <c r="H390" s="145">
        <v>179</v>
      </c>
    </row>
    <row r="391" spans="1:8" x14ac:dyDescent="0.2">
      <c r="A391" s="128">
        <v>44951</v>
      </c>
      <c r="B391" s="145">
        <v>30697.73</v>
      </c>
      <c r="C391" s="145">
        <v>30697.73</v>
      </c>
      <c r="D391" s="145">
        <v>0</v>
      </c>
      <c r="E391" s="203">
        <v>119</v>
      </c>
      <c r="F391" s="203">
        <v>135</v>
      </c>
      <c r="G391" s="145">
        <v>318.27</v>
      </c>
      <c r="H391" s="145">
        <v>122</v>
      </c>
    </row>
    <row r="392" spans="1:8" x14ac:dyDescent="0.2">
      <c r="A392" s="128">
        <v>44952</v>
      </c>
      <c r="B392" s="145">
        <v>43594.71</v>
      </c>
      <c r="C392" s="145">
        <v>43594.71</v>
      </c>
      <c r="D392" s="145">
        <v>0</v>
      </c>
      <c r="E392" s="203">
        <v>157</v>
      </c>
      <c r="F392" s="203">
        <v>186</v>
      </c>
      <c r="G392" s="145">
        <v>568.89</v>
      </c>
      <c r="H392" s="145">
        <v>751.15</v>
      </c>
    </row>
    <row r="393" spans="1:8" x14ac:dyDescent="0.2">
      <c r="A393" s="128">
        <v>44953</v>
      </c>
      <c r="B393" s="145">
        <v>49211.27</v>
      </c>
      <c r="C393" s="145">
        <v>49211.27</v>
      </c>
      <c r="D393" s="145">
        <v>0</v>
      </c>
      <c r="E393" s="203">
        <v>170</v>
      </c>
      <c r="F393" s="203">
        <v>207</v>
      </c>
      <c r="G393" s="145">
        <v>675.78</v>
      </c>
      <c r="H393" s="145">
        <v>450</v>
      </c>
    </row>
    <row r="394" spans="1:8" x14ac:dyDescent="0.2">
      <c r="A394" s="128">
        <v>44954</v>
      </c>
      <c r="B394" s="145">
        <v>30886.31</v>
      </c>
      <c r="C394" s="145">
        <v>30886.31</v>
      </c>
      <c r="D394" s="145">
        <v>0</v>
      </c>
      <c r="E394" s="203">
        <v>119</v>
      </c>
      <c r="F394" s="203">
        <v>137</v>
      </c>
      <c r="G394" s="145">
        <v>399.44</v>
      </c>
      <c r="H394" s="145">
        <v>0</v>
      </c>
    </row>
    <row r="395" spans="1:8" x14ac:dyDescent="0.2">
      <c r="A395" s="128">
        <v>44955</v>
      </c>
      <c r="B395" s="145">
        <v>34177.75</v>
      </c>
      <c r="C395" s="145">
        <v>34177.75</v>
      </c>
      <c r="D395" s="145">
        <v>0</v>
      </c>
      <c r="E395" s="203">
        <v>112</v>
      </c>
      <c r="F395" s="203">
        <v>137</v>
      </c>
      <c r="G395" s="145">
        <v>461.2</v>
      </c>
      <c r="H395" s="145">
        <v>0</v>
      </c>
    </row>
    <row r="396" spans="1:8" x14ac:dyDescent="0.2">
      <c r="A396" s="128">
        <v>44956</v>
      </c>
      <c r="B396" s="145">
        <v>41810.53</v>
      </c>
      <c r="C396" s="145">
        <v>41810.53</v>
      </c>
      <c r="D396" s="145">
        <v>0</v>
      </c>
      <c r="E396" s="203">
        <v>146</v>
      </c>
      <c r="F396" s="203">
        <v>172</v>
      </c>
      <c r="G396" s="145">
        <v>581.12</v>
      </c>
      <c r="H396" s="145">
        <v>689</v>
      </c>
    </row>
    <row r="397" spans="1:8" x14ac:dyDescent="0.2">
      <c r="A397" s="128">
        <v>44957</v>
      </c>
      <c r="B397" s="145">
        <v>44914.39</v>
      </c>
      <c r="C397" s="145">
        <v>44892.08</v>
      </c>
      <c r="D397" s="145">
        <v>22.31</v>
      </c>
      <c r="E397" s="203">
        <v>155</v>
      </c>
      <c r="F397" s="203">
        <v>184</v>
      </c>
      <c r="G397" s="145">
        <v>583.72</v>
      </c>
      <c r="H397" s="145">
        <v>169.2</v>
      </c>
    </row>
    <row r="398" spans="1:8" x14ac:dyDescent="0.2">
      <c r="A398" s="128">
        <v>44958</v>
      </c>
      <c r="B398" s="145">
        <v>53448.29</v>
      </c>
      <c r="C398" s="145">
        <v>53426.06</v>
      </c>
      <c r="D398" s="145">
        <v>22.23</v>
      </c>
      <c r="E398" s="203">
        <v>168</v>
      </c>
      <c r="F398" s="203">
        <v>202</v>
      </c>
      <c r="G398" s="145">
        <v>760.94</v>
      </c>
      <c r="H398" s="145">
        <v>0</v>
      </c>
    </row>
    <row r="399" spans="1:8" x14ac:dyDescent="0.2">
      <c r="A399" s="128">
        <v>44959</v>
      </c>
      <c r="B399" s="145">
        <v>50248.23</v>
      </c>
      <c r="C399" s="145">
        <v>50223.6</v>
      </c>
      <c r="D399" s="145">
        <v>24.63</v>
      </c>
      <c r="E399" s="203">
        <v>170</v>
      </c>
      <c r="F399" s="203">
        <v>213</v>
      </c>
      <c r="G399" s="145">
        <v>810.4</v>
      </c>
      <c r="H399" s="145">
        <v>2298</v>
      </c>
    </row>
    <row r="400" spans="1:8" x14ac:dyDescent="0.2">
      <c r="A400" s="128">
        <v>44960</v>
      </c>
      <c r="B400" s="145">
        <v>56820.639999999999</v>
      </c>
      <c r="C400" s="145">
        <v>56820.639999999999</v>
      </c>
      <c r="D400" s="145">
        <v>0</v>
      </c>
      <c r="E400" s="203">
        <v>186</v>
      </c>
      <c r="F400" s="203">
        <v>226</v>
      </c>
      <c r="G400" s="145">
        <v>986.36</v>
      </c>
      <c r="H400" s="145">
        <v>0</v>
      </c>
    </row>
    <row r="401" spans="1:8" x14ac:dyDescent="0.2">
      <c r="A401" s="128">
        <v>44961</v>
      </c>
      <c r="B401" s="145">
        <v>34845.57</v>
      </c>
      <c r="C401" s="145">
        <v>34845.57</v>
      </c>
      <c r="D401" s="145">
        <v>0</v>
      </c>
      <c r="E401" s="203">
        <v>132</v>
      </c>
      <c r="F401" s="203">
        <v>155</v>
      </c>
      <c r="G401" s="145">
        <v>609.42999999999995</v>
      </c>
      <c r="H401" s="145">
        <v>0</v>
      </c>
    </row>
    <row r="402" spans="1:8" x14ac:dyDescent="0.2">
      <c r="A402" s="128">
        <v>44962</v>
      </c>
      <c r="B402" s="145">
        <v>26623.71</v>
      </c>
      <c r="C402" s="145">
        <v>26623.71</v>
      </c>
      <c r="D402" s="145">
        <v>0</v>
      </c>
      <c r="E402" s="203">
        <v>82</v>
      </c>
      <c r="F402" s="203">
        <v>93</v>
      </c>
      <c r="G402" s="145">
        <v>272.49</v>
      </c>
      <c r="H402" s="145">
        <v>0</v>
      </c>
    </row>
    <row r="403" spans="1:8" x14ac:dyDescent="0.2">
      <c r="A403" s="128">
        <v>44963</v>
      </c>
      <c r="B403" s="145">
        <v>56135.29</v>
      </c>
      <c r="C403" s="145">
        <v>56135.29</v>
      </c>
      <c r="D403" s="145">
        <v>0</v>
      </c>
      <c r="E403" s="203">
        <v>146</v>
      </c>
      <c r="F403" s="203">
        <v>260</v>
      </c>
      <c r="G403" s="145">
        <v>3423.71</v>
      </c>
      <c r="H403" s="145">
        <v>457</v>
      </c>
    </row>
    <row r="404" spans="1:8" x14ac:dyDescent="0.2">
      <c r="A404" s="128">
        <v>44964</v>
      </c>
      <c r="B404" s="145">
        <v>58274.91</v>
      </c>
      <c r="C404" s="145">
        <v>58252.6</v>
      </c>
      <c r="D404" s="145">
        <v>22.31</v>
      </c>
      <c r="E404" s="203">
        <v>184</v>
      </c>
      <c r="F404" s="203">
        <v>216</v>
      </c>
      <c r="G404" s="145">
        <v>662.75</v>
      </c>
      <c r="H404" s="145">
        <v>799.1</v>
      </c>
    </row>
    <row r="405" spans="1:8" x14ac:dyDescent="0.2">
      <c r="A405" s="128">
        <v>44965</v>
      </c>
      <c r="B405" s="145">
        <v>54102.85</v>
      </c>
      <c r="C405" s="145">
        <v>54102.85</v>
      </c>
      <c r="D405" s="145">
        <v>0</v>
      </c>
      <c r="E405" s="203">
        <v>168</v>
      </c>
      <c r="F405" s="203">
        <v>200</v>
      </c>
      <c r="G405" s="145">
        <v>432.15</v>
      </c>
      <c r="H405" s="145">
        <v>492.15</v>
      </c>
    </row>
    <row r="406" spans="1:8" x14ac:dyDescent="0.2">
      <c r="A406" s="128">
        <v>44966</v>
      </c>
      <c r="B406" s="145">
        <v>59517.48</v>
      </c>
      <c r="C406" s="145">
        <v>59490.93</v>
      </c>
      <c r="D406" s="145">
        <v>26.55</v>
      </c>
      <c r="E406" s="203">
        <v>205</v>
      </c>
      <c r="F406" s="203">
        <v>233</v>
      </c>
      <c r="G406" s="145">
        <v>464.77</v>
      </c>
      <c r="H406" s="145">
        <v>588</v>
      </c>
    </row>
    <row r="407" spans="1:8" x14ac:dyDescent="0.2">
      <c r="A407" s="128">
        <v>44967</v>
      </c>
      <c r="B407" s="145">
        <v>54709.57</v>
      </c>
      <c r="C407" s="145">
        <v>54685.72</v>
      </c>
      <c r="D407" s="145">
        <v>23.85</v>
      </c>
      <c r="E407" s="203">
        <v>192</v>
      </c>
      <c r="F407" s="203">
        <v>228</v>
      </c>
      <c r="G407" s="145">
        <v>536.63</v>
      </c>
      <c r="H407" s="145">
        <v>188</v>
      </c>
    </row>
    <row r="408" spans="1:8" x14ac:dyDescent="0.2">
      <c r="A408" s="128">
        <v>44968</v>
      </c>
      <c r="B408" s="145">
        <v>34589.97</v>
      </c>
      <c r="C408" s="145">
        <v>34589.97</v>
      </c>
      <c r="D408" s="145">
        <v>0</v>
      </c>
      <c r="E408" s="203">
        <v>128</v>
      </c>
      <c r="F408" s="203">
        <v>144</v>
      </c>
      <c r="G408" s="145">
        <v>267.38</v>
      </c>
      <c r="H408" s="145">
        <v>0</v>
      </c>
    </row>
    <row r="409" spans="1:8" x14ac:dyDescent="0.2">
      <c r="A409" s="128">
        <v>44969</v>
      </c>
      <c r="B409" s="145">
        <v>23175.759999999998</v>
      </c>
      <c r="C409" s="145">
        <v>23175.759999999998</v>
      </c>
      <c r="D409" s="145">
        <v>0</v>
      </c>
      <c r="E409" s="203">
        <v>82</v>
      </c>
      <c r="F409" s="203">
        <v>91</v>
      </c>
      <c r="G409" s="145">
        <v>280.33999999999997</v>
      </c>
      <c r="H409" s="145">
        <v>0</v>
      </c>
    </row>
    <row r="410" spans="1:8" x14ac:dyDescent="0.2">
      <c r="A410" s="128">
        <v>44970</v>
      </c>
      <c r="B410" s="145">
        <v>56619.64</v>
      </c>
      <c r="C410" s="145">
        <v>56619.64</v>
      </c>
      <c r="D410" s="145">
        <v>0</v>
      </c>
      <c r="E410" s="203">
        <v>185</v>
      </c>
      <c r="F410" s="203">
        <v>248</v>
      </c>
      <c r="G410" s="145">
        <v>1397.76</v>
      </c>
      <c r="H410" s="145">
        <v>1745.2</v>
      </c>
    </row>
    <row r="411" spans="1:8" x14ac:dyDescent="0.2">
      <c r="A411" s="128">
        <v>44971</v>
      </c>
      <c r="B411" s="145">
        <v>74816.789999999994</v>
      </c>
      <c r="C411" s="145">
        <v>74816.789999999994</v>
      </c>
      <c r="D411" s="145">
        <v>0</v>
      </c>
      <c r="E411" s="203">
        <v>242</v>
      </c>
      <c r="F411" s="203">
        <v>284</v>
      </c>
      <c r="G411" s="145">
        <v>685.86</v>
      </c>
      <c r="H411" s="145">
        <v>0</v>
      </c>
    </row>
    <row r="412" spans="1:8" x14ac:dyDescent="0.2">
      <c r="A412" s="128">
        <v>44972</v>
      </c>
      <c r="B412" s="145">
        <v>87917.3</v>
      </c>
      <c r="C412" s="145">
        <v>87917.3</v>
      </c>
      <c r="D412" s="145">
        <v>0</v>
      </c>
      <c r="E412" s="203">
        <v>319</v>
      </c>
      <c r="F412" s="203">
        <v>468</v>
      </c>
      <c r="G412" s="145">
        <v>1876.95</v>
      </c>
      <c r="H412" s="145">
        <v>894.2</v>
      </c>
    </row>
    <row r="413" spans="1:8" x14ac:dyDescent="0.2">
      <c r="A413" s="128">
        <v>44973</v>
      </c>
      <c r="B413" s="145">
        <v>62188.55</v>
      </c>
      <c r="C413" s="145">
        <v>62188.55</v>
      </c>
      <c r="D413" s="145">
        <v>0</v>
      </c>
      <c r="E413" s="203">
        <v>235</v>
      </c>
      <c r="F413" s="203">
        <v>315</v>
      </c>
      <c r="G413" s="145">
        <v>865.45</v>
      </c>
      <c r="H413" s="145">
        <v>0</v>
      </c>
    </row>
    <row r="414" spans="1:8" x14ac:dyDescent="0.2">
      <c r="A414" s="128">
        <v>44974</v>
      </c>
      <c r="B414" s="145">
        <v>57524.81</v>
      </c>
      <c r="C414" s="145">
        <v>57501.36</v>
      </c>
      <c r="D414" s="145">
        <v>23.45</v>
      </c>
      <c r="E414" s="203">
        <v>214</v>
      </c>
      <c r="F414" s="203">
        <v>296</v>
      </c>
      <c r="G414" s="145">
        <v>781.84</v>
      </c>
      <c r="H414" s="145">
        <v>0</v>
      </c>
    </row>
    <row r="415" spans="1:8" x14ac:dyDescent="0.2">
      <c r="A415" s="128">
        <v>44975</v>
      </c>
      <c r="B415" s="145">
        <v>35844</v>
      </c>
      <c r="C415" s="145">
        <v>35821.769999999997</v>
      </c>
      <c r="D415" s="145">
        <v>22.23</v>
      </c>
      <c r="E415" s="203">
        <v>143</v>
      </c>
      <c r="F415" s="203">
        <v>195</v>
      </c>
      <c r="G415" s="145">
        <v>408.23</v>
      </c>
      <c r="H415" s="145">
        <v>0</v>
      </c>
    </row>
    <row r="416" spans="1:8" x14ac:dyDescent="0.2">
      <c r="A416" s="128">
        <v>44976</v>
      </c>
      <c r="B416" s="145">
        <v>14837.7</v>
      </c>
      <c r="C416" s="145">
        <v>14837.7</v>
      </c>
      <c r="D416" s="145">
        <v>0</v>
      </c>
      <c r="E416" s="203">
        <v>59</v>
      </c>
      <c r="F416" s="203">
        <v>75</v>
      </c>
      <c r="G416" s="145">
        <v>295.89999999999998</v>
      </c>
      <c r="H416" s="145">
        <v>0</v>
      </c>
    </row>
    <row r="417" spans="1:8" x14ac:dyDescent="0.2">
      <c r="A417" s="128">
        <v>44977</v>
      </c>
      <c r="B417" s="145">
        <v>18044.34</v>
      </c>
      <c r="C417" s="145">
        <v>18044.34</v>
      </c>
      <c r="D417" s="145">
        <v>0</v>
      </c>
      <c r="E417" s="203">
        <v>62</v>
      </c>
      <c r="F417" s="203">
        <v>74</v>
      </c>
      <c r="G417" s="145">
        <v>228.46</v>
      </c>
      <c r="H417" s="145">
        <v>105</v>
      </c>
    </row>
    <row r="418" spans="1:8" x14ac:dyDescent="0.2">
      <c r="A418" s="128">
        <v>44978</v>
      </c>
      <c r="B418" s="145">
        <v>23344.45</v>
      </c>
      <c r="C418" s="145">
        <v>23344.45</v>
      </c>
      <c r="D418" s="145">
        <v>0</v>
      </c>
      <c r="E418" s="203">
        <v>79</v>
      </c>
      <c r="F418" s="203">
        <v>103</v>
      </c>
      <c r="G418" s="145">
        <v>430.15</v>
      </c>
      <c r="H418" s="145">
        <v>0</v>
      </c>
    </row>
    <row r="419" spans="1:8" x14ac:dyDescent="0.2">
      <c r="A419" s="128">
        <v>44979</v>
      </c>
      <c r="B419" s="145">
        <v>44515.35</v>
      </c>
      <c r="C419" s="145">
        <v>44491.9</v>
      </c>
      <c r="D419" s="145">
        <v>23.45</v>
      </c>
      <c r="E419" s="203">
        <v>148</v>
      </c>
      <c r="F419" s="203">
        <v>166</v>
      </c>
      <c r="G419" s="145">
        <v>820.5</v>
      </c>
      <c r="H419" s="145">
        <v>0</v>
      </c>
    </row>
    <row r="420" spans="1:8" x14ac:dyDescent="0.2">
      <c r="A420" s="128">
        <v>44980</v>
      </c>
      <c r="B420" s="145">
        <v>68817.23</v>
      </c>
      <c r="C420" s="145">
        <v>68817.23</v>
      </c>
      <c r="D420" s="145">
        <v>99.19</v>
      </c>
      <c r="E420" s="203">
        <v>201</v>
      </c>
      <c r="F420" s="203">
        <v>294</v>
      </c>
      <c r="G420" s="145">
        <v>4899.42</v>
      </c>
      <c r="H420" s="145">
        <v>987.34</v>
      </c>
    </row>
    <row r="421" spans="1:8" x14ac:dyDescent="0.2">
      <c r="A421" s="128">
        <v>44981</v>
      </c>
      <c r="B421" s="145">
        <v>61456.45</v>
      </c>
      <c r="C421" s="145">
        <v>61424.28</v>
      </c>
      <c r="D421" s="145">
        <v>32.17</v>
      </c>
      <c r="E421" s="203">
        <v>194</v>
      </c>
      <c r="F421" s="203">
        <v>250</v>
      </c>
      <c r="G421" s="145">
        <v>1356.92</v>
      </c>
      <c r="H421" s="145">
        <v>1038.5999999999999</v>
      </c>
    </row>
    <row r="422" spans="1:8" x14ac:dyDescent="0.2">
      <c r="A422" s="128">
        <v>44982</v>
      </c>
      <c r="B422" s="145">
        <v>34613.06</v>
      </c>
      <c r="C422" s="145">
        <v>34528.199999999997</v>
      </c>
      <c r="D422" s="145">
        <v>84.86</v>
      </c>
      <c r="E422" s="203">
        <v>123</v>
      </c>
      <c r="F422" s="203">
        <v>152</v>
      </c>
      <c r="G422" s="145">
        <v>454.2</v>
      </c>
      <c r="H422" s="145">
        <v>0</v>
      </c>
    </row>
    <row r="423" spans="1:8" x14ac:dyDescent="0.2">
      <c r="A423" s="128">
        <v>44983</v>
      </c>
      <c r="B423" s="145">
        <v>31566.06</v>
      </c>
      <c r="C423" s="145">
        <v>31566.06</v>
      </c>
      <c r="D423" s="145">
        <v>0</v>
      </c>
      <c r="E423" s="203">
        <v>105</v>
      </c>
      <c r="F423" s="203">
        <v>124</v>
      </c>
      <c r="G423" s="145">
        <v>247.34</v>
      </c>
      <c r="H423" s="145">
        <v>0</v>
      </c>
    </row>
    <row r="424" spans="1:8" x14ac:dyDescent="0.2">
      <c r="A424" s="128">
        <v>44984</v>
      </c>
      <c r="B424" s="145">
        <v>54049.19</v>
      </c>
      <c r="C424" s="145">
        <v>54049.19</v>
      </c>
      <c r="D424" s="145">
        <v>0</v>
      </c>
      <c r="E424" s="203">
        <v>174</v>
      </c>
      <c r="F424" s="203">
        <v>229</v>
      </c>
      <c r="G424" s="145">
        <v>1265.6600000000001</v>
      </c>
      <c r="H424" s="145">
        <v>1083.1500000000001</v>
      </c>
    </row>
    <row r="425" spans="1:8" x14ac:dyDescent="0.2">
      <c r="A425" s="128">
        <v>44985</v>
      </c>
      <c r="B425" s="145">
        <v>63122.23</v>
      </c>
      <c r="C425" s="145">
        <v>63122.23</v>
      </c>
      <c r="D425" s="145">
        <v>0</v>
      </c>
      <c r="E425" s="203">
        <v>200</v>
      </c>
      <c r="F425" s="203">
        <v>258</v>
      </c>
      <c r="G425" s="145">
        <v>1207.77</v>
      </c>
      <c r="H425" s="145">
        <v>1462</v>
      </c>
    </row>
    <row r="426" spans="1:8" x14ac:dyDescent="0.2">
      <c r="A426" s="128">
        <v>44986</v>
      </c>
      <c r="B426" s="145">
        <v>99349.72</v>
      </c>
      <c r="C426" s="145">
        <v>99349.72</v>
      </c>
      <c r="D426" s="145">
        <v>0</v>
      </c>
      <c r="E426" s="203">
        <v>229</v>
      </c>
      <c r="F426" s="203">
        <v>459</v>
      </c>
      <c r="G426" s="145">
        <v>8544.68</v>
      </c>
      <c r="H426" s="145">
        <v>0</v>
      </c>
    </row>
    <row r="427" spans="1:8" x14ac:dyDescent="0.2">
      <c r="A427" s="128">
        <v>44987</v>
      </c>
      <c r="B427" s="145">
        <v>63060.67</v>
      </c>
      <c r="C427" s="145">
        <v>63060.67</v>
      </c>
      <c r="D427" s="145">
        <v>0</v>
      </c>
      <c r="E427" s="203">
        <v>202</v>
      </c>
      <c r="F427" s="203">
        <v>255</v>
      </c>
      <c r="G427" s="145">
        <v>1109.73</v>
      </c>
      <c r="H427" s="145">
        <v>550</v>
      </c>
    </row>
    <row r="428" spans="1:8" x14ac:dyDescent="0.2">
      <c r="A428" s="128">
        <v>44988</v>
      </c>
      <c r="B428" s="145">
        <v>78154.98</v>
      </c>
      <c r="C428" s="145">
        <v>78154.98</v>
      </c>
      <c r="D428" s="145">
        <v>0</v>
      </c>
      <c r="E428" s="203">
        <v>234</v>
      </c>
      <c r="F428" s="203">
        <v>307</v>
      </c>
      <c r="G428" s="145">
        <v>2946.52</v>
      </c>
      <c r="H428" s="145">
        <v>197</v>
      </c>
    </row>
    <row r="429" spans="1:8" x14ac:dyDescent="0.2">
      <c r="A429" s="128">
        <v>44989</v>
      </c>
      <c r="B429" s="145">
        <v>52294.9</v>
      </c>
      <c r="C429" s="145">
        <v>52272.59</v>
      </c>
      <c r="D429" s="145">
        <v>22.31</v>
      </c>
      <c r="E429" s="203">
        <v>189</v>
      </c>
      <c r="F429" s="203">
        <v>211</v>
      </c>
      <c r="G429" s="145">
        <v>547.61</v>
      </c>
      <c r="H429" s="145">
        <v>0</v>
      </c>
    </row>
    <row r="430" spans="1:8" x14ac:dyDescent="0.2">
      <c r="A430" s="128">
        <v>44990</v>
      </c>
      <c r="B430" s="145">
        <v>40788.31</v>
      </c>
      <c r="C430" s="145">
        <v>40788.31</v>
      </c>
      <c r="D430" s="145">
        <v>0</v>
      </c>
      <c r="E430" s="203">
        <v>111</v>
      </c>
      <c r="F430" s="203">
        <v>164</v>
      </c>
      <c r="G430" s="145">
        <v>1780.39</v>
      </c>
      <c r="H430" s="145">
        <v>0</v>
      </c>
    </row>
    <row r="431" spans="1:8" x14ac:dyDescent="0.2">
      <c r="A431" s="128">
        <v>44991</v>
      </c>
      <c r="B431" s="145">
        <v>105622.41</v>
      </c>
      <c r="C431" s="145">
        <v>105576.65</v>
      </c>
      <c r="D431" s="145">
        <v>45.76</v>
      </c>
      <c r="E431" s="203">
        <v>266</v>
      </c>
      <c r="F431" s="203">
        <v>475</v>
      </c>
      <c r="G431" s="145">
        <v>5890.85</v>
      </c>
      <c r="H431" s="145">
        <v>822</v>
      </c>
    </row>
    <row r="432" spans="1:8" x14ac:dyDescent="0.2">
      <c r="A432" s="128">
        <v>44992</v>
      </c>
      <c r="B432" s="145">
        <v>99791.74</v>
      </c>
      <c r="C432" s="145">
        <v>99765.15</v>
      </c>
      <c r="D432" s="145">
        <v>26.59</v>
      </c>
      <c r="E432" s="203">
        <v>299</v>
      </c>
      <c r="F432" s="203">
        <v>423</v>
      </c>
      <c r="G432" s="145">
        <v>3214.53</v>
      </c>
      <c r="H432" s="145">
        <v>2603.52</v>
      </c>
    </row>
    <row r="433" spans="1:8" x14ac:dyDescent="0.2">
      <c r="A433" s="128">
        <v>44993</v>
      </c>
      <c r="B433" s="145">
        <v>169409.17</v>
      </c>
      <c r="C433" s="145">
        <v>169409.17</v>
      </c>
      <c r="D433" s="145">
        <v>0</v>
      </c>
      <c r="E433" s="203">
        <v>455</v>
      </c>
      <c r="F433" s="203">
        <v>704</v>
      </c>
      <c r="G433" s="145">
        <v>13865.38</v>
      </c>
      <c r="H433" s="145">
        <v>590.15</v>
      </c>
    </row>
    <row r="434" spans="1:8" x14ac:dyDescent="0.2">
      <c r="A434" s="128">
        <v>44994</v>
      </c>
      <c r="B434" s="145">
        <v>73347.12</v>
      </c>
      <c r="C434" s="145">
        <v>73347.12</v>
      </c>
      <c r="D434" s="145">
        <v>0</v>
      </c>
      <c r="E434" s="203">
        <v>222</v>
      </c>
      <c r="F434" s="203">
        <v>330</v>
      </c>
      <c r="G434" s="145">
        <v>2343.7800000000002</v>
      </c>
      <c r="H434" s="145">
        <v>0</v>
      </c>
    </row>
    <row r="435" spans="1:8" x14ac:dyDescent="0.2">
      <c r="A435" s="128">
        <v>44995</v>
      </c>
      <c r="B435" s="145">
        <v>73599.06</v>
      </c>
      <c r="C435" s="145">
        <v>73576.75</v>
      </c>
      <c r="D435" s="145">
        <v>22.31</v>
      </c>
      <c r="E435" s="203">
        <v>244</v>
      </c>
      <c r="F435" s="203">
        <v>281</v>
      </c>
      <c r="G435" s="145">
        <v>1005.65</v>
      </c>
      <c r="H435" s="145">
        <v>437.1</v>
      </c>
    </row>
    <row r="436" spans="1:8" x14ac:dyDescent="0.2">
      <c r="A436" s="128">
        <v>44996</v>
      </c>
      <c r="B436" s="145">
        <v>42795.38</v>
      </c>
      <c r="C436" s="145">
        <v>42751</v>
      </c>
      <c r="D436" s="145">
        <v>44.38</v>
      </c>
      <c r="E436" s="203">
        <v>153</v>
      </c>
      <c r="F436" s="203">
        <v>174</v>
      </c>
      <c r="G436" s="145">
        <v>447</v>
      </c>
      <c r="H436" s="145">
        <v>0</v>
      </c>
    </row>
    <row r="437" spans="1:8" x14ac:dyDescent="0.2">
      <c r="A437" s="128">
        <v>44997</v>
      </c>
      <c r="B437" s="145">
        <v>30194.880000000001</v>
      </c>
      <c r="C437" s="145">
        <v>30194.880000000001</v>
      </c>
      <c r="D437" s="145">
        <v>0</v>
      </c>
      <c r="E437" s="203">
        <v>106</v>
      </c>
      <c r="F437" s="203">
        <v>114</v>
      </c>
      <c r="G437" s="145">
        <v>307.22000000000003</v>
      </c>
      <c r="H437" s="145">
        <v>0</v>
      </c>
    </row>
    <row r="438" spans="1:8" x14ac:dyDescent="0.2">
      <c r="A438" s="128">
        <v>44998</v>
      </c>
      <c r="B438" s="145">
        <v>63956.98</v>
      </c>
      <c r="C438" s="145">
        <v>63933.15</v>
      </c>
      <c r="D438" s="145">
        <v>23.83</v>
      </c>
      <c r="E438" s="203">
        <v>232</v>
      </c>
      <c r="F438" s="203">
        <v>300</v>
      </c>
      <c r="G438" s="145">
        <v>5740.65</v>
      </c>
      <c r="H438" s="145">
        <v>584</v>
      </c>
    </row>
    <row r="439" spans="1:8" x14ac:dyDescent="0.2">
      <c r="A439" s="128">
        <v>44999</v>
      </c>
      <c r="B439" s="145">
        <v>68999.23</v>
      </c>
      <c r="C439" s="145">
        <v>68885.48</v>
      </c>
      <c r="D439" s="145">
        <v>113.75</v>
      </c>
      <c r="E439" s="203">
        <v>250</v>
      </c>
      <c r="F439" s="203">
        <v>342</v>
      </c>
      <c r="G439" s="145">
        <v>915.22</v>
      </c>
      <c r="H439" s="145">
        <v>356.3</v>
      </c>
    </row>
    <row r="440" spans="1:8" x14ac:dyDescent="0.2">
      <c r="A440" s="128">
        <v>45000</v>
      </c>
      <c r="B440" s="145">
        <v>65612.67</v>
      </c>
      <c r="C440" s="145">
        <v>65588.740000000005</v>
      </c>
      <c r="D440" s="145">
        <v>23.93</v>
      </c>
      <c r="E440" s="203">
        <v>246</v>
      </c>
      <c r="F440" s="203">
        <v>302</v>
      </c>
      <c r="G440" s="145">
        <v>1262.26</v>
      </c>
      <c r="H440" s="145">
        <v>498</v>
      </c>
    </row>
    <row r="441" spans="1:8" x14ac:dyDescent="0.2">
      <c r="A441" s="128">
        <v>45001</v>
      </c>
      <c r="B441" s="145">
        <v>71611.850000000006</v>
      </c>
      <c r="C441" s="145">
        <v>71526.350000000006</v>
      </c>
      <c r="D441" s="145">
        <v>85.5</v>
      </c>
      <c r="E441" s="203">
        <v>243</v>
      </c>
      <c r="F441" s="203">
        <v>329</v>
      </c>
      <c r="G441" s="145">
        <v>1987.65</v>
      </c>
      <c r="H441" s="145">
        <v>1052</v>
      </c>
    </row>
    <row r="442" spans="1:8" x14ac:dyDescent="0.2">
      <c r="A442" s="128">
        <v>45002</v>
      </c>
      <c r="B442" s="145">
        <v>65077.84</v>
      </c>
      <c r="C442" s="145">
        <v>65077.84</v>
      </c>
      <c r="D442" s="145">
        <v>0</v>
      </c>
      <c r="E442" s="203">
        <v>216</v>
      </c>
      <c r="F442" s="203">
        <v>280</v>
      </c>
      <c r="G442" s="145">
        <v>1582.16</v>
      </c>
      <c r="H442" s="145">
        <v>561</v>
      </c>
    </row>
    <row r="443" spans="1:8" x14ac:dyDescent="0.2">
      <c r="A443" s="128">
        <v>45003</v>
      </c>
      <c r="B443" s="145">
        <v>43165.86</v>
      </c>
      <c r="C443" s="145">
        <v>43165.86</v>
      </c>
      <c r="D443" s="145">
        <v>0</v>
      </c>
      <c r="E443" s="203">
        <v>143</v>
      </c>
      <c r="F443" s="203">
        <v>168</v>
      </c>
      <c r="G443" s="145">
        <v>609.14</v>
      </c>
      <c r="H443" s="145">
        <v>0</v>
      </c>
    </row>
    <row r="444" spans="1:8" x14ac:dyDescent="0.2">
      <c r="A444" s="128">
        <v>45004</v>
      </c>
      <c r="B444" s="145">
        <v>27892.32</v>
      </c>
      <c r="C444" s="145">
        <v>27870.09</v>
      </c>
      <c r="D444" s="145">
        <v>22.23</v>
      </c>
      <c r="E444" s="203">
        <v>95</v>
      </c>
      <c r="F444" s="203">
        <v>107</v>
      </c>
      <c r="G444" s="145">
        <v>413.91</v>
      </c>
      <c r="H444" s="145">
        <v>0</v>
      </c>
    </row>
    <row r="445" spans="1:8" x14ac:dyDescent="0.2">
      <c r="A445" s="128">
        <v>45005</v>
      </c>
      <c r="B445" s="145">
        <v>56319.55</v>
      </c>
      <c r="C445" s="145">
        <v>56319.55</v>
      </c>
      <c r="D445" s="145">
        <v>0</v>
      </c>
      <c r="E445" s="203">
        <v>196</v>
      </c>
      <c r="F445" s="203">
        <v>232</v>
      </c>
      <c r="G445" s="145">
        <v>1305.3499999999999</v>
      </c>
      <c r="H445" s="145">
        <v>726.1</v>
      </c>
    </row>
    <row r="446" spans="1:8" x14ac:dyDescent="0.2">
      <c r="A446" s="128">
        <v>45006</v>
      </c>
      <c r="B446" s="145">
        <v>56500.26</v>
      </c>
      <c r="C446" s="145">
        <v>55669.26</v>
      </c>
      <c r="D446" s="145">
        <v>0</v>
      </c>
      <c r="E446" s="203">
        <v>181</v>
      </c>
      <c r="F446" s="203">
        <v>237</v>
      </c>
      <c r="G446" s="145">
        <v>1830.19</v>
      </c>
      <c r="H446" s="145">
        <v>1823.95</v>
      </c>
    </row>
    <row r="447" spans="1:8" x14ac:dyDescent="0.2">
      <c r="A447" s="128">
        <v>45007</v>
      </c>
      <c r="B447" s="145">
        <v>51056.43</v>
      </c>
      <c r="C447" s="145">
        <v>51833.55</v>
      </c>
      <c r="D447" s="145">
        <v>53.88</v>
      </c>
      <c r="E447" s="203">
        <v>168</v>
      </c>
      <c r="F447" s="203">
        <v>202</v>
      </c>
      <c r="G447" s="145">
        <v>1019.45</v>
      </c>
      <c r="H447" s="145">
        <v>1010</v>
      </c>
    </row>
    <row r="448" spans="1:8" x14ac:dyDescent="0.2">
      <c r="A448" s="128">
        <v>45008</v>
      </c>
      <c r="B448" s="145">
        <v>61012.24</v>
      </c>
      <c r="C448" s="145">
        <v>60937.8</v>
      </c>
      <c r="D448" s="145">
        <v>74.44</v>
      </c>
      <c r="E448" s="203">
        <v>196</v>
      </c>
      <c r="F448" s="203">
        <v>274</v>
      </c>
      <c r="G448" s="145">
        <v>2170.1999999999998</v>
      </c>
      <c r="H448" s="145">
        <v>660</v>
      </c>
    </row>
    <row r="449" spans="1:8" x14ac:dyDescent="0.2">
      <c r="A449" s="128">
        <v>45009</v>
      </c>
      <c r="B449" s="145">
        <v>63681.1</v>
      </c>
      <c r="C449" s="145">
        <v>63657.65</v>
      </c>
      <c r="D449" s="145">
        <v>23.45</v>
      </c>
      <c r="E449" s="203">
        <v>211</v>
      </c>
      <c r="F449" s="203">
        <v>259</v>
      </c>
      <c r="G449" s="145">
        <v>2027.05</v>
      </c>
      <c r="H449" s="145">
        <v>327.3</v>
      </c>
    </row>
    <row r="450" spans="1:8" x14ac:dyDescent="0.2">
      <c r="A450" s="128">
        <v>45010</v>
      </c>
      <c r="B450" s="145">
        <v>47069.79</v>
      </c>
      <c r="C450" s="145">
        <v>47069.79</v>
      </c>
      <c r="D450" s="145">
        <v>0</v>
      </c>
      <c r="E450" s="203">
        <v>158</v>
      </c>
      <c r="F450" s="203">
        <v>191</v>
      </c>
      <c r="G450" s="145">
        <v>1058.21</v>
      </c>
      <c r="H450" s="145">
        <v>0</v>
      </c>
    </row>
    <row r="451" spans="1:8" x14ac:dyDescent="0.2">
      <c r="A451" s="128">
        <v>45011</v>
      </c>
      <c r="B451" s="145">
        <v>32540.959999999999</v>
      </c>
      <c r="C451" s="145">
        <v>32540.959999999999</v>
      </c>
      <c r="D451" s="145">
        <v>0</v>
      </c>
      <c r="E451" s="203">
        <v>100</v>
      </c>
      <c r="F451" s="203">
        <v>121</v>
      </c>
      <c r="G451" s="145">
        <v>404.04</v>
      </c>
      <c r="H451" s="145">
        <v>0</v>
      </c>
    </row>
    <row r="452" spans="1:8" x14ac:dyDescent="0.2">
      <c r="A452" s="128">
        <v>45012</v>
      </c>
      <c r="B452" s="145">
        <v>52831.55</v>
      </c>
      <c r="C452" s="145">
        <v>52831.55</v>
      </c>
      <c r="D452" s="145">
        <v>0</v>
      </c>
      <c r="E452" s="203">
        <v>181</v>
      </c>
      <c r="F452" s="203">
        <v>204</v>
      </c>
      <c r="G452" s="145">
        <v>873.65</v>
      </c>
      <c r="H452" s="145">
        <v>188</v>
      </c>
    </row>
    <row r="453" spans="1:8" x14ac:dyDescent="0.2">
      <c r="A453" s="128">
        <v>45013</v>
      </c>
      <c r="B453" s="145">
        <v>50011.32</v>
      </c>
      <c r="C453" s="145">
        <v>50011.32</v>
      </c>
      <c r="D453" s="145">
        <v>0</v>
      </c>
      <c r="E453" s="203">
        <v>163</v>
      </c>
      <c r="F453" s="203">
        <v>201</v>
      </c>
      <c r="G453" s="145">
        <v>1023.68</v>
      </c>
      <c r="H453" s="145">
        <v>0</v>
      </c>
    </row>
    <row r="454" spans="1:8" x14ac:dyDescent="0.2">
      <c r="A454" s="128">
        <v>45014</v>
      </c>
      <c r="B454" s="145">
        <v>70300.59</v>
      </c>
      <c r="C454" s="145">
        <v>70252.77</v>
      </c>
      <c r="D454" s="145">
        <v>47.82</v>
      </c>
      <c r="E454" s="203">
        <v>300</v>
      </c>
      <c r="F454" s="203">
        <v>412</v>
      </c>
      <c r="G454" s="145">
        <v>2418.4299999999998</v>
      </c>
      <c r="H454" s="145">
        <v>0</v>
      </c>
    </row>
    <row r="455" spans="1:8" x14ac:dyDescent="0.2">
      <c r="A455" s="128">
        <v>45015</v>
      </c>
      <c r="B455" s="145">
        <v>72330.13</v>
      </c>
      <c r="C455" s="145">
        <v>72330.13</v>
      </c>
      <c r="D455" s="145">
        <v>0</v>
      </c>
      <c r="E455" s="203">
        <v>254</v>
      </c>
      <c r="F455" s="203">
        <v>338</v>
      </c>
      <c r="G455" s="145">
        <v>1118.8699999999999</v>
      </c>
      <c r="H455" s="145">
        <v>570</v>
      </c>
    </row>
    <row r="456" spans="1:8" x14ac:dyDescent="0.2">
      <c r="A456" s="128">
        <v>45016</v>
      </c>
      <c r="B456" s="145">
        <v>69001.09</v>
      </c>
      <c r="C456" s="145">
        <v>69001.09</v>
      </c>
      <c r="D456" s="145">
        <v>0</v>
      </c>
      <c r="E456" s="203">
        <v>228</v>
      </c>
      <c r="F456" s="203">
        <v>279</v>
      </c>
      <c r="G456" s="145">
        <v>1264.55</v>
      </c>
      <c r="H456" s="145">
        <v>388.36</v>
      </c>
    </row>
    <row r="457" spans="1:8" x14ac:dyDescent="0.2">
      <c r="A457" s="128">
        <v>45017</v>
      </c>
      <c r="B457" s="145">
        <v>45316.49</v>
      </c>
      <c r="C457" s="145">
        <v>45316.49</v>
      </c>
      <c r="D457" s="145">
        <v>0</v>
      </c>
      <c r="E457" s="203">
        <v>159</v>
      </c>
      <c r="F457" s="203">
        <v>188</v>
      </c>
      <c r="G457" s="145">
        <v>667.71</v>
      </c>
      <c r="H457" s="145">
        <v>0</v>
      </c>
    </row>
    <row r="458" spans="1:8" x14ac:dyDescent="0.2">
      <c r="A458" s="128">
        <v>45018</v>
      </c>
      <c r="B458" s="145">
        <v>31392.21</v>
      </c>
      <c r="C458" s="145">
        <v>31369.98</v>
      </c>
      <c r="D458" s="145">
        <v>22.23</v>
      </c>
      <c r="E458" s="203">
        <v>114</v>
      </c>
      <c r="F458" s="203">
        <v>138</v>
      </c>
      <c r="G458" s="145">
        <v>477.02</v>
      </c>
      <c r="H458" s="145">
        <v>0</v>
      </c>
    </row>
    <row r="459" spans="1:8" x14ac:dyDescent="0.2">
      <c r="A459" s="128">
        <v>45019</v>
      </c>
      <c r="B459" s="145">
        <v>63954.95</v>
      </c>
      <c r="C459" s="145">
        <v>63954.95</v>
      </c>
      <c r="D459" s="145">
        <v>0</v>
      </c>
      <c r="E459" s="203">
        <v>216</v>
      </c>
      <c r="F459" s="203">
        <v>264</v>
      </c>
      <c r="G459" s="145">
        <v>1487.65</v>
      </c>
      <c r="H459" s="145">
        <v>767</v>
      </c>
    </row>
    <row r="460" spans="1:8" x14ac:dyDescent="0.2">
      <c r="A460" s="128">
        <v>45020</v>
      </c>
      <c r="B460" s="145">
        <v>57968.160000000003</v>
      </c>
      <c r="C460" s="145">
        <v>57944.71</v>
      </c>
      <c r="D460" s="145">
        <v>23.45</v>
      </c>
      <c r="E460" s="203">
        <v>185</v>
      </c>
      <c r="F460" s="203">
        <v>234</v>
      </c>
      <c r="G460" s="145">
        <v>1928.29</v>
      </c>
      <c r="H460" s="145">
        <v>887</v>
      </c>
    </row>
    <row r="461" spans="1:8" x14ac:dyDescent="0.2">
      <c r="A461" s="128">
        <v>45021</v>
      </c>
      <c r="B461" s="145">
        <v>73847.72</v>
      </c>
      <c r="C461" s="145">
        <v>73823.710000000006</v>
      </c>
      <c r="D461" s="145">
        <v>24.01</v>
      </c>
      <c r="E461" s="203">
        <v>287</v>
      </c>
      <c r="F461" s="203">
        <v>412</v>
      </c>
      <c r="G461" s="145">
        <v>1865.49</v>
      </c>
      <c r="H461" s="145">
        <v>516</v>
      </c>
    </row>
    <row r="462" spans="1:8" x14ac:dyDescent="0.2">
      <c r="A462" s="128">
        <v>45022</v>
      </c>
      <c r="B462" s="145">
        <v>117256.14</v>
      </c>
      <c r="C462" s="145">
        <v>117256.14</v>
      </c>
      <c r="D462" s="145">
        <v>0</v>
      </c>
      <c r="E462" s="203">
        <v>494</v>
      </c>
      <c r="F462" s="203">
        <v>762</v>
      </c>
      <c r="G462" s="145">
        <v>920.09</v>
      </c>
      <c r="H462" s="145">
        <v>704.77</v>
      </c>
    </row>
    <row r="463" spans="1:8" x14ac:dyDescent="0.2">
      <c r="A463" s="128">
        <v>45023</v>
      </c>
      <c r="B463" s="145">
        <v>34758.99</v>
      </c>
      <c r="C463" s="145">
        <v>34734.199999999997</v>
      </c>
      <c r="D463" s="145">
        <v>24.79</v>
      </c>
      <c r="E463" s="203">
        <v>131</v>
      </c>
      <c r="F463" s="203">
        <v>169</v>
      </c>
      <c r="G463" s="145">
        <v>386.8</v>
      </c>
      <c r="H463" s="145">
        <v>0</v>
      </c>
    </row>
    <row r="464" spans="1:8" x14ac:dyDescent="0.2">
      <c r="A464" s="128">
        <v>45024</v>
      </c>
      <c r="B464" s="145">
        <v>33919.589999999997</v>
      </c>
      <c r="C464" s="145">
        <v>33897.279999999999</v>
      </c>
      <c r="D464" s="145">
        <v>22.31</v>
      </c>
      <c r="E464" s="203">
        <v>121</v>
      </c>
      <c r="F464" s="203">
        <v>143</v>
      </c>
      <c r="G464" s="145">
        <v>627.12</v>
      </c>
      <c r="H464" s="145">
        <v>210</v>
      </c>
    </row>
    <row r="465" spans="1:8" x14ac:dyDescent="0.2">
      <c r="A465" s="128">
        <v>45025</v>
      </c>
      <c r="B465" s="145">
        <v>28990.42</v>
      </c>
      <c r="C465" s="145">
        <v>28990.42</v>
      </c>
      <c r="D465" s="145">
        <v>0</v>
      </c>
      <c r="E465" s="203">
        <v>88</v>
      </c>
      <c r="F465" s="203">
        <v>115</v>
      </c>
      <c r="G465" s="145">
        <v>465.58</v>
      </c>
      <c r="H465" s="145">
        <v>0</v>
      </c>
    </row>
    <row r="466" spans="1:8" x14ac:dyDescent="0.2">
      <c r="A466" s="128">
        <v>45026</v>
      </c>
      <c r="B466" s="145">
        <v>56755.53</v>
      </c>
      <c r="C466" s="145">
        <v>56755.53</v>
      </c>
      <c r="D466" s="145">
        <v>0</v>
      </c>
      <c r="E466" s="203">
        <v>177</v>
      </c>
      <c r="F466" s="203">
        <v>226</v>
      </c>
      <c r="G466" s="145">
        <v>1618.82</v>
      </c>
      <c r="H466" s="145">
        <v>4628.6499999999996</v>
      </c>
    </row>
    <row r="467" spans="1:8" x14ac:dyDescent="0.2">
      <c r="A467" s="128">
        <v>45027</v>
      </c>
      <c r="B467" s="145">
        <v>67143.679999999993</v>
      </c>
      <c r="C467" s="145">
        <v>67143.679999999993</v>
      </c>
      <c r="D467" s="145">
        <v>0</v>
      </c>
      <c r="E467" s="203">
        <v>229</v>
      </c>
      <c r="F467" s="203">
        <v>269</v>
      </c>
      <c r="G467" s="145">
        <v>733.1</v>
      </c>
      <c r="H467" s="145">
        <v>262.52</v>
      </c>
    </row>
    <row r="468" spans="1:8" x14ac:dyDescent="0.2">
      <c r="A468" s="128">
        <v>45028</v>
      </c>
      <c r="B468" s="145">
        <v>87256.46</v>
      </c>
      <c r="C468" s="145">
        <v>87233.29</v>
      </c>
      <c r="D468" s="145">
        <v>23.17</v>
      </c>
      <c r="E468" s="203">
        <v>267</v>
      </c>
      <c r="F468" s="203">
        <v>357</v>
      </c>
      <c r="G468" s="145">
        <v>2519.71</v>
      </c>
      <c r="H468" s="145">
        <v>773.9</v>
      </c>
    </row>
    <row r="469" spans="1:8" x14ac:dyDescent="0.2">
      <c r="A469" s="128">
        <v>45029</v>
      </c>
      <c r="B469" s="145">
        <v>94113.84</v>
      </c>
      <c r="C469" s="145">
        <v>94113.84</v>
      </c>
      <c r="D469" s="145">
        <v>0</v>
      </c>
      <c r="E469" s="203">
        <v>283</v>
      </c>
      <c r="F469" s="203">
        <v>404</v>
      </c>
      <c r="G469" s="145">
        <v>3379.46</v>
      </c>
      <c r="H469" s="145">
        <v>1489.8</v>
      </c>
    </row>
    <row r="470" spans="1:8" x14ac:dyDescent="0.2">
      <c r="A470" s="128">
        <v>45030</v>
      </c>
      <c r="B470" s="145">
        <v>85203.839999999997</v>
      </c>
      <c r="C470" s="145">
        <v>85157.58</v>
      </c>
      <c r="D470" s="145">
        <v>46.26</v>
      </c>
      <c r="E470" s="203">
        <v>294</v>
      </c>
      <c r="F470" s="203">
        <v>369</v>
      </c>
      <c r="G470" s="145">
        <v>2104.3200000000002</v>
      </c>
      <c r="H470" s="145">
        <v>2446.1999999999998</v>
      </c>
    </row>
    <row r="471" spans="1:8" x14ac:dyDescent="0.2">
      <c r="A471" s="128">
        <v>45031</v>
      </c>
      <c r="B471" s="145">
        <v>54715.27</v>
      </c>
      <c r="C471" s="145">
        <v>54715.27</v>
      </c>
      <c r="D471" s="145">
        <v>0</v>
      </c>
      <c r="E471" s="203">
        <v>186</v>
      </c>
      <c r="F471" s="203">
        <v>225</v>
      </c>
      <c r="G471" s="145">
        <v>926.63</v>
      </c>
      <c r="H471" s="145">
        <v>319</v>
      </c>
    </row>
    <row r="472" spans="1:8" x14ac:dyDescent="0.2">
      <c r="A472" s="128">
        <v>45032</v>
      </c>
      <c r="B472" s="145">
        <v>39182.629999999997</v>
      </c>
      <c r="C472" s="145">
        <v>39098.39</v>
      </c>
      <c r="D472" s="145">
        <v>84.24</v>
      </c>
      <c r="E472" s="203">
        <v>137</v>
      </c>
      <c r="F472" s="203">
        <v>166</v>
      </c>
      <c r="G472" s="145">
        <v>173.11</v>
      </c>
      <c r="H472" s="145">
        <v>0</v>
      </c>
    </row>
    <row r="473" spans="1:8" x14ac:dyDescent="0.2">
      <c r="A473" s="128">
        <v>45033</v>
      </c>
      <c r="B473" s="145">
        <v>79877.94</v>
      </c>
      <c r="C473" s="145">
        <v>79811.199999999997</v>
      </c>
      <c r="D473" s="145">
        <v>66.739999999999995</v>
      </c>
      <c r="E473" s="203">
        <v>249</v>
      </c>
      <c r="F473" s="203">
        <v>341</v>
      </c>
      <c r="G473" s="145">
        <v>4311.6499999999996</v>
      </c>
      <c r="H473" s="145">
        <v>1126.1500000000001</v>
      </c>
    </row>
    <row r="474" spans="1:8" x14ac:dyDescent="0.2">
      <c r="A474" s="128">
        <v>45034</v>
      </c>
      <c r="B474" s="145">
        <v>112196.78</v>
      </c>
      <c r="C474" s="145">
        <v>112196.78</v>
      </c>
      <c r="D474" s="145">
        <v>0</v>
      </c>
      <c r="E474" s="203">
        <v>438</v>
      </c>
      <c r="F474" s="203">
        <v>602</v>
      </c>
      <c r="G474" s="145">
        <v>1629.72</v>
      </c>
      <c r="H474" s="145">
        <v>1297.9000000000001</v>
      </c>
    </row>
    <row r="475" spans="1:8" x14ac:dyDescent="0.2">
      <c r="A475" s="128">
        <v>45035</v>
      </c>
      <c r="B475" s="145">
        <v>119408.18</v>
      </c>
      <c r="C475" s="145">
        <v>119385.87</v>
      </c>
      <c r="D475" s="145">
        <v>22.31</v>
      </c>
      <c r="E475" s="203">
        <v>490</v>
      </c>
      <c r="F475" s="203">
        <v>733</v>
      </c>
      <c r="G475" s="145">
        <v>1020.63</v>
      </c>
      <c r="H475" s="145">
        <v>3489.1</v>
      </c>
    </row>
    <row r="476" spans="1:8" x14ac:dyDescent="0.2">
      <c r="A476" s="128">
        <v>45036</v>
      </c>
      <c r="B476" s="145">
        <v>121608.91</v>
      </c>
      <c r="C476" s="145">
        <v>121632.08</v>
      </c>
      <c r="D476" s="145">
        <v>0</v>
      </c>
      <c r="E476" s="203">
        <v>471</v>
      </c>
      <c r="F476" s="203">
        <v>651</v>
      </c>
      <c r="G476" s="145">
        <v>1559.32</v>
      </c>
      <c r="H476" s="145">
        <v>1116.77</v>
      </c>
    </row>
    <row r="477" spans="1:8" x14ac:dyDescent="0.2">
      <c r="A477" s="128">
        <v>45037</v>
      </c>
      <c r="B477" s="145">
        <v>57623.18</v>
      </c>
      <c r="C477" s="145">
        <v>57623.18</v>
      </c>
      <c r="D477" s="145">
        <v>0</v>
      </c>
      <c r="E477" s="203">
        <v>188</v>
      </c>
      <c r="F477" s="203">
        <v>234</v>
      </c>
      <c r="G477" s="145">
        <v>666.02</v>
      </c>
      <c r="H477" s="145">
        <v>0</v>
      </c>
    </row>
    <row r="478" spans="1:8" x14ac:dyDescent="0.2">
      <c r="A478" s="128">
        <v>45038</v>
      </c>
      <c r="B478" s="145">
        <v>58465.83</v>
      </c>
      <c r="C478" s="145">
        <v>58465.83</v>
      </c>
      <c r="D478" s="145">
        <v>0</v>
      </c>
      <c r="E478" s="203">
        <v>164</v>
      </c>
      <c r="F478" s="203">
        <v>256</v>
      </c>
      <c r="G478" s="145">
        <v>2455.87</v>
      </c>
      <c r="H478" s="145">
        <v>0</v>
      </c>
    </row>
    <row r="479" spans="1:8" x14ac:dyDescent="0.2">
      <c r="A479" s="128">
        <v>45039</v>
      </c>
      <c r="B479" s="145">
        <v>57441.25</v>
      </c>
      <c r="C479" s="145">
        <v>57418.16</v>
      </c>
      <c r="D479" s="145">
        <v>23.09</v>
      </c>
      <c r="E479" s="203">
        <v>175</v>
      </c>
      <c r="F479" s="203">
        <v>229</v>
      </c>
      <c r="G479" s="145">
        <v>1136.1400000000001</v>
      </c>
      <c r="H479" s="145">
        <v>0</v>
      </c>
    </row>
    <row r="480" spans="1:8" x14ac:dyDescent="0.2">
      <c r="A480" s="128">
        <v>45040</v>
      </c>
      <c r="B480" s="145">
        <v>63580.01</v>
      </c>
      <c r="C480" s="145">
        <v>63525.07</v>
      </c>
      <c r="D480" s="145">
        <v>54.94</v>
      </c>
      <c r="E480" s="203">
        <v>217</v>
      </c>
      <c r="F480" s="203">
        <v>257</v>
      </c>
      <c r="G480" s="145">
        <v>1671.58</v>
      </c>
      <c r="H480" s="145">
        <v>1559.65</v>
      </c>
    </row>
    <row r="481" spans="1:8" x14ac:dyDescent="0.2">
      <c r="A481" s="128">
        <v>45041</v>
      </c>
      <c r="B481" s="145">
        <v>73111.960000000006</v>
      </c>
      <c r="C481" s="145">
        <v>73089.83</v>
      </c>
      <c r="D481" s="145">
        <v>22.13</v>
      </c>
      <c r="E481" s="203">
        <v>221</v>
      </c>
      <c r="F481" s="203">
        <v>272</v>
      </c>
      <c r="G481" s="145">
        <v>1605.17</v>
      </c>
      <c r="H481" s="145">
        <v>255.2</v>
      </c>
    </row>
    <row r="482" spans="1:8" x14ac:dyDescent="0.2">
      <c r="A482" s="128">
        <v>45042</v>
      </c>
      <c r="B482" s="145">
        <v>61907.360000000001</v>
      </c>
      <c r="C482" s="145">
        <v>61861.08</v>
      </c>
      <c r="D482" s="145">
        <v>46.28</v>
      </c>
      <c r="E482" s="203">
        <v>204</v>
      </c>
      <c r="F482" s="203">
        <v>270</v>
      </c>
      <c r="G482" s="145">
        <v>2517.52</v>
      </c>
      <c r="H482" s="145">
        <v>2050.4</v>
      </c>
    </row>
    <row r="483" spans="1:8" x14ac:dyDescent="0.2">
      <c r="A483" s="128">
        <v>45043</v>
      </c>
      <c r="B483" s="145">
        <v>72297.61</v>
      </c>
      <c r="C483" s="145">
        <v>72297.61</v>
      </c>
      <c r="D483" s="145">
        <v>0</v>
      </c>
      <c r="E483" s="203">
        <v>214</v>
      </c>
      <c r="F483" s="203">
        <v>295</v>
      </c>
      <c r="G483" s="145">
        <v>3152.39</v>
      </c>
      <c r="H483" s="145">
        <v>1398</v>
      </c>
    </row>
    <row r="484" spans="1:8" x14ac:dyDescent="0.2">
      <c r="A484" s="128">
        <v>45044</v>
      </c>
      <c r="B484" s="145">
        <v>83524.69</v>
      </c>
      <c r="C484" s="145">
        <v>83524.69</v>
      </c>
      <c r="D484" s="145">
        <v>0</v>
      </c>
      <c r="E484" s="203">
        <v>262</v>
      </c>
      <c r="F484" s="203">
        <v>362</v>
      </c>
      <c r="G484" s="145">
        <v>2978.73</v>
      </c>
      <c r="H484" s="145">
        <v>3966.13</v>
      </c>
    </row>
    <row r="485" spans="1:8" x14ac:dyDescent="0.2">
      <c r="A485" s="128">
        <v>45045</v>
      </c>
      <c r="B485" s="145">
        <v>48457.47</v>
      </c>
      <c r="C485" s="145">
        <v>48457.47</v>
      </c>
      <c r="D485" s="145">
        <v>0</v>
      </c>
      <c r="E485" s="203">
        <v>173</v>
      </c>
      <c r="F485" s="203">
        <v>197</v>
      </c>
      <c r="G485" s="145">
        <v>316.18</v>
      </c>
      <c r="H485" s="145">
        <v>0</v>
      </c>
    </row>
    <row r="486" spans="1:8" x14ac:dyDescent="0.2">
      <c r="A486" s="128">
        <v>45046</v>
      </c>
      <c r="B486" s="145">
        <v>35392.46</v>
      </c>
      <c r="C486" s="145">
        <v>35392.46</v>
      </c>
      <c r="D486" s="145">
        <v>0</v>
      </c>
      <c r="E486" s="203">
        <v>115</v>
      </c>
      <c r="F486" s="203">
        <v>134</v>
      </c>
      <c r="G486" s="145">
        <v>158.94</v>
      </c>
      <c r="H486" s="145">
        <v>0</v>
      </c>
    </row>
    <row r="487" spans="1:8" x14ac:dyDescent="0.2">
      <c r="A487" s="128">
        <v>45047</v>
      </c>
      <c r="B487" s="145">
        <v>42406.14</v>
      </c>
      <c r="C487" s="145">
        <v>42344.4</v>
      </c>
      <c r="D487" s="145">
        <v>61.74</v>
      </c>
      <c r="E487" s="203">
        <v>140</v>
      </c>
      <c r="F487" s="203">
        <v>162</v>
      </c>
      <c r="G487" s="145">
        <v>350</v>
      </c>
      <c r="H487" s="145">
        <v>0</v>
      </c>
    </row>
    <row r="488" spans="1:8" x14ac:dyDescent="0.2">
      <c r="A488" s="128">
        <v>45048</v>
      </c>
      <c r="B488" s="145">
        <v>112788.95</v>
      </c>
      <c r="C488" s="145">
        <v>112788.95</v>
      </c>
      <c r="D488" s="145">
        <v>0</v>
      </c>
      <c r="E488" s="203">
        <v>319</v>
      </c>
      <c r="F488" s="203">
        <v>456</v>
      </c>
      <c r="G488" s="145">
        <v>5380.35</v>
      </c>
      <c r="H488" s="145">
        <v>1325.95</v>
      </c>
    </row>
    <row r="489" spans="1:8" x14ac:dyDescent="0.2">
      <c r="A489" s="128">
        <v>45049</v>
      </c>
      <c r="B489" s="145">
        <v>120576.68</v>
      </c>
      <c r="C489" s="145">
        <v>120576.68</v>
      </c>
      <c r="D489" s="145">
        <v>0</v>
      </c>
      <c r="E489" s="203">
        <v>359</v>
      </c>
      <c r="F489" s="203">
        <v>438</v>
      </c>
      <c r="G489" s="145">
        <v>451.42</v>
      </c>
      <c r="H489" s="145">
        <v>210</v>
      </c>
    </row>
    <row r="490" spans="1:8" x14ac:dyDescent="0.2">
      <c r="A490" s="128">
        <v>45050</v>
      </c>
      <c r="B490" s="145">
        <v>120773.06</v>
      </c>
      <c r="C490" s="145">
        <v>120724.16</v>
      </c>
      <c r="D490" s="145">
        <v>48.9</v>
      </c>
      <c r="E490" s="203">
        <v>385</v>
      </c>
      <c r="F490" s="203">
        <v>465</v>
      </c>
      <c r="G490" s="145">
        <v>5136.29</v>
      </c>
      <c r="H490" s="145">
        <v>1293.8</v>
      </c>
    </row>
    <row r="491" spans="1:8" x14ac:dyDescent="0.2">
      <c r="A491" s="128">
        <v>45051</v>
      </c>
      <c r="B491" s="145">
        <v>162231.12</v>
      </c>
      <c r="C491" s="145">
        <v>162168.91</v>
      </c>
      <c r="D491" s="145">
        <v>62.21</v>
      </c>
      <c r="E491" s="203">
        <v>430</v>
      </c>
      <c r="F491" s="203">
        <v>686</v>
      </c>
      <c r="G491" s="145">
        <v>2694.54</v>
      </c>
      <c r="H491" s="145">
        <v>0</v>
      </c>
    </row>
    <row r="492" spans="1:8" x14ac:dyDescent="0.2">
      <c r="A492" s="128">
        <v>45052</v>
      </c>
      <c r="B492" s="145">
        <v>87353.95</v>
      </c>
      <c r="C492" s="145">
        <v>87353.95</v>
      </c>
      <c r="D492" s="145">
        <v>0</v>
      </c>
      <c r="E492" s="203">
        <v>312</v>
      </c>
      <c r="F492" s="203">
        <v>348</v>
      </c>
      <c r="G492" s="145">
        <v>567.75</v>
      </c>
      <c r="H492" s="145">
        <v>0</v>
      </c>
    </row>
    <row r="493" spans="1:8" x14ac:dyDescent="0.2">
      <c r="A493" s="128">
        <v>45053</v>
      </c>
      <c r="B493" s="145">
        <v>78208.12</v>
      </c>
      <c r="C493" s="145">
        <v>78208.12</v>
      </c>
      <c r="D493" s="145">
        <v>0</v>
      </c>
      <c r="E493" s="203">
        <v>260</v>
      </c>
      <c r="F493" s="203">
        <v>294</v>
      </c>
      <c r="G493" s="145">
        <v>271.83</v>
      </c>
      <c r="H493" s="145">
        <v>0</v>
      </c>
    </row>
    <row r="494" spans="1:8" x14ac:dyDescent="0.2">
      <c r="A494" s="128">
        <v>45054</v>
      </c>
      <c r="B494" s="145">
        <v>229192.54</v>
      </c>
      <c r="C494" s="145">
        <v>229170.33</v>
      </c>
      <c r="D494" s="145">
        <v>22.21</v>
      </c>
      <c r="E494" s="203">
        <v>664</v>
      </c>
      <c r="F494" s="203">
        <v>963</v>
      </c>
      <c r="G494" s="145">
        <v>16419.72</v>
      </c>
      <c r="H494" s="145">
        <v>450.15</v>
      </c>
    </row>
    <row r="495" spans="1:8" x14ac:dyDescent="0.2">
      <c r="A495" s="128">
        <v>45055</v>
      </c>
      <c r="B495" s="145">
        <v>242645.95</v>
      </c>
      <c r="C495" s="145">
        <v>242645.95</v>
      </c>
      <c r="D495" s="145">
        <v>0</v>
      </c>
      <c r="E495" s="203">
        <v>753</v>
      </c>
      <c r="F495" s="203">
        <v>990</v>
      </c>
      <c r="G495" s="145">
        <v>15866.95</v>
      </c>
      <c r="H495" s="145">
        <v>2492</v>
      </c>
    </row>
    <row r="496" spans="1:8" x14ac:dyDescent="0.2">
      <c r="A496" s="128">
        <v>45056</v>
      </c>
      <c r="B496" s="145">
        <v>299456.12</v>
      </c>
      <c r="C496" s="145">
        <v>299456.12</v>
      </c>
      <c r="D496" s="145">
        <v>0</v>
      </c>
      <c r="E496" s="203">
        <v>875</v>
      </c>
      <c r="F496" s="203">
        <v>1191</v>
      </c>
      <c r="G496" s="145">
        <v>7316.93</v>
      </c>
      <c r="H496" s="145">
        <v>2155.5</v>
      </c>
    </row>
    <row r="497" spans="1:8" x14ac:dyDescent="0.2">
      <c r="A497" s="128">
        <v>45057</v>
      </c>
      <c r="B497" s="145">
        <v>305603.63</v>
      </c>
      <c r="C497" s="145">
        <v>305603.63</v>
      </c>
      <c r="D497" s="145">
        <v>0</v>
      </c>
      <c r="E497" s="203">
        <v>909</v>
      </c>
      <c r="F497" s="203">
        <v>1282</v>
      </c>
      <c r="G497" s="145">
        <v>18349.669999999998</v>
      </c>
      <c r="H497" s="145">
        <v>3228.75</v>
      </c>
    </row>
    <row r="498" spans="1:8" x14ac:dyDescent="0.2">
      <c r="A498" s="128">
        <v>45058</v>
      </c>
      <c r="B498" s="145">
        <v>527321.22</v>
      </c>
      <c r="C498" s="145">
        <v>527299.01</v>
      </c>
      <c r="D498" s="145">
        <v>22.21</v>
      </c>
      <c r="E498" s="203">
        <v>1596</v>
      </c>
      <c r="F498" s="203">
        <v>1998</v>
      </c>
      <c r="G498" s="145">
        <v>9647.94</v>
      </c>
      <c r="H498" s="145">
        <v>1581</v>
      </c>
    </row>
    <row r="499" spans="1:8" x14ac:dyDescent="0.2">
      <c r="A499" s="128">
        <v>45059</v>
      </c>
      <c r="B499" s="145">
        <v>570509.35</v>
      </c>
      <c r="C499" s="145">
        <v>570509.35</v>
      </c>
      <c r="D499" s="145">
        <v>0</v>
      </c>
      <c r="E499" s="203">
        <v>1824</v>
      </c>
      <c r="F499" s="203">
        <v>2038</v>
      </c>
      <c r="G499" s="145">
        <v>1542.85</v>
      </c>
      <c r="H499" s="145">
        <v>1106.3</v>
      </c>
    </row>
    <row r="500" spans="1:8" x14ac:dyDescent="0.2">
      <c r="A500" s="128">
        <v>45060</v>
      </c>
      <c r="B500" s="145">
        <v>513678.94</v>
      </c>
      <c r="C500" s="145">
        <v>513678.94</v>
      </c>
      <c r="D500" s="145">
        <v>0</v>
      </c>
      <c r="E500" s="203">
        <v>1648</v>
      </c>
      <c r="F500" s="203">
        <v>1893</v>
      </c>
      <c r="G500" s="145">
        <v>1938.06</v>
      </c>
      <c r="H500" s="145">
        <v>2405</v>
      </c>
    </row>
    <row r="501" spans="1:8" x14ac:dyDescent="0.2">
      <c r="A501" s="128">
        <v>45061</v>
      </c>
      <c r="B501" s="145">
        <v>157142.85999999999</v>
      </c>
      <c r="C501" s="145">
        <v>157142.85999999999</v>
      </c>
      <c r="D501" s="145">
        <v>0</v>
      </c>
      <c r="E501" s="203">
        <v>653</v>
      </c>
      <c r="F501" s="203">
        <v>948</v>
      </c>
      <c r="G501" s="145">
        <v>1160.0899999999999</v>
      </c>
      <c r="H501" s="145">
        <v>5179.2</v>
      </c>
    </row>
    <row r="502" spans="1:8" x14ac:dyDescent="0.2">
      <c r="A502" s="128">
        <v>45062</v>
      </c>
      <c r="B502" s="145">
        <v>129970.04</v>
      </c>
      <c r="C502" s="145">
        <v>129970.04</v>
      </c>
      <c r="D502" s="145">
        <v>0</v>
      </c>
      <c r="E502" s="203">
        <v>619</v>
      </c>
      <c r="F502" s="203">
        <v>872</v>
      </c>
      <c r="G502" s="145">
        <v>406.11</v>
      </c>
      <c r="H502" s="145">
        <v>3596.85</v>
      </c>
    </row>
    <row r="503" spans="1:8" x14ac:dyDescent="0.2">
      <c r="A503" s="128">
        <v>45063</v>
      </c>
      <c r="B503" s="145">
        <v>82948.320000000007</v>
      </c>
      <c r="C503" s="145">
        <v>82948.320000000007</v>
      </c>
      <c r="D503" s="145">
        <v>0</v>
      </c>
      <c r="E503" s="203">
        <v>333</v>
      </c>
      <c r="F503" s="203">
        <v>412</v>
      </c>
      <c r="G503" s="145">
        <v>318.63</v>
      </c>
      <c r="H503" s="145">
        <v>312.39999999999998</v>
      </c>
    </row>
    <row r="504" spans="1:8" x14ac:dyDescent="0.2">
      <c r="A504" s="128">
        <v>45064</v>
      </c>
      <c r="B504" s="145">
        <v>56528.28</v>
      </c>
      <c r="C504" s="145">
        <v>56505.78</v>
      </c>
      <c r="D504" s="145">
        <v>22.5</v>
      </c>
      <c r="E504" s="203">
        <v>213</v>
      </c>
      <c r="F504" s="203">
        <v>239</v>
      </c>
      <c r="G504" s="145">
        <v>846.97</v>
      </c>
      <c r="H504" s="145">
        <v>2500.6999999999998</v>
      </c>
    </row>
    <row r="505" spans="1:8" x14ac:dyDescent="0.2">
      <c r="A505" s="128">
        <v>45065</v>
      </c>
      <c r="B505" s="145">
        <v>80530.759999999995</v>
      </c>
      <c r="C505" s="145">
        <v>80530.759999999995</v>
      </c>
      <c r="D505" s="145">
        <v>0</v>
      </c>
      <c r="E505" s="203">
        <v>241</v>
      </c>
      <c r="F505" s="203">
        <v>306</v>
      </c>
      <c r="G505" s="145">
        <v>923.79</v>
      </c>
      <c r="H505" s="145">
        <v>161</v>
      </c>
    </row>
    <row r="506" spans="1:8" x14ac:dyDescent="0.2">
      <c r="A506" s="128">
        <v>45066</v>
      </c>
      <c r="B506" s="145">
        <v>39327.93</v>
      </c>
      <c r="C506" s="145">
        <v>39327.93</v>
      </c>
      <c r="D506" s="145">
        <v>0</v>
      </c>
      <c r="E506" s="203">
        <v>161</v>
      </c>
      <c r="F506" s="203">
        <v>168</v>
      </c>
      <c r="G506" s="145">
        <v>188.87</v>
      </c>
      <c r="H506" s="145">
        <v>0</v>
      </c>
    </row>
    <row r="507" spans="1:8" x14ac:dyDescent="0.2">
      <c r="A507" s="128">
        <v>45067</v>
      </c>
      <c r="B507" s="145">
        <v>32806.550000000003</v>
      </c>
      <c r="C507" s="145">
        <v>32806.550000000003</v>
      </c>
      <c r="D507" s="145">
        <v>0</v>
      </c>
      <c r="E507" s="203">
        <v>119</v>
      </c>
      <c r="F507" s="203">
        <v>136</v>
      </c>
      <c r="G507" s="145">
        <v>353.05</v>
      </c>
      <c r="H507" s="145">
        <v>0</v>
      </c>
    </row>
    <row r="508" spans="1:8" x14ac:dyDescent="0.2">
      <c r="A508" s="128">
        <v>45068</v>
      </c>
      <c r="B508" s="145">
        <v>73944.570000000007</v>
      </c>
      <c r="C508" s="145">
        <v>73944.570000000007</v>
      </c>
      <c r="D508" s="145">
        <v>0</v>
      </c>
      <c r="E508" s="203">
        <v>230</v>
      </c>
      <c r="F508" s="203">
        <v>273</v>
      </c>
      <c r="G508" s="145">
        <v>300.13</v>
      </c>
      <c r="H508" s="145">
        <v>723.65</v>
      </c>
    </row>
    <row r="509" spans="1:8" x14ac:dyDescent="0.2">
      <c r="A509" s="128">
        <v>45069</v>
      </c>
      <c r="B509" s="145">
        <v>64301.17</v>
      </c>
      <c r="C509" s="145">
        <v>64277.84</v>
      </c>
      <c r="D509" s="145">
        <v>23.33</v>
      </c>
      <c r="E509" s="203">
        <v>219</v>
      </c>
      <c r="F509" s="203">
        <v>264</v>
      </c>
      <c r="G509" s="145">
        <v>416.11</v>
      </c>
      <c r="H509" s="145">
        <v>2049</v>
      </c>
    </row>
    <row r="510" spans="1:8" x14ac:dyDescent="0.2">
      <c r="A510" s="128">
        <v>45070</v>
      </c>
      <c r="B510" s="145">
        <v>63601.87</v>
      </c>
      <c r="C510" s="145">
        <v>63557.29</v>
      </c>
      <c r="D510" s="145">
        <v>44.58</v>
      </c>
      <c r="E510" s="203">
        <v>246</v>
      </c>
      <c r="F510" s="203">
        <v>303</v>
      </c>
      <c r="G510" s="145">
        <v>401.76</v>
      </c>
      <c r="H510" s="145">
        <v>2190.1</v>
      </c>
    </row>
    <row r="511" spans="1:8" x14ac:dyDescent="0.2">
      <c r="A511" s="128">
        <v>45071</v>
      </c>
      <c r="B511" s="145">
        <v>76398.84</v>
      </c>
      <c r="C511" s="145">
        <v>76398.84</v>
      </c>
      <c r="D511" s="145">
        <v>0</v>
      </c>
      <c r="E511" s="203">
        <v>273</v>
      </c>
      <c r="F511" s="203">
        <v>391</v>
      </c>
      <c r="G511" s="145">
        <v>15921.06</v>
      </c>
      <c r="H511" s="145">
        <v>459.15</v>
      </c>
    </row>
    <row r="512" spans="1:8" x14ac:dyDescent="0.2">
      <c r="A512" s="128">
        <v>45072</v>
      </c>
      <c r="B512" s="145">
        <v>77451</v>
      </c>
      <c r="C512" s="145">
        <v>77451</v>
      </c>
      <c r="D512" s="145">
        <v>0</v>
      </c>
      <c r="E512" s="203">
        <v>291</v>
      </c>
      <c r="F512" s="203">
        <v>345</v>
      </c>
      <c r="G512" s="145">
        <v>1721.05</v>
      </c>
      <c r="H512" s="145">
        <v>480</v>
      </c>
    </row>
    <row r="513" spans="1:8" x14ac:dyDescent="0.2">
      <c r="A513" s="128">
        <v>45073</v>
      </c>
      <c r="B513" s="145">
        <v>55588.34</v>
      </c>
      <c r="C513" s="145">
        <v>55449.1</v>
      </c>
      <c r="D513" s="145">
        <v>139.24</v>
      </c>
      <c r="E513" s="203">
        <v>207</v>
      </c>
      <c r="F513" s="203">
        <v>248</v>
      </c>
      <c r="G513" s="145">
        <v>434.85</v>
      </c>
      <c r="H513" s="145">
        <v>322.05</v>
      </c>
    </row>
    <row r="514" spans="1:8" x14ac:dyDescent="0.2">
      <c r="A514" s="128">
        <v>45074</v>
      </c>
      <c r="B514" s="145">
        <v>35907.269999999997</v>
      </c>
      <c r="C514" s="145">
        <v>35907.269999999997</v>
      </c>
      <c r="D514" s="145">
        <v>0</v>
      </c>
      <c r="E514" s="203">
        <v>128</v>
      </c>
      <c r="F514" s="203">
        <v>152</v>
      </c>
      <c r="G514" s="145">
        <v>195.78</v>
      </c>
      <c r="H514" s="145">
        <v>0</v>
      </c>
    </row>
    <row r="515" spans="1:8" x14ac:dyDescent="0.2">
      <c r="A515" s="128">
        <v>45075</v>
      </c>
      <c r="B515" s="145">
        <v>85134.89</v>
      </c>
      <c r="C515" s="145">
        <v>85087.69</v>
      </c>
      <c r="D515" s="145">
        <v>47.2</v>
      </c>
      <c r="E515" s="203">
        <v>288</v>
      </c>
      <c r="F515" s="203">
        <v>371</v>
      </c>
      <c r="G515" s="145">
        <v>969.21</v>
      </c>
      <c r="H515" s="145">
        <v>0</v>
      </c>
    </row>
    <row r="516" spans="1:8" x14ac:dyDescent="0.2">
      <c r="A516" s="128">
        <v>45076</v>
      </c>
      <c r="B516" s="145">
        <v>71453.259999999995</v>
      </c>
      <c r="C516" s="145">
        <v>71428.23</v>
      </c>
      <c r="D516" s="145">
        <v>25.03</v>
      </c>
      <c r="E516" s="203">
        <v>233</v>
      </c>
      <c r="F516" s="203">
        <v>265</v>
      </c>
      <c r="G516" s="145">
        <v>550.07000000000005</v>
      </c>
      <c r="H516" s="145">
        <v>1378.7</v>
      </c>
    </row>
    <row r="517" spans="1:8" x14ac:dyDescent="0.2">
      <c r="A517" s="128">
        <v>45077</v>
      </c>
      <c r="B517" s="145">
        <v>79730.649999999994</v>
      </c>
      <c r="C517" s="145">
        <v>79730.649999999994</v>
      </c>
      <c r="D517" s="145">
        <v>0</v>
      </c>
      <c r="E517" s="203">
        <v>265</v>
      </c>
      <c r="F517" s="203">
        <v>300</v>
      </c>
      <c r="G517" s="145">
        <v>673.1</v>
      </c>
      <c r="H517" s="145">
        <v>1342.35</v>
      </c>
    </row>
    <row r="518" spans="1:8" x14ac:dyDescent="0.2">
      <c r="A518" s="128">
        <v>45078</v>
      </c>
      <c r="B518" s="145">
        <v>69394.259999999995</v>
      </c>
      <c r="C518" s="145">
        <v>69353.710000000006</v>
      </c>
      <c r="D518" s="145">
        <v>40.549999999999997</v>
      </c>
      <c r="E518" s="203">
        <v>238</v>
      </c>
      <c r="F518" s="203">
        <v>269</v>
      </c>
      <c r="G518" s="145">
        <v>983.61</v>
      </c>
      <c r="H518" s="145">
        <v>953.7</v>
      </c>
    </row>
    <row r="519" spans="1:8" x14ac:dyDescent="0.2">
      <c r="A519" s="128">
        <v>45079</v>
      </c>
      <c r="B519" s="145">
        <v>92678.05</v>
      </c>
      <c r="C519" s="145">
        <v>92678.05</v>
      </c>
      <c r="D519" s="145">
        <v>0</v>
      </c>
      <c r="E519" s="203">
        <v>290</v>
      </c>
      <c r="F519" s="203">
        <v>331</v>
      </c>
      <c r="G519" s="145">
        <v>1189.72</v>
      </c>
      <c r="H519" s="145">
        <v>1334.85</v>
      </c>
    </row>
    <row r="520" spans="1:8" x14ac:dyDescent="0.2">
      <c r="A520" s="128">
        <v>45080</v>
      </c>
      <c r="B520" s="145">
        <v>46583.77</v>
      </c>
      <c r="C520" s="145">
        <v>46583.77</v>
      </c>
      <c r="D520" s="145">
        <v>0</v>
      </c>
      <c r="E520" s="203">
        <v>161</v>
      </c>
      <c r="F520" s="203">
        <v>185</v>
      </c>
      <c r="G520" s="145">
        <v>628.22</v>
      </c>
      <c r="H520" s="145">
        <v>1127.3</v>
      </c>
    </row>
    <row r="521" spans="1:8" x14ac:dyDescent="0.2">
      <c r="A521" s="128">
        <v>45081</v>
      </c>
      <c r="B521" s="145">
        <v>53461.599999999999</v>
      </c>
      <c r="C521" s="145">
        <v>53461.599999999999</v>
      </c>
      <c r="D521" s="145">
        <v>0</v>
      </c>
      <c r="E521" s="203">
        <v>147</v>
      </c>
      <c r="F521" s="203">
        <v>169</v>
      </c>
      <c r="G521" s="145">
        <v>304.83999999999997</v>
      </c>
      <c r="H521" s="145">
        <v>0</v>
      </c>
    </row>
    <row r="522" spans="1:8" x14ac:dyDescent="0.2">
      <c r="A522" s="128">
        <v>45082</v>
      </c>
      <c r="B522" s="145">
        <v>108978.5</v>
      </c>
      <c r="C522" s="145">
        <v>108978.5</v>
      </c>
      <c r="D522" s="145">
        <v>0</v>
      </c>
      <c r="E522" s="203">
        <v>341</v>
      </c>
      <c r="F522" s="203">
        <v>380</v>
      </c>
      <c r="G522" s="145">
        <v>1785.15</v>
      </c>
      <c r="H522" s="145">
        <v>866.15</v>
      </c>
    </row>
    <row r="523" spans="1:8" x14ac:dyDescent="0.2">
      <c r="A523" s="128">
        <v>45083</v>
      </c>
      <c r="B523" s="145">
        <v>110507.95</v>
      </c>
      <c r="C523" s="145">
        <v>110507.95</v>
      </c>
      <c r="D523" s="145">
        <v>0</v>
      </c>
      <c r="E523" s="203">
        <v>350</v>
      </c>
      <c r="F523" s="203">
        <v>392</v>
      </c>
      <c r="G523" s="145">
        <v>1698.15</v>
      </c>
      <c r="H523" s="145">
        <v>507.25</v>
      </c>
    </row>
    <row r="524" spans="1:8" x14ac:dyDescent="0.2">
      <c r="A524" s="128">
        <v>45084</v>
      </c>
      <c r="B524" s="145">
        <v>112268.97</v>
      </c>
      <c r="C524" s="145">
        <v>112268.97</v>
      </c>
      <c r="D524" s="145">
        <v>0</v>
      </c>
      <c r="E524" s="203">
        <v>362</v>
      </c>
      <c r="F524" s="203">
        <v>407</v>
      </c>
      <c r="G524" s="145">
        <v>5119.16</v>
      </c>
      <c r="H524" s="145">
        <v>3984.2</v>
      </c>
    </row>
    <row r="525" spans="1:8" x14ac:dyDescent="0.2">
      <c r="A525" s="128">
        <v>45085</v>
      </c>
      <c r="B525" s="145">
        <v>89754.78</v>
      </c>
      <c r="C525" s="145">
        <v>89754.78</v>
      </c>
      <c r="D525" s="145">
        <v>0</v>
      </c>
      <c r="E525" s="203">
        <v>279</v>
      </c>
      <c r="F525" s="203">
        <v>309</v>
      </c>
      <c r="G525" s="145">
        <v>935.72</v>
      </c>
      <c r="H525" s="145">
        <v>0</v>
      </c>
    </row>
    <row r="526" spans="1:8" x14ac:dyDescent="0.2">
      <c r="A526" s="128">
        <v>45086</v>
      </c>
      <c r="B526" s="145">
        <v>115721.65</v>
      </c>
      <c r="C526" s="145">
        <v>115721.65</v>
      </c>
      <c r="D526" s="145">
        <v>0</v>
      </c>
      <c r="E526" s="203">
        <v>369</v>
      </c>
      <c r="F526" s="203">
        <v>402</v>
      </c>
      <c r="G526" s="145">
        <v>498.34</v>
      </c>
      <c r="H526" s="145">
        <v>2700.3</v>
      </c>
    </row>
    <row r="527" spans="1:8" x14ac:dyDescent="0.2">
      <c r="A527" s="128">
        <v>45087</v>
      </c>
      <c r="B527" s="145">
        <v>102935.45</v>
      </c>
      <c r="C527" s="145">
        <v>102909.64</v>
      </c>
      <c r="D527" s="145">
        <v>25.81</v>
      </c>
      <c r="E527" s="203">
        <v>305</v>
      </c>
      <c r="F527" s="203">
        <v>362</v>
      </c>
      <c r="G527" s="145">
        <v>940.56</v>
      </c>
      <c r="H527" s="145">
        <v>0</v>
      </c>
    </row>
    <row r="528" spans="1:8" x14ac:dyDescent="0.2">
      <c r="A528" s="128">
        <v>45088</v>
      </c>
      <c r="B528" s="145">
        <v>136501.45000000001</v>
      </c>
      <c r="C528" s="145">
        <v>136501.45000000001</v>
      </c>
      <c r="D528" s="145">
        <v>0</v>
      </c>
      <c r="E528" s="203">
        <v>389</v>
      </c>
      <c r="F528" s="203">
        <v>456</v>
      </c>
      <c r="G528" s="145">
        <v>1437.07</v>
      </c>
      <c r="H528" s="145">
        <v>0</v>
      </c>
    </row>
    <row r="529" spans="1:8" x14ac:dyDescent="0.2">
      <c r="A529" s="128">
        <v>45089</v>
      </c>
      <c r="B529" s="145">
        <v>353104.17</v>
      </c>
      <c r="C529" s="145">
        <v>353104.17</v>
      </c>
      <c r="D529" s="145">
        <v>0</v>
      </c>
      <c r="E529" s="203">
        <v>1156</v>
      </c>
      <c r="F529" s="203">
        <v>1261</v>
      </c>
      <c r="G529" s="145">
        <v>3958.22</v>
      </c>
      <c r="H529" s="145">
        <v>14720.79</v>
      </c>
    </row>
    <row r="530" spans="1:8" x14ac:dyDescent="0.2">
      <c r="A530" s="128">
        <v>45090</v>
      </c>
      <c r="B530" s="145">
        <v>76630.16</v>
      </c>
      <c r="C530" s="145">
        <v>76630.16</v>
      </c>
      <c r="D530" s="145">
        <v>0</v>
      </c>
      <c r="E530" s="203">
        <v>278</v>
      </c>
      <c r="F530" s="203">
        <v>340</v>
      </c>
      <c r="G530" s="145">
        <v>2300.0300000000002</v>
      </c>
      <c r="H530" s="145">
        <v>8227.15</v>
      </c>
    </row>
    <row r="531" spans="1:8" x14ac:dyDescent="0.2">
      <c r="A531" s="128">
        <v>45091</v>
      </c>
      <c r="B531" s="145">
        <v>62688.639999999999</v>
      </c>
      <c r="C531" s="145">
        <v>62634.73</v>
      </c>
      <c r="D531" s="145">
        <v>53.91</v>
      </c>
      <c r="E531" s="203">
        <v>266</v>
      </c>
      <c r="F531" s="203">
        <v>309</v>
      </c>
      <c r="G531" s="145">
        <v>318.2</v>
      </c>
      <c r="H531" s="145">
        <v>10318.370000000001</v>
      </c>
    </row>
    <row r="532" spans="1:8" x14ac:dyDescent="0.2">
      <c r="A532" s="128">
        <v>45092</v>
      </c>
      <c r="B532" s="145">
        <v>61925.09</v>
      </c>
      <c r="C532" s="145">
        <v>61901.54</v>
      </c>
      <c r="D532" s="145">
        <v>23.55</v>
      </c>
      <c r="E532" s="203">
        <v>222</v>
      </c>
      <c r="F532" s="203">
        <v>278</v>
      </c>
      <c r="G532" s="145">
        <v>1112.3599999999999</v>
      </c>
      <c r="H532" s="145">
        <v>5412.45</v>
      </c>
    </row>
    <row r="533" spans="1:8" x14ac:dyDescent="0.2">
      <c r="A533" s="128">
        <v>45093</v>
      </c>
      <c r="B533" s="145">
        <v>66215.08</v>
      </c>
      <c r="C533" s="145">
        <v>66215.08</v>
      </c>
      <c r="D533" s="145">
        <v>0</v>
      </c>
      <c r="E533" s="203">
        <v>252</v>
      </c>
      <c r="F533" s="203">
        <v>282</v>
      </c>
      <c r="G533" s="145">
        <v>185.91</v>
      </c>
      <c r="H533" s="145">
        <v>5404.95</v>
      </c>
    </row>
    <row r="534" spans="1:8" x14ac:dyDescent="0.2">
      <c r="A534" s="128">
        <v>45094</v>
      </c>
      <c r="B534" s="145">
        <v>38195.82</v>
      </c>
      <c r="C534" s="145">
        <v>38195.82</v>
      </c>
      <c r="D534" s="145">
        <v>0</v>
      </c>
      <c r="E534" s="203">
        <v>154</v>
      </c>
      <c r="F534" s="203">
        <v>175</v>
      </c>
      <c r="G534" s="145">
        <v>212.28</v>
      </c>
      <c r="H534" s="145">
        <v>0</v>
      </c>
    </row>
    <row r="535" spans="1:8" x14ac:dyDescent="0.2">
      <c r="A535" s="128">
        <v>45095</v>
      </c>
      <c r="B535" s="145">
        <v>30682.55</v>
      </c>
      <c r="C535" s="145">
        <v>30682.55</v>
      </c>
      <c r="D535" s="145">
        <v>0</v>
      </c>
      <c r="E535" s="203">
        <v>122</v>
      </c>
      <c r="F535" s="203">
        <v>137</v>
      </c>
      <c r="G535" s="145">
        <v>44.4</v>
      </c>
      <c r="H535" s="145">
        <v>1439.75</v>
      </c>
    </row>
    <row r="536" spans="1:8" x14ac:dyDescent="0.2">
      <c r="A536" s="128">
        <v>45096</v>
      </c>
      <c r="B536" s="145">
        <v>53247.97</v>
      </c>
      <c r="C536" s="145">
        <v>53247.97</v>
      </c>
      <c r="D536" s="145">
        <v>0</v>
      </c>
      <c r="E536" s="203">
        <v>199</v>
      </c>
      <c r="F536" s="203">
        <v>226</v>
      </c>
      <c r="G536" s="145">
        <v>571.74</v>
      </c>
      <c r="H536" s="145">
        <v>1905.59</v>
      </c>
    </row>
    <row r="537" spans="1:8" x14ac:dyDescent="0.2">
      <c r="A537" s="128">
        <v>45097</v>
      </c>
      <c r="B537" s="145">
        <v>65109.03</v>
      </c>
      <c r="C537" s="145">
        <v>65109.03</v>
      </c>
      <c r="D537" s="145">
        <v>0</v>
      </c>
      <c r="E537" s="203">
        <v>206</v>
      </c>
      <c r="F537" s="203">
        <v>256</v>
      </c>
      <c r="G537" s="145">
        <v>872.91</v>
      </c>
      <c r="H537" s="145">
        <v>1466.86</v>
      </c>
    </row>
    <row r="538" spans="1:8" x14ac:dyDescent="0.2">
      <c r="A538" s="128">
        <v>45098</v>
      </c>
      <c r="B538" s="145">
        <v>53562.32</v>
      </c>
      <c r="C538" s="145">
        <v>53562.32</v>
      </c>
      <c r="D538" s="145">
        <v>0</v>
      </c>
      <c r="E538" s="203">
        <v>183</v>
      </c>
      <c r="F538" s="203">
        <v>208</v>
      </c>
      <c r="G538" s="145">
        <v>260.82</v>
      </c>
      <c r="H538" s="145">
        <v>1601.75</v>
      </c>
    </row>
    <row r="539" spans="1:8" x14ac:dyDescent="0.2">
      <c r="A539" s="128">
        <v>45099</v>
      </c>
      <c r="B539" s="145">
        <v>56647.8</v>
      </c>
      <c r="C539" s="145">
        <v>56609.27</v>
      </c>
      <c r="D539" s="145">
        <v>38.53</v>
      </c>
      <c r="E539" s="203">
        <v>216</v>
      </c>
      <c r="F539" s="203">
        <v>243</v>
      </c>
      <c r="G539" s="145">
        <v>417.58</v>
      </c>
      <c r="H539" s="145">
        <v>1198.1500000000001</v>
      </c>
    </row>
    <row r="540" spans="1:8" x14ac:dyDescent="0.2">
      <c r="A540" s="128">
        <v>45100</v>
      </c>
      <c r="B540" s="145">
        <v>55563.08</v>
      </c>
      <c r="C540" s="145">
        <v>55563.08</v>
      </c>
      <c r="D540" s="145">
        <v>0</v>
      </c>
      <c r="E540" s="203">
        <v>198</v>
      </c>
      <c r="F540" s="203">
        <v>243</v>
      </c>
      <c r="G540" s="145">
        <v>456.31</v>
      </c>
      <c r="H540" s="145">
        <v>2605.4499999999998</v>
      </c>
    </row>
    <row r="541" spans="1:8" x14ac:dyDescent="0.2">
      <c r="A541" s="128">
        <v>45101</v>
      </c>
      <c r="B541" s="145">
        <v>31043.46</v>
      </c>
      <c r="C541" s="145">
        <v>31017.65</v>
      </c>
      <c r="D541" s="145">
        <v>25.81</v>
      </c>
      <c r="E541" s="203">
        <v>126</v>
      </c>
      <c r="F541" s="203">
        <v>133</v>
      </c>
      <c r="G541" s="145">
        <v>185.2</v>
      </c>
      <c r="H541" s="145">
        <v>0</v>
      </c>
    </row>
    <row r="542" spans="1:8" x14ac:dyDescent="0.2">
      <c r="A542" s="128">
        <v>45102</v>
      </c>
      <c r="B542" s="145">
        <v>24508.92</v>
      </c>
      <c r="C542" s="145">
        <v>24508.92</v>
      </c>
      <c r="D542" s="145">
        <v>0</v>
      </c>
      <c r="E542" s="203">
        <v>90</v>
      </c>
      <c r="F542" s="203">
        <v>109</v>
      </c>
      <c r="G542" s="145">
        <v>89.38</v>
      </c>
      <c r="H542" s="145">
        <v>0</v>
      </c>
    </row>
    <row r="543" spans="1:8" x14ac:dyDescent="0.2">
      <c r="A543" s="128">
        <v>45103</v>
      </c>
      <c r="B543" s="145">
        <v>116688.49</v>
      </c>
      <c r="C543" s="145">
        <v>116688.49</v>
      </c>
      <c r="D543" s="145">
        <v>0</v>
      </c>
      <c r="E543" s="203">
        <v>522</v>
      </c>
      <c r="F543" s="203">
        <v>755</v>
      </c>
      <c r="G543" s="145">
        <v>459.06</v>
      </c>
      <c r="H543" s="145">
        <v>2111.4499999999998</v>
      </c>
    </row>
    <row r="544" spans="1:8" x14ac:dyDescent="0.2">
      <c r="A544" s="128">
        <v>45104</v>
      </c>
      <c r="B544" s="145">
        <v>105816.79</v>
      </c>
      <c r="C544" s="145">
        <v>105795.52</v>
      </c>
      <c r="D544" s="145">
        <v>21.27</v>
      </c>
      <c r="E544" s="203">
        <v>504</v>
      </c>
      <c r="F544" s="203">
        <v>704</v>
      </c>
      <c r="G544" s="145">
        <v>275.02999999999997</v>
      </c>
      <c r="H544" s="145">
        <v>393.5</v>
      </c>
    </row>
    <row r="545" spans="1:8" x14ac:dyDescent="0.2">
      <c r="A545" s="128">
        <v>45105</v>
      </c>
      <c r="B545" s="145">
        <v>68415.91</v>
      </c>
      <c r="C545" s="145">
        <v>68415.91</v>
      </c>
      <c r="D545" s="145">
        <v>0</v>
      </c>
      <c r="E545" s="203">
        <v>220</v>
      </c>
      <c r="F545" s="203">
        <v>291</v>
      </c>
      <c r="G545" s="145">
        <v>658.24</v>
      </c>
      <c r="H545" s="145">
        <v>1500.3</v>
      </c>
    </row>
    <row r="546" spans="1:8" x14ac:dyDescent="0.2">
      <c r="A546" s="128">
        <v>45106</v>
      </c>
      <c r="B546" s="145">
        <v>72459.34</v>
      </c>
      <c r="C546" s="145">
        <v>72434.87</v>
      </c>
      <c r="D546" s="145">
        <v>24.47</v>
      </c>
      <c r="E546" s="203">
        <v>294</v>
      </c>
      <c r="F546" s="203">
        <v>386</v>
      </c>
      <c r="G546" s="145">
        <v>1050.22</v>
      </c>
      <c r="H546" s="145">
        <v>2515.8000000000002</v>
      </c>
    </row>
    <row r="547" spans="1:8" x14ac:dyDescent="0.2">
      <c r="A547" s="128">
        <v>45107</v>
      </c>
      <c r="B547" s="145">
        <v>95968.51</v>
      </c>
      <c r="C547" s="145">
        <v>95968.51</v>
      </c>
      <c r="D547" s="145">
        <v>0</v>
      </c>
      <c r="E547" s="203">
        <v>327</v>
      </c>
      <c r="F547" s="203">
        <v>493</v>
      </c>
      <c r="G547" s="145">
        <v>1880.01</v>
      </c>
      <c r="H547" s="145">
        <v>2301.9499999999998</v>
      </c>
    </row>
    <row r="548" spans="1:8" x14ac:dyDescent="0.2">
      <c r="A548" s="128">
        <v>45108</v>
      </c>
      <c r="B548" s="145">
        <v>42346.6</v>
      </c>
      <c r="C548" s="145">
        <v>42324.13</v>
      </c>
      <c r="D548" s="145">
        <v>22.47</v>
      </c>
      <c r="E548" s="203">
        <v>157</v>
      </c>
      <c r="F548" s="203">
        <v>177</v>
      </c>
      <c r="G548" s="145">
        <v>235.81</v>
      </c>
      <c r="H548" s="145">
        <v>188</v>
      </c>
    </row>
    <row r="549" spans="1:8" x14ac:dyDescent="0.2">
      <c r="A549" s="128">
        <v>45109</v>
      </c>
      <c r="B549" s="145">
        <v>29860.62</v>
      </c>
      <c r="C549" s="145">
        <v>29860.62</v>
      </c>
      <c r="D549" s="145">
        <v>0</v>
      </c>
      <c r="E549" s="203">
        <v>116</v>
      </c>
      <c r="F549" s="203">
        <v>128</v>
      </c>
      <c r="G549" s="145">
        <v>190.82</v>
      </c>
      <c r="H549" s="145">
        <v>0</v>
      </c>
    </row>
    <row r="550" spans="1:8" x14ac:dyDescent="0.2">
      <c r="A550" s="128">
        <v>45110</v>
      </c>
      <c r="B550" s="145">
        <v>63094.61</v>
      </c>
      <c r="C550" s="145">
        <v>63069.1</v>
      </c>
      <c r="D550" s="145">
        <v>25.51</v>
      </c>
      <c r="E550" s="203">
        <v>223</v>
      </c>
      <c r="F550" s="203">
        <v>248</v>
      </c>
      <c r="G550" s="145">
        <v>645.16</v>
      </c>
      <c r="H550" s="145">
        <v>1505.84</v>
      </c>
    </row>
    <row r="551" spans="1:8" x14ac:dyDescent="0.2">
      <c r="A551" s="128">
        <v>45111</v>
      </c>
      <c r="B551" s="145">
        <v>51297.19</v>
      </c>
      <c r="C551" s="145">
        <v>51273.24</v>
      </c>
      <c r="D551" s="145">
        <v>23.95</v>
      </c>
      <c r="E551" s="203">
        <v>182</v>
      </c>
      <c r="F551" s="203">
        <v>212</v>
      </c>
      <c r="G551" s="145">
        <v>528.36</v>
      </c>
      <c r="H551" s="145">
        <v>1185.8</v>
      </c>
    </row>
    <row r="552" spans="1:8" x14ac:dyDescent="0.2">
      <c r="A552" s="128">
        <v>45112</v>
      </c>
      <c r="B552" s="145">
        <v>57068.22</v>
      </c>
      <c r="C552" s="145">
        <v>57068.22</v>
      </c>
      <c r="D552" s="145">
        <v>0</v>
      </c>
      <c r="E552" s="203">
        <v>196</v>
      </c>
      <c r="F552" s="203">
        <v>222</v>
      </c>
      <c r="G552" s="145">
        <v>579.17999999999995</v>
      </c>
      <c r="H552" s="145">
        <v>1221.0999999999999</v>
      </c>
    </row>
    <row r="553" spans="1:8" x14ac:dyDescent="0.2">
      <c r="A553" s="128">
        <v>45113</v>
      </c>
      <c r="B553" s="145">
        <v>67730.460000000006</v>
      </c>
      <c r="C553" s="145">
        <v>67730.460000000006</v>
      </c>
      <c r="D553" s="145">
        <v>0</v>
      </c>
      <c r="E553" s="203">
        <v>248</v>
      </c>
      <c r="F553" s="203">
        <v>290</v>
      </c>
      <c r="G553" s="145">
        <v>1166.96</v>
      </c>
      <c r="H553" s="145">
        <v>1401.68</v>
      </c>
    </row>
    <row r="554" spans="1:8" x14ac:dyDescent="0.2">
      <c r="A554" s="128">
        <v>45114</v>
      </c>
      <c r="B554" s="145">
        <v>58300.55</v>
      </c>
      <c r="C554" s="145">
        <v>58300.55</v>
      </c>
      <c r="D554" s="145">
        <v>0</v>
      </c>
      <c r="E554" s="203">
        <v>230</v>
      </c>
      <c r="F554" s="203">
        <v>273</v>
      </c>
      <c r="G554" s="145">
        <v>1024.26</v>
      </c>
      <c r="H554" s="145">
        <v>2876.29</v>
      </c>
    </row>
    <row r="555" spans="1:8" x14ac:dyDescent="0.2">
      <c r="A555" s="128">
        <v>45115</v>
      </c>
      <c r="B555" s="145">
        <v>35975.949999999997</v>
      </c>
      <c r="C555" s="145">
        <v>35975.949999999997</v>
      </c>
      <c r="D555" s="145">
        <v>0</v>
      </c>
      <c r="E555" s="203">
        <v>139</v>
      </c>
      <c r="F555" s="203">
        <v>154</v>
      </c>
      <c r="G555" s="145">
        <v>199.4</v>
      </c>
      <c r="H555" s="145">
        <v>476.85</v>
      </c>
    </row>
    <row r="556" spans="1:8" x14ac:dyDescent="0.2">
      <c r="A556" s="128">
        <v>45116</v>
      </c>
      <c r="B556" s="145">
        <v>29340.36</v>
      </c>
      <c r="C556" s="145">
        <v>29303.97</v>
      </c>
      <c r="D556" s="145">
        <v>36.39</v>
      </c>
      <c r="E556" s="203">
        <v>102</v>
      </c>
      <c r="F556" s="203">
        <v>122</v>
      </c>
      <c r="G556" s="145">
        <v>152.08000000000001</v>
      </c>
      <c r="H556" s="145">
        <v>0</v>
      </c>
    </row>
    <row r="557" spans="1:8" x14ac:dyDescent="0.2">
      <c r="A557" s="128">
        <v>45117</v>
      </c>
      <c r="B557" s="145">
        <v>61533.279999999999</v>
      </c>
      <c r="C557" s="145">
        <v>61533.279999999999</v>
      </c>
      <c r="D557" s="145">
        <v>0</v>
      </c>
      <c r="E557" s="203">
        <v>227</v>
      </c>
      <c r="F557" s="203">
        <v>268</v>
      </c>
      <c r="G557" s="145">
        <v>699.55</v>
      </c>
      <c r="H557" s="145">
        <v>1916.37</v>
      </c>
    </row>
    <row r="558" spans="1:8" x14ac:dyDescent="0.2">
      <c r="A558" s="128">
        <v>45118</v>
      </c>
      <c r="B558" s="145">
        <v>63601.54</v>
      </c>
      <c r="C558" s="145">
        <v>63601.54</v>
      </c>
      <c r="D558" s="145">
        <v>0</v>
      </c>
      <c r="E558" s="203">
        <v>229</v>
      </c>
      <c r="F558" s="203">
        <v>262</v>
      </c>
      <c r="G558" s="145">
        <v>3602.36</v>
      </c>
      <c r="H558" s="145">
        <v>1284.25</v>
      </c>
    </row>
    <row r="559" spans="1:8" x14ac:dyDescent="0.2">
      <c r="A559" s="128">
        <v>45119</v>
      </c>
      <c r="B559" s="145">
        <v>62310.720000000001</v>
      </c>
      <c r="C559" s="145">
        <v>62310.720000000001</v>
      </c>
      <c r="D559" s="145">
        <v>0</v>
      </c>
      <c r="E559" s="203">
        <v>211</v>
      </c>
      <c r="F559" s="203">
        <v>243</v>
      </c>
      <c r="G559" s="145">
        <v>907.33</v>
      </c>
      <c r="H559" s="145">
        <v>831.8</v>
      </c>
    </row>
    <row r="560" spans="1:8" x14ac:dyDescent="0.2">
      <c r="A560" s="128">
        <v>45120</v>
      </c>
      <c r="B560" s="145">
        <v>60212.45</v>
      </c>
      <c r="C560" s="145">
        <v>60212.45</v>
      </c>
      <c r="D560" s="145">
        <v>0</v>
      </c>
      <c r="E560" s="203">
        <v>206</v>
      </c>
      <c r="F560" s="203">
        <v>229</v>
      </c>
      <c r="G560" s="145">
        <v>649.95000000000005</v>
      </c>
      <c r="H560" s="145">
        <v>1670.6</v>
      </c>
    </row>
    <row r="561" spans="1:8" x14ac:dyDescent="0.2">
      <c r="A561" s="128">
        <v>45121</v>
      </c>
      <c r="B561" s="145">
        <v>67998.05</v>
      </c>
      <c r="C561" s="145">
        <v>67998.05</v>
      </c>
      <c r="D561" s="145">
        <v>0</v>
      </c>
      <c r="E561" s="203">
        <v>234</v>
      </c>
      <c r="F561" s="203">
        <v>267</v>
      </c>
      <c r="G561" s="145">
        <v>297.39999999999998</v>
      </c>
      <c r="H561" s="145">
        <v>1185</v>
      </c>
    </row>
    <row r="562" spans="1:8" x14ac:dyDescent="0.2">
      <c r="A562" s="128">
        <v>45122</v>
      </c>
      <c r="B562" s="145">
        <v>38647.75</v>
      </c>
      <c r="C562" s="145">
        <v>38647.75</v>
      </c>
      <c r="D562" s="145">
        <v>0</v>
      </c>
      <c r="E562" s="203">
        <v>145</v>
      </c>
      <c r="F562" s="203">
        <v>166</v>
      </c>
      <c r="G562" s="145">
        <v>268.5</v>
      </c>
      <c r="H562" s="145">
        <v>0</v>
      </c>
    </row>
    <row r="563" spans="1:8" x14ac:dyDescent="0.2">
      <c r="A563" s="128">
        <v>45123</v>
      </c>
      <c r="B563" s="145">
        <v>26806.639999999999</v>
      </c>
      <c r="C563" s="145">
        <v>26806.639999999999</v>
      </c>
      <c r="D563" s="145">
        <v>0</v>
      </c>
      <c r="E563" s="203">
        <v>99</v>
      </c>
      <c r="F563" s="203">
        <v>106</v>
      </c>
      <c r="G563" s="145">
        <v>124.11</v>
      </c>
      <c r="H563" s="145">
        <v>188</v>
      </c>
    </row>
    <row r="564" spans="1:8" x14ac:dyDescent="0.2">
      <c r="A564" s="128">
        <v>45124</v>
      </c>
      <c r="B564" s="145">
        <v>67591.179999999993</v>
      </c>
      <c r="C564" s="145">
        <v>67591.179999999993</v>
      </c>
      <c r="D564" s="145">
        <v>0</v>
      </c>
      <c r="E564" s="203">
        <v>227</v>
      </c>
      <c r="F564" s="203">
        <v>264</v>
      </c>
      <c r="G564" s="145">
        <v>1147.67</v>
      </c>
      <c r="H564" s="145">
        <v>434.85</v>
      </c>
    </row>
    <row r="565" spans="1:8" x14ac:dyDescent="0.2">
      <c r="A565" s="128">
        <v>45125</v>
      </c>
      <c r="B565" s="145">
        <v>40260.42</v>
      </c>
      <c r="C565" s="145">
        <v>40213.870000000003</v>
      </c>
      <c r="D565" s="145">
        <v>46.55</v>
      </c>
      <c r="E565" s="203">
        <v>147</v>
      </c>
      <c r="F565" s="203">
        <v>174</v>
      </c>
      <c r="G565" s="145">
        <v>2126.27</v>
      </c>
      <c r="H565" s="145">
        <v>323.36</v>
      </c>
    </row>
    <row r="566" spans="1:8" x14ac:dyDescent="0.2">
      <c r="A566" s="128">
        <v>45126</v>
      </c>
      <c r="B566" s="145">
        <v>47614.62</v>
      </c>
      <c r="C566" s="145">
        <v>47614.62</v>
      </c>
      <c r="D566" s="145">
        <v>0</v>
      </c>
      <c r="E566" s="203">
        <v>177</v>
      </c>
      <c r="F566" s="203">
        <v>199</v>
      </c>
      <c r="G566" s="145">
        <v>1260.28</v>
      </c>
      <c r="H566" s="145">
        <v>463</v>
      </c>
    </row>
    <row r="567" spans="1:8" x14ac:dyDescent="0.2">
      <c r="A567" s="128">
        <v>45127</v>
      </c>
      <c r="B567" s="145">
        <v>48753.4</v>
      </c>
      <c r="C567" s="145">
        <v>48753.4</v>
      </c>
      <c r="D567" s="145">
        <v>0</v>
      </c>
      <c r="E567" s="203">
        <v>172</v>
      </c>
      <c r="F567" s="203">
        <v>201</v>
      </c>
      <c r="G567" s="145">
        <v>829.4</v>
      </c>
      <c r="H567" s="145">
        <v>953.35</v>
      </c>
    </row>
    <row r="568" spans="1:8" x14ac:dyDescent="0.2">
      <c r="A568" s="128">
        <v>45128</v>
      </c>
      <c r="B568" s="145">
        <v>48968.67</v>
      </c>
      <c r="C568" s="145">
        <v>49015.22</v>
      </c>
      <c r="D568" s="145">
        <v>0</v>
      </c>
      <c r="E568" s="203">
        <v>178</v>
      </c>
      <c r="F568" s="203">
        <v>206</v>
      </c>
      <c r="G568" s="145">
        <v>1000.78</v>
      </c>
      <c r="H568" s="145">
        <v>1967.55</v>
      </c>
    </row>
    <row r="569" spans="1:8" x14ac:dyDescent="0.2">
      <c r="A569" s="128">
        <v>45129</v>
      </c>
      <c r="B569" s="145">
        <v>33277.61</v>
      </c>
      <c r="C569" s="145">
        <v>33277.61</v>
      </c>
      <c r="D569" s="145">
        <v>0</v>
      </c>
      <c r="E569" s="203">
        <v>130</v>
      </c>
      <c r="F569" s="203">
        <v>143</v>
      </c>
      <c r="G569" s="145">
        <v>442.09</v>
      </c>
      <c r="H569" s="145">
        <v>0</v>
      </c>
    </row>
    <row r="570" spans="1:8" x14ac:dyDescent="0.2">
      <c r="A570" s="128">
        <v>45130</v>
      </c>
      <c r="B570" s="145">
        <v>24143.34</v>
      </c>
      <c r="C570" s="145">
        <v>24143.34</v>
      </c>
      <c r="D570" s="145">
        <v>0</v>
      </c>
      <c r="E570" s="203">
        <v>80</v>
      </c>
      <c r="F570" s="203">
        <v>100</v>
      </c>
      <c r="G570" s="145">
        <v>533.26</v>
      </c>
      <c r="H570" s="145">
        <v>0</v>
      </c>
    </row>
    <row r="571" spans="1:8" x14ac:dyDescent="0.2">
      <c r="A571" s="128">
        <v>45131</v>
      </c>
      <c r="B571" s="145">
        <v>58554.68</v>
      </c>
      <c r="C571" s="145">
        <v>58669.01</v>
      </c>
      <c r="D571" s="145">
        <v>0</v>
      </c>
      <c r="E571" s="203">
        <v>246</v>
      </c>
      <c r="F571" s="203">
        <v>325</v>
      </c>
      <c r="G571" s="145">
        <v>776.53</v>
      </c>
      <c r="H571" s="145">
        <v>5003.6899999999996</v>
      </c>
    </row>
    <row r="572" spans="1:8" x14ac:dyDescent="0.2">
      <c r="A572" s="128">
        <v>45132</v>
      </c>
      <c r="B572" s="145">
        <v>69821.009999999995</v>
      </c>
      <c r="C572" s="145">
        <v>69821.009999999995</v>
      </c>
      <c r="D572" s="145">
        <v>0</v>
      </c>
      <c r="E572" s="203">
        <v>283</v>
      </c>
      <c r="F572" s="203">
        <v>360</v>
      </c>
      <c r="G572" s="145">
        <v>894.89</v>
      </c>
      <c r="H572" s="145">
        <v>1190</v>
      </c>
    </row>
    <row r="573" spans="1:8" x14ac:dyDescent="0.2">
      <c r="A573" s="128">
        <v>45133</v>
      </c>
      <c r="B573" s="145">
        <v>38679.120000000003</v>
      </c>
      <c r="C573" s="145">
        <v>38679.120000000003</v>
      </c>
      <c r="D573" s="145">
        <v>0</v>
      </c>
      <c r="E573" s="203">
        <v>139</v>
      </c>
      <c r="F573" s="203">
        <v>187</v>
      </c>
      <c r="G573" s="145">
        <v>489.88</v>
      </c>
      <c r="H573" s="145">
        <v>639</v>
      </c>
    </row>
    <row r="574" spans="1:8" x14ac:dyDescent="0.2">
      <c r="A574" s="128">
        <v>45134</v>
      </c>
      <c r="B574" s="145">
        <v>55341.440000000002</v>
      </c>
      <c r="C574" s="145">
        <v>55341.440000000002</v>
      </c>
      <c r="D574" s="145">
        <v>0</v>
      </c>
      <c r="E574" s="203">
        <v>228</v>
      </c>
      <c r="F574" s="203">
        <v>274</v>
      </c>
      <c r="G574" s="145">
        <v>1022.81</v>
      </c>
      <c r="H574" s="145">
        <v>1195</v>
      </c>
    </row>
    <row r="575" spans="1:8" x14ac:dyDescent="0.2">
      <c r="A575" s="128">
        <v>45135</v>
      </c>
      <c r="B575" s="145">
        <v>56585.72</v>
      </c>
      <c r="C575" s="145">
        <v>56559.63</v>
      </c>
      <c r="D575" s="145">
        <v>26.09</v>
      </c>
      <c r="E575" s="203">
        <v>218</v>
      </c>
      <c r="F575" s="203">
        <v>245</v>
      </c>
      <c r="G575" s="145">
        <v>520.16999999999996</v>
      </c>
      <c r="H575" s="145">
        <v>1483.45</v>
      </c>
    </row>
    <row r="576" spans="1:8" x14ac:dyDescent="0.2">
      <c r="A576" s="128">
        <v>45136</v>
      </c>
      <c r="B576" s="145">
        <v>43999.29</v>
      </c>
      <c r="C576" s="145">
        <v>43999.29</v>
      </c>
      <c r="D576" s="145">
        <v>0</v>
      </c>
      <c r="E576" s="203">
        <v>164</v>
      </c>
      <c r="F576" s="203">
        <v>198</v>
      </c>
      <c r="G576" s="145">
        <v>839.31</v>
      </c>
      <c r="H576" s="145">
        <v>0</v>
      </c>
    </row>
    <row r="577" spans="1:8" x14ac:dyDescent="0.2">
      <c r="A577" s="128">
        <v>45137</v>
      </c>
      <c r="B577" s="145">
        <v>39462.46</v>
      </c>
      <c r="C577" s="145">
        <v>39462.46</v>
      </c>
      <c r="D577" s="145">
        <v>0</v>
      </c>
      <c r="E577" s="203">
        <v>147</v>
      </c>
      <c r="F577" s="203">
        <v>187</v>
      </c>
      <c r="G577" s="145">
        <v>464.84</v>
      </c>
      <c r="H577" s="145">
        <v>0</v>
      </c>
    </row>
    <row r="578" spans="1:8" x14ac:dyDescent="0.2">
      <c r="A578" s="128">
        <v>45138</v>
      </c>
      <c r="B578" s="145">
        <v>51227.97</v>
      </c>
      <c r="C578" s="145">
        <v>51227.97</v>
      </c>
      <c r="D578" s="145">
        <v>0</v>
      </c>
      <c r="E578" s="203">
        <v>182</v>
      </c>
      <c r="F578" s="203">
        <v>212</v>
      </c>
      <c r="G578" s="145">
        <v>591.51</v>
      </c>
      <c r="H578" s="145">
        <v>3372.12</v>
      </c>
    </row>
    <row r="579" spans="1:8" x14ac:dyDescent="0.2">
      <c r="A579" s="128">
        <v>45139</v>
      </c>
      <c r="B579" s="145">
        <v>37837.360000000001</v>
      </c>
      <c r="C579" s="145">
        <v>37837.360000000001</v>
      </c>
      <c r="D579" s="145">
        <v>0</v>
      </c>
      <c r="E579" s="203">
        <v>129</v>
      </c>
      <c r="F579" s="203">
        <v>150</v>
      </c>
      <c r="G579" s="145">
        <v>391.99</v>
      </c>
      <c r="H579" s="145">
        <v>1096</v>
      </c>
    </row>
    <row r="580" spans="1:8" x14ac:dyDescent="0.2">
      <c r="A580" s="128">
        <v>45140</v>
      </c>
      <c r="B580" s="145">
        <v>61652.53</v>
      </c>
      <c r="C580" s="145">
        <v>61652.53</v>
      </c>
      <c r="D580" s="145">
        <v>0</v>
      </c>
      <c r="E580" s="203">
        <v>234</v>
      </c>
      <c r="F580" s="203">
        <v>268</v>
      </c>
      <c r="G580" s="145">
        <v>1428.05</v>
      </c>
      <c r="H580" s="145">
        <v>3011.77</v>
      </c>
    </row>
    <row r="581" spans="1:8" x14ac:dyDescent="0.2">
      <c r="A581" s="128">
        <v>45141</v>
      </c>
      <c r="B581" s="145">
        <v>67851.78</v>
      </c>
      <c r="C581" s="145">
        <v>35391.74</v>
      </c>
      <c r="D581" s="145">
        <v>0</v>
      </c>
      <c r="E581" s="203">
        <v>134</v>
      </c>
      <c r="F581" s="203">
        <v>160</v>
      </c>
      <c r="G581" s="145">
        <v>504.94</v>
      </c>
      <c r="H581" s="145">
        <v>623.22</v>
      </c>
    </row>
    <row r="582" spans="1:8" x14ac:dyDescent="0.2">
      <c r="A582" s="128">
        <v>45142</v>
      </c>
      <c r="B582" s="145">
        <v>78988.06</v>
      </c>
      <c r="C582" s="145">
        <v>78988.06</v>
      </c>
      <c r="D582" s="145">
        <v>0</v>
      </c>
      <c r="E582" s="203">
        <v>247</v>
      </c>
      <c r="F582" s="203">
        <v>299</v>
      </c>
      <c r="G582" s="145"/>
      <c r="H582" s="145"/>
    </row>
    <row r="583" spans="1:8" x14ac:dyDescent="0.2">
      <c r="A583" s="128">
        <v>45143</v>
      </c>
      <c r="B583" s="145">
        <v>46373.91</v>
      </c>
      <c r="C583" s="145">
        <v>46350.6</v>
      </c>
      <c r="D583" s="145">
        <v>23.31</v>
      </c>
      <c r="E583" s="203">
        <v>283</v>
      </c>
      <c r="F583" s="203">
        <v>332</v>
      </c>
      <c r="G583" s="145"/>
      <c r="H583" s="145"/>
    </row>
    <row r="584" spans="1:8" x14ac:dyDescent="0.2">
      <c r="A584" s="128">
        <v>45144</v>
      </c>
      <c r="B584" s="145">
        <v>32215.25</v>
      </c>
      <c r="C584" s="145">
        <v>32215.25</v>
      </c>
      <c r="D584" s="145">
        <v>0</v>
      </c>
      <c r="E584" s="203">
        <v>163</v>
      </c>
      <c r="F584" s="203">
        <v>185</v>
      </c>
      <c r="G584" s="145"/>
      <c r="H584" s="145"/>
    </row>
    <row r="585" spans="1:8" x14ac:dyDescent="0.2">
      <c r="A585" s="128">
        <v>45145</v>
      </c>
      <c r="B585" s="145">
        <v>69465.52</v>
      </c>
      <c r="C585" s="145">
        <v>69442.070000000007</v>
      </c>
      <c r="D585" s="145">
        <v>23.45</v>
      </c>
      <c r="E585" s="203">
        <v>255</v>
      </c>
      <c r="F585" s="203">
        <v>279</v>
      </c>
      <c r="G585" s="145"/>
      <c r="H585" s="145"/>
    </row>
    <row r="586" spans="1:8" x14ac:dyDescent="0.2">
      <c r="A586" s="128">
        <v>45146</v>
      </c>
      <c r="B586" s="145">
        <v>88246.83</v>
      </c>
      <c r="C586" s="145">
        <v>88217.600000000006</v>
      </c>
      <c r="D586" s="145">
        <v>29.23</v>
      </c>
      <c r="E586" s="203">
        <v>305</v>
      </c>
      <c r="F586" s="203">
        <v>372</v>
      </c>
      <c r="G586" s="145"/>
      <c r="H586" s="145"/>
    </row>
    <row r="587" spans="1:8" x14ac:dyDescent="0.2">
      <c r="A587" s="128">
        <v>45147</v>
      </c>
      <c r="B587" s="145">
        <v>84697.75</v>
      </c>
      <c r="C587" s="145">
        <v>84627.68</v>
      </c>
      <c r="D587" s="145">
        <v>70.069999999999993</v>
      </c>
      <c r="E587" s="203">
        <v>290</v>
      </c>
      <c r="F587" s="203">
        <v>399</v>
      </c>
      <c r="G587" s="145"/>
      <c r="H587" s="145"/>
    </row>
    <row r="588" spans="1:8" x14ac:dyDescent="0.2">
      <c r="A588" s="128">
        <v>45148</v>
      </c>
      <c r="B588" s="145">
        <v>84979.81</v>
      </c>
      <c r="C588" s="145">
        <v>84933.05</v>
      </c>
      <c r="D588" s="145">
        <v>46.76</v>
      </c>
      <c r="E588" s="203">
        <v>312</v>
      </c>
      <c r="F588" s="203">
        <v>419</v>
      </c>
      <c r="G588" s="145"/>
      <c r="H588" s="145"/>
    </row>
    <row r="589" spans="1:8" x14ac:dyDescent="0.2">
      <c r="A589" s="128">
        <v>45149</v>
      </c>
      <c r="B589" s="145"/>
      <c r="C589" s="145"/>
      <c r="D589" s="145"/>
      <c r="E589" s="203"/>
      <c r="F589" s="203"/>
      <c r="G589" s="145"/>
      <c r="H589" s="145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FB70B-FB70-43A3-8EE9-9EF3D244D539}">
  <dimension ref="A1:AA87"/>
  <sheetViews>
    <sheetView showGridLines="0" workbookViewId="0">
      <pane ySplit="3" topLeftCell="A34" activePane="bottomLeft" state="frozen"/>
      <selection pane="bottomLeft" sqref="A1:K72"/>
    </sheetView>
  </sheetViews>
  <sheetFormatPr defaultColWidth="0" defaultRowHeight="12.75" zeroHeight="1" x14ac:dyDescent="0.2"/>
  <cols>
    <col min="1" max="1" width="15" style="140" bestFit="1" customWidth="1"/>
    <col min="2" max="3" width="14.42578125" bestFit="1" customWidth="1"/>
    <col min="4" max="4" width="14.28515625" customWidth="1"/>
    <col min="5" max="6" width="12.140625" bestFit="1" customWidth="1"/>
    <col min="7" max="7" width="13.85546875" bestFit="1" customWidth="1"/>
    <col min="8" max="10" width="12.140625" bestFit="1" customWidth="1"/>
    <col min="11" max="11" width="11.85546875" bestFit="1" customWidth="1"/>
    <col min="12" max="12" width="3.7109375" bestFit="1" customWidth="1"/>
    <col min="13" max="14" width="12.140625" bestFit="1" customWidth="1"/>
    <col min="15" max="15" width="6.7109375" bestFit="1" customWidth="1"/>
    <col min="16" max="16" width="11.28515625" bestFit="1" customWidth="1"/>
    <col min="17" max="17" width="10.42578125" bestFit="1" customWidth="1"/>
    <col min="18" max="18" width="10.5703125" bestFit="1" customWidth="1"/>
    <col min="19" max="19" width="10.140625" bestFit="1" customWidth="1"/>
    <col min="20" max="20" width="8" bestFit="1" customWidth="1"/>
    <col min="21" max="25" width="12.140625" hidden="1" customWidth="1"/>
    <col min="26" max="26" width="29.7109375" hidden="1" customWidth="1"/>
    <col min="27" max="16384" width="9.140625" hidden="1"/>
  </cols>
  <sheetData>
    <row r="1" spans="1:27" s="8" customFormat="1" ht="59.25" x14ac:dyDescent="0.75">
      <c r="A1" s="139"/>
      <c r="B1" s="6"/>
      <c r="C1" s="7"/>
      <c r="D1" s="7" t="s">
        <v>69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36"/>
      <c r="AA1" s="51"/>
    </row>
    <row r="2" spans="1:27" ht="13.5" thickBot="1" x14ac:dyDescent="0.25"/>
    <row r="3" spans="1:27" s="140" customFormat="1" ht="13.5" thickBot="1" x14ac:dyDescent="0.25">
      <c r="A3" s="186" t="s">
        <v>153</v>
      </c>
      <c r="B3" s="186" t="s">
        <v>75</v>
      </c>
      <c r="C3" s="186" t="s">
        <v>154</v>
      </c>
      <c r="D3" s="186" t="s">
        <v>77</v>
      </c>
      <c r="E3" s="186" t="s">
        <v>78</v>
      </c>
      <c r="F3" s="186" t="s">
        <v>79</v>
      </c>
      <c r="G3" s="186" t="s">
        <v>80</v>
      </c>
      <c r="H3" s="186" t="s">
        <v>81</v>
      </c>
      <c r="I3" s="186" t="s">
        <v>82</v>
      </c>
      <c r="J3" s="186" t="s">
        <v>40</v>
      </c>
      <c r="K3" s="187" t="s">
        <v>83</v>
      </c>
      <c r="L3" s="186" t="s">
        <v>101</v>
      </c>
      <c r="M3" s="187" t="s">
        <v>85</v>
      </c>
      <c r="N3" s="187" t="s">
        <v>155</v>
      </c>
      <c r="O3" s="187" t="s">
        <v>87</v>
      </c>
      <c r="P3" s="187" t="s">
        <v>88</v>
      </c>
      <c r="Q3" s="187" t="s">
        <v>89</v>
      </c>
      <c r="R3" s="187" t="s">
        <v>88</v>
      </c>
      <c r="S3" s="187" t="s">
        <v>91</v>
      </c>
      <c r="T3" s="187" t="s">
        <v>92</v>
      </c>
      <c r="U3" s="187"/>
      <c r="V3" s="187"/>
      <c r="W3" s="187"/>
      <c r="X3" s="187"/>
      <c r="Y3" s="187"/>
    </row>
    <row r="4" spans="1:27" hidden="1" x14ac:dyDescent="0.2">
      <c r="A4" s="143">
        <v>44927</v>
      </c>
      <c r="B4" s="134">
        <f>JAN!C$44</f>
        <v>1253345.8</v>
      </c>
      <c r="C4" s="134">
        <f>JAN!D$44</f>
        <v>1253021.2900000003</v>
      </c>
      <c r="D4" s="134">
        <f>JAN!E$44</f>
        <v>324.51000000000005</v>
      </c>
      <c r="E4" s="135">
        <f>JAN!F$44</f>
        <v>4374</v>
      </c>
      <c r="F4" s="135">
        <f>JAN!G$44</f>
        <v>5430</v>
      </c>
      <c r="G4" s="134">
        <f>JAN!H$44</f>
        <v>286.54453589391863</v>
      </c>
      <c r="H4" s="134">
        <f>JAN!I$44</f>
        <v>27096.82</v>
      </c>
      <c r="I4" s="136">
        <f>JAN!J$44</f>
        <v>46.254350141455717</v>
      </c>
      <c r="J4" s="135">
        <f>JAN!K$44</f>
        <v>41627</v>
      </c>
      <c r="K4" s="137">
        <f>JAN!L$44</f>
        <v>0.10507603238282845</v>
      </c>
      <c r="L4" s="134"/>
      <c r="M4" s="134">
        <f>JAN!N$44</f>
        <v>16809.219999999998</v>
      </c>
      <c r="N4" s="134">
        <f>JAN!O$44</f>
        <v>8687.5999999999985</v>
      </c>
      <c r="O4" s="134">
        <f>JAN!P$44</f>
        <v>0</v>
      </c>
      <c r="P4" s="134">
        <f>JAN!Q$44</f>
        <v>1599.9999999999989</v>
      </c>
      <c r="Q4" s="134">
        <f>JAN!R$44</f>
        <v>0</v>
      </c>
      <c r="R4" s="134">
        <f>JAN!S$44</f>
        <v>0</v>
      </c>
      <c r="S4" s="134"/>
      <c r="T4" s="134"/>
      <c r="U4" s="137"/>
      <c r="V4" s="137"/>
      <c r="W4" s="137"/>
      <c r="X4" s="137"/>
      <c r="Y4" s="137"/>
    </row>
    <row r="5" spans="1:27" hidden="1" x14ac:dyDescent="0.2">
      <c r="A5" s="143">
        <v>44562</v>
      </c>
      <c r="B5" s="134">
        <f ca="1">JAN!C$60</f>
        <v>734495.29000000015</v>
      </c>
      <c r="C5" s="134">
        <f ca="1">JAN!D$60</f>
        <v>734200.77000000014</v>
      </c>
      <c r="D5" s="134">
        <f ca="1">JAN!E$60</f>
        <v>294.52000000000004</v>
      </c>
      <c r="E5" s="135">
        <f ca="1">JAN!F$60</f>
        <v>2545</v>
      </c>
      <c r="F5" s="135">
        <f ca="1">JAN!G$60</f>
        <v>3082</v>
      </c>
      <c r="G5" s="134">
        <f ca="1">JAN!H$60</f>
        <v>288.60325736738707</v>
      </c>
      <c r="H5" s="134">
        <f ca="1">JAN!I$60</f>
        <v>19520.620000000003</v>
      </c>
      <c r="I5" s="136">
        <f ca="1">JAN!J$60</f>
        <v>37.626637371149073</v>
      </c>
      <c r="J5" s="135">
        <f ca="1">JAN!K$60</f>
        <v>102098</v>
      </c>
      <c r="K5" s="137">
        <f ca="1">JAN!L$60</f>
        <v>2.4927030891888184E-2</v>
      </c>
      <c r="L5" s="134"/>
      <c r="M5" s="134">
        <f ca="1">JAN!N$60</f>
        <v>10242.200000000001</v>
      </c>
      <c r="N5" s="134">
        <f ca="1">JAN!O$60</f>
        <v>7678.42</v>
      </c>
      <c r="O5" s="134">
        <f ca="1">JAN!P$60</f>
        <v>0</v>
      </c>
      <c r="P5" s="134">
        <f ca="1">JAN!Q$60</f>
        <v>1599.9999999999989</v>
      </c>
      <c r="Q5" s="134">
        <f ca="1">JAN!R$60</f>
        <v>0</v>
      </c>
      <c r="R5" s="134">
        <f ca="1">JAN!S$60</f>
        <v>0</v>
      </c>
      <c r="S5" s="134"/>
      <c r="T5" s="134"/>
      <c r="U5" s="137"/>
      <c r="V5" s="137"/>
      <c r="W5" s="137"/>
      <c r="X5" s="137"/>
      <c r="Y5" s="137"/>
    </row>
    <row r="6" spans="1:27" hidden="1" x14ac:dyDescent="0.2">
      <c r="A6" s="141" t="s">
        <v>156</v>
      </c>
      <c r="B6" s="87">
        <f t="shared" ref="B6:K6" ca="1" si="0">B4-B5</f>
        <v>518850.50999999989</v>
      </c>
      <c r="C6" s="87">
        <f t="shared" ca="1" si="0"/>
        <v>518820.52000000014</v>
      </c>
      <c r="D6" s="87">
        <f t="shared" ca="1" si="0"/>
        <v>29.990000000000009</v>
      </c>
      <c r="E6" s="88">
        <f t="shared" ca="1" si="0"/>
        <v>1829</v>
      </c>
      <c r="F6" s="88">
        <f t="shared" ca="1" si="0"/>
        <v>2348</v>
      </c>
      <c r="G6" s="87">
        <f t="shared" ca="1" si="0"/>
        <v>-2.058721473468438</v>
      </c>
      <c r="H6" s="87">
        <f t="shared" ca="1" si="0"/>
        <v>7576.1999999999971</v>
      </c>
      <c r="I6" s="125">
        <f t="shared" ca="1" si="0"/>
        <v>8.6277127703066441</v>
      </c>
      <c r="J6" s="88">
        <f t="shared" ca="1" si="0"/>
        <v>-60471</v>
      </c>
      <c r="K6" s="89">
        <f t="shared" ca="1" si="0"/>
        <v>8.0149001490940258E-2</v>
      </c>
      <c r="L6" s="87"/>
      <c r="M6" s="87">
        <f t="shared" ref="M6:R6" ca="1" si="1">M4-M5</f>
        <v>6567.0199999999968</v>
      </c>
      <c r="N6" s="87">
        <f t="shared" ca="1" si="1"/>
        <v>1009.1799999999985</v>
      </c>
      <c r="O6" s="87">
        <f t="shared" ca="1" si="1"/>
        <v>0</v>
      </c>
      <c r="P6" s="87">
        <f t="shared" ca="1" si="1"/>
        <v>0</v>
      </c>
      <c r="Q6" s="87">
        <f t="shared" ca="1" si="1"/>
        <v>0</v>
      </c>
      <c r="R6" s="87">
        <f t="shared" ca="1" si="1"/>
        <v>0</v>
      </c>
      <c r="S6" s="87"/>
      <c r="T6" s="87"/>
      <c r="U6" s="89"/>
      <c r="V6" s="89"/>
      <c r="W6" s="89"/>
      <c r="X6" s="89"/>
      <c r="Y6" s="89"/>
    </row>
    <row r="7" spans="1:27" hidden="1" x14ac:dyDescent="0.2">
      <c r="A7" s="142" t="s">
        <v>157</v>
      </c>
      <c r="B7" s="85">
        <f ca="1">IFERROR(1-(B5/B4),0)</f>
        <v>0.41397235304095636</v>
      </c>
      <c r="C7" s="85">
        <f t="shared" ref="C7:R7" ca="1" si="2">IFERROR(1-(C5/C4),0)</f>
        <v>0.41405563029180459</v>
      </c>
      <c r="D7" s="85">
        <f t="shared" ca="1" si="2"/>
        <v>9.2416258358756331E-2</v>
      </c>
      <c r="E7" s="85">
        <f t="shared" ca="1" si="2"/>
        <v>0.41815272062185638</v>
      </c>
      <c r="F7" s="85">
        <f t="shared" ca="1" si="2"/>
        <v>0.43241252302025779</v>
      </c>
      <c r="G7" s="85">
        <f t="shared" ca="1" si="2"/>
        <v>-7.184647465169558E-3</v>
      </c>
      <c r="H7" s="85">
        <f t="shared" ca="1" si="2"/>
        <v>0.2795973844901356</v>
      </c>
      <c r="I7" s="85">
        <f t="shared" ca="1" si="2"/>
        <v>0.18652759673244246</v>
      </c>
      <c r="J7" s="85">
        <f t="shared" ca="1" si="2"/>
        <v>-1.4526869579840009</v>
      </c>
      <c r="K7" s="85">
        <f t="shared" ca="1" si="2"/>
        <v>0.76277148721156163</v>
      </c>
      <c r="L7" s="85"/>
      <c r="M7" s="85">
        <f t="shared" ca="1" si="2"/>
        <v>0.39067963891245383</v>
      </c>
      <c r="N7" s="85">
        <f t="shared" ca="1" si="2"/>
        <v>0.11616326718541359</v>
      </c>
      <c r="O7" s="85">
        <f t="shared" ca="1" si="2"/>
        <v>0</v>
      </c>
      <c r="P7" s="85">
        <f t="shared" ca="1" si="2"/>
        <v>0</v>
      </c>
      <c r="Q7" s="85">
        <f t="shared" ca="1" si="2"/>
        <v>0</v>
      </c>
      <c r="R7" s="85">
        <f t="shared" ca="1" si="2"/>
        <v>0</v>
      </c>
      <c r="S7" s="85"/>
      <c r="T7" s="85"/>
      <c r="U7" s="85"/>
      <c r="V7" s="85"/>
      <c r="W7" s="85"/>
      <c r="X7" s="85"/>
      <c r="Y7" s="85"/>
    </row>
    <row r="8" spans="1:27" hidden="1" x14ac:dyDescent="0.2">
      <c r="A8" s="140" t="s">
        <v>101</v>
      </c>
    </row>
    <row r="9" spans="1:27" hidden="1" x14ac:dyDescent="0.2">
      <c r="A9" s="143">
        <v>44958</v>
      </c>
      <c r="B9" s="134">
        <f>FEV!C$44</f>
        <v>1351868.6099999999</v>
      </c>
      <c r="C9" s="134">
        <f>FEV!D$44</f>
        <v>1351463.69</v>
      </c>
      <c r="D9" s="134">
        <f>FEV!E$44</f>
        <v>404.92</v>
      </c>
      <c r="E9" s="135">
        <f>FEV!F$44</f>
        <v>4526</v>
      </c>
      <c r="F9" s="135">
        <f>FEV!G$44</f>
        <v>5792</v>
      </c>
      <c r="G9" s="134">
        <f>FEV!H$44</f>
        <v>298.68948519664161</v>
      </c>
      <c r="H9" s="134">
        <f>FEV!I$44</f>
        <v>28738.379999999997</v>
      </c>
      <c r="I9" s="136">
        <f>FEV!J$44</f>
        <v>47.040529424414316</v>
      </c>
      <c r="J9" s="135">
        <f>FEV!K$44</f>
        <v>109352</v>
      </c>
      <c r="K9" s="137">
        <f>FEV!L$44</f>
        <v>4.1389275001828957E-2</v>
      </c>
      <c r="L9" s="134"/>
      <c r="M9" s="134">
        <f>FEV!N$44</f>
        <v>17761.899999999998</v>
      </c>
      <c r="N9" s="134">
        <f>FEV!O$44</f>
        <v>9376.4799999999977</v>
      </c>
      <c r="O9" s="134">
        <f>FEV!P$44</f>
        <v>0</v>
      </c>
      <c r="P9" s="134">
        <f>FEV!Q$44</f>
        <v>1599.9999999999995</v>
      </c>
      <c r="Q9" s="134">
        <f>FEV!R$44</f>
        <v>0</v>
      </c>
      <c r="R9" s="134">
        <f>FEV!S$44</f>
        <v>0</v>
      </c>
      <c r="S9" s="134"/>
      <c r="T9" s="134"/>
      <c r="U9" s="137"/>
      <c r="V9" s="137"/>
      <c r="W9" s="137"/>
      <c r="X9" s="137"/>
      <c r="Y9" s="137"/>
    </row>
    <row r="10" spans="1:27" hidden="1" x14ac:dyDescent="0.2">
      <c r="A10" s="143">
        <v>44593</v>
      </c>
      <c r="B10" s="134">
        <f ca="1">FEV!C$60</f>
        <v>932931.16999999981</v>
      </c>
      <c r="C10" s="134">
        <f ca="1">FEV!D$60</f>
        <v>932586.94999999984</v>
      </c>
      <c r="D10" s="134">
        <f ca="1">FEV!E$60</f>
        <v>344.22</v>
      </c>
      <c r="E10" s="135">
        <f ca="1">FEV!F$60</f>
        <v>3110</v>
      </c>
      <c r="F10" s="135">
        <f ca="1">FEV!G$60</f>
        <v>3819</v>
      </c>
      <c r="G10" s="134">
        <f ca="1">FEV!H$60</f>
        <v>299.97786816720253</v>
      </c>
      <c r="H10" s="134">
        <f ca="1">FEV!I$60</f>
        <v>26595.170000000002</v>
      </c>
      <c r="I10" s="136">
        <f ca="1">FEV!J$60</f>
        <v>35.078969978383284</v>
      </c>
      <c r="J10" s="135">
        <f ca="1">FEV!K$60</f>
        <v>99193</v>
      </c>
      <c r="K10" s="137">
        <f ca="1">FEV!L$60</f>
        <v>3.1353018862218099E-2</v>
      </c>
      <c r="L10" s="134"/>
      <c r="M10" s="134">
        <f ca="1">FEV!N$60</f>
        <v>13137.250000000002</v>
      </c>
      <c r="N10" s="134">
        <f ca="1">FEV!O$60</f>
        <v>11857.919999999996</v>
      </c>
      <c r="O10" s="134">
        <f ca="1">FEV!P$60</f>
        <v>0</v>
      </c>
      <c r="P10" s="134">
        <f ca="1">FEV!Q$60</f>
        <v>1599.9999999999995</v>
      </c>
      <c r="Q10" s="134">
        <f ca="1">FEV!R$60</f>
        <v>0</v>
      </c>
      <c r="R10" s="134">
        <f ca="1">FEV!S$60</f>
        <v>0</v>
      </c>
      <c r="S10" s="134"/>
      <c r="T10" s="134"/>
      <c r="U10" s="137"/>
      <c r="V10" s="137"/>
      <c r="W10" s="137"/>
      <c r="X10" s="137"/>
      <c r="Y10" s="137"/>
    </row>
    <row r="11" spans="1:27" hidden="1" x14ac:dyDescent="0.2">
      <c r="A11" s="141" t="s">
        <v>158</v>
      </c>
      <c r="B11" s="87">
        <f t="shared" ref="B11:K11" ca="1" si="3">B9-B10</f>
        <v>418937.44000000006</v>
      </c>
      <c r="C11" s="87">
        <f t="shared" ca="1" si="3"/>
        <v>418876.74000000011</v>
      </c>
      <c r="D11" s="87">
        <f t="shared" ca="1" si="3"/>
        <v>60.699999999999989</v>
      </c>
      <c r="E11" s="88">
        <f t="shared" ca="1" si="3"/>
        <v>1416</v>
      </c>
      <c r="F11" s="88">
        <f t="shared" ca="1" si="3"/>
        <v>1973</v>
      </c>
      <c r="G11" s="87">
        <f t="shared" ca="1" si="3"/>
        <v>-1.2883829705609173</v>
      </c>
      <c r="H11" s="87">
        <f t="shared" ca="1" si="3"/>
        <v>2143.2099999999955</v>
      </c>
      <c r="I11" s="125">
        <f t="shared" ca="1" si="3"/>
        <v>11.961559446031032</v>
      </c>
      <c r="J11" s="88">
        <f t="shared" ca="1" si="3"/>
        <v>10159</v>
      </c>
      <c r="K11" s="89">
        <f t="shared" ca="1" si="3"/>
        <v>1.0036256139610858E-2</v>
      </c>
      <c r="L11" s="87"/>
      <c r="M11" s="87">
        <f t="shared" ref="M11:R11" ca="1" si="4">M9-M10</f>
        <v>4624.649999999996</v>
      </c>
      <c r="N11" s="87">
        <f t="shared" ca="1" si="4"/>
        <v>-2481.4399999999987</v>
      </c>
      <c r="O11" s="87">
        <f t="shared" ca="1" si="4"/>
        <v>0</v>
      </c>
      <c r="P11" s="87">
        <f t="shared" ca="1" si="4"/>
        <v>0</v>
      </c>
      <c r="Q11" s="87">
        <f t="shared" ca="1" si="4"/>
        <v>0</v>
      </c>
      <c r="R11" s="87">
        <f t="shared" ca="1" si="4"/>
        <v>0</v>
      </c>
      <c r="S11" s="87"/>
      <c r="T11" s="87"/>
      <c r="U11" s="89"/>
      <c r="V11" s="89"/>
      <c r="W11" s="89"/>
      <c r="X11" s="89"/>
      <c r="Y11" s="89"/>
    </row>
    <row r="12" spans="1:27" hidden="1" x14ac:dyDescent="0.2">
      <c r="A12" s="142" t="s">
        <v>159</v>
      </c>
      <c r="B12" s="85">
        <f ca="1">IFERROR(1-(B10/B9),0)</f>
        <v>0.30989508662383991</v>
      </c>
      <c r="C12" s="85">
        <f t="shared" ref="C12:R12" ca="1" si="5">IFERROR(1-(C10/C9),0)</f>
        <v>0.30994302185062783</v>
      </c>
      <c r="D12" s="85">
        <f t="shared" ca="1" si="5"/>
        <v>0.14990615430208432</v>
      </c>
      <c r="E12" s="85">
        <f t="shared" ca="1" si="5"/>
        <v>0.31285903667697745</v>
      </c>
      <c r="F12" s="85">
        <f t="shared" ca="1" si="5"/>
        <v>0.34064226519337015</v>
      </c>
      <c r="G12" s="85">
        <f t="shared" ca="1" si="5"/>
        <v>-4.3134527139871981E-3</v>
      </c>
      <c r="H12" s="85">
        <f t="shared" ca="1" si="5"/>
        <v>7.4576576689430518E-2</v>
      </c>
      <c r="I12" s="85">
        <f t="shared" ca="1" si="5"/>
        <v>0.25428199028353005</v>
      </c>
      <c r="J12" s="85">
        <f t="shared" ca="1" si="5"/>
        <v>9.2901821640207771E-2</v>
      </c>
      <c r="K12" s="85">
        <f t="shared" ca="1" si="5"/>
        <v>0.24248446340670049</v>
      </c>
      <c r="L12" s="85"/>
      <c r="M12" s="85">
        <f t="shared" ca="1" si="5"/>
        <v>0.26036910465659624</v>
      </c>
      <c r="N12" s="85">
        <f t="shared" ca="1" si="5"/>
        <v>-0.26464515468491356</v>
      </c>
      <c r="O12" s="85">
        <f t="shared" ca="1" si="5"/>
        <v>0</v>
      </c>
      <c r="P12" s="85">
        <f t="shared" ca="1" si="5"/>
        <v>0</v>
      </c>
      <c r="Q12" s="85">
        <f t="shared" ca="1" si="5"/>
        <v>0</v>
      </c>
      <c r="R12" s="85">
        <f t="shared" ca="1" si="5"/>
        <v>0</v>
      </c>
      <c r="S12" s="85"/>
      <c r="T12" s="85"/>
      <c r="U12" s="85"/>
      <c r="V12" s="85"/>
      <c r="W12" s="85"/>
      <c r="X12" s="85"/>
      <c r="Y12" s="85"/>
    </row>
    <row r="13" spans="1:27" hidden="1" x14ac:dyDescent="0.2">
      <c r="A13" s="140" t="s">
        <v>101</v>
      </c>
    </row>
    <row r="14" spans="1:27" hidden="1" x14ac:dyDescent="0.2">
      <c r="A14" s="143">
        <v>44986</v>
      </c>
      <c r="B14" s="134">
        <f>MAR!C$44</f>
        <v>2017380.1000000008</v>
      </c>
      <c r="C14" s="134">
        <f>MAR!D$44</f>
        <v>2016749.9200000006</v>
      </c>
      <c r="D14" s="134">
        <f>MAR!E$44</f>
        <v>630.18000000000018</v>
      </c>
      <c r="E14" s="135">
        <f>MAR!F$44</f>
        <v>6471</v>
      </c>
      <c r="F14" s="135">
        <f>MAR!G$44</f>
        <v>8675</v>
      </c>
      <c r="G14" s="134">
        <f>MAR!H$44</f>
        <v>311.75708545819822</v>
      </c>
      <c r="H14" s="134">
        <f>MAR!I$44</f>
        <v>33016.39</v>
      </c>
      <c r="I14" s="136">
        <f>MAR!J$44</f>
        <v>61.102382786246494</v>
      </c>
      <c r="J14" s="135">
        <f>MAR!K$44</f>
        <v>170191</v>
      </c>
      <c r="K14" s="137">
        <f>MAR!L$44</f>
        <v>3.80219870615955E-2</v>
      </c>
      <c r="L14" s="134"/>
      <c r="M14" s="134">
        <f>MAR!N$44</f>
        <v>18335.459999999992</v>
      </c>
      <c r="N14" s="134">
        <f>MAR!O$44</f>
        <v>13080.929999999998</v>
      </c>
      <c r="O14" s="134">
        <f>MAR!P$44</f>
        <v>0</v>
      </c>
      <c r="P14" s="134">
        <f>MAR!Q$44</f>
        <v>1599.9999999999989</v>
      </c>
      <c r="Q14" s="134">
        <f>MAR!R$44</f>
        <v>0</v>
      </c>
      <c r="R14" s="134">
        <f>MAR!S$44</f>
        <v>0</v>
      </c>
      <c r="S14" s="134"/>
      <c r="T14" s="134"/>
      <c r="U14" s="137"/>
      <c r="V14" s="137"/>
      <c r="W14" s="137"/>
      <c r="X14" s="137"/>
      <c r="Y14" s="137"/>
    </row>
    <row r="15" spans="1:27" hidden="1" x14ac:dyDescent="0.2">
      <c r="A15" s="143">
        <v>44621</v>
      </c>
      <c r="B15" s="134">
        <f ca="1">MAR!C$60</f>
        <v>1077514.7199999997</v>
      </c>
      <c r="C15" s="134">
        <f ca="1">MAR!D$60</f>
        <v>1077261.3400000001</v>
      </c>
      <c r="D15" s="134">
        <f ca="1">MAR!E$60</f>
        <v>253.38</v>
      </c>
      <c r="E15" s="135">
        <f ca="1">MAR!F$60</f>
        <v>3901</v>
      </c>
      <c r="F15" s="135">
        <f ca="1">MAR!G$60</f>
        <v>5161</v>
      </c>
      <c r="G15" s="134">
        <f ca="1">MAR!H$60</f>
        <v>276.21500128172255</v>
      </c>
      <c r="H15" s="134">
        <f ca="1">MAR!I$60</f>
        <v>16759.53</v>
      </c>
      <c r="I15" s="136">
        <f ca="1">MAR!J$60</f>
        <v>64.292657371656588</v>
      </c>
      <c r="J15" s="135">
        <f ca="1">MAR!K$60</f>
        <v>111082</v>
      </c>
      <c r="K15" s="137">
        <f ca="1">MAR!L$60</f>
        <v>3.5118200968653784E-2</v>
      </c>
      <c r="L15" s="134"/>
      <c r="M15" s="134">
        <f ca="1">MAR!N$60</f>
        <v>6581.9399999999987</v>
      </c>
      <c r="N15" s="134">
        <f ca="1">MAR!O$60</f>
        <v>8577.5899999999983</v>
      </c>
      <c r="O15" s="134">
        <f ca="1">MAR!P$60</f>
        <v>0</v>
      </c>
      <c r="P15" s="134">
        <f ca="1">MAR!Q$60</f>
        <v>1599.9999999999989</v>
      </c>
      <c r="Q15" s="134">
        <f ca="1">MAR!R$60</f>
        <v>0</v>
      </c>
      <c r="R15" s="134">
        <f ca="1">MAR!S$60</f>
        <v>0</v>
      </c>
      <c r="S15" s="134"/>
      <c r="T15" s="134"/>
      <c r="U15" s="137"/>
      <c r="V15" s="137"/>
      <c r="W15" s="137"/>
      <c r="X15" s="137"/>
      <c r="Y15" s="137"/>
    </row>
    <row r="16" spans="1:27" hidden="1" x14ac:dyDescent="0.2">
      <c r="A16" s="141" t="s">
        <v>160</v>
      </c>
      <c r="B16" s="87">
        <f t="shared" ref="B16:K16" ca="1" si="6">B14-B15</f>
        <v>939865.38000000105</v>
      </c>
      <c r="C16" s="87">
        <f t="shared" ca="1" si="6"/>
        <v>939488.58000000054</v>
      </c>
      <c r="D16" s="87">
        <f t="shared" ca="1" si="6"/>
        <v>376.80000000000018</v>
      </c>
      <c r="E16" s="88">
        <f t="shared" ca="1" si="6"/>
        <v>2570</v>
      </c>
      <c r="F16" s="88">
        <f t="shared" ca="1" si="6"/>
        <v>3514</v>
      </c>
      <c r="G16" s="87">
        <f t="shared" ca="1" si="6"/>
        <v>35.542084176475669</v>
      </c>
      <c r="H16" s="87">
        <f t="shared" ca="1" si="6"/>
        <v>16256.86</v>
      </c>
      <c r="I16" s="125">
        <f t="shared" ca="1" si="6"/>
        <v>-3.1902745854100942</v>
      </c>
      <c r="J16" s="88">
        <f t="shared" ca="1" si="6"/>
        <v>59109</v>
      </c>
      <c r="K16" s="89">
        <f t="shared" ca="1" si="6"/>
        <v>2.9037860929417153E-3</v>
      </c>
      <c r="L16" s="87"/>
      <c r="M16" s="87">
        <f t="shared" ref="M16:R16" ca="1" si="7">M14-M15</f>
        <v>11753.519999999993</v>
      </c>
      <c r="N16" s="87">
        <f t="shared" ca="1" si="7"/>
        <v>4503.34</v>
      </c>
      <c r="O16" s="87">
        <f t="shared" ca="1" si="7"/>
        <v>0</v>
      </c>
      <c r="P16" s="87">
        <f t="shared" ca="1" si="7"/>
        <v>0</v>
      </c>
      <c r="Q16" s="87">
        <f t="shared" ca="1" si="7"/>
        <v>0</v>
      </c>
      <c r="R16" s="87">
        <f t="shared" ca="1" si="7"/>
        <v>0</v>
      </c>
      <c r="S16" s="87"/>
      <c r="T16" s="87"/>
      <c r="U16" s="89"/>
      <c r="V16" s="89"/>
      <c r="W16" s="89"/>
      <c r="X16" s="89"/>
      <c r="Y16" s="89"/>
    </row>
    <row r="17" spans="1:25" hidden="1" x14ac:dyDescent="0.2">
      <c r="A17" s="142" t="s">
        <v>161</v>
      </c>
      <c r="B17" s="85">
        <f ca="1">IFERROR(1-(B15/B14),0)</f>
        <v>0.46588413358494052</v>
      </c>
      <c r="C17" s="85">
        <f t="shared" ref="C17:R17" ca="1" si="8">IFERROR(1-(C15/C14),0)</f>
        <v>0.46584287455928108</v>
      </c>
      <c r="D17" s="85">
        <f t="shared" ca="1" si="8"/>
        <v>0.59792440255165202</v>
      </c>
      <c r="E17" s="85">
        <f t="shared" ca="1" si="8"/>
        <v>0.39715654458352645</v>
      </c>
      <c r="F17" s="85">
        <f t="shared" ca="1" si="8"/>
        <v>0.40507204610951009</v>
      </c>
      <c r="G17" s="85">
        <f t="shared" ca="1" si="8"/>
        <v>0.11400569813590111</v>
      </c>
      <c r="H17" s="85">
        <f t="shared" ca="1" si="8"/>
        <v>0.49238756871965716</v>
      </c>
      <c r="I17" s="85">
        <f t="shared" ca="1" si="8"/>
        <v>-5.2211950499059689E-2</v>
      </c>
      <c r="J17" s="85">
        <f t="shared" ca="1" si="8"/>
        <v>0.34730978723904316</v>
      </c>
      <c r="K17" s="85">
        <f t="shared" ca="1" si="8"/>
        <v>7.6371234576393721E-2</v>
      </c>
      <c r="L17" s="85"/>
      <c r="M17" s="85">
        <f t="shared" ca="1" si="8"/>
        <v>0.64102673180820102</v>
      </c>
      <c r="N17" s="85">
        <f t="shared" ca="1" si="8"/>
        <v>0.34426757118951024</v>
      </c>
      <c r="O17" s="85">
        <f t="shared" ca="1" si="8"/>
        <v>0</v>
      </c>
      <c r="P17" s="85">
        <f t="shared" ca="1" si="8"/>
        <v>0</v>
      </c>
      <c r="Q17" s="85">
        <f t="shared" ca="1" si="8"/>
        <v>0</v>
      </c>
      <c r="R17" s="85">
        <f t="shared" ca="1" si="8"/>
        <v>0</v>
      </c>
      <c r="S17" s="85"/>
      <c r="T17" s="85"/>
      <c r="U17" s="85"/>
      <c r="V17" s="85"/>
      <c r="W17" s="85"/>
      <c r="X17" s="85"/>
      <c r="Y17" s="85"/>
    </row>
    <row r="18" spans="1:25" hidden="1" x14ac:dyDescent="0.2">
      <c r="A18" s="140" t="s">
        <v>101</v>
      </c>
    </row>
    <row r="19" spans="1:25" hidden="1" x14ac:dyDescent="0.2">
      <c r="A19" s="143">
        <v>45017</v>
      </c>
      <c r="B19" s="134">
        <f>ABR!C$44</f>
        <v>2016692.72</v>
      </c>
      <c r="C19" s="134">
        <f>ABR!D$44</f>
        <v>2016186.7700000003</v>
      </c>
      <c r="D19" s="134">
        <f>ABR!E$44</f>
        <v>505.94999999999993</v>
      </c>
      <c r="E19" s="135">
        <f>ABR!F$44</f>
        <v>6949</v>
      </c>
      <c r="F19" s="135">
        <f>ABR!G$44</f>
        <v>9274</v>
      </c>
      <c r="G19" s="134">
        <f>ABR!H$44</f>
        <v>290.21337170815946</v>
      </c>
      <c r="H19" s="134">
        <f>ABR!I$44</f>
        <v>36653.169999999991</v>
      </c>
      <c r="I19" s="136">
        <f>ABR!J$44</f>
        <v>55.02096326184067</v>
      </c>
      <c r="J19" s="135">
        <f>ABR!K$44</f>
        <v>166640</v>
      </c>
      <c r="K19" s="137">
        <f>ABR!L$44</f>
        <v>4.1700672107537202E-2</v>
      </c>
      <c r="L19" s="134"/>
      <c r="M19" s="134">
        <f>ABR!N$44</f>
        <v>26200.709999999992</v>
      </c>
      <c r="N19" s="134">
        <f>ABR!O$44</f>
        <v>8080.4600000000009</v>
      </c>
      <c r="O19" s="134">
        <f>ABR!P$44</f>
        <v>0</v>
      </c>
      <c r="P19" s="134">
        <f>ABR!Q$44</f>
        <v>1599.9999999999995</v>
      </c>
      <c r="Q19" s="134">
        <f>ABR!R$44</f>
        <v>771.99999999999989</v>
      </c>
      <c r="R19" s="134">
        <f>ABR!S$44</f>
        <v>0</v>
      </c>
      <c r="S19" s="134"/>
      <c r="T19" s="134"/>
      <c r="U19" s="137"/>
      <c r="V19" s="137"/>
      <c r="W19" s="137"/>
      <c r="X19" s="137"/>
      <c r="Y19" s="137"/>
    </row>
    <row r="20" spans="1:25" hidden="1" x14ac:dyDescent="0.2">
      <c r="A20" s="143">
        <v>44652</v>
      </c>
      <c r="B20" s="134">
        <f ca="1">ABR!C$60</f>
        <v>1192462.82</v>
      </c>
      <c r="C20" s="134">
        <f ca="1">ABR!D$60</f>
        <v>1192151.3600000003</v>
      </c>
      <c r="D20" s="134">
        <f ca="1">ABR!E$60</f>
        <v>311.45999999999998</v>
      </c>
      <c r="E20" s="135">
        <f ca="1">ABR!F$60</f>
        <v>4346</v>
      </c>
      <c r="F20" s="135">
        <f ca="1">ABR!G$60</f>
        <v>5861</v>
      </c>
      <c r="G20" s="134">
        <f ca="1">ABR!H$60</f>
        <v>274.38168890934196</v>
      </c>
      <c r="H20" s="134">
        <f ca="1">ABR!I$60</f>
        <v>20747.849999999995</v>
      </c>
      <c r="I20" s="136">
        <f ca="1">ABR!J$60</f>
        <v>57.474042852632941</v>
      </c>
      <c r="J20" s="135">
        <f ca="1">ABR!K$60</f>
        <v>111118</v>
      </c>
      <c r="K20" s="137">
        <f ca="1">ABR!L$60</f>
        <v>3.9111575082344897E-2</v>
      </c>
      <c r="L20" s="134"/>
      <c r="M20" s="134">
        <f ca="1">ABR!N$60</f>
        <v>13826.570000000005</v>
      </c>
      <c r="N20" s="134">
        <f ca="1">ABR!O$60</f>
        <v>5321.2799999999988</v>
      </c>
      <c r="O20" s="134">
        <f ca="1">ABR!P$60</f>
        <v>0</v>
      </c>
      <c r="P20" s="134">
        <f ca="1">ABR!Q$60</f>
        <v>1599.9999999999995</v>
      </c>
      <c r="Q20" s="134">
        <f ca="1">ABR!R$60</f>
        <v>0</v>
      </c>
      <c r="R20" s="134">
        <f ca="1">ABR!S$60</f>
        <v>0</v>
      </c>
      <c r="S20" s="134"/>
      <c r="T20" s="134"/>
      <c r="U20" s="137"/>
      <c r="V20" s="137"/>
      <c r="W20" s="137"/>
      <c r="X20" s="137"/>
      <c r="Y20" s="137"/>
    </row>
    <row r="21" spans="1:25" hidden="1" x14ac:dyDescent="0.2">
      <c r="A21" s="141" t="s">
        <v>162</v>
      </c>
      <c r="B21" s="87">
        <f t="shared" ref="B21:K21" ca="1" si="9">B19-B20</f>
        <v>824229.89999999991</v>
      </c>
      <c r="C21" s="87">
        <f t="shared" ca="1" si="9"/>
        <v>824035.40999999992</v>
      </c>
      <c r="D21" s="87">
        <f t="shared" ca="1" si="9"/>
        <v>194.48999999999995</v>
      </c>
      <c r="E21" s="88">
        <f t="shared" ca="1" si="9"/>
        <v>2603</v>
      </c>
      <c r="F21" s="88">
        <f t="shared" ca="1" si="9"/>
        <v>3413</v>
      </c>
      <c r="G21" s="87">
        <f t="shared" ca="1" si="9"/>
        <v>15.831682798817496</v>
      </c>
      <c r="H21" s="87">
        <f t="shared" ca="1" si="9"/>
        <v>15905.319999999996</v>
      </c>
      <c r="I21" s="125">
        <f t="shared" ca="1" si="9"/>
        <v>-2.4530795907922709</v>
      </c>
      <c r="J21" s="88">
        <f t="shared" ca="1" si="9"/>
        <v>55522</v>
      </c>
      <c r="K21" s="89">
        <f t="shared" ca="1" si="9"/>
        <v>2.5890970251923051E-3</v>
      </c>
      <c r="L21" s="87"/>
      <c r="M21" s="87">
        <f t="shared" ref="M21:R21" ca="1" si="10">M19-M20</f>
        <v>12374.139999999987</v>
      </c>
      <c r="N21" s="87">
        <f t="shared" ca="1" si="10"/>
        <v>2759.1800000000021</v>
      </c>
      <c r="O21" s="87">
        <f t="shared" ca="1" si="10"/>
        <v>0</v>
      </c>
      <c r="P21" s="87">
        <f t="shared" ca="1" si="10"/>
        <v>0</v>
      </c>
      <c r="Q21" s="87">
        <f t="shared" ca="1" si="10"/>
        <v>771.99999999999989</v>
      </c>
      <c r="R21" s="87">
        <f t="shared" ca="1" si="10"/>
        <v>0</v>
      </c>
      <c r="S21" s="87"/>
      <c r="T21" s="87"/>
      <c r="U21" s="89"/>
      <c r="V21" s="89"/>
      <c r="W21" s="89"/>
      <c r="X21" s="89"/>
      <c r="Y21" s="89"/>
    </row>
    <row r="22" spans="1:25" hidden="1" x14ac:dyDescent="0.2">
      <c r="A22" s="142" t="s">
        <v>163</v>
      </c>
      <c r="B22" s="85">
        <f ca="1">IFERROR(1-(B20/B19),0)</f>
        <v>0.40870376127504437</v>
      </c>
      <c r="C22" s="85">
        <f t="shared" ref="C22:R22" ca="1" si="11">IFERROR(1-(C20/C19),0)</f>
        <v>0.40870985875976151</v>
      </c>
      <c r="D22" s="85">
        <f t="shared" ca="1" si="11"/>
        <v>0.38440557367328787</v>
      </c>
      <c r="E22" s="85">
        <f t="shared" ca="1" si="11"/>
        <v>0.37458627140595768</v>
      </c>
      <c r="F22" s="85">
        <f t="shared" ca="1" si="11"/>
        <v>0.36801811516066418</v>
      </c>
      <c r="G22" s="85">
        <f t="shared" ca="1" si="11"/>
        <v>5.4551872319439365E-2</v>
      </c>
      <c r="H22" s="85">
        <f t="shared" ca="1" si="11"/>
        <v>0.43394118435049411</v>
      </c>
      <c r="I22" s="85">
        <f t="shared" ca="1" si="11"/>
        <v>-4.4584453731175921E-2</v>
      </c>
      <c r="J22" s="85">
        <f t="shared" ca="1" si="11"/>
        <v>0.33318530964954396</v>
      </c>
      <c r="K22" s="85">
        <f t="shared" ca="1" si="11"/>
        <v>6.2087656969066929E-2</v>
      </c>
      <c r="L22" s="85"/>
      <c r="M22" s="85">
        <f t="shared" ca="1" si="11"/>
        <v>0.47228262134881038</v>
      </c>
      <c r="N22" s="85">
        <f t="shared" ca="1" si="11"/>
        <v>0.34146323352878449</v>
      </c>
      <c r="O22" s="85">
        <f t="shared" ca="1" si="11"/>
        <v>0</v>
      </c>
      <c r="P22" s="85">
        <f t="shared" ca="1" si="11"/>
        <v>0</v>
      </c>
      <c r="Q22" s="85">
        <f t="shared" ca="1" si="11"/>
        <v>1</v>
      </c>
      <c r="R22" s="85">
        <f t="shared" ca="1" si="11"/>
        <v>0</v>
      </c>
      <c r="S22" s="85"/>
      <c r="T22" s="85"/>
      <c r="U22" s="85"/>
      <c r="V22" s="85"/>
      <c r="W22" s="85"/>
      <c r="X22" s="85"/>
      <c r="Y22" s="85"/>
    </row>
    <row r="23" spans="1:25" hidden="1" x14ac:dyDescent="0.2">
      <c r="A23" s="140" t="s">
        <v>101</v>
      </c>
    </row>
    <row r="24" spans="1:25" hidden="1" x14ac:dyDescent="0.2">
      <c r="A24" s="143">
        <v>45047</v>
      </c>
      <c r="B24" s="134">
        <f>MAI!C$44</f>
        <v>4675512.3699999982</v>
      </c>
      <c r="C24" s="134">
        <f>MAI!D$44</f>
        <v>4674993.22</v>
      </c>
      <c r="D24" s="134">
        <f>MAI!E$44</f>
        <v>519.15</v>
      </c>
      <c r="E24" s="135">
        <f>MAI!F$44</f>
        <v>15193</v>
      </c>
      <c r="F24" s="135">
        <f>MAI!G$44</f>
        <v>19197</v>
      </c>
      <c r="G24" s="134">
        <f>MAI!H$44</f>
        <v>307.74122095701955</v>
      </c>
      <c r="H24" s="134">
        <f>MAI!I$44</f>
        <v>52857.61</v>
      </c>
      <c r="I24" s="136">
        <f>MAI!J$44</f>
        <v>88.454857682744233</v>
      </c>
      <c r="J24" s="135">
        <f>MAI!K$44</f>
        <v>143805</v>
      </c>
      <c r="K24" s="137">
        <f>MAI!L$44</f>
        <v>0.10565001216925698</v>
      </c>
      <c r="L24" s="134"/>
      <c r="M24" s="134">
        <f>MAI!N$44</f>
        <v>42982.23</v>
      </c>
      <c r="N24" s="134">
        <f>MAI!O$44</f>
        <v>7502.23</v>
      </c>
      <c r="O24" s="134">
        <f>MAI!P$44</f>
        <v>0</v>
      </c>
      <c r="P24" s="134">
        <f>MAI!Q$44</f>
        <v>1599.9999999999989</v>
      </c>
      <c r="Q24" s="134">
        <f>MAI!R$44</f>
        <v>773.15000000000009</v>
      </c>
      <c r="R24" s="134">
        <f>MAI!S$44</f>
        <v>0</v>
      </c>
      <c r="S24" s="134"/>
      <c r="T24" s="134"/>
      <c r="U24" s="137"/>
      <c r="V24" s="137"/>
      <c r="W24" s="137"/>
      <c r="X24" s="137"/>
      <c r="Y24" s="137"/>
    </row>
    <row r="25" spans="1:25" hidden="1" x14ac:dyDescent="0.2">
      <c r="A25" s="143">
        <v>44682</v>
      </c>
      <c r="B25" s="134">
        <f ca="1">MAI!C$60</f>
        <v>2504733.5500000003</v>
      </c>
      <c r="C25" s="134">
        <f ca="1">MAI!D$60</f>
        <v>2504557.9200000004</v>
      </c>
      <c r="D25" s="134">
        <f ca="1">MAI!E$60</f>
        <v>175.63000000000002</v>
      </c>
      <c r="E25" s="135">
        <f ca="1">MAI!F$60</f>
        <v>8271</v>
      </c>
      <c r="F25" s="135">
        <f ca="1">MAI!G$60</f>
        <v>10149</v>
      </c>
      <c r="G25" s="134">
        <f ca="1">MAI!H$60</f>
        <v>302.83321847418694</v>
      </c>
      <c r="H25" s="134">
        <f ca="1">MAI!I$60</f>
        <v>23421.31</v>
      </c>
      <c r="I25" s="136">
        <f ca="1">MAI!J$60</f>
        <v>106.94250449697306</v>
      </c>
      <c r="J25" s="135">
        <f ca="1">MAI!K$60</f>
        <v>145178</v>
      </c>
      <c r="K25" s="137">
        <f ca="1">MAI!L$60</f>
        <v>5.6971441954015073E-2</v>
      </c>
      <c r="L25" s="134"/>
      <c r="M25" s="134">
        <f ca="1">MAI!N$60</f>
        <v>14885.130000000001</v>
      </c>
      <c r="N25" s="134">
        <f ca="1">MAI!O$60</f>
        <v>6936.1800000000021</v>
      </c>
      <c r="O25" s="134">
        <f ca="1">MAI!P$60</f>
        <v>0</v>
      </c>
      <c r="P25" s="134">
        <f ca="1">MAI!Q$60</f>
        <v>1599.9999999999989</v>
      </c>
      <c r="Q25" s="134">
        <f ca="1">MAI!R$60</f>
        <v>0</v>
      </c>
      <c r="R25" s="134">
        <f ca="1">MAI!S$60</f>
        <v>0</v>
      </c>
      <c r="S25" s="134"/>
      <c r="T25" s="134"/>
      <c r="U25" s="137"/>
      <c r="V25" s="137"/>
      <c r="W25" s="137"/>
      <c r="X25" s="137"/>
      <c r="Y25" s="137"/>
    </row>
    <row r="26" spans="1:25" hidden="1" x14ac:dyDescent="0.2">
      <c r="A26" s="141" t="s">
        <v>164</v>
      </c>
      <c r="B26" s="87">
        <f t="shared" ref="B26:K26" ca="1" si="12">B24-B25</f>
        <v>2170778.819999998</v>
      </c>
      <c r="C26" s="87">
        <f t="shared" ca="1" si="12"/>
        <v>2170435.2999999993</v>
      </c>
      <c r="D26" s="87">
        <f t="shared" ca="1" si="12"/>
        <v>343.52</v>
      </c>
      <c r="E26" s="88">
        <f t="shared" ca="1" si="12"/>
        <v>6922</v>
      </c>
      <c r="F26" s="88">
        <f t="shared" ca="1" si="12"/>
        <v>9048</v>
      </c>
      <c r="G26" s="87">
        <f t="shared" ca="1" si="12"/>
        <v>4.9080024828326145</v>
      </c>
      <c r="H26" s="87">
        <f t="shared" ca="1" si="12"/>
        <v>29436.3</v>
      </c>
      <c r="I26" s="125">
        <f t="shared" ca="1" si="12"/>
        <v>-18.487646814228825</v>
      </c>
      <c r="J26" s="88">
        <f t="shared" ca="1" si="12"/>
        <v>-1373</v>
      </c>
      <c r="K26" s="89">
        <f t="shared" ca="1" si="12"/>
        <v>4.8678570215241912E-2</v>
      </c>
      <c r="L26" s="87"/>
      <c r="M26" s="87">
        <f t="shared" ref="M26:R26" ca="1" si="13">M24-M25</f>
        <v>28097.100000000002</v>
      </c>
      <c r="N26" s="87">
        <f t="shared" ca="1" si="13"/>
        <v>566.04999999999745</v>
      </c>
      <c r="O26" s="87">
        <f t="shared" ca="1" si="13"/>
        <v>0</v>
      </c>
      <c r="P26" s="87">
        <f t="shared" ca="1" si="13"/>
        <v>0</v>
      </c>
      <c r="Q26" s="87">
        <f t="shared" ca="1" si="13"/>
        <v>773.15000000000009</v>
      </c>
      <c r="R26" s="87">
        <f t="shared" ca="1" si="13"/>
        <v>0</v>
      </c>
      <c r="S26" s="87"/>
      <c r="T26" s="87"/>
      <c r="U26" s="89"/>
      <c r="V26" s="89"/>
      <c r="W26" s="89"/>
      <c r="X26" s="89"/>
      <c r="Y26" s="89"/>
    </row>
    <row r="27" spans="1:25" hidden="1" x14ac:dyDescent="0.2">
      <c r="A27" s="142" t="s">
        <v>165</v>
      </c>
      <c r="B27" s="85">
        <f ca="1">IFERROR(1-(B25/B24),0)</f>
        <v>0.46428683066450716</v>
      </c>
      <c r="C27" s="85">
        <f t="shared" ref="C27:R27" ca="1" si="14">IFERROR(1-(C25/C24),0)</f>
        <v>0.46426490860237002</v>
      </c>
      <c r="D27" s="85">
        <f t="shared" ca="1" si="14"/>
        <v>0.66169700471925252</v>
      </c>
      <c r="E27" s="85">
        <f t="shared" ca="1" si="14"/>
        <v>0.45560455472915162</v>
      </c>
      <c r="F27" s="85">
        <f t="shared" ca="1" si="14"/>
        <v>0.47132364431942486</v>
      </c>
      <c r="G27" s="85">
        <f t="shared" ca="1" si="14"/>
        <v>1.5948472770627276E-2</v>
      </c>
      <c r="H27" s="85">
        <f t="shared" ca="1" si="14"/>
        <v>0.55689805119830427</v>
      </c>
      <c r="I27" s="85">
        <f t="shared" ca="1" si="14"/>
        <v>-0.20900657463649264</v>
      </c>
      <c r="J27" s="85">
        <f t="shared" ca="1" si="14"/>
        <v>-9.5476513334029622E-3</v>
      </c>
      <c r="K27" s="85">
        <f t="shared" ca="1" si="14"/>
        <v>0.46075309614973103</v>
      </c>
      <c r="L27" s="85"/>
      <c r="M27" s="85">
        <f t="shared" ca="1" si="14"/>
        <v>0.65369107186853737</v>
      </c>
      <c r="N27" s="85">
        <f t="shared" ca="1" si="14"/>
        <v>7.5450899265951277E-2</v>
      </c>
      <c r="O27" s="85">
        <f t="shared" ca="1" si="14"/>
        <v>0</v>
      </c>
      <c r="P27" s="85">
        <f t="shared" ca="1" si="14"/>
        <v>0</v>
      </c>
      <c r="Q27" s="85">
        <f t="shared" ca="1" si="14"/>
        <v>1</v>
      </c>
      <c r="R27" s="85">
        <f t="shared" ca="1" si="14"/>
        <v>0</v>
      </c>
      <c r="S27" s="85"/>
      <c r="T27" s="85"/>
      <c r="U27" s="85"/>
      <c r="V27" s="85"/>
      <c r="W27" s="85"/>
      <c r="X27" s="85"/>
      <c r="Y27" s="85"/>
    </row>
    <row r="28" spans="1:25" hidden="1" x14ac:dyDescent="0.2">
      <c r="A28" s="140" t="s">
        <v>101</v>
      </c>
    </row>
    <row r="29" spans="1:25" hidden="1" x14ac:dyDescent="0.2">
      <c r="A29" s="143">
        <v>45078</v>
      </c>
      <c r="B29" s="134">
        <f>JUN!C$44</f>
        <v>2527259.56</v>
      </c>
      <c r="C29" s="134">
        <f>JUN!D$44</f>
        <v>2527005.66</v>
      </c>
      <c r="D29" s="134">
        <f>JUN!E$44</f>
        <v>253.9</v>
      </c>
      <c r="E29" s="135">
        <f>JUN!F$44</f>
        <v>8766</v>
      </c>
      <c r="F29" s="135">
        <f>JUN!G$44</f>
        <v>10491</v>
      </c>
      <c r="G29" s="134">
        <f>JUN!H$44</f>
        <v>288.302482318047</v>
      </c>
      <c r="H29" s="134">
        <f>JUN!I$44</f>
        <v>35929.379999999997</v>
      </c>
      <c r="I29" s="136">
        <f>JUN!J$44</f>
        <v>70.339637366411566</v>
      </c>
      <c r="J29" s="135">
        <f>JUN!K$44</f>
        <v>156794</v>
      </c>
      <c r="K29" s="137">
        <f>JUN!L$44</f>
        <v>5.5907751572126484E-2</v>
      </c>
      <c r="L29" s="134"/>
      <c r="M29" s="134">
        <f>JUN!N$44</f>
        <v>26447.75</v>
      </c>
      <c r="N29" s="134">
        <f>JUN!O$44</f>
        <v>7122.3</v>
      </c>
      <c r="O29" s="134">
        <f>JUN!P$44</f>
        <v>0</v>
      </c>
      <c r="P29" s="134">
        <f>JUN!Q$44</f>
        <v>1599.9999999999995</v>
      </c>
      <c r="Q29" s="134">
        <f>JUN!R$44</f>
        <v>16.73</v>
      </c>
      <c r="R29" s="134">
        <f>JUN!S$44</f>
        <v>742.6</v>
      </c>
      <c r="S29" s="134"/>
      <c r="T29" s="134"/>
      <c r="U29" s="137"/>
      <c r="V29" s="137"/>
      <c r="W29" s="137"/>
      <c r="X29" s="137"/>
      <c r="Y29" s="137"/>
    </row>
    <row r="30" spans="1:25" hidden="1" x14ac:dyDescent="0.2">
      <c r="A30" s="143">
        <v>44713</v>
      </c>
      <c r="B30" s="134">
        <f ca="1">JUN!C$60</f>
        <v>1505467.4300000004</v>
      </c>
      <c r="C30" s="134">
        <f ca="1">JUN!D$60</f>
        <v>1505191.8399999999</v>
      </c>
      <c r="D30" s="134">
        <f ca="1">JUN!E$60</f>
        <v>275.59000000000003</v>
      </c>
      <c r="E30" s="135">
        <f ca="1">JUN!F$60</f>
        <v>4940</v>
      </c>
      <c r="F30" s="135">
        <f ca="1">JUN!G$60</f>
        <v>5814</v>
      </c>
      <c r="G30" s="134">
        <f ca="1">JUN!H$60</f>
        <v>304.75049190283409</v>
      </c>
      <c r="H30" s="134">
        <f ca="1">JUN!I$60</f>
        <v>28107.670000000002</v>
      </c>
      <c r="I30" s="136">
        <f ca="1">JUN!J$60</f>
        <v>53.560733778360152</v>
      </c>
      <c r="J30" s="135">
        <f ca="1">JUN!K$60</f>
        <v>103782</v>
      </c>
      <c r="K30" s="137">
        <f ca="1">JUN!L$60</f>
        <v>4.7599776454491143E-2</v>
      </c>
      <c r="L30" s="134"/>
      <c r="M30" s="134">
        <f ca="1">JUN!N$60</f>
        <v>17906.95</v>
      </c>
      <c r="N30" s="134">
        <f ca="1">JUN!O$60</f>
        <v>8600.720000000003</v>
      </c>
      <c r="O30" s="134">
        <f ca="1">JUN!P$60</f>
        <v>0</v>
      </c>
      <c r="P30" s="134">
        <f ca="1">JUN!Q$60</f>
        <v>1599.9999999999995</v>
      </c>
      <c r="Q30" s="134">
        <f ca="1">JUN!R$60</f>
        <v>0</v>
      </c>
      <c r="R30" s="134">
        <f ca="1">JUN!S$60</f>
        <v>0</v>
      </c>
      <c r="S30" s="134"/>
      <c r="T30" s="134"/>
      <c r="U30" s="137"/>
      <c r="V30" s="137"/>
      <c r="W30" s="137"/>
      <c r="X30" s="137"/>
      <c r="Y30" s="137"/>
    </row>
    <row r="31" spans="1:25" hidden="1" x14ac:dyDescent="0.2">
      <c r="A31" s="141" t="s">
        <v>166</v>
      </c>
      <c r="B31" s="87">
        <f t="shared" ref="B31:K31" ca="1" si="15">B29-B30</f>
        <v>1021792.1299999997</v>
      </c>
      <c r="C31" s="87">
        <f t="shared" ca="1" si="15"/>
        <v>1021813.8200000003</v>
      </c>
      <c r="D31" s="87">
        <f t="shared" ca="1" si="15"/>
        <v>-21.690000000000026</v>
      </c>
      <c r="E31" s="88">
        <f t="shared" ca="1" si="15"/>
        <v>3826</v>
      </c>
      <c r="F31" s="88">
        <f t="shared" ca="1" si="15"/>
        <v>4677</v>
      </c>
      <c r="G31" s="87">
        <f t="shared" ca="1" si="15"/>
        <v>-16.448009584787087</v>
      </c>
      <c r="H31" s="87">
        <f t="shared" ca="1" si="15"/>
        <v>7821.7099999999955</v>
      </c>
      <c r="I31" s="125">
        <f t="shared" ca="1" si="15"/>
        <v>16.778903588051413</v>
      </c>
      <c r="J31" s="88">
        <f t="shared" ca="1" si="15"/>
        <v>53012</v>
      </c>
      <c r="K31" s="89">
        <f t="shared" ca="1" si="15"/>
        <v>8.3079751176353411E-3</v>
      </c>
      <c r="L31" s="87"/>
      <c r="M31" s="87">
        <f t="shared" ref="M31:R31" ca="1" si="16">M29-M30</f>
        <v>8540.7999999999993</v>
      </c>
      <c r="N31" s="87">
        <f t="shared" ca="1" si="16"/>
        <v>-1478.4200000000028</v>
      </c>
      <c r="O31" s="87">
        <f t="shared" ca="1" si="16"/>
        <v>0</v>
      </c>
      <c r="P31" s="87">
        <f t="shared" ca="1" si="16"/>
        <v>0</v>
      </c>
      <c r="Q31" s="87">
        <f t="shared" ca="1" si="16"/>
        <v>16.73</v>
      </c>
      <c r="R31" s="87">
        <f t="shared" ca="1" si="16"/>
        <v>742.6</v>
      </c>
      <c r="S31" s="87"/>
      <c r="T31" s="87"/>
      <c r="U31" s="89"/>
      <c r="V31" s="89"/>
      <c r="W31" s="89"/>
      <c r="X31" s="89"/>
      <c r="Y31" s="89"/>
    </row>
    <row r="32" spans="1:25" hidden="1" x14ac:dyDescent="0.2">
      <c r="A32" s="142" t="s">
        <v>167</v>
      </c>
      <c r="B32" s="85">
        <f ca="1">IFERROR(1-(B30/B29),0)</f>
        <v>0.40430834496477264</v>
      </c>
      <c r="C32" s="85">
        <f t="shared" ref="C32:R32" ca="1" si="17">IFERROR(1-(C30/C29),0)</f>
        <v>0.40435755098387882</v>
      </c>
      <c r="D32" s="85">
        <f t="shared" ca="1" si="17"/>
        <v>-8.5427333595903931E-2</v>
      </c>
      <c r="E32" s="85">
        <f t="shared" ca="1" si="17"/>
        <v>0.43645904631530918</v>
      </c>
      <c r="F32" s="85">
        <f t="shared" ca="1" si="17"/>
        <v>0.44581069488132685</v>
      </c>
      <c r="G32" s="85">
        <f t="shared" ca="1" si="17"/>
        <v>-5.7051224299352832E-2</v>
      </c>
      <c r="H32" s="85">
        <f t="shared" ca="1" si="17"/>
        <v>0.21769677072078608</v>
      </c>
      <c r="I32" s="85">
        <f t="shared" ca="1" si="17"/>
        <v>0.23854122961492041</v>
      </c>
      <c r="J32" s="85">
        <f t="shared" ca="1" si="17"/>
        <v>0.33809967218133352</v>
      </c>
      <c r="K32" s="85">
        <f t="shared" ca="1" si="17"/>
        <v>0.14860148877418611</v>
      </c>
      <c r="L32" s="85"/>
      <c r="M32" s="85">
        <f t="shared" ca="1" si="17"/>
        <v>0.32293106218865497</v>
      </c>
      <c r="N32" s="85">
        <f t="shared" ca="1" si="17"/>
        <v>-0.20757620431602186</v>
      </c>
      <c r="O32" s="85">
        <f t="shared" ca="1" si="17"/>
        <v>0</v>
      </c>
      <c r="P32" s="85">
        <f t="shared" ca="1" si="17"/>
        <v>0</v>
      </c>
      <c r="Q32" s="85">
        <f t="shared" ca="1" si="17"/>
        <v>1</v>
      </c>
      <c r="R32" s="85">
        <f t="shared" ca="1" si="17"/>
        <v>1</v>
      </c>
      <c r="S32" s="85"/>
      <c r="T32" s="85"/>
      <c r="U32" s="85"/>
      <c r="V32" s="85"/>
      <c r="W32" s="85"/>
      <c r="X32" s="85"/>
      <c r="Y32" s="85"/>
    </row>
    <row r="33" spans="1:25" hidden="1" x14ac:dyDescent="0.2">
      <c r="A33" s="140" t="s">
        <v>101</v>
      </c>
    </row>
    <row r="34" spans="1:25" hidden="1" x14ac:dyDescent="0.2">
      <c r="A34" s="143">
        <v>45108</v>
      </c>
      <c r="B34" s="134">
        <f>JUL!C$44</f>
        <v>1540566.8000000003</v>
      </c>
      <c r="C34" s="134">
        <f>JUL!D$44</f>
        <v>1540385.8400000003</v>
      </c>
      <c r="D34" s="134">
        <f>JUL!E$44</f>
        <v>180.96</v>
      </c>
      <c r="E34" s="135">
        <f>JUL!F$44</f>
        <v>5662</v>
      </c>
      <c r="F34" s="135">
        <f>JUL!G$44</f>
        <v>6642</v>
      </c>
      <c r="G34" s="134">
        <f>JUL!H$44</f>
        <v>272.08880254327096</v>
      </c>
      <c r="H34" s="134">
        <f ca="1">JUL!I$44</f>
        <v>34923.589999999997</v>
      </c>
      <c r="I34" s="136">
        <f ca="1">JUL!J$44</f>
        <v>44.112498171007061</v>
      </c>
      <c r="J34" s="135">
        <f>JUL!K$44</f>
        <v>129552</v>
      </c>
      <c r="K34" s="137">
        <f>JUL!L$44</f>
        <v>4.3704458441398052E-2</v>
      </c>
      <c r="L34" s="134"/>
      <c r="M34" s="134">
        <f>JUL!N$44</f>
        <v>23161.669999999991</v>
      </c>
      <c r="N34" s="134">
        <f>JUL!O$44</f>
        <v>9750.7000000000007</v>
      </c>
      <c r="O34" s="134">
        <f>JUL!P$44</f>
        <v>0</v>
      </c>
      <c r="P34" s="134">
        <f ca="1">JUL!Q$44</f>
        <v>1599.9999999999989</v>
      </c>
      <c r="Q34" s="134">
        <f>JUL!R$44</f>
        <v>70.089999999999989</v>
      </c>
      <c r="R34" s="134">
        <f>JUL!S$44</f>
        <v>341.13000000000005</v>
      </c>
      <c r="S34" s="134"/>
      <c r="T34" s="134"/>
      <c r="U34" s="137"/>
      <c r="V34" s="137"/>
      <c r="W34" s="137"/>
      <c r="X34" s="137"/>
      <c r="Y34" s="137"/>
    </row>
    <row r="35" spans="1:25" hidden="1" x14ac:dyDescent="0.2">
      <c r="A35" s="143">
        <v>44743</v>
      </c>
      <c r="B35" s="134">
        <f ca="1">JUL!C$60</f>
        <v>1090274.3299999998</v>
      </c>
      <c r="C35" s="134">
        <f ca="1">JUL!D$60</f>
        <v>1089982.27</v>
      </c>
      <c r="D35" s="134">
        <f ca="1">JUL!E$60</f>
        <v>292.05999999999995</v>
      </c>
      <c r="E35" s="135">
        <f ca="1">JUL!F$60</f>
        <v>3930</v>
      </c>
      <c r="F35" s="135">
        <f ca="1">JUL!G$60</f>
        <v>4989</v>
      </c>
      <c r="G35" s="134">
        <f ca="1">JUL!H$60</f>
        <v>277.4234936386768</v>
      </c>
      <c r="H35" s="134">
        <f ca="1">JUL!I$60</f>
        <v>22770.15</v>
      </c>
      <c r="I35" s="136">
        <f ca="1">JUL!J$60</f>
        <v>47.881736835286539</v>
      </c>
      <c r="J35" s="135">
        <f ca="1">JUL!K$60</f>
        <v>106442</v>
      </c>
      <c r="K35" s="137">
        <f ca="1">JUL!L$60</f>
        <v>3.6921515942954848E-2</v>
      </c>
      <c r="L35" s="134"/>
      <c r="M35" s="134">
        <f ca="1">JUL!N$60</f>
        <v>14506.720000000001</v>
      </c>
      <c r="N35" s="134">
        <f ca="1">JUL!O$60</f>
        <v>6663.4299999999985</v>
      </c>
      <c r="O35" s="134">
        <f ca="1">JUL!P$60</f>
        <v>0</v>
      </c>
      <c r="P35" s="134">
        <f ca="1">JUL!Q$60</f>
        <v>1599.9999999999989</v>
      </c>
      <c r="Q35" s="134">
        <f ca="1">JUL!R$60</f>
        <v>0</v>
      </c>
      <c r="R35" s="134">
        <f ca="1">JUL!S$60</f>
        <v>0</v>
      </c>
      <c r="S35" s="134"/>
      <c r="T35" s="134"/>
      <c r="U35" s="137"/>
      <c r="V35" s="137"/>
      <c r="W35" s="137"/>
      <c r="X35" s="137"/>
      <c r="Y35" s="137"/>
    </row>
    <row r="36" spans="1:25" hidden="1" x14ac:dyDescent="0.2">
      <c r="A36" s="143" t="s">
        <v>168</v>
      </c>
      <c r="B36" s="87">
        <f t="shared" ref="B36:K36" ca="1" si="18">B34-B35</f>
        <v>450292.47000000044</v>
      </c>
      <c r="C36" s="87">
        <f t="shared" ca="1" si="18"/>
        <v>450403.5700000003</v>
      </c>
      <c r="D36" s="87">
        <f t="shared" ca="1" si="18"/>
        <v>-111.09999999999994</v>
      </c>
      <c r="E36" s="88">
        <f t="shared" ca="1" si="18"/>
        <v>1732</v>
      </c>
      <c r="F36" s="88">
        <f t="shared" ca="1" si="18"/>
        <v>1653</v>
      </c>
      <c r="G36" s="87">
        <f t="shared" ca="1" si="18"/>
        <v>-5.3346910954058444</v>
      </c>
      <c r="H36" s="87">
        <f t="shared" ca="1" si="18"/>
        <v>12153.439999999995</v>
      </c>
      <c r="I36" s="125">
        <f t="shared" ca="1" si="18"/>
        <v>-3.7692386642794773</v>
      </c>
      <c r="J36" s="88">
        <f t="shared" ca="1" si="18"/>
        <v>23110</v>
      </c>
      <c r="K36" s="89">
        <f t="shared" ca="1" si="18"/>
        <v>6.7829424984432035E-3</v>
      </c>
      <c r="L36" s="87"/>
      <c r="M36" s="87">
        <f t="shared" ref="M36:R36" ca="1" si="19">M34-M35</f>
        <v>8654.9499999999898</v>
      </c>
      <c r="N36" s="87">
        <f t="shared" ca="1" si="19"/>
        <v>3087.2700000000023</v>
      </c>
      <c r="O36" s="87">
        <f t="shared" ca="1" si="19"/>
        <v>0</v>
      </c>
      <c r="P36" s="87">
        <f t="shared" ca="1" si="19"/>
        <v>0</v>
      </c>
      <c r="Q36" s="87">
        <f t="shared" ca="1" si="19"/>
        <v>70.089999999999989</v>
      </c>
      <c r="R36" s="87">
        <f t="shared" ca="1" si="19"/>
        <v>341.13000000000005</v>
      </c>
      <c r="S36" s="87"/>
      <c r="T36" s="87"/>
      <c r="U36" s="89"/>
      <c r="V36" s="89"/>
      <c r="W36" s="89"/>
      <c r="X36" s="89"/>
      <c r="Y36" s="89"/>
    </row>
    <row r="37" spans="1:25" hidden="1" x14ac:dyDescent="0.2">
      <c r="A37" s="143" t="s">
        <v>169</v>
      </c>
      <c r="B37" s="85">
        <f ca="1">IFERROR(1-(B35/B34),0)</f>
        <v>0.29229012984052383</v>
      </c>
      <c r="C37" s="85">
        <f t="shared" ref="C37:R37" ca="1" si="20">IFERROR(1-(C35/C34),0)</f>
        <v>0.29239659201229751</v>
      </c>
      <c r="D37" s="85">
        <f t="shared" ca="1" si="20"/>
        <v>-0.61394783377541962</v>
      </c>
      <c r="E37" s="85">
        <f t="shared" ca="1" si="20"/>
        <v>0.30589897562698698</v>
      </c>
      <c r="F37" s="85">
        <f t="shared" ca="1" si="20"/>
        <v>0.24887082204155375</v>
      </c>
      <c r="G37" s="85">
        <f t="shared" ca="1" si="20"/>
        <v>-1.9606433802278334E-2</v>
      </c>
      <c r="H37" s="85">
        <f t="shared" ca="1" si="20"/>
        <v>0.34800087848929606</v>
      </c>
      <c r="I37" s="85">
        <f t="shared" ca="1" si="20"/>
        <v>-8.5446048638361027E-2</v>
      </c>
      <c r="J37" s="85">
        <f t="shared" ca="1" si="20"/>
        <v>0.17838396937137213</v>
      </c>
      <c r="K37" s="85">
        <f t="shared" ca="1" si="20"/>
        <v>0.15520024135611332</v>
      </c>
      <c r="L37" s="85"/>
      <c r="M37" s="85">
        <f t="shared" ca="1" si="20"/>
        <v>0.37367555966387545</v>
      </c>
      <c r="N37" s="85">
        <f t="shared" ca="1" si="20"/>
        <v>0.31662034520598537</v>
      </c>
      <c r="O37" s="85">
        <f t="shared" ca="1" si="20"/>
        <v>0</v>
      </c>
      <c r="P37" s="85">
        <f t="shared" ca="1" si="20"/>
        <v>0</v>
      </c>
      <c r="Q37" s="85">
        <f t="shared" ca="1" si="20"/>
        <v>1</v>
      </c>
      <c r="R37" s="85">
        <f t="shared" ca="1" si="20"/>
        <v>1</v>
      </c>
      <c r="S37" s="85"/>
      <c r="T37" s="85"/>
      <c r="U37" s="85"/>
      <c r="V37" s="85"/>
      <c r="W37" s="85"/>
      <c r="X37" s="85"/>
      <c r="Y37" s="85"/>
    </row>
    <row r="38" spans="1:25" hidden="1" x14ac:dyDescent="0.2">
      <c r="A38" s="143" t="s">
        <v>101</v>
      </c>
    </row>
    <row r="39" spans="1:25" hidden="1" x14ac:dyDescent="0.2">
      <c r="A39" s="143">
        <v>45139</v>
      </c>
      <c r="B39" s="134"/>
      <c r="C39" s="134">
        <f>AGO!D$44</f>
        <v>619655.94000000018</v>
      </c>
      <c r="D39" s="134">
        <f>AGO!E$44</f>
        <v>192.82</v>
      </c>
      <c r="E39" s="135">
        <f>AGO!F$44</f>
        <v>2352</v>
      </c>
      <c r="F39" s="135">
        <f>AGO!G$44</f>
        <v>2863</v>
      </c>
      <c r="G39" s="134">
        <f>AGO!H$44</f>
        <v>263.54113945578234</v>
      </c>
      <c r="H39" s="134">
        <f ca="1">AGO!I$44</f>
        <v>12658.160000000009</v>
      </c>
      <c r="I39" s="136">
        <f ca="1">AGO!J$44</f>
        <v>48.96831451016574</v>
      </c>
      <c r="J39" s="135">
        <f>AGO!K$44</f>
        <v>0</v>
      </c>
      <c r="K39" s="137">
        <f>AGO!L$44</f>
        <v>0</v>
      </c>
      <c r="L39" s="134"/>
      <c r="M39" s="134">
        <f>AGO!N$44</f>
        <v>8321.18</v>
      </c>
      <c r="N39" s="134">
        <f>AGO!O$44</f>
        <v>2569.8900000000003</v>
      </c>
      <c r="O39" s="134">
        <f>AGO!P$44</f>
        <v>0</v>
      </c>
      <c r="P39" s="134">
        <f ca="1">AGO!Q$44</f>
        <v>1599.9999999999989</v>
      </c>
      <c r="Q39" s="134">
        <f>AGO!R$44</f>
        <v>13.950000000000001</v>
      </c>
      <c r="R39" s="134">
        <f>AGO!S$44</f>
        <v>153.14000000000001</v>
      </c>
      <c r="S39" s="134"/>
      <c r="T39" s="134"/>
      <c r="U39" s="137"/>
      <c r="V39" s="137"/>
      <c r="W39" s="137"/>
      <c r="X39" s="137"/>
      <c r="Y39" s="137"/>
    </row>
    <row r="40" spans="1:25" hidden="1" x14ac:dyDescent="0.2">
      <c r="A40" s="143">
        <v>44774</v>
      </c>
      <c r="B40" s="134">
        <f ca="1">AGO!C$60</f>
        <v>1423209.8800000001</v>
      </c>
      <c r="C40" s="134">
        <f ca="1">AGO!D$60</f>
        <v>1423009.2</v>
      </c>
      <c r="D40" s="134">
        <f ca="1">AGO!E$60</f>
        <v>200.68</v>
      </c>
      <c r="E40" s="135">
        <f ca="1">AGO!F$60</f>
        <v>5306</v>
      </c>
      <c r="F40" s="135">
        <f ca="1">AGO!G$60</f>
        <v>6585</v>
      </c>
      <c r="G40" s="134">
        <f ca="1">AGO!H$60</f>
        <v>268.22651338107806</v>
      </c>
      <c r="H40" s="134">
        <f ca="1">AGO!I$60</f>
        <v>28933.859999999997</v>
      </c>
      <c r="I40" s="136">
        <f ca="1">AGO!J$60</f>
        <v>49.188386202186649</v>
      </c>
      <c r="J40" s="135">
        <f ca="1">AGO!K$60</f>
        <v>119198</v>
      </c>
      <c r="K40" s="137">
        <f ca="1">AGO!L$60</f>
        <v>4.4514169700833904E-2</v>
      </c>
      <c r="L40" s="134"/>
      <c r="M40" s="134">
        <f ca="1">AGO!N$60</f>
        <v>17331.889999999996</v>
      </c>
      <c r="N40" s="134">
        <f ca="1">AGO!O$60</f>
        <v>10001.970000000003</v>
      </c>
      <c r="O40" s="134">
        <f ca="1">AGO!P$60</f>
        <v>0</v>
      </c>
      <c r="P40" s="134">
        <f ca="1">AGO!Q$60</f>
        <v>1599.9999999999989</v>
      </c>
      <c r="Q40" s="134">
        <f ca="1">AGO!R$60</f>
        <v>0</v>
      </c>
      <c r="R40" s="134">
        <f ca="1">AGO!S$60</f>
        <v>0</v>
      </c>
      <c r="S40" s="134"/>
      <c r="T40" s="134"/>
      <c r="U40" s="137"/>
      <c r="V40" s="137"/>
      <c r="W40" s="137"/>
      <c r="X40" s="137"/>
      <c r="Y40" s="137"/>
    </row>
    <row r="41" spans="1:25" hidden="1" x14ac:dyDescent="0.2">
      <c r="A41" s="143" t="s">
        <v>101</v>
      </c>
      <c r="B41" s="87">
        <f t="shared" ref="B41:K41" ca="1" si="21">B39-B40</f>
        <v>-1423209.8800000001</v>
      </c>
      <c r="C41" s="87">
        <f t="shared" ca="1" si="21"/>
        <v>-803353.25999999978</v>
      </c>
      <c r="D41" s="87">
        <f t="shared" ca="1" si="21"/>
        <v>-7.8600000000000136</v>
      </c>
      <c r="E41" s="88">
        <f t="shared" ca="1" si="21"/>
        <v>-2954</v>
      </c>
      <c r="F41" s="88">
        <f t="shared" ca="1" si="21"/>
        <v>-3722</v>
      </c>
      <c r="G41" s="160">
        <f t="shared" ref="G41" si="22">IFERROR(G38/G39-1,0)</f>
        <v>-1</v>
      </c>
      <c r="H41" s="87">
        <f t="shared" ca="1" si="21"/>
        <v>-16275.699999999988</v>
      </c>
      <c r="I41" s="125">
        <f t="shared" ca="1" si="21"/>
        <v>-0.22007169202090893</v>
      </c>
      <c r="J41" s="88">
        <f t="shared" ca="1" si="21"/>
        <v>-119198</v>
      </c>
      <c r="K41" s="89">
        <f t="shared" ca="1" si="21"/>
        <v>-4.4514169700833904E-2</v>
      </c>
      <c r="L41" s="87"/>
      <c r="M41" s="87">
        <f t="shared" ref="M41:R41" ca="1" si="23">M39-M40</f>
        <v>-9010.7099999999955</v>
      </c>
      <c r="N41" s="87">
        <f t="shared" ca="1" si="23"/>
        <v>-7432.0800000000027</v>
      </c>
      <c r="O41" s="87">
        <f t="shared" ca="1" si="23"/>
        <v>0</v>
      </c>
      <c r="P41" s="87">
        <f t="shared" ca="1" si="23"/>
        <v>0</v>
      </c>
      <c r="Q41" s="87">
        <f t="shared" ca="1" si="23"/>
        <v>13.950000000000001</v>
      </c>
      <c r="R41" s="87">
        <f t="shared" ca="1" si="23"/>
        <v>153.14000000000001</v>
      </c>
      <c r="S41" s="87"/>
      <c r="T41" s="87"/>
      <c r="U41" s="89"/>
      <c r="V41" s="89"/>
      <c r="W41" s="89"/>
      <c r="X41" s="89"/>
      <c r="Y41" s="89"/>
    </row>
    <row r="42" spans="1:25" hidden="1" x14ac:dyDescent="0.2">
      <c r="A42" s="143" t="s">
        <v>101</v>
      </c>
      <c r="B42" s="85">
        <f ca="1">IFERROR(1-(B40/B39),0)</f>
        <v>0</v>
      </c>
      <c r="C42" s="85">
        <f t="shared" ref="C42:R42" ca="1" si="24">IFERROR(1-(C40/C39),0)</f>
        <v>-1.2964505109077136</v>
      </c>
      <c r="D42" s="85">
        <f t="shared" ca="1" si="24"/>
        <v>-4.0763406285655002E-2</v>
      </c>
      <c r="E42" s="85">
        <f t="shared" ca="1" si="24"/>
        <v>-1.2559523809523809</v>
      </c>
      <c r="F42" s="85">
        <f t="shared" ca="1" si="24"/>
        <v>-1.3000349283967867</v>
      </c>
      <c r="G42" s="85">
        <f t="shared" ca="1" si="24"/>
        <v>-1.7778529511449648E-2</v>
      </c>
      <c r="H42" s="85">
        <f t="shared" ca="1" si="24"/>
        <v>-1.2857871918193462</v>
      </c>
      <c r="I42" s="85">
        <f t="shared" ca="1" si="24"/>
        <v>-4.4941651396888105E-3</v>
      </c>
      <c r="J42" s="85">
        <f t="shared" ca="1" si="24"/>
        <v>0</v>
      </c>
      <c r="K42" s="85">
        <f t="shared" ca="1" si="24"/>
        <v>0</v>
      </c>
      <c r="L42" s="85"/>
      <c r="M42" s="85">
        <f t="shared" ca="1" si="24"/>
        <v>-1.0828644495131696</v>
      </c>
      <c r="N42" s="85">
        <f t="shared" ca="1" si="24"/>
        <v>-2.8919837035826443</v>
      </c>
      <c r="O42" s="85">
        <f t="shared" ca="1" si="24"/>
        <v>0</v>
      </c>
      <c r="P42" s="85">
        <f t="shared" ca="1" si="24"/>
        <v>0</v>
      </c>
      <c r="Q42" s="85">
        <f t="shared" ca="1" si="24"/>
        <v>1</v>
      </c>
      <c r="R42" s="85">
        <f t="shared" ca="1" si="24"/>
        <v>1</v>
      </c>
      <c r="S42" s="85"/>
      <c r="T42" s="85"/>
      <c r="U42" s="85"/>
      <c r="V42" s="85"/>
      <c r="W42" s="85"/>
      <c r="X42" s="85"/>
      <c r="Y42" s="85"/>
    </row>
    <row r="43" spans="1:25" hidden="1" x14ac:dyDescent="0.2">
      <c r="A43" s="143" t="s">
        <v>101</v>
      </c>
    </row>
    <row r="44" spans="1:25" hidden="1" x14ac:dyDescent="0.2">
      <c r="A44" s="143">
        <v>45170</v>
      </c>
      <c r="B44" s="134">
        <f>SET!C$44</f>
        <v>0</v>
      </c>
      <c r="C44" s="134">
        <f>SET!D$44</f>
        <v>0</v>
      </c>
      <c r="D44" s="134">
        <f>SET!E$44</f>
        <v>0</v>
      </c>
      <c r="E44" s="135">
        <f>SET!F$44</f>
        <v>0</v>
      </c>
      <c r="F44" s="135">
        <f>SET!G$44</f>
        <v>0</v>
      </c>
      <c r="G44" s="134" t="e">
        <f>SET!H$44</f>
        <v>#DIV/0!</v>
      </c>
      <c r="H44" s="134">
        <f ca="1">SET!I$44</f>
        <v>1599.9999999999995</v>
      </c>
      <c r="I44" s="136">
        <f ca="1">SET!J$44</f>
        <v>0</v>
      </c>
      <c r="J44" s="135">
        <f>SET!K$44</f>
        <v>0</v>
      </c>
      <c r="K44" s="137">
        <f>SET!L$44</f>
        <v>0</v>
      </c>
      <c r="L44" s="134"/>
      <c r="M44" s="134">
        <f>SET!N$44</f>
        <v>0</v>
      </c>
      <c r="N44" s="134">
        <f>SET!O$44</f>
        <v>0</v>
      </c>
      <c r="O44" s="134">
        <f>SET!P$44</f>
        <v>0</v>
      </c>
      <c r="P44" s="134">
        <f ca="1">SET!Q$44</f>
        <v>1599.9999999999995</v>
      </c>
      <c r="Q44" s="134">
        <f>SET!R$44</f>
        <v>0</v>
      </c>
      <c r="R44" s="134">
        <f>SET!S$44</f>
        <v>0</v>
      </c>
      <c r="S44" s="134"/>
      <c r="T44" s="134"/>
      <c r="U44" s="137"/>
      <c r="V44" s="137"/>
      <c r="W44" s="137"/>
      <c r="X44" s="137"/>
      <c r="Y44" s="137"/>
    </row>
    <row r="45" spans="1:25" hidden="1" x14ac:dyDescent="0.2">
      <c r="A45" s="143">
        <v>44805</v>
      </c>
      <c r="B45" s="134">
        <f>SET!C$45</f>
        <v>1500212.96</v>
      </c>
      <c r="C45" s="134">
        <f>SET!D$45</f>
        <v>1500070.37</v>
      </c>
      <c r="D45" s="134">
        <f>SET!E$45</f>
        <v>142.59</v>
      </c>
      <c r="E45" s="135">
        <f>SET!F$45</f>
        <v>5790</v>
      </c>
      <c r="F45" s="135">
        <f>SET!G$45</f>
        <v>8221</v>
      </c>
      <c r="G45" s="134">
        <f>SET!H$45</f>
        <v>259.10413816925734</v>
      </c>
      <c r="H45" s="134">
        <f>SET!I$45</f>
        <v>29743.86</v>
      </c>
      <c r="I45" s="136">
        <f>SET!J$45</f>
        <v>50.437736057122372</v>
      </c>
      <c r="J45" s="135">
        <f>SET!K$45</f>
        <v>126979</v>
      </c>
      <c r="K45" s="137">
        <f>SET!L$45</f>
        <v>4.5598091022925051E-2</v>
      </c>
      <c r="L45" s="134"/>
      <c r="M45" s="134">
        <f>SET!N$45</f>
        <v>19357.749999999996</v>
      </c>
      <c r="N45" s="134">
        <f>SET!O$45</f>
        <v>8786.11</v>
      </c>
      <c r="O45" s="134">
        <f>SET!P$45</f>
        <v>0</v>
      </c>
      <c r="P45" s="134">
        <f>SET!Q$45</f>
        <v>1599.9999999999995</v>
      </c>
      <c r="Q45" s="134">
        <f>SET!R$45</f>
        <v>0</v>
      </c>
      <c r="R45" s="134">
        <f>SET!S$45</f>
        <v>0</v>
      </c>
      <c r="S45" s="134"/>
      <c r="T45" s="134"/>
      <c r="U45" s="137"/>
      <c r="V45" s="137"/>
      <c r="W45" s="137"/>
      <c r="X45" s="137"/>
      <c r="Y45" s="137"/>
    </row>
    <row r="46" spans="1:25" hidden="1" x14ac:dyDescent="0.2">
      <c r="A46" s="143" t="s">
        <v>101</v>
      </c>
      <c r="B46" s="87">
        <f t="shared" ref="B46:K46" si="25">B44-B45</f>
        <v>-1500212.96</v>
      </c>
      <c r="C46" s="87">
        <f t="shared" si="25"/>
        <v>-1500070.37</v>
      </c>
      <c r="D46" s="87">
        <f t="shared" si="25"/>
        <v>-142.59</v>
      </c>
      <c r="E46" s="88">
        <f t="shared" si="25"/>
        <v>-5790</v>
      </c>
      <c r="F46" s="88">
        <f t="shared" si="25"/>
        <v>-8221</v>
      </c>
      <c r="G46" s="87">
        <f>IFERROR(G44-G45,0)</f>
        <v>0</v>
      </c>
      <c r="H46" s="87">
        <f t="shared" ca="1" si="25"/>
        <v>-28143.86</v>
      </c>
      <c r="I46" s="125">
        <f t="shared" ca="1" si="25"/>
        <v>-50.437736057122372</v>
      </c>
      <c r="J46" s="88">
        <f t="shared" si="25"/>
        <v>-126979</v>
      </c>
      <c r="K46" s="89">
        <f t="shared" si="25"/>
        <v>-4.5598091022925051E-2</v>
      </c>
      <c r="L46" s="87"/>
      <c r="M46" s="87">
        <f t="shared" ref="M46:R46" si="26">M44-M45</f>
        <v>-19357.749999999996</v>
      </c>
      <c r="N46" s="87">
        <f t="shared" si="26"/>
        <v>-8786.11</v>
      </c>
      <c r="O46" s="87">
        <f t="shared" si="26"/>
        <v>0</v>
      </c>
      <c r="P46" s="87">
        <f t="shared" ca="1" si="26"/>
        <v>0</v>
      </c>
      <c r="Q46" s="87">
        <f t="shared" si="26"/>
        <v>0</v>
      </c>
      <c r="R46" s="87">
        <f t="shared" si="26"/>
        <v>0</v>
      </c>
      <c r="S46" s="87"/>
      <c r="T46" s="87"/>
      <c r="U46" s="89"/>
      <c r="V46" s="89"/>
      <c r="W46" s="89"/>
      <c r="X46" s="89"/>
      <c r="Y46" s="89"/>
    </row>
    <row r="47" spans="1:25" hidden="1" x14ac:dyDescent="0.2">
      <c r="A47" s="143" t="s">
        <v>101</v>
      </c>
      <c r="B47" s="85">
        <f>IFERROR(1-(B45/B44),0)</f>
        <v>0</v>
      </c>
      <c r="C47" s="85">
        <f t="shared" ref="C47:R49" si="27">IFERROR(1-(C45/C44),0)</f>
        <v>0</v>
      </c>
      <c r="D47" s="85">
        <f t="shared" si="27"/>
        <v>0</v>
      </c>
      <c r="E47" s="85">
        <f t="shared" si="27"/>
        <v>0</v>
      </c>
      <c r="F47" s="85">
        <f t="shared" si="27"/>
        <v>0</v>
      </c>
      <c r="G47" s="85">
        <f t="shared" si="27"/>
        <v>0</v>
      </c>
      <c r="H47" s="85">
        <f t="shared" ca="1" si="27"/>
        <v>-17.589912500000004</v>
      </c>
      <c r="I47" s="85">
        <f t="shared" ca="1" si="27"/>
        <v>0</v>
      </c>
      <c r="J47" s="85">
        <f t="shared" si="27"/>
        <v>0</v>
      </c>
      <c r="K47" s="85">
        <f t="shared" si="27"/>
        <v>0</v>
      </c>
      <c r="L47" s="85"/>
      <c r="M47" s="85">
        <f t="shared" si="27"/>
        <v>0</v>
      </c>
      <c r="N47" s="85">
        <f t="shared" si="27"/>
        <v>0</v>
      </c>
      <c r="O47" s="85">
        <f t="shared" si="27"/>
        <v>0</v>
      </c>
      <c r="P47" s="85">
        <f t="shared" ca="1" si="27"/>
        <v>0</v>
      </c>
      <c r="Q47" s="85">
        <f t="shared" si="27"/>
        <v>0</v>
      </c>
      <c r="R47" s="85">
        <f t="shared" si="27"/>
        <v>0</v>
      </c>
      <c r="S47" s="85"/>
      <c r="T47" s="85"/>
      <c r="U47" s="85"/>
      <c r="V47" s="85"/>
      <c r="W47" s="85"/>
      <c r="X47" s="85"/>
      <c r="Y47" s="85"/>
    </row>
    <row r="48" spans="1:25" hidden="1" x14ac:dyDescent="0.2">
      <c r="A48" s="143" t="s">
        <v>101</v>
      </c>
    </row>
    <row r="49" spans="1:25" hidden="1" x14ac:dyDescent="0.2">
      <c r="A49" s="143">
        <v>45200</v>
      </c>
      <c r="B49" s="134">
        <f>OUT!C$44</f>
        <v>0</v>
      </c>
      <c r="C49" s="134">
        <f>OUT!D$44</f>
        <v>0</v>
      </c>
      <c r="D49" s="134">
        <f>OUT!E$44</f>
        <v>0</v>
      </c>
      <c r="E49" s="135">
        <f>OUT!F$44</f>
        <v>0</v>
      </c>
      <c r="F49" s="135">
        <f>OUT!G$44</f>
        <v>0</v>
      </c>
      <c r="G49" s="134">
        <f t="shared" si="27"/>
        <v>0</v>
      </c>
      <c r="H49" s="134">
        <f ca="1">OUT!I$44</f>
        <v>1599.9999999999989</v>
      </c>
      <c r="I49" s="136">
        <f ca="1">OUT!J$44</f>
        <v>0</v>
      </c>
      <c r="J49" s="135">
        <f>OUT!K$44</f>
        <v>0</v>
      </c>
      <c r="K49" s="137">
        <f>OUT!L$44</f>
        <v>0</v>
      </c>
      <c r="L49" s="134"/>
      <c r="M49" s="134">
        <f>OUT!N$44</f>
        <v>0</v>
      </c>
      <c r="N49" s="134">
        <f>OUT!O$44</f>
        <v>0</v>
      </c>
      <c r="O49" s="134">
        <f>OUT!P$44</f>
        <v>0</v>
      </c>
      <c r="P49" s="134">
        <f ca="1">OUT!Q$44</f>
        <v>1599.9999999999989</v>
      </c>
      <c r="Q49" s="134">
        <f>OUT!R$44</f>
        <v>0</v>
      </c>
      <c r="R49" s="134">
        <f>OUT!S$44</f>
        <v>0</v>
      </c>
      <c r="S49" s="134"/>
      <c r="T49" s="134"/>
      <c r="U49" s="137"/>
      <c r="V49" s="137"/>
      <c r="W49" s="137"/>
      <c r="X49" s="137"/>
      <c r="Y49" s="137"/>
    </row>
    <row r="50" spans="1:25" hidden="1" x14ac:dyDescent="0.2">
      <c r="A50" s="143">
        <v>44835</v>
      </c>
      <c r="B50" s="134">
        <f>OUT!C$45</f>
        <v>1390420.7999999998</v>
      </c>
      <c r="C50" s="134">
        <f>OUT!D$45</f>
        <v>1390142.1</v>
      </c>
      <c r="D50" s="134">
        <f>OUT!E$45</f>
        <v>278.70000000000005</v>
      </c>
      <c r="E50" s="135">
        <f>OUT!F$45</f>
        <v>4727</v>
      </c>
      <c r="F50" s="135">
        <f>OUT!G$45</f>
        <v>6367</v>
      </c>
      <c r="G50" s="134">
        <f t="shared" ref="G50" si="28">IFERROR(1-(G48/G47),0)</f>
        <v>0</v>
      </c>
      <c r="H50" s="134">
        <f ca="1">OUT!I$45</f>
        <v>22764.959999999999</v>
      </c>
      <c r="I50" s="136">
        <f ca="1">OUT!J$45</f>
        <v>61.077234486684794</v>
      </c>
      <c r="J50" s="135">
        <f>OUT!K$45</f>
        <v>118368</v>
      </c>
      <c r="K50" s="137">
        <f>OUT!L$45</f>
        <v>3.9934779670181129E-2</v>
      </c>
      <c r="L50" s="134"/>
      <c r="M50" s="134">
        <f>OUT!N$45</f>
        <v>11261.499999999998</v>
      </c>
      <c r="N50" s="134">
        <f>OUT!O$45</f>
        <v>9903.4600000000009</v>
      </c>
      <c r="O50" s="134">
        <f>OUT!P$45</f>
        <v>0</v>
      </c>
      <c r="P50" s="134">
        <f ca="1">OUT!Q$45</f>
        <v>1599.9999999999989</v>
      </c>
      <c r="Q50" s="134">
        <f>OUT!R$45</f>
        <v>0</v>
      </c>
      <c r="R50" s="134">
        <f>OUT!S$45</f>
        <v>0</v>
      </c>
      <c r="S50" s="134"/>
      <c r="T50" s="134"/>
      <c r="U50" s="137"/>
      <c r="V50" s="137"/>
      <c r="W50" s="137"/>
      <c r="X50" s="137"/>
      <c r="Y50" s="137"/>
    </row>
    <row r="51" spans="1:25" hidden="1" x14ac:dyDescent="0.2">
      <c r="A51" s="143" t="s">
        <v>101</v>
      </c>
      <c r="B51" s="87">
        <f t="shared" ref="B51:K51" si="29">B49-B50</f>
        <v>-1390420.7999999998</v>
      </c>
      <c r="C51" s="87">
        <f t="shared" si="29"/>
        <v>-1390142.1</v>
      </c>
      <c r="D51" s="87">
        <f t="shared" si="29"/>
        <v>-278.70000000000005</v>
      </c>
      <c r="E51" s="88">
        <f t="shared" si="29"/>
        <v>-4727</v>
      </c>
      <c r="F51" s="88">
        <f t="shared" si="29"/>
        <v>-6367</v>
      </c>
      <c r="G51" s="87">
        <f t="shared" si="29"/>
        <v>0</v>
      </c>
      <c r="H51" s="87">
        <f t="shared" ca="1" si="29"/>
        <v>-21164.959999999999</v>
      </c>
      <c r="I51" s="125">
        <f t="shared" ca="1" si="29"/>
        <v>-61.077234486684794</v>
      </c>
      <c r="J51" s="88">
        <f t="shared" si="29"/>
        <v>-118368</v>
      </c>
      <c r="K51" s="89">
        <f t="shared" si="29"/>
        <v>-3.9934779670181129E-2</v>
      </c>
      <c r="L51" s="87"/>
      <c r="M51" s="87">
        <f t="shared" ref="M51:R51" si="30">M49-M50</f>
        <v>-11261.499999999998</v>
      </c>
      <c r="N51" s="87">
        <f t="shared" si="30"/>
        <v>-9903.4600000000009</v>
      </c>
      <c r="O51" s="87">
        <f t="shared" si="30"/>
        <v>0</v>
      </c>
      <c r="P51" s="87">
        <f t="shared" ca="1" si="30"/>
        <v>0</v>
      </c>
      <c r="Q51" s="87">
        <f t="shared" si="30"/>
        <v>0</v>
      </c>
      <c r="R51" s="87">
        <f t="shared" si="30"/>
        <v>0</v>
      </c>
      <c r="S51" s="87"/>
      <c r="T51" s="87"/>
      <c r="U51" s="89"/>
      <c r="V51" s="89"/>
      <c r="W51" s="89"/>
      <c r="X51" s="89"/>
      <c r="Y51" s="89"/>
    </row>
    <row r="52" spans="1:25" hidden="1" x14ac:dyDescent="0.2">
      <c r="A52" s="143" t="s">
        <v>101</v>
      </c>
      <c r="B52" s="85">
        <f>IFERROR(1-(B50/B49),0)</f>
        <v>0</v>
      </c>
      <c r="C52" s="85">
        <f t="shared" ref="C52:R52" si="31">IFERROR(1-(C50/C49),0)</f>
        <v>0</v>
      </c>
      <c r="D52" s="85">
        <f t="shared" si="31"/>
        <v>0</v>
      </c>
      <c r="E52" s="85">
        <f t="shared" si="31"/>
        <v>0</v>
      </c>
      <c r="F52" s="85">
        <f t="shared" si="31"/>
        <v>0</v>
      </c>
      <c r="G52" s="85">
        <f t="shared" si="31"/>
        <v>0</v>
      </c>
      <c r="H52" s="85">
        <f t="shared" ca="1" si="31"/>
        <v>-13.22810000000001</v>
      </c>
      <c r="I52" s="85">
        <f t="shared" ca="1" si="31"/>
        <v>0</v>
      </c>
      <c r="J52" s="85">
        <f t="shared" si="31"/>
        <v>0</v>
      </c>
      <c r="K52" s="85">
        <f t="shared" si="31"/>
        <v>0</v>
      </c>
      <c r="L52" s="85"/>
      <c r="M52" s="85">
        <f t="shared" si="31"/>
        <v>0</v>
      </c>
      <c r="N52" s="85">
        <f t="shared" si="31"/>
        <v>0</v>
      </c>
      <c r="O52" s="85">
        <f t="shared" si="31"/>
        <v>0</v>
      </c>
      <c r="P52" s="85">
        <f t="shared" ca="1" si="31"/>
        <v>0</v>
      </c>
      <c r="Q52" s="85">
        <f t="shared" si="31"/>
        <v>0</v>
      </c>
      <c r="R52" s="85">
        <f t="shared" si="31"/>
        <v>0</v>
      </c>
      <c r="S52" s="85"/>
      <c r="T52" s="85"/>
      <c r="U52" s="85"/>
      <c r="V52" s="85"/>
      <c r="W52" s="85"/>
      <c r="X52" s="85"/>
      <c r="Y52" s="85"/>
    </row>
    <row r="53" spans="1:25" hidden="1" x14ac:dyDescent="0.2">
      <c r="A53" s="143" t="s">
        <v>101</v>
      </c>
    </row>
    <row r="54" spans="1:25" hidden="1" x14ac:dyDescent="0.2">
      <c r="A54" s="143">
        <v>45231</v>
      </c>
      <c r="B54" s="134">
        <f>NOV!C$44</f>
        <v>0</v>
      </c>
      <c r="C54" s="134">
        <f>NOV!D$44</f>
        <v>0</v>
      </c>
      <c r="D54" s="134">
        <f>NOV!E$44</f>
        <v>0</v>
      </c>
      <c r="E54" s="135">
        <f>NOV!F$44</f>
        <v>0</v>
      </c>
      <c r="F54" s="135">
        <f>NOV!G$44</f>
        <v>0</v>
      </c>
      <c r="G54" s="134">
        <f t="shared" ref="G54:G55" si="32">IFERROR(1-(G52/G51),0)</f>
        <v>0</v>
      </c>
      <c r="H54" s="134">
        <f ca="1">NOV!I$44</f>
        <v>1599.9999999999995</v>
      </c>
      <c r="I54" s="136">
        <f ca="1">NOV!J$44</f>
        <v>0</v>
      </c>
      <c r="J54" s="135">
        <f>NOV!K$44</f>
        <v>0</v>
      </c>
      <c r="K54" s="137">
        <f>NOV!L$44</f>
        <v>0</v>
      </c>
      <c r="L54" s="134"/>
      <c r="M54" s="134">
        <f>NOV!N$44</f>
        <v>0</v>
      </c>
      <c r="N54" s="134">
        <f>NOV!O$44</f>
        <v>0</v>
      </c>
      <c r="O54" s="134">
        <f>NOV!P$44</f>
        <v>0</v>
      </c>
      <c r="P54" s="134">
        <f ca="1">NOV!Q$44</f>
        <v>1599.9999999999995</v>
      </c>
      <c r="Q54" s="134">
        <f>NOV!R$44</f>
        <v>0</v>
      </c>
      <c r="R54" s="134">
        <f>NOV!S$44</f>
        <v>0</v>
      </c>
      <c r="S54" s="134"/>
      <c r="T54" s="134"/>
      <c r="U54" s="137"/>
      <c r="V54" s="137"/>
      <c r="W54" s="137"/>
      <c r="X54" s="137"/>
      <c r="Y54" s="137"/>
    </row>
    <row r="55" spans="1:25" hidden="1" x14ac:dyDescent="0.2">
      <c r="A55" s="143">
        <v>44866</v>
      </c>
      <c r="B55" s="134">
        <f>NOV!C$45</f>
        <v>1836530.5</v>
      </c>
      <c r="C55" s="134">
        <f>NOV!D$45</f>
        <v>1836180.64</v>
      </c>
      <c r="D55" s="134">
        <f>NOV!E$45</f>
        <v>349.86</v>
      </c>
      <c r="E55" s="135">
        <f>NOV!F$45</f>
        <v>6556</v>
      </c>
      <c r="F55" s="135">
        <f>NOV!G$45</f>
        <v>9839</v>
      </c>
      <c r="G55" s="134">
        <f t="shared" si="32"/>
        <v>0</v>
      </c>
      <c r="H55" s="134">
        <f>NOV!I$45</f>
        <v>32907.310000000005</v>
      </c>
      <c r="I55" s="136">
        <f>NOV!J$45</f>
        <v>55.80919558602632</v>
      </c>
      <c r="J55" s="135">
        <f>NOV!K$45</f>
        <v>140667</v>
      </c>
      <c r="K55" s="137">
        <f>NOV!L$45</f>
        <v>4.6606524629088555E-2</v>
      </c>
      <c r="L55" s="134"/>
      <c r="M55" s="134">
        <f>NOV!N$45</f>
        <v>20353.57</v>
      </c>
      <c r="N55" s="134">
        <f>NOV!O$45</f>
        <v>10953.74</v>
      </c>
      <c r="O55" s="134">
        <f>NOV!P$45</f>
        <v>0</v>
      </c>
      <c r="P55" s="134">
        <f>NOV!Q$45</f>
        <v>1599.9999999999995</v>
      </c>
      <c r="Q55" s="134">
        <f>NOV!R$45</f>
        <v>0</v>
      </c>
      <c r="R55" s="134">
        <f>NOV!S$45</f>
        <v>0</v>
      </c>
      <c r="S55" s="134"/>
      <c r="T55" s="134"/>
      <c r="U55" s="137"/>
      <c r="V55" s="137"/>
      <c r="W55" s="137"/>
      <c r="X55" s="137"/>
      <c r="Y55" s="137"/>
    </row>
    <row r="56" spans="1:25" hidden="1" x14ac:dyDescent="0.2">
      <c r="A56" s="143" t="s">
        <v>101</v>
      </c>
      <c r="B56" s="87">
        <f t="shared" ref="B56:K56" si="33">B54-B55</f>
        <v>-1836530.5</v>
      </c>
      <c r="C56" s="87">
        <f t="shared" si="33"/>
        <v>-1836180.64</v>
      </c>
      <c r="D56" s="87">
        <f t="shared" si="33"/>
        <v>-349.86</v>
      </c>
      <c r="E56" s="88">
        <f t="shared" si="33"/>
        <v>-6556</v>
      </c>
      <c r="F56" s="88">
        <f t="shared" si="33"/>
        <v>-9839</v>
      </c>
      <c r="G56" s="87">
        <f t="shared" si="33"/>
        <v>0</v>
      </c>
      <c r="H56" s="87">
        <f t="shared" ca="1" si="33"/>
        <v>-31307.310000000005</v>
      </c>
      <c r="I56" s="125">
        <f t="shared" ca="1" si="33"/>
        <v>-55.80919558602632</v>
      </c>
      <c r="J56" s="88">
        <f t="shared" si="33"/>
        <v>-140667</v>
      </c>
      <c r="K56" s="89">
        <f t="shared" si="33"/>
        <v>-4.6606524629088555E-2</v>
      </c>
      <c r="L56" s="87"/>
      <c r="M56" s="87">
        <f t="shared" ref="M56:R56" si="34">M54-M55</f>
        <v>-20353.57</v>
      </c>
      <c r="N56" s="87">
        <f t="shared" si="34"/>
        <v>-10953.74</v>
      </c>
      <c r="O56" s="87">
        <f t="shared" si="34"/>
        <v>0</v>
      </c>
      <c r="P56" s="87">
        <f t="shared" ca="1" si="34"/>
        <v>0</v>
      </c>
      <c r="Q56" s="87">
        <f t="shared" si="34"/>
        <v>0</v>
      </c>
      <c r="R56" s="87">
        <f t="shared" si="34"/>
        <v>0</v>
      </c>
      <c r="S56" s="87"/>
      <c r="T56" s="87"/>
      <c r="U56" s="89"/>
      <c r="V56" s="89"/>
      <c r="W56" s="89"/>
      <c r="X56" s="89"/>
      <c r="Y56" s="89"/>
    </row>
    <row r="57" spans="1:25" hidden="1" x14ac:dyDescent="0.2">
      <c r="A57" s="143" t="s">
        <v>101</v>
      </c>
      <c r="B57" s="85">
        <f>IFERROR(1-(B55/B54),0)</f>
        <v>0</v>
      </c>
      <c r="C57" s="85">
        <f t="shared" ref="C57:R57" si="35">IFERROR(1-(C55/C54),0)</f>
        <v>0</v>
      </c>
      <c r="D57" s="85">
        <f t="shared" si="35"/>
        <v>0</v>
      </c>
      <c r="E57" s="85">
        <f t="shared" si="35"/>
        <v>0</v>
      </c>
      <c r="F57" s="85">
        <f t="shared" si="35"/>
        <v>0</v>
      </c>
      <c r="G57" s="85">
        <f t="shared" si="35"/>
        <v>0</v>
      </c>
      <c r="H57" s="85">
        <f t="shared" ca="1" si="35"/>
        <v>-19.567068750000008</v>
      </c>
      <c r="I57" s="85">
        <f t="shared" ca="1" si="35"/>
        <v>0</v>
      </c>
      <c r="J57" s="85">
        <f t="shared" si="35"/>
        <v>0</v>
      </c>
      <c r="K57" s="85">
        <f t="shared" si="35"/>
        <v>0</v>
      </c>
      <c r="L57" s="85"/>
      <c r="M57" s="85">
        <f t="shared" si="35"/>
        <v>0</v>
      </c>
      <c r="N57" s="85">
        <f t="shared" si="35"/>
        <v>0</v>
      </c>
      <c r="O57" s="85">
        <f t="shared" si="35"/>
        <v>0</v>
      </c>
      <c r="P57" s="85">
        <f t="shared" ca="1" si="35"/>
        <v>0</v>
      </c>
      <c r="Q57" s="85">
        <f t="shared" si="35"/>
        <v>0</v>
      </c>
      <c r="R57" s="85">
        <f t="shared" si="35"/>
        <v>0</v>
      </c>
      <c r="S57" s="85"/>
      <c r="T57" s="85"/>
      <c r="U57" s="85"/>
      <c r="V57" s="85"/>
      <c r="W57" s="85"/>
      <c r="X57" s="85"/>
      <c r="Y57" s="85"/>
    </row>
    <row r="58" spans="1:25" hidden="1" x14ac:dyDescent="0.2">
      <c r="A58" s="143" t="s">
        <v>101</v>
      </c>
    </row>
    <row r="59" spans="1:25" hidden="1" x14ac:dyDescent="0.2">
      <c r="A59" s="143">
        <v>45261</v>
      </c>
      <c r="B59" s="134">
        <f>DEZ!C$44</f>
        <v>0</v>
      </c>
      <c r="C59" s="134">
        <f>DEZ!D$44</f>
        <v>0</v>
      </c>
      <c r="D59" s="134">
        <f>DEZ!E$44</f>
        <v>0</v>
      </c>
      <c r="E59" s="135">
        <f>DEZ!F$44</f>
        <v>0</v>
      </c>
      <c r="F59" s="135">
        <f>DEZ!G$44</f>
        <v>0</v>
      </c>
      <c r="G59" s="134">
        <f t="shared" ref="G59:G60" si="36">IFERROR(1-(G57/G56),0)</f>
        <v>0</v>
      </c>
      <c r="H59" s="134">
        <f ca="1">DEZ!I$44</f>
        <v>1599.9999999999989</v>
      </c>
      <c r="I59" s="136">
        <f ca="1">DEZ!J$44</f>
        <v>0</v>
      </c>
      <c r="J59" s="135">
        <f>DEZ!K$44</f>
        <v>0</v>
      </c>
      <c r="K59" s="137">
        <f>DEZ!L$44</f>
        <v>0</v>
      </c>
      <c r="L59" s="134"/>
      <c r="M59" s="134">
        <f>DEZ!N$44</f>
        <v>0</v>
      </c>
      <c r="N59" s="134">
        <f>DEZ!O$44</f>
        <v>0</v>
      </c>
      <c r="O59" s="134">
        <f>DEZ!P$44</f>
        <v>0</v>
      </c>
      <c r="P59" s="134">
        <f ca="1">DEZ!Q$44</f>
        <v>1599.9999999999989</v>
      </c>
      <c r="Q59" s="134">
        <f>DEZ!R$44</f>
        <v>0</v>
      </c>
      <c r="R59" s="134">
        <f>DEZ!S$44</f>
        <v>0</v>
      </c>
      <c r="S59" s="134"/>
      <c r="T59" s="134"/>
      <c r="U59" s="137"/>
      <c r="V59" s="137"/>
      <c r="W59" s="137"/>
      <c r="X59" s="137"/>
      <c r="Y59" s="137"/>
    </row>
    <row r="60" spans="1:25" hidden="1" x14ac:dyDescent="0.2">
      <c r="A60" s="143">
        <v>44896</v>
      </c>
      <c r="B60" s="134">
        <f>DEZ!C$45</f>
        <v>3470256.77</v>
      </c>
      <c r="C60" s="134">
        <f>DEZ!D$45</f>
        <v>3469620.04</v>
      </c>
      <c r="D60" s="134">
        <f>DEZ!E$45</f>
        <v>636.73</v>
      </c>
      <c r="E60" s="135">
        <f>DEZ!F$45</f>
        <v>10887</v>
      </c>
      <c r="F60" s="135">
        <f>DEZ!G$45</f>
        <v>14826</v>
      </c>
      <c r="G60" s="134">
        <f t="shared" si="36"/>
        <v>0</v>
      </c>
      <c r="H60" s="134">
        <f>DEZ!I$45</f>
        <v>37063.610000000008</v>
      </c>
      <c r="I60" s="136">
        <f>DEZ!J$45</f>
        <v>93.629756248784162</v>
      </c>
      <c r="J60" s="135">
        <f>DEZ!K$45</f>
        <v>169385</v>
      </c>
      <c r="K60" s="137">
        <f>DEZ!L$45</f>
        <v>6.4273696017947274E-2</v>
      </c>
      <c r="L60" s="134"/>
      <c r="M60" s="134">
        <f>DEZ!N$45</f>
        <v>24316.789999999994</v>
      </c>
      <c r="N60" s="134">
        <f>DEZ!O$45</f>
        <v>11146.819999999998</v>
      </c>
      <c r="O60" s="134">
        <f>DEZ!P$45</f>
        <v>0</v>
      </c>
      <c r="P60" s="134">
        <f>DEZ!Q$45</f>
        <v>1599.9999999999989</v>
      </c>
      <c r="Q60" s="134">
        <f>DEZ!R$45</f>
        <v>0</v>
      </c>
      <c r="R60" s="134">
        <f>DEZ!S$45</f>
        <v>0</v>
      </c>
      <c r="S60" s="134"/>
      <c r="T60" s="134"/>
      <c r="U60" s="137"/>
      <c r="V60" s="137"/>
      <c r="W60" s="137"/>
      <c r="X60" s="137"/>
      <c r="Y60" s="137"/>
    </row>
    <row r="61" spans="1:25" hidden="1" x14ac:dyDescent="0.2">
      <c r="A61" s="210" t="s">
        <v>101</v>
      </c>
      <c r="B61" s="87">
        <f t="shared" ref="B61:J61" si="37">B59-B60</f>
        <v>-3470256.77</v>
      </c>
      <c r="C61" s="87">
        <f t="shared" si="37"/>
        <v>-3469620.04</v>
      </c>
      <c r="D61" s="87">
        <f t="shared" si="37"/>
        <v>-636.73</v>
      </c>
      <c r="E61" s="88">
        <f t="shared" si="37"/>
        <v>-10887</v>
      </c>
      <c r="F61" s="88">
        <f t="shared" si="37"/>
        <v>-14826</v>
      </c>
      <c r="G61" s="87">
        <f t="shared" si="37"/>
        <v>0</v>
      </c>
      <c r="H61" s="87">
        <f t="shared" ca="1" si="37"/>
        <v>-35463.610000000008</v>
      </c>
      <c r="I61" s="125">
        <f t="shared" ca="1" si="37"/>
        <v>-93.629756248784162</v>
      </c>
      <c r="J61" s="88">
        <f t="shared" si="37"/>
        <v>-169385</v>
      </c>
      <c r="K61" s="89">
        <f>IFERROR(K59-K60,0)</f>
        <v>-6.4273696017947274E-2</v>
      </c>
      <c r="L61" s="87"/>
      <c r="M61" s="87">
        <f t="shared" ref="M61:R61" si="38">M59-M60</f>
        <v>-24316.789999999994</v>
      </c>
      <c r="N61" s="87">
        <f t="shared" si="38"/>
        <v>-11146.819999999998</v>
      </c>
      <c r="O61" s="87">
        <f t="shared" si="38"/>
        <v>0</v>
      </c>
      <c r="P61" s="87">
        <f t="shared" ca="1" si="38"/>
        <v>0</v>
      </c>
      <c r="Q61" s="87">
        <f t="shared" si="38"/>
        <v>0</v>
      </c>
      <c r="R61" s="87">
        <f t="shared" si="38"/>
        <v>0</v>
      </c>
      <c r="S61" s="87"/>
      <c r="T61" s="87"/>
      <c r="U61" s="89"/>
      <c r="V61" s="89"/>
      <c r="W61" s="89"/>
      <c r="X61" s="89"/>
      <c r="Y61" s="89"/>
    </row>
    <row r="62" spans="1:25" hidden="1" x14ac:dyDescent="0.2">
      <c r="A62" s="210" t="s">
        <v>101</v>
      </c>
      <c r="B62" s="85">
        <f>IFERROR(1-(B60/B59),0)</f>
        <v>0</v>
      </c>
      <c r="C62" s="85">
        <f t="shared" ref="C62:R62" si="39">IFERROR(1-(C60/C59),0)</f>
        <v>0</v>
      </c>
      <c r="D62" s="85">
        <f t="shared" si="39"/>
        <v>0</v>
      </c>
      <c r="E62" s="85">
        <f t="shared" si="39"/>
        <v>0</v>
      </c>
      <c r="F62" s="85">
        <f t="shared" si="39"/>
        <v>0</v>
      </c>
      <c r="G62" s="85">
        <f t="shared" si="39"/>
        <v>0</v>
      </c>
      <c r="H62" s="85">
        <f t="shared" ca="1" si="39"/>
        <v>-22.164756250000021</v>
      </c>
      <c r="I62" s="85">
        <f t="shared" ca="1" si="39"/>
        <v>0</v>
      </c>
      <c r="J62" s="85">
        <f t="shared" si="39"/>
        <v>0</v>
      </c>
      <c r="K62" s="85">
        <f t="shared" si="39"/>
        <v>0</v>
      </c>
      <c r="L62" s="85"/>
      <c r="M62" s="85">
        <f t="shared" si="39"/>
        <v>0</v>
      </c>
      <c r="N62" s="85">
        <f t="shared" si="39"/>
        <v>0</v>
      </c>
      <c r="O62" s="85">
        <f t="shared" si="39"/>
        <v>0</v>
      </c>
      <c r="P62" s="85">
        <f t="shared" ca="1" si="39"/>
        <v>0</v>
      </c>
      <c r="Q62" s="85">
        <f t="shared" si="39"/>
        <v>0</v>
      </c>
      <c r="R62" s="85">
        <f t="shared" si="39"/>
        <v>0</v>
      </c>
      <c r="S62" s="85"/>
      <c r="T62" s="85"/>
      <c r="U62" s="85"/>
      <c r="V62" s="85"/>
      <c r="W62" s="85"/>
      <c r="X62" s="85"/>
      <c r="Y62" s="85"/>
    </row>
    <row r="63" spans="1:25" hidden="1" x14ac:dyDescent="0.2">
      <c r="A63" s="210" t="s">
        <v>101</v>
      </c>
    </row>
    <row r="64" spans="1:25" s="165" customFormat="1" hidden="1" x14ac:dyDescent="0.2">
      <c r="A64" s="143" t="s">
        <v>170</v>
      </c>
      <c r="B64" s="161">
        <f>SUM(B59,B54,B49,B44,B39,B34,B29,B24,B19,B14,B9,B4)</f>
        <v>15382625.960000001</v>
      </c>
      <c r="C64" s="161">
        <f t="shared" ref="C64:F64" si="40">SUM(C59,C54,C49,C44,C39,C34,C29,C24,C19,C14,C9,C4)</f>
        <v>15999462.33</v>
      </c>
      <c r="D64" s="161">
        <f t="shared" si="40"/>
        <v>3012.3900000000003</v>
      </c>
      <c r="E64" s="163">
        <f t="shared" si="40"/>
        <v>54293</v>
      </c>
      <c r="F64" s="220">
        <f t="shared" si="40"/>
        <v>68364</v>
      </c>
      <c r="G64" s="161">
        <f>B64/E64</f>
        <v>283.32613707107731</v>
      </c>
      <c r="H64" s="161">
        <f t="shared" ref="H64" ca="1" si="41">SUM(H59,H54,H49,H44,H39,H34,H29,H24,H19,H14,H9,H4)</f>
        <v>268273.5</v>
      </c>
      <c r="I64" s="162">
        <f ca="1">B64/H64</f>
        <v>57.339341977496851</v>
      </c>
      <c r="J64" s="163">
        <f t="shared" ref="J64" si="42">SUM(J59,J54,J49,J44,J39,J34,J29,J24,J19,J14,J9,J4)</f>
        <v>917961</v>
      </c>
      <c r="K64" s="164">
        <f>E64/J64</f>
        <v>5.914521423023418E-2</v>
      </c>
      <c r="L64" s="161"/>
      <c r="M64" s="161">
        <f t="shared" ref="M64:M65" si="43">SUM(M59,M54,M49,M44,M39,M34,M29,M24,M19,M14,M9,M4)</f>
        <v>180020.11999999997</v>
      </c>
      <c r="N64" s="161">
        <f t="shared" ref="N64:T64" si="44">SUM(N59,N54,N49,N44,N39,N34,N29,N24,N19,N14,N9,N4)</f>
        <v>66170.59</v>
      </c>
      <c r="O64" s="161">
        <f t="shared" si="44"/>
        <v>0</v>
      </c>
      <c r="P64" s="161">
        <f t="shared" ca="1" si="44"/>
        <v>19199.999999999989</v>
      </c>
      <c r="Q64" s="161">
        <f t="shared" si="44"/>
        <v>1645.92</v>
      </c>
      <c r="R64" s="161">
        <f t="shared" si="44"/>
        <v>1236.8700000000001</v>
      </c>
      <c r="S64" s="161">
        <f t="shared" si="44"/>
        <v>0</v>
      </c>
      <c r="T64" s="161">
        <f t="shared" si="44"/>
        <v>0</v>
      </c>
      <c r="U64" s="164"/>
      <c r="V64" s="164"/>
      <c r="W64" s="164"/>
      <c r="X64" s="164"/>
      <c r="Y64" s="164"/>
    </row>
    <row r="65" spans="1:25" s="165" customFormat="1" hidden="1" x14ac:dyDescent="0.2">
      <c r="A65" s="143" t="s">
        <v>171</v>
      </c>
      <c r="B65" s="161">
        <f ca="1">SUM(B60,B55,B50,B45,B40,B35,B30,B25,B20,B15,B10,B5)</f>
        <v>18658510.219999999</v>
      </c>
      <c r="C65" s="161">
        <f t="shared" ref="C65:F65" ca="1" si="45">SUM(C60,C55,C50,C45,C40,C35,C30,C25,C20,C15,C10,C5)</f>
        <v>18654954.799999997</v>
      </c>
      <c r="D65" s="161">
        <f t="shared" ca="1" si="45"/>
        <v>3555.4200000000005</v>
      </c>
      <c r="E65" s="163">
        <f t="shared" ca="1" si="45"/>
        <v>64309</v>
      </c>
      <c r="F65" s="220">
        <f t="shared" ca="1" si="45"/>
        <v>84713</v>
      </c>
      <c r="G65" s="161">
        <f ca="1">B65/E65</f>
        <v>290.13839773593116</v>
      </c>
      <c r="H65" s="161">
        <f t="shared" ref="H65" ca="1" si="46">SUM(H60,H55,H50,H45,H40,H35,H30,H25,H20,H15,H10,H5)</f>
        <v>309335.89999999997</v>
      </c>
      <c r="I65" s="162">
        <f ca="1">B65/H65</f>
        <v>60.317959279863736</v>
      </c>
      <c r="J65" s="163">
        <f t="shared" ref="J65" ca="1" si="47">SUM(J60,J55,J50,J45,J40,J35,J30,J25,J20,J15,J10,J5)</f>
        <v>1453490</v>
      </c>
      <c r="K65" s="164">
        <f ca="1">E65/J65</f>
        <v>4.4244542446112457E-2</v>
      </c>
      <c r="L65" s="161"/>
      <c r="M65" s="161">
        <f t="shared" ca="1" si="43"/>
        <v>183708.26</v>
      </c>
      <c r="N65" s="161">
        <f t="shared" ref="N65:T65" ca="1" si="48">SUM(N60,N55,N50,N45,N40,N35,N30,N25,N20,N15,N10,N5)</f>
        <v>106427.64</v>
      </c>
      <c r="O65" s="161">
        <f t="shared" ca="1" si="48"/>
        <v>0</v>
      </c>
      <c r="P65" s="161">
        <f t="shared" ca="1" si="48"/>
        <v>19199.999999999989</v>
      </c>
      <c r="Q65" s="161">
        <f t="shared" ca="1" si="48"/>
        <v>0</v>
      </c>
      <c r="R65" s="161">
        <f t="shared" ca="1" si="48"/>
        <v>0</v>
      </c>
      <c r="S65" s="161">
        <f t="shared" si="48"/>
        <v>0</v>
      </c>
      <c r="T65" s="161">
        <f t="shared" si="48"/>
        <v>0</v>
      </c>
      <c r="U65" s="164"/>
      <c r="V65" s="164"/>
      <c r="W65" s="164"/>
      <c r="X65" s="164"/>
      <c r="Y65" s="164"/>
    </row>
    <row r="66" spans="1:25" s="165" customFormat="1" hidden="1" x14ac:dyDescent="0.2">
      <c r="A66" s="210" t="s">
        <v>101</v>
      </c>
      <c r="B66" s="166">
        <f t="shared" ref="B66:K66" ca="1" si="49">B64-B65</f>
        <v>-3275884.2599999979</v>
      </c>
      <c r="C66" s="166">
        <f t="shared" ca="1" si="49"/>
        <v>-2655492.4699999969</v>
      </c>
      <c r="D66" s="166">
        <f t="shared" ca="1" si="49"/>
        <v>-543.0300000000002</v>
      </c>
      <c r="E66" s="209">
        <f t="shared" ca="1" si="49"/>
        <v>-10016</v>
      </c>
      <c r="F66" s="209">
        <f t="shared" ca="1" si="49"/>
        <v>-16349</v>
      </c>
      <c r="G66" s="166">
        <f t="shared" ca="1" si="49"/>
        <v>-6.8122606648538522</v>
      </c>
      <c r="H66" s="166">
        <f t="shared" ca="1" si="49"/>
        <v>-41062.399999999965</v>
      </c>
      <c r="I66" s="211">
        <f t="shared" ca="1" si="49"/>
        <v>-2.9786173023668852</v>
      </c>
      <c r="J66" s="212">
        <f ca="1">J64-J65</f>
        <v>-535529</v>
      </c>
      <c r="K66" s="213">
        <f t="shared" ca="1" si="49"/>
        <v>1.4900671784121723E-2</v>
      </c>
      <c r="L66" s="166"/>
      <c r="M66" s="166">
        <f t="shared" ref="M66:R66" ca="1" si="50">M64-M65</f>
        <v>-3688.1400000000431</v>
      </c>
      <c r="N66" s="166">
        <f t="shared" ca="1" si="50"/>
        <v>-40257.050000000003</v>
      </c>
      <c r="O66" s="166">
        <f t="shared" ca="1" si="50"/>
        <v>0</v>
      </c>
      <c r="P66" s="166">
        <f t="shared" ca="1" si="50"/>
        <v>0</v>
      </c>
      <c r="Q66" s="166">
        <f t="shared" ca="1" si="50"/>
        <v>1645.92</v>
      </c>
      <c r="R66" s="166">
        <f t="shared" ca="1" si="50"/>
        <v>1236.8700000000001</v>
      </c>
      <c r="S66" s="166"/>
      <c r="T66" s="166"/>
      <c r="U66" s="166"/>
      <c r="V66" s="166"/>
      <c r="W66" s="166"/>
      <c r="X66" s="166"/>
      <c r="Y66" s="166"/>
    </row>
    <row r="67" spans="1:25" s="165" customFormat="1" hidden="1" x14ac:dyDescent="0.2">
      <c r="A67" s="210" t="s">
        <v>101</v>
      </c>
      <c r="B67" s="85">
        <f ca="1">IFERROR(1-(B65/B64),0)</f>
        <v>-0.21296001531327602</v>
      </c>
      <c r="C67" s="85">
        <f t="shared" ref="C67:R67" ca="1" si="51">IFERROR(1-(C65/C64),0)</f>
        <v>-0.1659738568227247</v>
      </c>
      <c r="D67" s="85">
        <f t="shared" ca="1" si="51"/>
        <v>-0.18026550347066617</v>
      </c>
      <c r="E67" s="85">
        <f t="shared" ca="1" si="51"/>
        <v>-0.18448050393236692</v>
      </c>
      <c r="F67" s="85">
        <f t="shared" ca="1" si="51"/>
        <v>-0.23914633432800891</v>
      </c>
      <c r="G67" s="85">
        <f t="shared" ca="1" si="51"/>
        <v>-2.4043883615103567E-2</v>
      </c>
      <c r="H67" s="85">
        <f t="shared" ca="1" si="51"/>
        <v>-0.15306170754845327</v>
      </c>
      <c r="I67" s="85">
        <f t="shared" ca="1" si="51"/>
        <v>-5.1947183201646485E-2</v>
      </c>
      <c r="J67" s="85">
        <f t="shared" ca="1" si="51"/>
        <v>-0.58338970827736691</v>
      </c>
      <c r="K67" s="85">
        <f t="shared" ca="1" si="51"/>
        <v>0.25193368521953408</v>
      </c>
      <c r="L67" s="85"/>
      <c r="M67" s="85">
        <f t="shared" ca="1" si="51"/>
        <v>-2.04873766332343E-2</v>
      </c>
      <c r="N67" s="85">
        <f t="shared" ca="1" si="51"/>
        <v>-0.60838281780470749</v>
      </c>
      <c r="O67" s="85">
        <f t="shared" ca="1" si="51"/>
        <v>0</v>
      </c>
      <c r="P67" s="85">
        <f t="shared" ca="1" si="51"/>
        <v>0</v>
      </c>
      <c r="Q67" s="85">
        <f t="shared" ca="1" si="51"/>
        <v>1</v>
      </c>
      <c r="R67" s="85">
        <f t="shared" ca="1" si="51"/>
        <v>1</v>
      </c>
      <c r="S67" s="167"/>
      <c r="T67" s="167"/>
      <c r="U67" s="167"/>
      <c r="V67" s="167"/>
      <c r="W67" s="167"/>
      <c r="X67" s="167"/>
      <c r="Y67" s="167"/>
    </row>
    <row r="68" spans="1:25" x14ac:dyDescent="0.2">
      <c r="A68" s="210" t="s">
        <v>101</v>
      </c>
      <c r="F68" s="156"/>
      <c r="G68" s="156"/>
    </row>
    <row r="69" spans="1:25" s="172" customFormat="1" x14ac:dyDescent="0.2">
      <c r="A69" s="143" t="s">
        <v>170</v>
      </c>
      <c r="B69" s="168">
        <f t="shared" ref="B69:F70" si="52">SUM(B34,B29,B24,B19,B14,B9,B4)</f>
        <v>15382625.960000001</v>
      </c>
      <c r="C69" s="168">
        <f t="shared" si="52"/>
        <v>15379806.390000001</v>
      </c>
      <c r="D69" s="168">
        <f t="shared" si="52"/>
        <v>2819.5700000000006</v>
      </c>
      <c r="E69" s="169">
        <f t="shared" si="52"/>
        <v>51941</v>
      </c>
      <c r="F69" s="169">
        <f t="shared" si="52"/>
        <v>65501</v>
      </c>
      <c r="G69" s="168">
        <f>B69/E69</f>
        <v>296.15575287345257</v>
      </c>
      <c r="H69" s="168">
        <f ca="1">SUM(H34,H29,H24,H19,H14,H9,H4)</f>
        <v>249215.34000000003</v>
      </c>
      <c r="I69" s="170">
        <f ca="1">B69/H69</f>
        <v>61.724233989769651</v>
      </c>
      <c r="J69" s="169">
        <f>SUM(J34,J29,J24,J19,J14,J9,J4)</f>
        <v>917961</v>
      </c>
      <c r="K69" s="171">
        <f>E69/J69</f>
        <v>5.658301387531714E-2</v>
      </c>
      <c r="L69" s="168"/>
      <c r="M69" s="168">
        <f t="shared" ref="M69:R69" si="53">SUM(M34,M29,M24,M19,M14,M9,M4)</f>
        <v>171698.93999999997</v>
      </c>
      <c r="N69" s="168">
        <f t="shared" si="53"/>
        <v>63600.7</v>
      </c>
      <c r="O69" s="168">
        <f t="shared" si="53"/>
        <v>0</v>
      </c>
      <c r="P69" s="168">
        <f t="shared" ca="1" si="53"/>
        <v>11199.999999999993</v>
      </c>
      <c r="Q69" s="168">
        <f t="shared" si="53"/>
        <v>1631.9699999999998</v>
      </c>
      <c r="R69" s="168">
        <f t="shared" si="53"/>
        <v>1083.73</v>
      </c>
      <c r="S69" s="168"/>
      <c r="T69" s="168"/>
      <c r="U69" s="171"/>
      <c r="V69" s="171"/>
      <c r="W69" s="171"/>
      <c r="X69" s="171"/>
      <c r="Y69" s="171"/>
    </row>
    <row r="70" spans="1:25" s="172" customFormat="1" x14ac:dyDescent="0.2">
      <c r="A70" s="143" t="s">
        <v>172</v>
      </c>
      <c r="B70" s="168">
        <f t="shared" ca="1" si="52"/>
        <v>9037879.3100000005</v>
      </c>
      <c r="C70" s="168">
        <f t="shared" ca="1" si="52"/>
        <v>9035932.4500000011</v>
      </c>
      <c r="D70" s="168">
        <f t="shared" ca="1" si="52"/>
        <v>1946.86</v>
      </c>
      <c r="E70" s="169">
        <f t="shared" ca="1" si="52"/>
        <v>31043</v>
      </c>
      <c r="F70" s="169">
        <f t="shared" ca="1" si="52"/>
        <v>38875</v>
      </c>
      <c r="G70" s="168">
        <f ca="1">B70/E70</f>
        <v>291.1406536095094</v>
      </c>
      <c r="H70" s="168">
        <f ca="1">SUM(H35,H30,H25,H20,H15,H10,H5)</f>
        <v>157922.29999999999</v>
      </c>
      <c r="I70" s="170">
        <f ca="1">B70/H70</f>
        <v>57.229911861719344</v>
      </c>
      <c r="J70" s="169">
        <f ca="1">SUM(J35,J30,J25,J20,J15,J10,J5)</f>
        <v>778893</v>
      </c>
      <c r="K70" s="171">
        <f ca="1">E70/J70</f>
        <v>3.9855281790952032E-2</v>
      </c>
      <c r="L70" s="168"/>
      <c r="M70" s="168">
        <f t="shared" ref="M70:R70" ca="1" si="54">SUM(M35,M30,M25,M20,M15,M10,M5)</f>
        <v>91086.760000000009</v>
      </c>
      <c r="N70" s="168">
        <f t="shared" ca="1" si="54"/>
        <v>55635.539999999994</v>
      </c>
      <c r="O70" s="168">
        <f t="shared" ca="1" si="54"/>
        <v>0</v>
      </c>
      <c r="P70" s="168">
        <f t="shared" ca="1" si="54"/>
        <v>11199.999999999993</v>
      </c>
      <c r="Q70" s="168">
        <f t="shared" ca="1" si="54"/>
        <v>0</v>
      </c>
      <c r="R70" s="168">
        <f t="shared" ca="1" si="54"/>
        <v>0</v>
      </c>
      <c r="S70" s="168"/>
      <c r="T70" s="168"/>
      <c r="U70" s="171"/>
      <c r="V70" s="171"/>
      <c r="W70" s="171"/>
      <c r="X70" s="171"/>
      <c r="Y70" s="171"/>
    </row>
    <row r="71" spans="1:25" s="172" customFormat="1" x14ac:dyDescent="0.2">
      <c r="A71" s="83"/>
      <c r="B71" s="173">
        <f t="shared" ref="B71:K71" ca="1" si="55">B69-B70</f>
        <v>6344746.6500000004</v>
      </c>
      <c r="C71" s="173">
        <f t="shared" ca="1" si="55"/>
        <v>6343873.9399999995</v>
      </c>
      <c r="D71" s="173">
        <f t="shared" ca="1" si="55"/>
        <v>872.71000000000072</v>
      </c>
      <c r="E71" s="174">
        <f t="shared" ca="1" si="55"/>
        <v>20898</v>
      </c>
      <c r="F71" s="174">
        <f t="shared" ca="1" si="55"/>
        <v>26626</v>
      </c>
      <c r="G71" s="173">
        <f t="shared" ca="1" si="55"/>
        <v>5.0150992639431706</v>
      </c>
      <c r="H71" s="173">
        <f t="shared" ca="1" si="55"/>
        <v>91293.040000000037</v>
      </c>
      <c r="I71" s="175">
        <f t="shared" ca="1" si="55"/>
        <v>4.4943221280503067</v>
      </c>
      <c r="J71" s="174">
        <f t="shared" ca="1" si="55"/>
        <v>139068</v>
      </c>
      <c r="K71" s="176">
        <f t="shared" ca="1" si="55"/>
        <v>1.6727732084365107E-2</v>
      </c>
      <c r="L71" s="173"/>
      <c r="M71" s="173">
        <f t="shared" ref="M71:R71" ca="1" si="56">M69-M70</f>
        <v>80612.179999999964</v>
      </c>
      <c r="N71" s="173">
        <f t="shared" ca="1" si="56"/>
        <v>7965.1600000000035</v>
      </c>
      <c r="O71" s="173">
        <f t="shared" ca="1" si="56"/>
        <v>0</v>
      </c>
      <c r="P71" s="173">
        <f t="shared" ca="1" si="56"/>
        <v>0</v>
      </c>
      <c r="Q71" s="173">
        <f t="shared" ca="1" si="56"/>
        <v>1631.9699999999998</v>
      </c>
      <c r="R71" s="173">
        <f t="shared" ca="1" si="56"/>
        <v>1083.73</v>
      </c>
      <c r="S71" s="173"/>
      <c r="T71" s="173"/>
      <c r="U71" s="176"/>
      <c r="V71" s="176"/>
      <c r="W71" s="176"/>
      <c r="X71" s="176"/>
      <c r="Y71" s="176"/>
    </row>
    <row r="72" spans="1:25" s="172" customFormat="1" x14ac:dyDescent="0.2">
      <c r="A72" s="84"/>
      <c r="B72" s="85">
        <f ca="1">IFERROR(1-(B70/B69),0)</f>
        <v>0.41246186876665103</v>
      </c>
      <c r="C72" s="85">
        <f t="shared" ref="C72:R72" ca="1" si="57">IFERROR(1-(C70/C69),0)</f>
        <v>0.41248074124813472</v>
      </c>
      <c r="D72" s="85">
        <f t="shared" ca="1" si="57"/>
        <v>0.30951882733892067</v>
      </c>
      <c r="E72" s="85">
        <f t="shared" ca="1" si="57"/>
        <v>0.40234111780674231</v>
      </c>
      <c r="F72" s="85">
        <f t="shared" ca="1" si="57"/>
        <v>0.40649761072350044</v>
      </c>
      <c r="G72" s="85">
        <f t="shared" ca="1" si="57"/>
        <v>1.6933992385034347E-2</v>
      </c>
      <c r="H72" s="85">
        <f t="shared" ca="1" si="57"/>
        <v>0.36632191260778746</v>
      </c>
      <c r="I72" s="85">
        <f t="shared" ca="1" si="57"/>
        <v>7.2812926747624074E-2</v>
      </c>
      <c r="J72" s="85">
        <f t="shared" ca="1" si="57"/>
        <v>0.15149663220986509</v>
      </c>
      <c r="K72" s="85">
        <f t="shared" ca="1" si="57"/>
        <v>0.29563169118607413</v>
      </c>
      <c r="L72" s="85"/>
      <c r="M72" s="85">
        <f t="shared" ca="1" si="57"/>
        <v>0.46949724908027957</v>
      </c>
      <c r="N72" s="85">
        <f t="shared" ca="1" si="57"/>
        <v>0.12523698638537006</v>
      </c>
      <c r="O72" s="85">
        <f t="shared" ca="1" si="57"/>
        <v>0</v>
      </c>
      <c r="P72" s="85">
        <f t="shared" ca="1" si="57"/>
        <v>0</v>
      </c>
      <c r="Q72" s="85">
        <f t="shared" ca="1" si="57"/>
        <v>1</v>
      </c>
      <c r="R72" s="85">
        <f t="shared" ca="1" si="57"/>
        <v>1</v>
      </c>
      <c r="S72" s="177"/>
      <c r="T72" s="177"/>
      <c r="U72" s="177"/>
      <c r="V72" s="177"/>
      <c r="W72" s="177"/>
      <c r="X72" s="177"/>
      <c r="Y72" s="177"/>
    </row>
    <row r="73" spans="1:25" x14ac:dyDescent="0.2">
      <c r="A73" s="188"/>
    </row>
    <row r="74" spans="1:25" hidden="1" x14ac:dyDescent="0.2">
      <c r="A74" s="188"/>
    </row>
    <row r="77" spans="1:25" hidden="1" x14ac:dyDescent="0.2">
      <c r="A77"/>
    </row>
    <row r="78" spans="1:25" hidden="1" x14ac:dyDescent="0.2">
      <c r="A78"/>
    </row>
    <row r="79" spans="1:25" hidden="1" x14ac:dyDescent="0.2">
      <c r="A79"/>
    </row>
    <row r="80" spans="1:25" hidden="1" x14ac:dyDescent="0.2">
      <c r="A80"/>
    </row>
    <row r="81" spans="1:1" hidden="1" x14ac:dyDescent="0.2">
      <c r="A81"/>
    </row>
    <row r="82" spans="1:1" hidden="1" x14ac:dyDescent="0.2">
      <c r="A82"/>
    </row>
    <row r="83" spans="1:1" hidden="1" x14ac:dyDescent="0.2">
      <c r="A83"/>
    </row>
    <row r="84" spans="1:1" hidden="1" x14ac:dyDescent="0.2">
      <c r="A84"/>
    </row>
    <row r="85" spans="1:1" hidden="1" x14ac:dyDescent="0.2">
      <c r="A85"/>
    </row>
    <row r="86" spans="1:1" hidden="1" x14ac:dyDescent="0.2">
      <c r="A86"/>
    </row>
    <row r="87" spans="1:1" hidden="1" x14ac:dyDescent="0.2">
      <c r="A87"/>
    </row>
  </sheetData>
  <autoFilter ref="A3:AB72" xr:uid="{59CFB70B-FB70-43A3-8EE9-9EF3D244D539}"/>
  <conditionalFormatting sqref="A4:A59">
    <cfRule type="cellIs" dxfId="352" priority="1" operator="equal">
      <formula>"."</formula>
    </cfRule>
  </conditionalFormatting>
  <conditionalFormatting sqref="B41:F41 H41:Y41">
    <cfRule type="cellIs" dxfId="351" priority="42" operator="lessThan">
      <formula>0</formula>
    </cfRule>
  </conditionalFormatting>
  <conditionalFormatting sqref="B6:Y6">
    <cfRule type="cellIs" dxfId="350" priority="56" operator="lessThan">
      <formula>0</formula>
    </cfRule>
  </conditionalFormatting>
  <conditionalFormatting sqref="B7:Y7">
    <cfRule type="cellIs" dxfId="349" priority="15" operator="lessThan">
      <formula>0</formula>
    </cfRule>
  </conditionalFormatting>
  <conditionalFormatting sqref="B11:Y11">
    <cfRule type="cellIs" dxfId="348" priority="54" operator="lessThan">
      <formula>0</formula>
    </cfRule>
  </conditionalFormatting>
  <conditionalFormatting sqref="B12:Y12">
    <cfRule type="cellIs" dxfId="347" priority="16" operator="lessThan">
      <formula>0</formula>
    </cfRule>
  </conditionalFormatting>
  <conditionalFormatting sqref="B16:Y16">
    <cfRule type="cellIs" dxfId="346" priority="52" operator="lessThan">
      <formula>0</formula>
    </cfRule>
  </conditionalFormatting>
  <conditionalFormatting sqref="B17:Y17">
    <cfRule type="cellIs" dxfId="345" priority="17" operator="lessThan">
      <formula>0</formula>
    </cfRule>
  </conditionalFormatting>
  <conditionalFormatting sqref="B21:Y21">
    <cfRule type="cellIs" dxfId="344" priority="50" operator="lessThan">
      <formula>0</formula>
    </cfRule>
  </conditionalFormatting>
  <conditionalFormatting sqref="B22:Y22">
    <cfRule type="cellIs" dxfId="343" priority="18" operator="lessThan">
      <formula>0</formula>
    </cfRule>
  </conditionalFormatting>
  <conditionalFormatting sqref="B26:Y26">
    <cfRule type="cellIs" dxfId="342" priority="48" operator="lessThan">
      <formula>0</formula>
    </cfRule>
  </conditionalFormatting>
  <conditionalFormatting sqref="B27:Y27">
    <cfRule type="cellIs" dxfId="341" priority="19" operator="lessThan">
      <formula>0</formula>
    </cfRule>
  </conditionalFormatting>
  <conditionalFormatting sqref="B31:Y31">
    <cfRule type="cellIs" dxfId="340" priority="46" operator="lessThan">
      <formula>0</formula>
    </cfRule>
  </conditionalFormatting>
  <conditionalFormatting sqref="B32:Y32">
    <cfRule type="cellIs" dxfId="339" priority="20" operator="lessThan">
      <formula>0</formula>
    </cfRule>
  </conditionalFormatting>
  <conditionalFormatting sqref="B36:Y36">
    <cfRule type="cellIs" dxfId="338" priority="24" operator="lessThan">
      <formula>0</formula>
    </cfRule>
  </conditionalFormatting>
  <conditionalFormatting sqref="B37:Y37">
    <cfRule type="cellIs" dxfId="337" priority="25" operator="lessThan">
      <formula>0</formula>
    </cfRule>
  </conditionalFormatting>
  <conditionalFormatting sqref="B42:Y42">
    <cfRule type="cellIs" dxfId="336" priority="14" operator="lessThan">
      <formula>0</formula>
    </cfRule>
  </conditionalFormatting>
  <conditionalFormatting sqref="B46:Y46">
    <cfRule type="cellIs" dxfId="335" priority="40" operator="lessThan">
      <formula>0</formula>
    </cfRule>
  </conditionalFormatting>
  <conditionalFormatting sqref="B47:Y47">
    <cfRule type="cellIs" dxfId="334" priority="13" operator="lessThan">
      <formula>0</formula>
    </cfRule>
  </conditionalFormatting>
  <conditionalFormatting sqref="B51:Y51">
    <cfRule type="cellIs" dxfId="333" priority="38" operator="lessThan">
      <formula>0</formula>
    </cfRule>
  </conditionalFormatting>
  <conditionalFormatting sqref="B52:Y52">
    <cfRule type="cellIs" dxfId="332" priority="12" operator="lessThan">
      <formula>0</formula>
    </cfRule>
  </conditionalFormatting>
  <conditionalFormatting sqref="B56:Y56">
    <cfRule type="cellIs" dxfId="331" priority="3" operator="lessThan">
      <formula>0</formula>
    </cfRule>
  </conditionalFormatting>
  <conditionalFormatting sqref="B57:Y57">
    <cfRule type="cellIs" dxfId="330" priority="11" operator="lessThan">
      <formula>0</formula>
    </cfRule>
  </conditionalFormatting>
  <conditionalFormatting sqref="B61:Y61">
    <cfRule type="cellIs" dxfId="329" priority="2" operator="lessThan">
      <formula>0</formula>
    </cfRule>
  </conditionalFormatting>
  <conditionalFormatting sqref="B62:Y62">
    <cfRule type="cellIs" dxfId="328" priority="10" operator="lessThan">
      <formula>0</formula>
    </cfRule>
  </conditionalFormatting>
  <conditionalFormatting sqref="B66:Y66">
    <cfRule type="cellIs" dxfId="327" priority="7" operator="lessThan">
      <formula>0</formula>
    </cfRule>
  </conditionalFormatting>
  <conditionalFormatting sqref="B67:Y67">
    <cfRule type="cellIs" dxfId="326" priority="9" operator="lessThan">
      <formula>0</formula>
    </cfRule>
  </conditionalFormatting>
  <conditionalFormatting sqref="B71:Y71">
    <cfRule type="cellIs" dxfId="325" priority="5" operator="lessThan">
      <formula>0</formula>
    </cfRule>
  </conditionalFormatting>
  <conditionalFormatting sqref="B72:Y72">
    <cfRule type="cellIs" dxfId="324" priority="8" operator="lessThan">
      <formula>0</formula>
    </cfRule>
  </conditionalFormatting>
  <conditionalFormatting sqref="G41">
    <cfRule type="cellIs" dxfId="323" priority="26" operator="lessThan">
      <formula>0</formula>
    </cfRule>
  </conditionalFormatting>
  <pageMargins left="0.511811024" right="0.511811024" top="0.78740157499999996" bottom="0.78740157499999996" header="0.31496062000000002" footer="0.31496062000000002"/>
  <ignoredErrors>
    <ignoredError sqref="G65 G68:J68 G64 I64 G66:I66 G70:I70 G69 I69 I65" formula="1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D4A32-885E-4B3F-87ED-BCC3AF2E7E7F}">
  <dimension ref="A1:L23"/>
  <sheetViews>
    <sheetView showGridLines="0" topLeftCell="C1" workbookViewId="0">
      <selection activeCell="L10" sqref="L10"/>
    </sheetView>
  </sheetViews>
  <sheetFormatPr defaultColWidth="9.140625" defaultRowHeight="12.75" zeroHeight="1" x14ac:dyDescent="0.2"/>
  <cols>
    <col min="1" max="2" width="9.140625" hidden="1" customWidth="1"/>
    <col min="3" max="3" width="11.42578125" bestFit="1" customWidth="1"/>
    <col min="4" max="4" width="14" hidden="1" customWidth="1"/>
    <col min="5" max="5" width="22.140625" hidden="1" customWidth="1"/>
    <col min="6" max="6" width="20.85546875" hidden="1" customWidth="1"/>
    <col min="7" max="7" width="16.28515625" hidden="1" customWidth="1"/>
    <col min="8" max="8" width="22.5703125" hidden="1" customWidth="1"/>
    <col min="9" max="11" width="8.140625" bestFit="1" customWidth="1"/>
    <col min="12" max="12" width="13.28515625" bestFit="1" customWidth="1"/>
    <col min="13" max="13" width="12.85546875" bestFit="1" customWidth="1"/>
    <col min="14" max="14" width="13.28515625" bestFit="1" customWidth="1"/>
  </cols>
  <sheetData>
    <row r="1" spans="3:12" x14ac:dyDescent="0.2"/>
    <row r="2" spans="3:12" x14ac:dyDescent="0.2">
      <c r="D2" s="130" t="s">
        <v>149</v>
      </c>
      <c r="E2" s="130" t="s">
        <v>173</v>
      </c>
      <c r="F2" s="130" t="s">
        <v>174</v>
      </c>
      <c r="G2" s="130" t="s">
        <v>175</v>
      </c>
      <c r="H2" s="130" t="s">
        <v>176</v>
      </c>
      <c r="I2" s="130" t="s">
        <v>177</v>
      </c>
      <c r="J2" s="130" t="s">
        <v>178</v>
      </c>
      <c r="K2" s="130" t="s">
        <v>179</v>
      </c>
      <c r="L2" s="130" t="s">
        <v>179</v>
      </c>
    </row>
    <row r="3" spans="3:12" x14ac:dyDescent="0.2">
      <c r="C3" s="131" t="s">
        <v>23</v>
      </c>
      <c r="D3" s="132">
        <f>SUM(JAN!$C$4:$C$34)</f>
        <v>1253345.8</v>
      </c>
      <c r="E3" s="132">
        <f>SUM(JAN!$D$35:$E$35)</f>
        <v>1253345.8000000003</v>
      </c>
      <c r="F3" s="132">
        <f>SUM(JAN!$C$4:$C$34)</f>
        <v>1253345.8</v>
      </c>
      <c r="G3" s="132">
        <f>JAN!$C$35</f>
        <v>1253345.8</v>
      </c>
      <c r="H3" s="154">
        <f>GETPIVOTDATA("Soma de Faturamento",'TAb Din Check'!A3,"Meses (Data)",1,"Anos (Data)",2023)</f>
        <v>1253345.8</v>
      </c>
      <c r="I3" s="133" t="str">
        <f t="shared" ref="I3:I14" si="0">IF(D3=E3,"OK","Checar")</f>
        <v>OK</v>
      </c>
      <c r="J3" s="133" t="str">
        <f>IF(F3=G3,"OK","Checar")</f>
        <v>OK</v>
      </c>
      <c r="K3" s="133" t="str">
        <f>IF(J3=I3,"Ok","Checar")</f>
        <v>Ok</v>
      </c>
      <c r="L3" s="133" t="str">
        <f t="shared" ref="L3:L14" si="1">IF(G3=H3,"OK","Checar")</f>
        <v>OK</v>
      </c>
    </row>
    <row r="4" spans="3:12" x14ac:dyDescent="0.2">
      <c r="C4" s="131" t="s">
        <v>24</v>
      </c>
      <c r="D4" s="132">
        <f>SUM(FEV!$C$4:$C$34)</f>
        <v>1351868.6099999999</v>
      </c>
      <c r="E4" s="132">
        <f>SUM(FEV!$D$35:$E$35)</f>
        <v>1351868.6099999999</v>
      </c>
      <c r="F4" s="132">
        <f>SUM(FEV!$C$4:$C$34)</f>
        <v>1351868.6099999999</v>
      </c>
      <c r="G4" s="132">
        <f>FEV!$C$35</f>
        <v>1351868.6099999999</v>
      </c>
      <c r="H4" s="154">
        <f>GETPIVOTDATA("Soma de Faturamento",'TAb Din Check'!$A$3,"Meses (Data)",2,"Anos (Data)",2023)</f>
        <v>1351868.6099999999</v>
      </c>
      <c r="I4" s="133" t="str">
        <f t="shared" si="0"/>
        <v>OK</v>
      </c>
      <c r="J4" s="133" t="str">
        <f t="shared" ref="J4:J14" si="2">IF(F4=G4,"OK","Checar")</f>
        <v>OK</v>
      </c>
      <c r="K4" s="133" t="str">
        <f t="shared" ref="K4:K16" si="3">IF(J4=I4,"Ok","Checar")</f>
        <v>Ok</v>
      </c>
      <c r="L4" s="133" t="str">
        <f t="shared" si="1"/>
        <v>OK</v>
      </c>
    </row>
    <row r="5" spans="3:12" x14ac:dyDescent="0.2">
      <c r="C5" s="131" t="s">
        <v>25</v>
      </c>
      <c r="D5" s="132">
        <f>SUM(MAR!$C$4:$C$34)</f>
        <v>2017380.1000000008</v>
      </c>
      <c r="E5" s="132">
        <f>SUM(MAR!$D$35:$E$35)</f>
        <v>2017380.1000000006</v>
      </c>
      <c r="F5" s="132">
        <f>SUM(MAR!$C$4:$C$34)</f>
        <v>2017380.1000000008</v>
      </c>
      <c r="G5" s="132">
        <f>MAR!$C$35</f>
        <v>2017380.1000000008</v>
      </c>
      <c r="H5" s="154">
        <f>GETPIVOTDATA("Soma de Faturamento",'TAb Din Check'!A5,"Meses (Data)",3,"Anos (Data)",2023)</f>
        <v>2017380.1000000008</v>
      </c>
      <c r="I5" s="133" t="str">
        <f t="shared" si="0"/>
        <v>OK</v>
      </c>
      <c r="J5" s="133" t="str">
        <f t="shared" si="2"/>
        <v>OK</v>
      </c>
      <c r="K5" s="133" t="str">
        <f t="shared" si="3"/>
        <v>Ok</v>
      </c>
      <c r="L5" s="133" t="str">
        <f t="shared" si="1"/>
        <v>OK</v>
      </c>
    </row>
    <row r="6" spans="3:12" x14ac:dyDescent="0.2">
      <c r="C6" s="131" t="s">
        <v>26</v>
      </c>
      <c r="D6" s="132">
        <f>SUM(ABR!$C$4:$C$34)</f>
        <v>2016692.72</v>
      </c>
      <c r="E6" s="132">
        <f>SUM(ABR!$D$35:$E$35)</f>
        <v>2016692.7200000002</v>
      </c>
      <c r="F6" s="132">
        <f>SUM(ABR!$C$4:$C$34)</f>
        <v>2016692.72</v>
      </c>
      <c r="G6" s="132">
        <f>ABR!$C$35</f>
        <v>2016692.72</v>
      </c>
      <c r="H6" s="154">
        <f>GETPIVOTDATA("Soma de Faturamento",'TAb Din Check'!A6,"Meses (Data)",4,"Anos (Data)",2023)</f>
        <v>2016692.72</v>
      </c>
      <c r="I6" s="133" t="str">
        <f t="shared" si="0"/>
        <v>OK</v>
      </c>
      <c r="J6" s="133" t="str">
        <f t="shared" si="2"/>
        <v>OK</v>
      </c>
      <c r="K6" s="133" t="str">
        <f t="shared" si="3"/>
        <v>Ok</v>
      </c>
      <c r="L6" s="133" t="str">
        <f t="shared" si="1"/>
        <v>OK</v>
      </c>
    </row>
    <row r="7" spans="3:12" x14ac:dyDescent="0.2">
      <c r="C7" s="131" t="s">
        <v>27</v>
      </c>
      <c r="D7" s="132">
        <f>SUM(MAI!$C$4:$C$34)</f>
        <v>4675512.3699999982</v>
      </c>
      <c r="E7" s="132">
        <f>SUM(MAI!$D$35:$E$35)</f>
        <v>4675512.37</v>
      </c>
      <c r="F7" s="132">
        <f>SUM(MAI!$C$4:$C$34)</f>
        <v>4675512.3699999982</v>
      </c>
      <c r="G7" s="132">
        <f>MAI!$C$35</f>
        <v>4675512.3699999982</v>
      </c>
      <c r="H7" s="154">
        <f>GETPIVOTDATA("Soma de Faturamento",'TAb Din Check'!A7,"Meses (Data)",5,"Anos (Data)",2023)</f>
        <v>4675512.3699999982</v>
      </c>
      <c r="I7" s="133" t="str">
        <f t="shared" si="0"/>
        <v>OK</v>
      </c>
      <c r="J7" s="133" t="str">
        <f t="shared" si="2"/>
        <v>OK</v>
      </c>
      <c r="K7" s="133" t="str">
        <f t="shared" si="3"/>
        <v>Ok</v>
      </c>
      <c r="L7" s="133" t="str">
        <f t="shared" si="1"/>
        <v>OK</v>
      </c>
    </row>
    <row r="8" spans="3:12" x14ac:dyDescent="0.2">
      <c r="C8" s="131" t="s">
        <v>4</v>
      </c>
      <c r="D8" s="132">
        <f>SUM(JUN!$C$4:$C$34)</f>
        <v>2527259.56</v>
      </c>
      <c r="E8" s="132">
        <f>SUM(JUN!$D$35:$E$35)</f>
        <v>2527259.56</v>
      </c>
      <c r="F8" s="132">
        <f>SUM(JUN!$C$4:$C$34)</f>
        <v>2527259.56</v>
      </c>
      <c r="G8" s="132">
        <f>JUN!$C$35</f>
        <v>2527259.56</v>
      </c>
      <c r="H8" s="154">
        <f>GETPIVOTDATA("Soma de Faturamento",'TAb Din Check'!A8,"Meses (Data)",6,"Anos (Data)",2023)</f>
        <v>2527259.56</v>
      </c>
      <c r="I8" s="133" t="str">
        <f t="shared" si="0"/>
        <v>OK</v>
      </c>
      <c r="J8" s="133" t="str">
        <f t="shared" si="2"/>
        <v>OK</v>
      </c>
      <c r="K8" s="133" t="str">
        <f t="shared" si="3"/>
        <v>Ok</v>
      </c>
      <c r="L8" s="133" t="str">
        <f t="shared" si="1"/>
        <v>OK</v>
      </c>
    </row>
    <row r="9" spans="3:12" x14ac:dyDescent="0.2">
      <c r="C9" s="131" t="s">
        <v>8</v>
      </c>
      <c r="D9" s="132">
        <f>SUM(JUL!$C$4:$C$34)</f>
        <v>1540566.8000000003</v>
      </c>
      <c r="E9" s="132">
        <f>SUM(JUL!$D$35:$E$35)</f>
        <v>1540566.8000000003</v>
      </c>
      <c r="F9" s="132">
        <f>SUM(JUL!$C$4:$C$34)</f>
        <v>1540566.8000000003</v>
      </c>
      <c r="G9" s="132">
        <f>JUL!$C$35</f>
        <v>1540566.8000000003</v>
      </c>
      <c r="H9" s="154">
        <f>GETPIVOTDATA("Soma de Faturamento",'TAb Din Check'!A9,"Meses (Data)",7,"Anos (Data)",2023)</f>
        <v>1540566.8000000003</v>
      </c>
      <c r="I9" s="133" t="str">
        <f t="shared" si="0"/>
        <v>OK</v>
      </c>
      <c r="J9" s="133" t="str">
        <f t="shared" si="2"/>
        <v>OK</v>
      </c>
      <c r="K9" s="133" t="str">
        <f t="shared" si="3"/>
        <v>Ok</v>
      </c>
      <c r="L9" s="133" t="str">
        <f t="shared" si="1"/>
        <v>OK</v>
      </c>
    </row>
    <row r="10" spans="3:12" x14ac:dyDescent="0.2">
      <c r="C10" s="131" t="s">
        <v>17</v>
      </c>
      <c r="D10" s="132">
        <f>SUM(AGO!$C$4:$C$34)</f>
        <v>619848.76</v>
      </c>
      <c r="E10" s="132">
        <f>SUM(AGO!$D$35:$E$35)</f>
        <v>619848.76000000013</v>
      </c>
      <c r="F10" s="132">
        <f>SUM(AGO!$C$4:$C$34)</f>
        <v>619848.76</v>
      </c>
      <c r="G10" s="132">
        <f>AGO!$C$35</f>
        <v>619848.76</v>
      </c>
      <c r="H10" s="154">
        <f>GETPIVOTDATA("Soma de Faturamento",'TAb Din Check'!A10,"Meses (Data)",8,"Anos (Data)",2023)</f>
        <v>134881.63</v>
      </c>
      <c r="I10" s="133" t="str">
        <f t="shared" si="0"/>
        <v>OK</v>
      </c>
      <c r="J10" s="133" t="str">
        <f t="shared" si="2"/>
        <v>OK</v>
      </c>
      <c r="K10" s="133" t="str">
        <f t="shared" si="3"/>
        <v>Ok</v>
      </c>
      <c r="L10" s="133" t="str">
        <f t="shared" si="1"/>
        <v>Checar</v>
      </c>
    </row>
    <row r="11" spans="3:12" x14ac:dyDescent="0.2">
      <c r="C11" s="131" t="s">
        <v>28</v>
      </c>
      <c r="D11" s="132">
        <f>SUM(SET!$C$4:$C$34)</f>
        <v>0</v>
      </c>
      <c r="E11" s="132">
        <f>SUM(SET!$D$35:$E$35)</f>
        <v>0</v>
      </c>
      <c r="F11" s="132">
        <f>SUM(SET!$C$4:$C$34)</f>
        <v>0</v>
      </c>
      <c r="G11" s="132">
        <f>SET!$C$35</f>
        <v>0</v>
      </c>
      <c r="H11" s="154">
        <f>GETPIVOTDATA("Soma de Faturamento",'TAb Din Check'!A11,"Meses (Data)",9,"Anos (Data)",2023)</f>
        <v>0</v>
      </c>
      <c r="I11" s="133" t="str">
        <f t="shared" si="0"/>
        <v>OK</v>
      </c>
      <c r="J11" s="133" t="str">
        <f t="shared" si="2"/>
        <v>OK</v>
      </c>
      <c r="K11" s="133" t="str">
        <f t="shared" si="3"/>
        <v>Ok</v>
      </c>
      <c r="L11" s="133" t="str">
        <f t="shared" si="1"/>
        <v>OK</v>
      </c>
    </row>
    <row r="12" spans="3:12" x14ac:dyDescent="0.2">
      <c r="C12" s="131" t="s">
        <v>29</v>
      </c>
      <c r="D12" s="132">
        <f>SUM(OUT!$C$4:$C$34)</f>
        <v>0</v>
      </c>
      <c r="E12" s="132">
        <f>SUM(OUT!$D$35:$E$35)</f>
        <v>0</v>
      </c>
      <c r="F12" s="132">
        <f>SUM(OUT!$C$4:$C$34)</f>
        <v>0</v>
      </c>
      <c r="G12" s="132">
        <f>OUT!$C$35</f>
        <v>0</v>
      </c>
      <c r="H12" s="154">
        <f>GETPIVOTDATA("Soma de Faturamento",'TAb Din Check'!A12,"Meses (Data)",10,"Anos (Data)",2023)</f>
        <v>0</v>
      </c>
      <c r="I12" s="133" t="str">
        <f t="shared" si="0"/>
        <v>OK</v>
      </c>
      <c r="J12" s="133" t="str">
        <f t="shared" si="2"/>
        <v>OK</v>
      </c>
      <c r="K12" s="133" t="str">
        <f t="shared" si="3"/>
        <v>Ok</v>
      </c>
      <c r="L12" s="133" t="str">
        <f t="shared" si="1"/>
        <v>OK</v>
      </c>
    </row>
    <row r="13" spans="3:12" x14ac:dyDescent="0.2">
      <c r="C13" s="131" t="s">
        <v>30</v>
      </c>
      <c r="D13" s="132">
        <f>SUM(NOV!$C$4:$C$34)</f>
        <v>0</v>
      </c>
      <c r="E13" s="132">
        <f>SUM(NOV!$D$35:$E$35)</f>
        <v>0</v>
      </c>
      <c r="F13" s="132">
        <f>SUM(NOV!$C$4:$C$34)</f>
        <v>0</v>
      </c>
      <c r="G13" s="132">
        <f>NOV!$C$35</f>
        <v>0</v>
      </c>
      <c r="H13" s="154">
        <f>GETPIVOTDATA("Soma de Faturamento",'TAb Din Check'!A13,"Meses (Data)",11,"Anos (Data)",2023)</f>
        <v>0</v>
      </c>
      <c r="I13" s="133" t="str">
        <f t="shared" si="0"/>
        <v>OK</v>
      </c>
      <c r="J13" s="133" t="str">
        <f t="shared" si="2"/>
        <v>OK</v>
      </c>
      <c r="K13" s="133" t="str">
        <f t="shared" si="3"/>
        <v>Ok</v>
      </c>
      <c r="L13" s="133" t="str">
        <f t="shared" si="1"/>
        <v>OK</v>
      </c>
    </row>
    <row r="14" spans="3:12" x14ac:dyDescent="0.2">
      <c r="C14" s="131" t="s">
        <v>31</v>
      </c>
      <c r="D14" s="132">
        <f>SUM(DEZ!$C$4:$C$34)</f>
        <v>0</v>
      </c>
      <c r="E14" s="132">
        <f>SUM(DEZ!$D$35:$E$35)</f>
        <v>0</v>
      </c>
      <c r="F14" s="132">
        <f>SUM(DEZ!$C$4:$C$34)</f>
        <v>0</v>
      </c>
      <c r="G14" s="132">
        <f>DEZ!$C$35</f>
        <v>0</v>
      </c>
      <c r="H14" s="154">
        <f>GETPIVOTDATA("Soma de Faturamento",'TAb Din Check'!A14,"Meses (Data)",12,"Anos (Data)",2023)</f>
        <v>0</v>
      </c>
      <c r="I14" s="133" t="str">
        <f t="shared" si="0"/>
        <v>OK</v>
      </c>
      <c r="J14" s="133" t="str">
        <f t="shared" si="2"/>
        <v>OK</v>
      </c>
      <c r="K14" s="133" t="str">
        <f t="shared" si="3"/>
        <v>Ok</v>
      </c>
      <c r="L14" s="133" t="str">
        <f t="shared" si="1"/>
        <v>OK</v>
      </c>
    </row>
    <row r="15" spans="3:12" x14ac:dyDescent="0.2">
      <c r="C15" s="131"/>
      <c r="D15" s="132" t="s">
        <v>180</v>
      </c>
      <c r="E15" s="132" t="s">
        <v>181</v>
      </c>
      <c r="F15" s="132" t="s">
        <v>182</v>
      </c>
      <c r="G15" s="132"/>
      <c r="H15" s="154"/>
      <c r="I15" s="133"/>
      <c r="J15" s="133"/>
      <c r="K15" s="133"/>
      <c r="L15" s="133"/>
    </row>
    <row r="16" spans="3:12" x14ac:dyDescent="0.2">
      <c r="C16" s="109" t="s">
        <v>183</v>
      </c>
      <c r="D16" s="184">
        <f>SUM(D3:D14)</f>
        <v>16002474.719999999</v>
      </c>
      <c r="E16" s="184">
        <f>'2023'!B69</f>
        <v>15382625.960000001</v>
      </c>
      <c r="F16" s="184">
        <f>SUM(H3:H14)</f>
        <v>15517507.59</v>
      </c>
      <c r="I16" s="133" t="str">
        <f>IF(D16=E16,"OK","Checar")</f>
        <v>Checar</v>
      </c>
      <c r="J16" s="133" t="str">
        <f>IF(F16=E16,"OK","Checar")</f>
        <v>Checar</v>
      </c>
      <c r="K16" s="133" t="str">
        <f t="shared" si="3"/>
        <v>Ok</v>
      </c>
    </row>
    <row r="17" spans="3:3" hidden="1" x14ac:dyDescent="0.2">
      <c r="C17" s="109"/>
    </row>
    <row r="18" spans="3:3" hidden="1" x14ac:dyDescent="0.2">
      <c r="C18" s="109"/>
    </row>
    <row r="19" spans="3:3" hidden="1" x14ac:dyDescent="0.2">
      <c r="C19" s="109"/>
    </row>
    <row r="20" spans="3:3" hidden="1" x14ac:dyDescent="0.2">
      <c r="C20" s="109"/>
    </row>
    <row r="21" spans="3:3" hidden="1" x14ac:dyDescent="0.2">
      <c r="C21" s="109"/>
    </row>
    <row r="22" spans="3:3" hidden="1" x14ac:dyDescent="0.2">
      <c r="C22" s="109"/>
    </row>
    <row r="23" spans="3:3" hidden="1" x14ac:dyDescent="0.2">
      <c r="C23" s="109"/>
    </row>
  </sheetData>
  <phoneticPr fontId="9" type="noConversion"/>
  <conditionalFormatting sqref="I16:K16">
    <cfRule type="cellIs" dxfId="322" priority="1" operator="equal">
      <formula>"Checar"</formula>
    </cfRule>
  </conditionalFormatting>
  <conditionalFormatting sqref="I3:L15">
    <cfRule type="cellIs" dxfId="321" priority="4" operator="equal">
      <formula>"Checar"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ignoredErrors>
    <ignoredError sqref="E3:E14" formula="1"/>
  </ignoredError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97755-A801-4CDC-AD96-89A41ED155F6}">
  <sheetPr codeName="Planilha5">
    <outlinePr summaryBelow="0" summaryRight="0"/>
    <pageSetUpPr fitToPage="1"/>
  </sheetPr>
  <dimension ref="A1:AG94"/>
  <sheetViews>
    <sheetView showGridLines="0" topLeftCell="B1" workbookViewId="0">
      <pane ySplit="3" topLeftCell="A57" activePane="bottomLeft" state="frozen"/>
      <selection activeCell="L60" sqref="L60"/>
      <selection pane="bottomLeft" activeCell="L60" sqref="L60"/>
    </sheetView>
  </sheetViews>
  <sheetFormatPr defaultColWidth="0" defaultRowHeight="12.75" x14ac:dyDescent="0.2"/>
  <cols>
    <col min="1" max="1" width="14" customWidth="1"/>
    <col min="2" max="2" width="11.7109375" customWidth="1"/>
    <col min="3" max="3" width="18.7109375" customWidth="1"/>
    <col min="4" max="4" width="16" bestFit="1" customWidth="1"/>
    <col min="5" max="5" width="11.7109375" customWidth="1"/>
    <col min="6" max="6" width="8.42578125" bestFit="1" customWidth="1"/>
    <col min="7" max="7" width="8.85546875" bestFit="1" customWidth="1"/>
    <col min="8" max="8" width="15.140625" customWidth="1"/>
    <col min="9" max="9" width="15.28515625" customWidth="1"/>
    <col min="10" max="10" width="12.28515625" bestFit="1" customWidth="1"/>
    <col min="11" max="11" width="12" customWidth="1"/>
    <col min="12" max="12" width="13.42578125" bestFit="1" customWidth="1"/>
    <col min="13" max="13" width="0.42578125" customWidth="1"/>
    <col min="14" max="14" width="12.42578125" bestFit="1" customWidth="1"/>
    <col min="15" max="15" width="12.5703125" bestFit="1" customWidth="1"/>
    <col min="16" max="16" width="10.42578125" bestFit="1" customWidth="1"/>
    <col min="17" max="17" width="12.140625" bestFit="1" customWidth="1"/>
    <col min="18" max="18" width="12.28515625" bestFit="1" customWidth="1"/>
    <col min="19" max="19" width="11.140625" bestFit="1" customWidth="1"/>
    <col min="20" max="20" width="12.140625" bestFit="1" customWidth="1"/>
    <col min="21" max="21" width="10.42578125" bestFit="1" customWidth="1"/>
    <col min="22" max="22" width="1.140625" customWidth="1"/>
    <col min="23" max="23" width="10.42578125" bestFit="1" customWidth="1"/>
    <col min="24" max="24" width="12.140625" bestFit="1" customWidth="1"/>
    <col min="25" max="25" width="10.42578125" bestFit="1" customWidth="1"/>
    <col min="26" max="26" width="0.7109375" customWidth="1"/>
    <col min="27" max="27" width="36" customWidth="1"/>
    <col min="28" max="33" width="0" hidden="1" customWidth="1"/>
    <col min="34" max="16384" width="12.5703125" hidden="1"/>
  </cols>
  <sheetData>
    <row r="1" spans="1:27" s="8" customFormat="1" ht="59.25" x14ac:dyDescent="0.75">
      <c r="A1" s="6"/>
      <c r="B1" s="6"/>
      <c r="C1" s="7" t="s">
        <v>69</v>
      </c>
      <c r="D1" s="6"/>
      <c r="E1" s="6"/>
      <c r="F1" s="6"/>
      <c r="G1" s="6"/>
      <c r="H1" s="6"/>
      <c r="I1" s="6"/>
      <c r="J1" s="6"/>
      <c r="K1" s="6"/>
      <c r="L1" s="6"/>
      <c r="M1" s="75" t="s">
        <v>184</v>
      </c>
      <c r="N1" s="49">
        <f ca="1">TODAY()</f>
        <v>45834</v>
      </c>
      <c r="O1" s="50">
        <f>MONTH(B4)</f>
        <v>1</v>
      </c>
      <c r="P1" s="50">
        <f>YEAR(B4)</f>
        <v>2023</v>
      </c>
      <c r="Q1" s="49"/>
      <c r="R1" s="49"/>
      <c r="S1" s="49"/>
      <c r="T1" s="49"/>
      <c r="U1" s="36"/>
      <c r="V1" s="75" t="s">
        <v>185</v>
      </c>
      <c r="W1" s="36"/>
      <c r="X1" s="36"/>
      <c r="Y1" s="36"/>
      <c r="Z1" s="36"/>
      <c r="AA1" s="51" t="s">
        <v>73</v>
      </c>
    </row>
    <row r="2" spans="1:27" s="10" customFormat="1" ht="23.25" x14ac:dyDescent="0.2">
      <c r="A2" s="43"/>
      <c r="B2" s="11" t="str">
        <f>_xlfn.CONCAT(_xlfn.XLOOKUP(O1,Referencia!$B$1:$B$13,Referencia!$A$1:$A$13)," ",P1)</f>
        <v>Janeiro 2023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</row>
    <row r="3" spans="1:27" s="9" customFormat="1" ht="16.5" x14ac:dyDescent="0.35">
      <c r="A3" s="15" t="s">
        <v>74</v>
      </c>
      <c r="B3" s="13" t="s">
        <v>20</v>
      </c>
      <c r="C3" s="13" t="s">
        <v>75</v>
      </c>
      <c r="D3" s="13" t="s">
        <v>76</v>
      </c>
      <c r="E3" s="13" t="s">
        <v>77</v>
      </c>
      <c r="F3" s="13" t="s">
        <v>78</v>
      </c>
      <c r="G3" s="13" t="s">
        <v>79</v>
      </c>
      <c r="H3" s="13" t="s">
        <v>80</v>
      </c>
      <c r="I3" s="13" t="s">
        <v>81</v>
      </c>
      <c r="J3" s="13" t="s">
        <v>82</v>
      </c>
      <c r="K3" s="13" t="s">
        <v>40</v>
      </c>
      <c r="L3" s="13" t="s">
        <v>83</v>
      </c>
      <c r="M3" s="37"/>
      <c r="N3" s="13" t="s">
        <v>85</v>
      </c>
      <c r="O3" s="13" t="s">
        <v>155</v>
      </c>
      <c r="P3" s="13" t="s">
        <v>87</v>
      </c>
      <c r="Q3" s="13" t="s">
        <v>88</v>
      </c>
      <c r="R3" s="13" t="s">
        <v>89</v>
      </c>
      <c r="S3" s="13" t="s">
        <v>90</v>
      </c>
      <c r="T3" s="13" t="s">
        <v>91</v>
      </c>
      <c r="U3" s="13" t="s">
        <v>92</v>
      </c>
      <c r="V3" s="56"/>
      <c r="W3" s="13" t="s">
        <v>88</v>
      </c>
      <c r="X3" s="13" t="s">
        <v>91</v>
      </c>
      <c r="Y3" s="13" t="s">
        <v>92</v>
      </c>
      <c r="Z3" s="37"/>
      <c r="AA3" s="14" t="s">
        <v>73</v>
      </c>
    </row>
    <row r="4" spans="1:27" s="2" customFormat="1" x14ac:dyDescent="0.2">
      <c r="A4" s="16" t="str">
        <f t="shared" ref="A4:A34" si="0">TEXT(B4,"DDDD")</f>
        <v>domingo</v>
      </c>
      <c r="B4" s="17">
        <v>44927</v>
      </c>
      <c r="C4" s="19">
        <f>D4+E4</f>
        <v>6682.58</v>
      </c>
      <c r="D4" s="35">
        <f>_xlfn.XLOOKUP($B:$B,'Compilado 2023'!$B:$B,'Compilado 2023'!D:D)</f>
        <v>6660.35</v>
      </c>
      <c r="E4" s="35">
        <f>_xlfn.XLOOKUP($B:$B,'Compilado 2023'!$B:$B,'Compilado 2023'!E:E)</f>
        <v>22.23</v>
      </c>
      <c r="F4" s="18">
        <f>_xlfn.XLOOKUP($B:$B,'Compilado 2023'!$B:$B,'Compilado 2023'!F:F)</f>
        <v>25</v>
      </c>
      <c r="G4" s="18">
        <f>_xlfn.XLOOKUP($B:$B,'Compilado 2023'!$B:$B,'Compilado 2023'!G:G)</f>
        <v>33</v>
      </c>
      <c r="H4" s="35">
        <f t="shared" ref="H4" si="1">IFERROR(C4/F4,0)</f>
        <v>267.3032</v>
      </c>
      <c r="I4" s="19">
        <f t="shared" ref="I4" si="2">SUM(N4:U4)</f>
        <v>338.32290322580644</v>
      </c>
      <c r="J4" s="122">
        <f t="shared" ref="J4" si="3">IF(I4&gt;0,C4/I4,0)</f>
        <v>19.752076895426303</v>
      </c>
      <c r="K4" s="18">
        <f>_xlfn.XLOOKUP($B:$B,'Compilado 2023'!$B:$B,'Compilado 2023'!K:K)</f>
        <v>2085</v>
      </c>
      <c r="L4" s="54">
        <f t="shared" ref="L4" si="4">IFERROR(F4/K4,0)</f>
        <v>1.1990407673860911E-2</v>
      </c>
      <c r="M4" s="38"/>
      <c r="N4" s="106">
        <f>_xlfn.XLOOKUP($B:$B,'Compilado 2023'!$B:$B,'Compilado 2023'!N:N)</f>
        <v>195.73</v>
      </c>
      <c r="O4" s="106">
        <f>_xlfn.XLOOKUP($B:$B,'Compilado 2023'!$B:$B,'Compilado 2023'!O:O)</f>
        <v>90.98</v>
      </c>
      <c r="P4" s="106">
        <f>_xlfn.XLOOKUP($B:$B,'Compilado 2023'!$B:$B,'Compilado 2023'!P:P)</f>
        <v>0</v>
      </c>
      <c r="Q4" s="106">
        <f>_xlfn.XLOOKUP($B:$B,'Compilado 2023'!$B:$B,'Compilado 2023'!Q:Q)</f>
        <v>51.612903225806448</v>
      </c>
      <c r="R4" s="106">
        <f>VLOOKUP($B:$B,'Compilado 2023'!$B:$R,17)</f>
        <v>0</v>
      </c>
      <c r="S4" s="106">
        <f>_xlfn.XLOOKUP($B:$B,'Compilado 2023'!$B:$B,'Compilado 2023'!S:S)</f>
        <v>0</v>
      </c>
      <c r="T4" s="106">
        <f>_xlfn.XLOOKUP($B:$B,'Compilado 2023'!$B:$B,'Compilado 2023'!U:U)</f>
        <v>0</v>
      </c>
      <c r="U4" s="106">
        <f>_xlfn.XLOOKUP($B:$B,'Compilado 2023'!$B:$B,'Compilado 2023'!V:V)</f>
        <v>0</v>
      </c>
      <c r="V4" s="57"/>
      <c r="W4" s="106">
        <f>_xlfn.XLOOKUP($B:$B,'Compilado 2023'!$B:$B,'Compilado 2023'!X:X)</f>
        <v>0</v>
      </c>
      <c r="X4" s="106">
        <f>_xlfn.XLOOKUP($B:$B,'Compilado 2023'!$B:$B,'Compilado 2023'!Y:Y)</f>
        <v>0</v>
      </c>
      <c r="Y4" s="106">
        <f>_xlfn.XLOOKUP($B:$B,'Compilado 2023'!$B:$B,'Compilado 2023'!Z:Z)</f>
        <v>0</v>
      </c>
      <c r="Z4" s="38"/>
      <c r="AA4" s="107">
        <f>_xlfn.XLOOKUP($B:$B,'Compilado 2023'!$B:$B,'Compilado 2023'!AA:AA)</f>
        <v>0</v>
      </c>
    </row>
    <row r="5" spans="1:27" s="2" customFormat="1" x14ac:dyDescent="0.2">
      <c r="A5" s="16" t="str">
        <f t="shared" si="0"/>
        <v>segunda-feira</v>
      </c>
      <c r="B5" s="17">
        <f>B4+1</f>
        <v>44928</v>
      </c>
      <c r="C5" s="19">
        <f t="shared" ref="C5:C34" si="5">D5+E5</f>
        <v>42296.450000000004</v>
      </c>
      <c r="D5" s="35">
        <f>_xlfn.XLOOKUP($B:$B,'Compilado 2023'!$B:$B,'Compilado 2023'!D:D)</f>
        <v>42272.44</v>
      </c>
      <c r="E5" s="35">
        <f>_xlfn.XLOOKUP($B:$B,'Compilado 2023'!$B:$B,'Compilado 2023'!E:E)</f>
        <v>24.01</v>
      </c>
      <c r="F5" s="18">
        <f>_xlfn.XLOOKUP($B:$B,'Compilado 2023'!$B:$B,'Compilado 2023'!F:F)</f>
        <v>141</v>
      </c>
      <c r="G5" s="18">
        <f>_xlfn.XLOOKUP($B:$B,'Compilado 2023'!$B:$B,'Compilado 2023'!G:G)</f>
        <v>168</v>
      </c>
      <c r="H5" s="35">
        <f t="shared" ref="H5:H34" si="6">IFERROR(C5/F5,0)</f>
        <v>299.97482269503547</v>
      </c>
      <c r="I5" s="19">
        <f t="shared" ref="I5:I34" si="7">SUM(N5:U5)</f>
        <v>553.96290322580637</v>
      </c>
      <c r="J5" s="122">
        <f t="shared" ref="J5:J34" si="8">IF(I5&gt;0,C5/I5,0)</f>
        <v>76.352495363320614</v>
      </c>
      <c r="K5" s="18">
        <f>_xlfn.XLOOKUP($B:$B,'Compilado 2023'!$B:$B,'Compilado 2023'!K:K)</f>
        <v>5236</v>
      </c>
      <c r="L5" s="54">
        <f t="shared" ref="L5:L34" si="9">IFERROR(F5/K5,0)</f>
        <v>2.6928953399541634E-2</v>
      </c>
      <c r="M5" s="38"/>
      <c r="N5" s="106">
        <f>VLOOKUP($B:$B,'Compilado 2023'!$B:$R,13)</f>
        <v>367.59</v>
      </c>
      <c r="O5" s="106">
        <f>VLOOKUP($B:$B,'Compilado 2023'!$B:$R,14)</f>
        <v>134.76</v>
      </c>
      <c r="P5" s="106">
        <f>VLOOKUP($B:$B,'Compilado 2023'!$B:$R,15)</f>
        <v>0</v>
      </c>
      <c r="Q5" s="106">
        <f>VLOOKUP($B:$B,'Compilado 2023'!$B:$R,16)</f>
        <v>51.612903225806448</v>
      </c>
      <c r="R5" s="106">
        <f>VLOOKUP($B:$B,'Compilado 2023'!$B:$R,17)</f>
        <v>0</v>
      </c>
      <c r="S5" s="106">
        <f>_xlfn.XLOOKUP($B:$B,'Compilado 2023'!$B:$B,'Compilado 2023'!S:S)</f>
        <v>0</v>
      </c>
      <c r="T5" s="106">
        <f>_xlfn.XLOOKUP($B:$B,'Compilado 2023'!$B:$B,'Compilado 2023'!U:U)</f>
        <v>0</v>
      </c>
      <c r="U5" s="106">
        <f>_xlfn.XLOOKUP($B:$B,'Compilado 2023'!$B:$B,'Compilado 2023'!V:V)</f>
        <v>0</v>
      </c>
      <c r="V5" s="57"/>
      <c r="W5" s="106">
        <f>_xlfn.XLOOKUP($B:$B,'Compilado 2023'!$B:$B,'Compilado 2023'!X:X)</f>
        <v>0</v>
      </c>
      <c r="X5" s="106">
        <f>_xlfn.XLOOKUP($B:$B,'Compilado 2023'!$B:$B,'Compilado 2023'!Y:Y)</f>
        <v>0</v>
      </c>
      <c r="Y5" s="106">
        <f>_xlfn.XLOOKUP($B:$B,'Compilado 2023'!$B:$B,'Compilado 2023'!Z:Z)</f>
        <v>0</v>
      </c>
      <c r="Z5" s="38"/>
      <c r="AA5" s="107">
        <f>_xlfn.XLOOKUP($B:$B,'Compilado 2023'!$B:$B,'Compilado 2023'!AA:AA)</f>
        <v>0</v>
      </c>
    </row>
    <row r="6" spans="1:27" x14ac:dyDescent="0.2">
      <c r="A6" s="16" t="str">
        <f t="shared" si="0"/>
        <v>terça-feira</v>
      </c>
      <c r="B6" s="17">
        <f t="shared" ref="B6:B34" si="10">B5+1</f>
        <v>44929</v>
      </c>
      <c r="C6" s="19">
        <f t="shared" si="5"/>
        <v>43147.4</v>
      </c>
      <c r="D6" s="35">
        <f>_xlfn.XLOOKUP($B:$B,'Compilado 2023'!$B:$B,'Compilado 2023'!D:D)</f>
        <v>43147.4</v>
      </c>
      <c r="E6" s="35">
        <f>_xlfn.XLOOKUP($B:$B,'Compilado 2023'!$B:$B,'Compilado 2023'!E:E)</f>
        <v>0</v>
      </c>
      <c r="F6" s="18">
        <f>_xlfn.XLOOKUP($B:$B,'Compilado 2023'!$B:$B,'Compilado 2023'!F:F)</f>
        <v>139</v>
      </c>
      <c r="G6" s="18">
        <f>_xlfn.XLOOKUP($B:$B,'Compilado 2023'!$B:$B,'Compilado 2023'!G:G)</f>
        <v>170</v>
      </c>
      <c r="H6" s="35">
        <f t="shared" si="6"/>
        <v>310.41294964028776</v>
      </c>
      <c r="I6" s="19">
        <f t="shared" si="7"/>
        <v>563.97290322580648</v>
      </c>
      <c r="J6" s="122">
        <f t="shared" si="8"/>
        <v>76.506157925683908</v>
      </c>
      <c r="K6" s="18">
        <f>_xlfn.XLOOKUP($B:$B,'Compilado 2023'!$B:$B,'Compilado 2023'!K:K)</f>
        <v>5421</v>
      </c>
      <c r="L6" s="54">
        <f t="shared" si="9"/>
        <v>2.564102564102564E-2</v>
      </c>
      <c r="M6" s="38"/>
      <c r="N6" s="106">
        <f>VLOOKUP($B:$B,'Compilado 2023'!$B:$R,13)</f>
        <v>355.9</v>
      </c>
      <c r="O6" s="106">
        <f>VLOOKUP($B:$B,'Compilado 2023'!$B:$R,14)</f>
        <v>156.46</v>
      </c>
      <c r="P6" s="106">
        <f>VLOOKUP($B:$B,'Compilado 2023'!$B:$R,15)</f>
        <v>0</v>
      </c>
      <c r="Q6" s="106">
        <f>VLOOKUP($B:$B,'Compilado 2023'!$B:$R,16)</f>
        <v>51.612903225806448</v>
      </c>
      <c r="R6" s="106">
        <f>VLOOKUP($B:$B,'Compilado 2023'!$B:$R,17)</f>
        <v>0</v>
      </c>
      <c r="S6" s="106">
        <f>_xlfn.XLOOKUP($B:$B,'Compilado 2023'!$B:$B,'Compilado 2023'!S:S)</f>
        <v>0</v>
      </c>
      <c r="T6" s="106">
        <f>_xlfn.XLOOKUP($B:$B,'Compilado 2023'!$B:$B,'Compilado 2023'!U:U)</f>
        <v>0</v>
      </c>
      <c r="U6" s="106">
        <f>_xlfn.XLOOKUP($B:$B,'Compilado 2023'!$B:$B,'Compilado 2023'!V:V)</f>
        <v>0</v>
      </c>
      <c r="V6" s="57"/>
      <c r="W6" s="106">
        <f>_xlfn.XLOOKUP($B:$B,'Compilado 2023'!$B:$B,'Compilado 2023'!X:X)</f>
        <v>0</v>
      </c>
      <c r="X6" s="106">
        <f>_xlfn.XLOOKUP($B:$B,'Compilado 2023'!$B:$B,'Compilado 2023'!Y:Y)</f>
        <v>0</v>
      </c>
      <c r="Y6" s="106">
        <f>_xlfn.XLOOKUP($B:$B,'Compilado 2023'!$B:$B,'Compilado 2023'!Z:Z)</f>
        <v>0</v>
      </c>
      <c r="Z6" s="38"/>
      <c r="AA6" s="107">
        <f>_xlfn.XLOOKUP($B:$B,'Compilado 2023'!$B:$B,'Compilado 2023'!AA:AA)</f>
        <v>0</v>
      </c>
    </row>
    <row r="7" spans="1:27" x14ac:dyDescent="0.2">
      <c r="A7" s="16" t="str">
        <f t="shared" si="0"/>
        <v>quarta-feira</v>
      </c>
      <c r="B7" s="17">
        <f t="shared" si="10"/>
        <v>44930</v>
      </c>
      <c r="C7" s="19">
        <f t="shared" si="5"/>
        <v>38413.61</v>
      </c>
      <c r="D7" s="35">
        <f>_xlfn.XLOOKUP($B:$B,'Compilado 2023'!$B:$B,'Compilado 2023'!D:D)</f>
        <v>38413.61</v>
      </c>
      <c r="E7" s="35">
        <f>_xlfn.XLOOKUP($B:$B,'Compilado 2023'!$B:$B,'Compilado 2023'!E:E)</f>
        <v>0</v>
      </c>
      <c r="F7" s="18">
        <f>_xlfn.XLOOKUP($B:$B,'Compilado 2023'!$B:$B,'Compilado 2023'!F:F)</f>
        <v>137</v>
      </c>
      <c r="G7" s="18">
        <f>_xlfn.XLOOKUP($B:$B,'Compilado 2023'!$B:$B,'Compilado 2023'!G:G)</f>
        <v>164</v>
      </c>
      <c r="H7" s="35">
        <f t="shared" si="6"/>
        <v>280.39131386861317</v>
      </c>
      <c r="I7" s="19">
        <f t="shared" si="7"/>
        <v>625.37290322580645</v>
      </c>
      <c r="J7" s="122">
        <f t="shared" si="8"/>
        <v>61.425126995196671</v>
      </c>
      <c r="K7" s="18">
        <f>_xlfn.XLOOKUP($B:$B,'Compilado 2023'!$B:$B,'Compilado 2023'!K:K)</f>
        <v>5673</v>
      </c>
      <c r="L7" s="54">
        <f t="shared" si="9"/>
        <v>2.4149479992949058E-2</v>
      </c>
      <c r="M7" s="38"/>
      <c r="N7" s="106">
        <f>VLOOKUP($B:$B,'Compilado 2023'!$B:$R,13)</f>
        <v>389.93</v>
      </c>
      <c r="O7" s="106">
        <f>VLOOKUP($B:$B,'Compilado 2023'!$B:$R,14)</f>
        <v>183.83</v>
      </c>
      <c r="P7" s="106">
        <f>VLOOKUP($B:$B,'Compilado 2023'!$B:$R,15)</f>
        <v>0</v>
      </c>
      <c r="Q7" s="106">
        <f>VLOOKUP($B:$B,'Compilado 2023'!$B:$R,16)</f>
        <v>51.612903225806448</v>
      </c>
      <c r="R7" s="106">
        <f>VLOOKUP($B:$B,'Compilado 2023'!$B:$R,17)</f>
        <v>0</v>
      </c>
      <c r="S7" s="106">
        <f>_xlfn.XLOOKUP($B:$B,'Compilado 2023'!$B:$B,'Compilado 2023'!S:S)</f>
        <v>0</v>
      </c>
      <c r="T7" s="106">
        <f>_xlfn.XLOOKUP($B:$B,'Compilado 2023'!$B:$B,'Compilado 2023'!U:U)</f>
        <v>0</v>
      </c>
      <c r="U7" s="106">
        <f>_xlfn.XLOOKUP($B:$B,'Compilado 2023'!$B:$B,'Compilado 2023'!V:V)</f>
        <v>0</v>
      </c>
      <c r="V7" s="57"/>
      <c r="W7" s="106">
        <f>_xlfn.XLOOKUP($B:$B,'Compilado 2023'!$B:$B,'Compilado 2023'!X:X)</f>
        <v>0</v>
      </c>
      <c r="X7" s="106">
        <f>_xlfn.XLOOKUP($B:$B,'Compilado 2023'!$B:$B,'Compilado 2023'!Y:Y)</f>
        <v>0</v>
      </c>
      <c r="Y7" s="106">
        <f>_xlfn.XLOOKUP($B:$B,'Compilado 2023'!$B:$B,'Compilado 2023'!Z:Z)</f>
        <v>0</v>
      </c>
      <c r="Z7" s="38"/>
      <c r="AA7" s="107">
        <f>_xlfn.XLOOKUP($B:$B,'Compilado 2023'!$B:$B,'Compilado 2023'!AA:AA)</f>
        <v>0</v>
      </c>
    </row>
    <row r="8" spans="1:27" s="2" customFormat="1" x14ac:dyDescent="0.2">
      <c r="A8" s="16" t="str">
        <f t="shared" si="0"/>
        <v>quinta-feira</v>
      </c>
      <c r="B8" s="17">
        <f t="shared" si="10"/>
        <v>44931</v>
      </c>
      <c r="C8" s="19">
        <f t="shared" si="5"/>
        <v>49185.479999999996</v>
      </c>
      <c r="D8" s="35">
        <f>_xlfn.XLOOKUP($B:$B,'Compilado 2023'!$B:$B,'Compilado 2023'!D:D)</f>
        <v>49163.53</v>
      </c>
      <c r="E8" s="35">
        <f>_xlfn.XLOOKUP($B:$B,'Compilado 2023'!$B:$B,'Compilado 2023'!E:E)</f>
        <v>21.95</v>
      </c>
      <c r="F8" s="18">
        <f>_xlfn.XLOOKUP($B:$B,'Compilado 2023'!$B:$B,'Compilado 2023'!F:F)</f>
        <v>162</v>
      </c>
      <c r="G8" s="18">
        <f>_xlfn.XLOOKUP($B:$B,'Compilado 2023'!$B:$B,'Compilado 2023'!G:G)</f>
        <v>214</v>
      </c>
      <c r="H8" s="35">
        <f t="shared" si="6"/>
        <v>303.61407407407404</v>
      </c>
      <c r="I8" s="19">
        <f t="shared" si="7"/>
        <v>625.99290322580646</v>
      </c>
      <c r="J8" s="122">
        <f t="shared" si="8"/>
        <v>78.571945059667783</v>
      </c>
      <c r="K8" s="18">
        <f>_xlfn.XLOOKUP($B:$B,'Compilado 2023'!$B:$B,'Compilado 2023'!K:K)</f>
        <v>5412</v>
      </c>
      <c r="L8" s="54">
        <f t="shared" si="9"/>
        <v>2.9933481152993349E-2</v>
      </c>
      <c r="M8" s="38"/>
      <c r="N8" s="106">
        <f>VLOOKUP($B:$B,'Compilado 2023'!$B:$R,13)</f>
        <v>383.58</v>
      </c>
      <c r="O8" s="106">
        <f>VLOOKUP($B:$B,'Compilado 2023'!$B:$R,14)</f>
        <v>190.8</v>
      </c>
      <c r="P8" s="106">
        <f>VLOOKUP($B:$B,'Compilado 2023'!$B:$R,15)</f>
        <v>0</v>
      </c>
      <c r="Q8" s="106">
        <f>VLOOKUP($B:$B,'Compilado 2023'!$B:$R,16)</f>
        <v>51.612903225806448</v>
      </c>
      <c r="R8" s="106">
        <f>VLOOKUP($B:$B,'Compilado 2023'!$B:$R,17)</f>
        <v>0</v>
      </c>
      <c r="S8" s="106">
        <f>_xlfn.XLOOKUP($B:$B,'Compilado 2023'!$B:$B,'Compilado 2023'!S:S)</f>
        <v>0</v>
      </c>
      <c r="T8" s="106">
        <f>_xlfn.XLOOKUP($B:$B,'Compilado 2023'!$B:$B,'Compilado 2023'!U:U)</f>
        <v>0</v>
      </c>
      <c r="U8" s="106">
        <f>_xlfn.XLOOKUP($B:$B,'Compilado 2023'!$B:$B,'Compilado 2023'!V:V)</f>
        <v>0</v>
      </c>
      <c r="V8" s="57"/>
      <c r="W8" s="106">
        <f>_xlfn.XLOOKUP($B:$B,'Compilado 2023'!$B:$B,'Compilado 2023'!X:X)</f>
        <v>0</v>
      </c>
      <c r="X8" s="106">
        <f>_xlfn.XLOOKUP($B:$B,'Compilado 2023'!$B:$B,'Compilado 2023'!Y:Y)</f>
        <v>0</v>
      </c>
      <c r="Y8" s="106">
        <f>_xlfn.XLOOKUP($B:$B,'Compilado 2023'!$B:$B,'Compilado 2023'!Z:Z)</f>
        <v>0</v>
      </c>
      <c r="Z8" s="38"/>
      <c r="AA8" s="107">
        <f>_xlfn.XLOOKUP($B:$B,'Compilado 2023'!$B:$B,'Compilado 2023'!AA:AA)</f>
        <v>0</v>
      </c>
    </row>
    <row r="9" spans="1:27" s="2" customFormat="1" x14ac:dyDescent="0.2">
      <c r="A9" s="16" t="str">
        <f t="shared" si="0"/>
        <v>sexta-feira</v>
      </c>
      <c r="B9" s="17">
        <f t="shared" si="10"/>
        <v>44932</v>
      </c>
      <c r="C9" s="19">
        <f t="shared" si="5"/>
        <v>51769.86</v>
      </c>
      <c r="D9" s="35">
        <f>_xlfn.XLOOKUP($B:$B,'Compilado 2023'!$B:$B,'Compilado 2023'!D:D)</f>
        <v>51769.86</v>
      </c>
      <c r="E9" s="35">
        <f>_xlfn.XLOOKUP($B:$B,'Compilado 2023'!$B:$B,'Compilado 2023'!E:E)</f>
        <v>0</v>
      </c>
      <c r="F9" s="18">
        <f>_xlfn.XLOOKUP($B:$B,'Compilado 2023'!$B:$B,'Compilado 2023'!F:F)</f>
        <v>165</v>
      </c>
      <c r="G9" s="18">
        <f>_xlfn.XLOOKUP($B:$B,'Compilado 2023'!$B:$B,'Compilado 2023'!G:G)</f>
        <v>208</v>
      </c>
      <c r="H9" s="35">
        <f t="shared" si="6"/>
        <v>313.75672727272729</v>
      </c>
      <c r="I9" s="19">
        <f t="shared" si="7"/>
        <v>662.54290322580653</v>
      </c>
      <c r="J9" s="122">
        <f t="shared" si="8"/>
        <v>78.138124713043524</v>
      </c>
      <c r="K9" s="18">
        <f>_xlfn.XLOOKUP($B:$B,'Compilado 2023'!$B:$B,'Compilado 2023'!K:K)</f>
        <v>5139</v>
      </c>
      <c r="L9" s="54">
        <f t="shared" si="9"/>
        <v>3.2107413893753649E-2</v>
      </c>
      <c r="M9" s="38"/>
      <c r="N9" s="106">
        <f>VLOOKUP($B:$B,'Compilado 2023'!$B:$R,13)</f>
        <v>256.48</v>
      </c>
      <c r="O9" s="106">
        <f>VLOOKUP($B:$B,'Compilado 2023'!$B:$R,14)</f>
        <v>354.45</v>
      </c>
      <c r="P9" s="106">
        <f>VLOOKUP($B:$B,'Compilado 2023'!$B:$R,15)</f>
        <v>0</v>
      </c>
      <c r="Q9" s="106">
        <f>VLOOKUP($B:$B,'Compilado 2023'!$B:$R,16)</f>
        <v>51.612903225806448</v>
      </c>
      <c r="R9" s="106">
        <f>VLOOKUP($B:$B,'Compilado 2023'!$B:$R,17)</f>
        <v>0</v>
      </c>
      <c r="S9" s="106">
        <f>_xlfn.XLOOKUP($B:$B,'Compilado 2023'!$B:$B,'Compilado 2023'!S:S)</f>
        <v>0</v>
      </c>
      <c r="T9" s="106">
        <f>_xlfn.XLOOKUP($B:$B,'Compilado 2023'!$B:$B,'Compilado 2023'!U:U)</f>
        <v>0</v>
      </c>
      <c r="U9" s="106">
        <f>_xlfn.XLOOKUP($B:$B,'Compilado 2023'!$B:$B,'Compilado 2023'!V:V)</f>
        <v>0</v>
      </c>
      <c r="V9" s="57"/>
      <c r="W9" s="106">
        <f>_xlfn.XLOOKUP($B:$B,'Compilado 2023'!$B:$B,'Compilado 2023'!X:X)</f>
        <v>0</v>
      </c>
      <c r="X9" s="106">
        <f>_xlfn.XLOOKUP($B:$B,'Compilado 2023'!$B:$B,'Compilado 2023'!Y:Y)</f>
        <v>0</v>
      </c>
      <c r="Y9" s="106">
        <f>_xlfn.XLOOKUP($B:$B,'Compilado 2023'!$B:$B,'Compilado 2023'!Z:Z)</f>
        <v>0</v>
      </c>
      <c r="Z9" s="38"/>
      <c r="AA9" s="107">
        <f>_xlfn.XLOOKUP($B:$B,'Compilado 2023'!$B:$B,'Compilado 2023'!AA:AA)</f>
        <v>0</v>
      </c>
    </row>
    <row r="10" spans="1:27" s="2" customFormat="1" x14ac:dyDescent="0.2">
      <c r="A10" s="16" t="str">
        <f t="shared" si="0"/>
        <v>sábado</v>
      </c>
      <c r="B10" s="17">
        <f t="shared" si="10"/>
        <v>44933</v>
      </c>
      <c r="C10" s="19">
        <f t="shared" si="5"/>
        <v>29276.06</v>
      </c>
      <c r="D10" s="35">
        <f>_xlfn.XLOOKUP($B:$B,'Compilado 2023'!$B:$B,'Compilado 2023'!D:D)</f>
        <v>29276.06</v>
      </c>
      <c r="E10" s="35">
        <f>_xlfn.XLOOKUP($B:$B,'Compilado 2023'!$B:$B,'Compilado 2023'!E:E)</f>
        <v>0</v>
      </c>
      <c r="F10" s="18">
        <f>_xlfn.XLOOKUP($B:$B,'Compilado 2023'!$B:$B,'Compilado 2023'!F:F)</f>
        <v>97</v>
      </c>
      <c r="G10" s="18">
        <f>_xlfn.XLOOKUP($B:$B,'Compilado 2023'!$B:$B,'Compilado 2023'!G:G)</f>
        <v>114</v>
      </c>
      <c r="H10" s="35">
        <f t="shared" si="6"/>
        <v>301.81505154639177</v>
      </c>
      <c r="I10" s="19">
        <f t="shared" si="7"/>
        <v>427.5729032258065</v>
      </c>
      <c r="J10" s="122">
        <f t="shared" si="8"/>
        <v>68.470335185246654</v>
      </c>
      <c r="K10" s="18">
        <f>_xlfn.XLOOKUP($B:$B,'Compilado 2023'!$B:$B,'Compilado 2023'!K:K)</f>
        <v>3680</v>
      </c>
      <c r="L10" s="54">
        <f t="shared" si="9"/>
        <v>2.6358695652173914E-2</v>
      </c>
      <c r="M10" s="38"/>
      <c r="N10" s="106">
        <f>VLOOKUP($B:$B,'Compilado 2023'!$B:$R,13)</f>
        <v>184.02</v>
      </c>
      <c r="O10" s="106">
        <f>VLOOKUP($B:$B,'Compilado 2023'!$B:$R,14)</f>
        <v>191.94</v>
      </c>
      <c r="P10" s="106">
        <f>VLOOKUP($B:$B,'Compilado 2023'!$B:$R,15)</f>
        <v>0</v>
      </c>
      <c r="Q10" s="106">
        <f>VLOOKUP($B:$B,'Compilado 2023'!$B:$R,16)</f>
        <v>51.612903225806448</v>
      </c>
      <c r="R10" s="106">
        <f>VLOOKUP($B:$B,'Compilado 2023'!$B:$R,17)</f>
        <v>0</v>
      </c>
      <c r="S10" s="106">
        <f>_xlfn.XLOOKUP($B:$B,'Compilado 2023'!$B:$B,'Compilado 2023'!S:S)</f>
        <v>0</v>
      </c>
      <c r="T10" s="106">
        <f>_xlfn.XLOOKUP($B:$B,'Compilado 2023'!$B:$B,'Compilado 2023'!U:U)</f>
        <v>0</v>
      </c>
      <c r="U10" s="106">
        <f>_xlfn.XLOOKUP($B:$B,'Compilado 2023'!$B:$B,'Compilado 2023'!V:V)</f>
        <v>0</v>
      </c>
      <c r="V10" s="57"/>
      <c r="W10" s="106">
        <f>_xlfn.XLOOKUP($B:$B,'Compilado 2023'!$B:$B,'Compilado 2023'!X:X)</f>
        <v>0</v>
      </c>
      <c r="X10" s="106">
        <f>_xlfn.XLOOKUP($B:$B,'Compilado 2023'!$B:$B,'Compilado 2023'!Y:Y)</f>
        <v>0</v>
      </c>
      <c r="Y10" s="106">
        <f>_xlfn.XLOOKUP($B:$B,'Compilado 2023'!$B:$B,'Compilado 2023'!Z:Z)</f>
        <v>0</v>
      </c>
      <c r="Z10" s="38"/>
      <c r="AA10" s="107">
        <f>_xlfn.XLOOKUP($B:$B,'Compilado 2023'!$B:$B,'Compilado 2023'!AA:AA)</f>
        <v>0</v>
      </c>
    </row>
    <row r="11" spans="1:27" s="2" customFormat="1" x14ac:dyDescent="0.2">
      <c r="A11" s="16" t="str">
        <f t="shared" si="0"/>
        <v>domingo</v>
      </c>
      <c r="B11" s="17">
        <f t="shared" si="10"/>
        <v>44934</v>
      </c>
      <c r="C11" s="19">
        <f t="shared" si="5"/>
        <v>20412</v>
      </c>
      <c r="D11" s="35">
        <f>_xlfn.XLOOKUP($B:$B,'Compilado 2023'!$B:$B,'Compilado 2023'!D:D)</f>
        <v>20384.97</v>
      </c>
      <c r="E11" s="35">
        <f>_xlfn.XLOOKUP($B:$B,'Compilado 2023'!$B:$B,'Compilado 2023'!E:E)</f>
        <v>27.03</v>
      </c>
      <c r="F11" s="18">
        <f>_xlfn.XLOOKUP($B:$B,'Compilado 2023'!$B:$B,'Compilado 2023'!F:F)</f>
        <v>75</v>
      </c>
      <c r="G11" s="18">
        <f>_xlfn.XLOOKUP($B:$B,'Compilado 2023'!$B:$B,'Compilado 2023'!G:G)</f>
        <v>85</v>
      </c>
      <c r="H11" s="35">
        <f t="shared" si="6"/>
        <v>272.16000000000003</v>
      </c>
      <c r="I11" s="19">
        <f t="shared" si="7"/>
        <v>454.97290322580648</v>
      </c>
      <c r="J11" s="122">
        <f t="shared" si="8"/>
        <v>44.864210275549908</v>
      </c>
      <c r="K11" s="18">
        <f>_xlfn.XLOOKUP($B:$B,'Compilado 2023'!$B:$B,'Compilado 2023'!K:K)</f>
        <v>3001</v>
      </c>
      <c r="L11" s="54">
        <f t="shared" si="9"/>
        <v>2.4991669443518827E-2</v>
      </c>
      <c r="M11" s="38"/>
      <c r="N11" s="106">
        <f>VLOOKUP($B:$B,'Compilado 2023'!$B:$R,13)</f>
        <v>209.58</v>
      </c>
      <c r="O11" s="106">
        <f>VLOOKUP($B:$B,'Compilado 2023'!$B:$R,14)</f>
        <v>193.78</v>
      </c>
      <c r="P11" s="106">
        <f>VLOOKUP($B:$B,'Compilado 2023'!$B:$R,15)</f>
        <v>0</v>
      </c>
      <c r="Q11" s="106">
        <f>VLOOKUP($B:$B,'Compilado 2023'!$B:$R,16)</f>
        <v>51.612903225806448</v>
      </c>
      <c r="R11" s="106">
        <f>VLOOKUP($B:$B,'Compilado 2023'!$B:$R,17)</f>
        <v>0</v>
      </c>
      <c r="S11" s="106">
        <f>_xlfn.XLOOKUP($B:$B,'Compilado 2023'!$B:$B,'Compilado 2023'!S:S)</f>
        <v>0</v>
      </c>
      <c r="T11" s="106">
        <f>_xlfn.XLOOKUP($B:$B,'Compilado 2023'!$B:$B,'Compilado 2023'!U:U)</f>
        <v>0</v>
      </c>
      <c r="U11" s="106">
        <f>_xlfn.XLOOKUP($B:$B,'Compilado 2023'!$B:$B,'Compilado 2023'!V:V)</f>
        <v>0</v>
      </c>
      <c r="V11" s="57"/>
      <c r="W11" s="106">
        <f>_xlfn.XLOOKUP($B:$B,'Compilado 2023'!$B:$B,'Compilado 2023'!X:X)</f>
        <v>0</v>
      </c>
      <c r="X11" s="106">
        <f>_xlfn.XLOOKUP($B:$B,'Compilado 2023'!$B:$B,'Compilado 2023'!Y:Y)</f>
        <v>0</v>
      </c>
      <c r="Y11" s="106">
        <f>_xlfn.XLOOKUP($B:$B,'Compilado 2023'!$B:$B,'Compilado 2023'!Z:Z)</f>
        <v>0</v>
      </c>
      <c r="Z11" s="38"/>
      <c r="AA11" s="107">
        <f>_xlfn.XLOOKUP($B:$B,'Compilado 2023'!$B:$B,'Compilado 2023'!AA:AA)</f>
        <v>0</v>
      </c>
    </row>
    <row r="12" spans="1:27" s="2" customFormat="1" x14ac:dyDescent="0.2">
      <c r="A12" s="16" t="str">
        <f t="shared" si="0"/>
        <v>segunda-feira</v>
      </c>
      <c r="B12" s="17">
        <f t="shared" si="10"/>
        <v>44935</v>
      </c>
      <c r="C12" s="19">
        <f t="shared" si="5"/>
        <v>85246.720000000001</v>
      </c>
      <c r="D12" s="35">
        <f>_xlfn.XLOOKUP($B:$B,'Compilado 2023'!$B:$B,'Compilado 2023'!D:D)</f>
        <v>85221.85</v>
      </c>
      <c r="E12" s="35">
        <f>_xlfn.XLOOKUP($B:$B,'Compilado 2023'!$B:$B,'Compilado 2023'!E:E)</f>
        <v>24.87</v>
      </c>
      <c r="F12" s="18">
        <f>_xlfn.XLOOKUP($B:$B,'Compilado 2023'!$B:$B,'Compilado 2023'!F:F)</f>
        <v>404</v>
      </c>
      <c r="G12" s="18">
        <f>_xlfn.XLOOKUP($B:$B,'Compilado 2023'!$B:$B,'Compilado 2023'!G:G)</f>
        <v>621</v>
      </c>
      <c r="H12" s="35">
        <f t="shared" si="6"/>
        <v>211.00673267326732</v>
      </c>
      <c r="I12" s="19">
        <f t="shared" si="7"/>
        <v>678.92290322580641</v>
      </c>
      <c r="J12" s="122">
        <f t="shared" si="8"/>
        <v>125.56170898781325</v>
      </c>
      <c r="K12" s="18">
        <f>_xlfn.XLOOKUP($B:$B,'Compilado 2023'!$B:$B,'Compilado 2023'!K:K)</f>
        <v>5670</v>
      </c>
      <c r="L12" s="54">
        <f t="shared" si="9"/>
        <v>7.1252204585537923E-2</v>
      </c>
      <c r="M12" s="38"/>
      <c r="N12" s="106">
        <f>VLOOKUP($B:$B,'Compilado 2023'!$B:$R,13)</f>
        <v>347.26</v>
      </c>
      <c r="O12" s="106">
        <f>VLOOKUP($B:$B,'Compilado 2023'!$B:$R,14)</f>
        <v>280.05</v>
      </c>
      <c r="P12" s="106">
        <f>VLOOKUP($B:$B,'Compilado 2023'!$B:$R,15)</f>
        <v>0</v>
      </c>
      <c r="Q12" s="106">
        <f>VLOOKUP($B:$B,'Compilado 2023'!$B:$R,16)</f>
        <v>51.612903225806448</v>
      </c>
      <c r="R12" s="106">
        <f>VLOOKUP($B:$B,'Compilado 2023'!$B:$R,17)</f>
        <v>0</v>
      </c>
      <c r="S12" s="106">
        <f>_xlfn.XLOOKUP($B:$B,'Compilado 2023'!$B:$B,'Compilado 2023'!S:S)</f>
        <v>0</v>
      </c>
      <c r="T12" s="106">
        <f>_xlfn.XLOOKUP($B:$B,'Compilado 2023'!$B:$B,'Compilado 2023'!U:U)</f>
        <v>0</v>
      </c>
      <c r="U12" s="106">
        <f>_xlfn.XLOOKUP($B:$B,'Compilado 2023'!$B:$B,'Compilado 2023'!V:V)</f>
        <v>0</v>
      </c>
      <c r="V12" s="57"/>
      <c r="W12" s="106">
        <f>_xlfn.XLOOKUP($B:$B,'Compilado 2023'!$B:$B,'Compilado 2023'!X:X)</f>
        <v>0</v>
      </c>
      <c r="X12" s="106">
        <f>_xlfn.XLOOKUP($B:$B,'Compilado 2023'!$B:$B,'Compilado 2023'!Y:Y)</f>
        <v>0</v>
      </c>
      <c r="Y12" s="106">
        <f>_xlfn.XLOOKUP($B:$B,'Compilado 2023'!$B:$B,'Compilado 2023'!Z:Z)</f>
        <v>0</v>
      </c>
      <c r="Z12" s="38"/>
      <c r="AA12" s="107">
        <f>_xlfn.XLOOKUP($B:$B,'Compilado 2023'!$B:$B,'Compilado 2023'!AA:AA)</f>
        <v>0</v>
      </c>
    </row>
    <row r="13" spans="1:27" x14ac:dyDescent="0.2">
      <c r="A13" s="16" t="str">
        <f t="shared" si="0"/>
        <v>terça-feira</v>
      </c>
      <c r="B13" s="17">
        <f t="shared" si="10"/>
        <v>44936</v>
      </c>
      <c r="C13" s="19">
        <f t="shared" si="5"/>
        <v>49229.68</v>
      </c>
      <c r="D13" s="35">
        <f>_xlfn.XLOOKUP($B:$B,'Compilado 2023'!$B:$B,'Compilado 2023'!D:D)</f>
        <v>49229.68</v>
      </c>
      <c r="E13" s="35">
        <f>_xlfn.XLOOKUP($B:$B,'Compilado 2023'!$B:$B,'Compilado 2023'!E:E)</f>
        <v>0</v>
      </c>
      <c r="F13" s="18">
        <f>_xlfn.XLOOKUP($B:$B,'Compilado 2023'!$B:$B,'Compilado 2023'!F:F)</f>
        <v>156</v>
      </c>
      <c r="G13" s="18">
        <f>_xlfn.XLOOKUP($B:$B,'Compilado 2023'!$B:$B,'Compilado 2023'!G:G)</f>
        <v>259</v>
      </c>
      <c r="H13" s="35">
        <f t="shared" si="6"/>
        <v>315.5748717948718</v>
      </c>
      <c r="I13" s="19">
        <f t="shared" si="7"/>
        <v>309.29290322580647</v>
      </c>
      <c r="J13" s="122">
        <f t="shared" si="8"/>
        <v>159.16847585752308</v>
      </c>
      <c r="K13" s="18">
        <f>_xlfn.XLOOKUP($B:$B,'Compilado 2023'!$B:$B,'Compilado 2023'!K:K)</f>
        <v>64</v>
      </c>
      <c r="L13" s="54">
        <f t="shared" si="9"/>
        <v>2.4375</v>
      </c>
      <c r="M13" s="38"/>
      <c r="N13" s="106">
        <f>VLOOKUP($B:$B,'Compilado 2023'!$B:$R,13)</f>
        <v>78.040000000000006</v>
      </c>
      <c r="O13" s="106">
        <f>VLOOKUP($B:$B,'Compilado 2023'!$B:$R,14)</f>
        <v>179.64</v>
      </c>
      <c r="P13" s="106">
        <f>VLOOKUP($B:$B,'Compilado 2023'!$B:$R,15)</f>
        <v>0</v>
      </c>
      <c r="Q13" s="106">
        <f>VLOOKUP($B:$B,'Compilado 2023'!$B:$R,16)</f>
        <v>51.612903225806448</v>
      </c>
      <c r="R13" s="106">
        <f>VLOOKUP($B:$B,'Compilado 2023'!$B:$R,17)</f>
        <v>0</v>
      </c>
      <c r="S13" s="106">
        <f>_xlfn.XLOOKUP($B:$B,'Compilado 2023'!$B:$B,'Compilado 2023'!S:S)</f>
        <v>0</v>
      </c>
      <c r="T13" s="106">
        <f>_xlfn.XLOOKUP($B:$B,'Compilado 2023'!$B:$B,'Compilado 2023'!U:U)</f>
        <v>0</v>
      </c>
      <c r="U13" s="106">
        <f>_xlfn.XLOOKUP($B:$B,'Compilado 2023'!$B:$B,'Compilado 2023'!V:V)</f>
        <v>0</v>
      </c>
      <c r="V13" s="57"/>
      <c r="W13" s="106">
        <f>_xlfn.XLOOKUP($B:$B,'Compilado 2023'!$B:$B,'Compilado 2023'!X:X)</f>
        <v>0</v>
      </c>
      <c r="X13" s="106">
        <f>_xlfn.XLOOKUP($B:$B,'Compilado 2023'!$B:$B,'Compilado 2023'!Y:Y)</f>
        <v>0</v>
      </c>
      <c r="Y13" s="106">
        <f>_xlfn.XLOOKUP($B:$B,'Compilado 2023'!$B:$B,'Compilado 2023'!Z:Z)</f>
        <v>0</v>
      </c>
      <c r="Z13" s="38"/>
      <c r="AA13" s="107">
        <f>_xlfn.XLOOKUP($B:$B,'Compilado 2023'!$B:$B,'Compilado 2023'!AA:AA)</f>
        <v>0</v>
      </c>
    </row>
    <row r="14" spans="1:27" x14ac:dyDescent="0.2">
      <c r="A14" s="16" t="str">
        <f t="shared" si="0"/>
        <v>quarta-feira</v>
      </c>
      <c r="B14" s="17">
        <f t="shared" si="10"/>
        <v>44937</v>
      </c>
      <c r="C14" s="19">
        <f t="shared" si="5"/>
        <v>48477.84</v>
      </c>
      <c r="D14" s="35">
        <f>_xlfn.XLOOKUP($B:$B,'Compilado 2023'!$B:$B,'Compilado 2023'!D:D)</f>
        <v>48477.84</v>
      </c>
      <c r="E14" s="35">
        <f>_xlfn.XLOOKUP($B:$B,'Compilado 2023'!$B:$B,'Compilado 2023'!E:E)</f>
        <v>0</v>
      </c>
      <c r="F14" s="18">
        <f>_xlfn.XLOOKUP($B:$B,'Compilado 2023'!$B:$B,'Compilado 2023'!F:F)</f>
        <v>155</v>
      </c>
      <c r="G14" s="18">
        <f>_xlfn.XLOOKUP($B:$B,'Compilado 2023'!$B:$B,'Compilado 2023'!G:G)</f>
        <v>178</v>
      </c>
      <c r="H14" s="35">
        <f t="shared" si="6"/>
        <v>312.76025806451611</v>
      </c>
      <c r="I14" s="19">
        <f t="shared" si="7"/>
        <v>321.25290322580645</v>
      </c>
      <c r="J14" s="122">
        <f t="shared" si="8"/>
        <v>150.90241835394482</v>
      </c>
      <c r="K14" s="18">
        <f>_xlfn.XLOOKUP($B:$B,'Compilado 2023'!$B:$B,'Compilado 2023'!K:K)</f>
        <v>39</v>
      </c>
      <c r="L14" s="54">
        <f t="shared" si="9"/>
        <v>3.9743589743589745</v>
      </c>
      <c r="M14" s="38"/>
      <c r="N14" s="106">
        <f>VLOOKUP($B:$B,'Compilado 2023'!$B:$R,13)</f>
        <v>108.64</v>
      </c>
      <c r="O14" s="106">
        <f>VLOOKUP($B:$B,'Compilado 2023'!$B:$R,14)</f>
        <v>161</v>
      </c>
      <c r="P14" s="106">
        <f>VLOOKUP($B:$B,'Compilado 2023'!$B:$R,15)</f>
        <v>0</v>
      </c>
      <c r="Q14" s="106">
        <f>VLOOKUP($B:$B,'Compilado 2023'!$B:$R,16)</f>
        <v>51.612903225806448</v>
      </c>
      <c r="R14" s="106">
        <f>VLOOKUP($B:$B,'Compilado 2023'!$B:$R,17)</f>
        <v>0</v>
      </c>
      <c r="S14" s="106">
        <f>_xlfn.XLOOKUP($B:$B,'Compilado 2023'!$B:$B,'Compilado 2023'!S:S)</f>
        <v>0</v>
      </c>
      <c r="T14" s="106">
        <f>_xlfn.XLOOKUP($B:$B,'Compilado 2023'!$B:$B,'Compilado 2023'!U:U)</f>
        <v>0</v>
      </c>
      <c r="U14" s="106">
        <f>_xlfn.XLOOKUP($B:$B,'Compilado 2023'!$B:$B,'Compilado 2023'!V:V)</f>
        <v>0</v>
      </c>
      <c r="V14" s="57"/>
      <c r="W14" s="106">
        <f>_xlfn.XLOOKUP($B:$B,'Compilado 2023'!$B:$B,'Compilado 2023'!X:X)</f>
        <v>0</v>
      </c>
      <c r="X14" s="106">
        <f>_xlfn.XLOOKUP($B:$B,'Compilado 2023'!$B:$B,'Compilado 2023'!Y:Y)</f>
        <v>0</v>
      </c>
      <c r="Y14" s="106">
        <f>_xlfn.XLOOKUP($B:$B,'Compilado 2023'!$B:$B,'Compilado 2023'!Z:Z)</f>
        <v>0</v>
      </c>
      <c r="Z14" s="38"/>
      <c r="AA14" s="107">
        <f>_xlfn.XLOOKUP($B:$B,'Compilado 2023'!$B:$B,'Compilado 2023'!AA:AA)</f>
        <v>0</v>
      </c>
    </row>
    <row r="15" spans="1:27" s="2" customFormat="1" x14ac:dyDescent="0.2">
      <c r="A15" s="16" t="str">
        <f t="shared" si="0"/>
        <v>quinta-feira</v>
      </c>
      <c r="B15" s="17">
        <f t="shared" si="10"/>
        <v>44938</v>
      </c>
      <c r="C15" s="19">
        <f t="shared" si="5"/>
        <v>44063.81</v>
      </c>
      <c r="D15" s="35">
        <f>_xlfn.XLOOKUP($B:$B,'Compilado 2023'!$B:$B,'Compilado 2023'!D:D)</f>
        <v>44035.32</v>
      </c>
      <c r="E15" s="35">
        <f>_xlfn.XLOOKUP($B:$B,'Compilado 2023'!$B:$B,'Compilado 2023'!E:E)</f>
        <v>28.49</v>
      </c>
      <c r="F15" s="18">
        <f>_xlfn.XLOOKUP($B:$B,'Compilado 2023'!$B:$B,'Compilado 2023'!F:F)</f>
        <v>147</v>
      </c>
      <c r="G15" s="18">
        <f>_xlfn.XLOOKUP($B:$B,'Compilado 2023'!$B:$B,'Compilado 2023'!G:G)</f>
        <v>180</v>
      </c>
      <c r="H15" s="35">
        <f t="shared" si="6"/>
        <v>299.75380952380948</v>
      </c>
      <c r="I15" s="19">
        <f t="shared" si="7"/>
        <v>720.81290322580651</v>
      </c>
      <c r="J15" s="122">
        <f t="shared" si="8"/>
        <v>61.130717559028326</v>
      </c>
      <c r="K15" s="18">
        <f>_xlfn.XLOOKUP($B:$B,'Compilado 2023'!$B:$B,'Compilado 2023'!K:K)</f>
        <v>25</v>
      </c>
      <c r="L15" s="54">
        <f t="shared" si="9"/>
        <v>5.88</v>
      </c>
      <c r="M15" s="38"/>
      <c r="N15" s="106">
        <f>VLOOKUP($B:$B,'Compilado 2023'!$B:$R,13)</f>
        <v>474.2</v>
      </c>
      <c r="O15" s="106">
        <f>VLOOKUP($B:$B,'Compilado 2023'!$B:$R,14)</f>
        <v>195</v>
      </c>
      <c r="P15" s="106">
        <f>VLOOKUP($B:$B,'Compilado 2023'!$B:$R,15)</f>
        <v>0</v>
      </c>
      <c r="Q15" s="106">
        <f>VLOOKUP($B:$B,'Compilado 2023'!$B:$R,16)</f>
        <v>51.612903225806448</v>
      </c>
      <c r="R15" s="106">
        <f>VLOOKUP($B:$B,'Compilado 2023'!$B:$R,17)</f>
        <v>0</v>
      </c>
      <c r="S15" s="106">
        <f>_xlfn.XLOOKUP($B:$B,'Compilado 2023'!$B:$B,'Compilado 2023'!S:S)</f>
        <v>0</v>
      </c>
      <c r="T15" s="106">
        <f>_xlfn.XLOOKUP($B:$B,'Compilado 2023'!$B:$B,'Compilado 2023'!U:U)</f>
        <v>0</v>
      </c>
      <c r="U15" s="106">
        <f>_xlfn.XLOOKUP($B:$B,'Compilado 2023'!$B:$B,'Compilado 2023'!V:V)</f>
        <v>0</v>
      </c>
      <c r="V15" s="57"/>
      <c r="W15" s="106">
        <f>_xlfn.XLOOKUP($B:$B,'Compilado 2023'!$B:$B,'Compilado 2023'!X:X)</f>
        <v>0</v>
      </c>
      <c r="X15" s="106">
        <f>_xlfn.XLOOKUP($B:$B,'Compilado 2023'!$B:$B,'Compilado 2023'!Y:Y)</f>
        <v>0</v>
      </c>
      <c r="Y15" s="106">
        <f>_xlfn.XLOOKUP($B:$B,'Compilado 2023'!$B:$B,'Compilado 2023'!Z:Z)</f>
        <v>0</v>
      </c>
      <c r="Z15" s="38"/>
      <c r="AA15" s="107">
        <f>_xlfn.XLOOKUP($B:$B,'Compilado 2023'!$B:$B,'Compilado 2023'!AA:AA)</f>
        <v>0</v>
      </c>
    </row>
    <row r="16" spans="1:27" s="2" customFormat="1" x14ac:dyDescent="0.2">
      <c r="A16" s="16" t="str">
        <f t="shared" si="0"/>
        <v>sexta-feira</v>
      </c>
      <c r="B16" s="17">
        <f t="shared" si="10"/>
        <v>44939</v>
      </c>
      <c r="C16" s="19">
        <f t="shared" si="5"/>
        <v>52188.93</v>
      </c>
      <c r="D16" s="35">
        <f>_xlfn.XLOOKUP($B:$B,'Compilado 2023'!$B:$B,'Compilado 2023'!D:D)</f>
        <v>52163.22</v>
      </c>
      <c r="E16" s="35">
        <f>_xlfn.XLOOKUP($B:$B,'Compilado 2023'!$B:$B,'Compilado 2023'!E:E)</f>
        <v>25.71</v>
      </c>
      <c r="F16" s="18">
        <f>_xlfn.XLOOKUP($B:$B,'Compilado 2023'!$B:$B,'Compilado 2023'!F:F)</f>
        <v>172</v>
      </c>
      <c r="G16" s="18">
        <f>_xlfn.XLOOKUP($B:$B,'Compilado 2023'!$B:$B,'Compilado 2023'!G:G)</f>
        <v>197</v>
      </c>
      <c r="H16" s="35">
        <f t="shared" si="6"/>
        <v>303.42401162790696</v>
      </c>
      <c r="I16" s="19">
        <f t="shared" si="7"/>
        <v>1234.5029032258062</v>
      </c>
      <c r="J16" s="122">
        <f t="shared" si="8"/>
        <v>42.275259024201731</v>
      </c>
      <c r="K16" s="18">
        <f>_xlfn.XLOOKUP($B:$B,'Compilado 2023'!$B:$B,'Compilado 2023'!K:K)</f>
        <v>14</v>
      </c>
      <c r="L16" s="54">
        <f t="shared" si="9"/>
        <v>12.285714285714286</v>
      </c>
      <c r="M16" s="38"/>
      <c r="N16" s="106">
        <f>VLOOKUP($B:$B,'Compilado 2023'!$B:$R,13)</f>
        <v>984.16</v>
      </c>
      <c r="O16" s="106">
        <f>VLOOKUP($B:$B,'Compilado 2023'!$B:$R,14)</f>
        <v>198.73</v>
      </c>
      <c r="P16" s="106">
        <f>VLOOKUP($B:$B,'Compilado 2023'!$B:$R,15)</f>
        <v>0</v>
      </c>
      <c r="Q16" s="106">
        <f>VLOOKUP($B:$B,'Compilado 2023'!$B:$R,16)</f>
        <v>51.612903225806448</v>
      </c>
      <c r="R16" s="106">
        <f>VLOOKUP($B:$B,'Compilado 2023'!$B:$R,17)</f>
        <v>0</v>
      </c>
      <c r="S16" s="106">
        <f>_xlfn.XLOOKUP($B:$B,'Compilado 2023'!$B:$B,'Compilado 2023'!S:S)</f>
        <v>0</v>
      </c>
      <c r="T16" s="106">
        <f>_xlfn.XLOOKUP($B:$B,'Compilado 2023'!$B:$B,'Compilado 2023'!U:U)</f>
        <v>0</v>
      </c>
      <c r="U16" s="106">
        <f>_xlfn.XLOOKUP($B:$B,'Compilado 2023'!$B:$B,'Compilado 2023'!V:V)</f>
        <v>0</v>
      </c>
      <c r="V16" s="57"/>
      <c r="W16" s="106">
        <f>_xlfn.XLOOKUP($B:$B,'Compilado 2023'!$B:$B,'Compilado 2023'!X:X)</f>
        <v>0</v>
      </c>
      <c r="X16" s="106">
        <f>_xlfn.XLOOKUP($B:$B,'Compilado 2023'!$B:$B,'Compilado 2023'!Y:Y)</f>
        <v>0</v>
      </c>
      <c r="Y16" s="106">
        <f>_xlfn.XLOOKUP($B:$B,'Compilado 2023'!$B:$B,'Compilado 2023'!Z:Z)</f>
        <v>0</v>
      </c>
      <c r="Z16" s="38"/>
      <c r="AA16" s="107">
        <f>_xlfn.XLOOKUP($B:$B,'Compilado 2023'!$B:$B,'Compilado 2023'!AA:AA)</f>
        <v>0</v>
      </c>
    </row>
    <row r="17" spans="1:27" s="2" customFormat="1" x14ac:dyDescent="0.2">
      <c r="A17" s="16" t="str">
        <f t="shared" si="0"/>
        <v>sábado</v>
      </c>
      <c r="B17" s="17">
        <f t="shared" si="10"/>
        <v>44940</v>
      </c>
      <c r="C17" s="19">
        <f t="shared" si="5"/>
        <v>29397.59</v>
      </c>
      <c r="D17" s="35">
        <f>_xlfn.XLOOKUP($B:$B,'Compilado 2023'!$B:$B,'Compilado 2023'!D:D)</f>
        <v>29397.59</v>
      </c>
      <c r="E17" s="35">
        <f>_xlfn.XLOOKUP($B:$B,'Compilado 2023'!$B:$B,'Compilado 2023'!E:E)</f>
        <v>0</v>
      </c>
      <c r="F17" s="18">
        <f>_xlfn.XLOOKUP($B:$B,'Compilado 2023'!$B:$B,'Compilado 2023'!F:F)</f>
        <v>99</v>
      </c>
      <c r="G17" s="18">
        <f>_xlfn.XLOOKUP($B:$B,'Compilado 2023'!$B:$B,'Compilado 2023'!G:G)</f>
        <v>123</v>
      </c>
      <c r="H17" s="35">
        <f t="shared" si="6"/>
        <v>296.94535353535355</v>
      </c>
      <c r="I17" s="19">
        <f t="shared" si="7"/>
        <v>1525.0329032258062</v>
      </c>
      <c r="J17" s="122">
        <f t="shared" si="8"/>
        <v>19.276692285010459</v>
      </c>
      <c r="K17" s="18">
        <f>_xlfn.XLOOKUP($B:$B,'Compilado 2023'!$B:$B,'Compilado 2023'!K:K)</f>
        <v>9</v>
      </c>
      <c r="L17" s="54">
        <f t="shared" si="9"/>
        <v>11</v>
      </c>
      <c r="M17" s="38"/>
      <c r="N17" s="106">
        <f>VLOOKUP($B:$B,'Compilado 2023'!$B:$R,13)</f>
        <v>1263.3599999999999</v>
      </c>
      <c r="O17" s="106">
        <f>VLOOKUP($B:$B,'Compilado 2023'!$B:$R,14)</f>
        <v>210.06</v>
      </c>
      <c r="P17" s="106">
        <f>VLOOKUP($B:$B,'Compilado 2023'!$B:$R,15)</f>
        <v>0</v>
      </c>
      <c r="Q17" s="106">
        <f>VLOOKUP($B:$B,'Compilado 2023'!$B:$R,16)</f>
        <v>51.612903225806448</v>
      </c>
      <c r="R17" s="106">
        <f>VLOOKUP($B:$B,'Compilado 2023'!$B:$R,17)</f>
        <v>0</v>
      </c>
      <c r="S17" s="106">
        <f>_xlfn.XLOOKUP($B:$B,'Compilado 2023'!$B:$B,'Compilado 2023'!S:S)</f>
        <v>0</v>
      </c>
      <c r="T17" s="106">
        <f>_xlfn.XLOOKUP($B:$B,'Compilado 2023'!$B:$B,'Compilado 2023'!U:U)</f>
        <v>0</v>
      </c>
      <c r="U17" s="106">
        <f>_xlfn.XLOOKUP($B:$B,'Compilado 2023'!$B:$B,'Compilado 2023'!V:V)</f>
        <v>0</v>
      </c>
      <c r="V17" s="57"/>
      <c r="W17" s="106">
        <f>_xlfn.XLOOKUP($B:$B,'Compilado 2023'!$B:$B,'Compilado 2023'!X:X)</f>
        <v>0</v>
      </c>
      <c r="X17" s="106">
        <f>_xlfn.XLOOKUP($B:$B,'Compilado 2023'!$B:$B,'Compilado 2023'!Y:Y)</f>
        <v>0</v>
      </c>
      <c r="Y17" s="106">
        <f>_xlfn.XLOOKUP($B:$B,'Compilado 2023'!$B:$B,'Compilado 2023'!Z:Z)</f>
        <v>0</v>
      </c>
      <c r="Z17" s="38"/>
      <c r="AA17" s="107">
        <f>_xlfn.XLOOKUP($B:$B,'Compilado 2023'!$B:$B,'Compilado 2023'!AA:AA)</f>
        <v>0</v>
      </c>
    </row>
    <row r="18" spans="1:27" s="2" customFormat="1" x14ac:dyDescent="0.2">
      <c r="A18" s="16" t="str">
        <f t="shared" si="0"/>
        <v>domingo</v>
      </c>
      <c r="B18" s="17">
        <f t="shared" si="10"/>
        <v>44941</v>
      </c>
      <c r="C18" s="19">
        <f t="shared" si="5"/>
        <v>19339.43</v>
      </c>
      <c r="D18" s="35">
        <f>_xlfn.XLOOKUP($B:$B,'Compilado 2023'!$B:$B,'Compilado 2023'!D:D)</f>
        <v>19339.43</v>
      </c>
      <c r="E18" s="35">
        <f>_xlfn.XLOOKUP($B:$B,'Compilado 2023'!$B:$B,'Compilado 2023'!E:E)</f>
        <v>0</v>
      </c>
      <c r="F18" s="18">
        <f>_xlfn.XLOOKUP($B:$B,'Compilado 2023'!$B:$B,'Compilado 2023'!F:F)</f>
        <v>62</v>
      </c>
      <c r="G18" s="18">
        <f>_xlfn.XLOOKUP($B:$B,'Compilado 2023'!$B:$B,'Compilado 2023'!G:G)</f>
        <v>74</v>
      </c>
      <c r="H18" s="35">
        <f t="shared" si="6"/>
        <v>311.92629032258066</v>
      </c>
      <c r="I18" s="19">
        <f t="shared" si="7"/>
        <v>1008.4329032258064</v>
      </c>
      <c r="J18" s="122">
        <f t="shared" si="8"/>
        <v>19.177706259024703</v>
      </c>
      <c r="K18" s="18">
        <f>_xlfn.XLOOKUP($B:$B,'Compilado 2023'!$B:$B,'Compilado 2023'!K:K)</f>
        <v>10</v>
      </c>
      <c r="L18" s="54">
        <f t="shared" si="9"/>
        <v>6.2</v>
      </c>
      <c r="M18" s="38"/>
      <c r="N18" s="106">
        <f>VLOOKUP($B:$B,'Compilado 2023'!$B:$R,13)</f>
        <v>732.43</v>
      </c>
      <c r="O18" s="106">
        <f>VLOOKUP($B:$B,'Compilado 2023'!$B:$R,14)</f>
        <v>224.39</v>
      </c>
      <c r="P18" s="106">
        <f>VLOOKUP($B:$B,'Compilado 2023'!$B:$R,15)</f>
        <v>0</v>
      </c>
      <c r="Q18" s="106">
        <f>VLOOKUP($B:$B,'Compilado 2023'!$B:$R,16)</f>
        <v>51.612903225806448</v>
      </c>
      <c r="R18" s="106">
        <f>VLOOKUP($B:$B,'Compilado 2023'!$B:$R,17)</f>
        <v>0</v>
      </c>
      <c r="S18" s="106">
        <f>_xlfn.XLOOKUP($B:$B,'Compilado 2023'!$B:$B,'Compilado 2023'!S:S)</f>
        <v>0</v>
      </c>
      <c r="T18" s="106">
        <f>_xlfn.XLOOKUP($B:$B,'Compilado 2023'!$B:$B,'Compilado 2023'!U:U)</f>
        <v>0</v>
      </c>
      <c r="U18" s="106">
        <f>_xlfn.XLOOKUP($B:$B,'Compilado 2023'!$B:$B,'Compilado 2023'!V:V)</f>
        <v>0</v>
      </c>
      <c r="V18" s="57"/>
      <c r="W18" s="106">
        <f>_xlfn.XLOOKUP($B:$B,'Compilado 2023'!$B:$B,'Compilado 2023'!X:X)</f>
        <v>0</v>
      </c>
      <c r="X18" s="106">
        <f>_xlfn.XLOOKUP($B:$B,'Compilado 2023'!$B:$B,'Compilado 2023'!Y:Y)</f>
        <v>0</v>
      </c>
      <c r="Y18" s="106">
        <f>_xlfn.XLOOKUP($B:$B,'Compilado 2023'!$B:$B,'Compilado 2023'!Z:Z)</f>
        <v>0</v>
      </c>
      <c r="Z18" s="38"/>
      <c r="AA18" s="107">
        <f>_xlfn.XLOOKUP($B:$B,'Compilado 2023'!$B:$B,'Compilado 2023'!AA:AA)</f>
        <v>0</v>
      </c>
    </row>
    <row r="19" spans="1:27" s="2" customFormat="1" x14ac:dyDescent="0.2">
      <c r="A19" s="16" t="str">
        <f t="shared" si="0"/>
        <v>segunda-feira</v>
      </c>
      <c r="B19" s="17">
        <f t="shared" si="10"/>
        <v>44942</v>
      </c>
      <c r="C19" s="19">
        <f t="shared" si="5"/>
        <v>51975.040000000001</v>
      </c>
      <c r="D19" s="35">
        <f>_xlfn.XLOOKUP($B:$B,'Compilado 2023'!$B:$B,'Compilado 2023'!D:D)</f>
        <v>51975.040000000001</v>
      </c>
      <c r="E19" s="35">
        <f>_xlfn.XLOOKUP($B:$B,'Compilado 2023'!$B:$B,'Compilado 2023'!E:E)</f>
        <v>0</v>
      </c>
      <c r="F19" s="18">
        <f>_xlfn.XLOOKUP($B:$B,'Compilado 2023'!$B:$B,'Compilado 2023'!F:F)</f>
        <v>179</v>
      </c>
      <c r="G19" s="18">
        <f>_xlfn.XLOOKUP($B:$B,'Compilado 2023'!$B:$B,'Compilado 2023'!G:G)</f>
        <v>210</v>
      </c>
      <c r="H19" s="35">
        <f t="shared" si="6"/>
        <v>290.36335195530728</v>
      </c>
      <c r="I19" s="19">
        <f t="shared" si="7"/>
        <v>1228.3629032258063</v>
      </c>
      <c r="J19" s="122">
        <f t="shared" si="8"/>
        <v>42.312446805018489</v>
      </c>
      <c r="K19" s="18">
        <f>_xlfn.XLOOKUP($B:$B,'Compilado 2023'!$B:$B,'Compilado 2023'!K:K)</f>
        <v>18</v>
      </c>
      <c r="L19" s="54">
        <f t="shared" si="9"/>
        <v>9.9444444444444446</v>
      </c>
      <c r="M19" s="38"/>
      <c r="N19" s="106">
        <f>VLOOKUP($B:$B,'Compilado 2023'!$B:$R,13)</f>
        <v>857.78</v>
      </c>
      <c r="O19" s="106">
        <f>VLOOKUP($B:$B,'Compilado 2023'!$B:$R,14)</f>
        <v>318.97000000000003</v>
      </c>
      <c r="P19" s="106">
        <f>VLOOKUP($B:$B,'Compilado 2023'!$B:$R,15)</f>
        <v>0</v>
      </c>
      <c r="Q19" s="106">
        <f>VLOOKUP($B:$B,'Compilado 2023'!$B:$R,16)</f>
        <v>51.612903225806448</v>
      </c>
      <c r="R19" s="106">
        <f>VLOOKUP($B:$B,'Compilado 2023'!$B:$R,17)</f>
        <v>0</v>
      </c>
      <c r="S19" s="106">
        <f>_xlfn.XLOOKUP($B:$B,'Compilado 2023'!$B:$B,'Compilado 2023'!S:S)</f>
        <v>0</v>
      </c>
      <c r="T19" s="106">
        <f>_xlfn.XLOOKUP($B:$B,'Compilado 2023'!$B:$B,'Compilado 2023'!U:U)</f>
        <v>0</v>
      </c>
      <c r="U19" s="106">
        <f>_xlfn.XLOOKUP($B:$B,'Compilado 2023'!$B:$B,'Compilado 2023'!V:V)</f>
        <v>0</v>
      </c>
      <c r="V19" s="57"/>
      <c r="W19" s="106">
        <f>_xlfn.XLOOKUP($B:$B,'Compilado 2023'!$B:$B,'Compilado 2023'!X:X)</f>
        <v>0</v>
      </c>
      <c r="X19" s="106">
        <f>_xlfn.XLOOKUP($B:$B,'Compilado 2023'!$B:$B,'Compilado 2023'!Y:Y)</f>
        <v>0</v>
      </c>
      <c r="Y19" s="106">
        <f>_xlfn.XLOOKUP($B:$B,'Compilado 2023'!$B:$B,'Compilado 2023'!Z:Z)</f>
        <v>0</v>
      </c>
      <c r="Z19" s="38"/>
      <c r="AA19" s="107">
        <f>_xlfn.XLOOKUP($B:$B,'Compilado 2023'!$B:$B,'Compilado 2023'!AA:AA)</f>
        <v>0</v>
      </c>
    </row>
    <row r="20" spans="1:27" x14ac:dyDescent="0.2">
      <c r="A20" s="16" t="str">
        <f t="shared" si="0"/>
        <v>terça-feira</v>
      </c>
      <c r="B20" s="17">
        <f t="shared" si="10"/>
        <v>44943</v>
      </c>
      <c r="C20" s="19">
        <f t="shared" si="5"/>
        <v>50484.39</v>
      </c>
      <c r="D20" s="35">
        <f>_xlfn.XLOOKUP($B:$B,'Compilado 2023'!$B:$B,'Compilado 2023'!D:D)</f>
        <v>50459.519999999997</v>
      </c>
      <c r="E20" s="35">
        <f>_xlfn.XLOOKUP($B:$B,'Compilado 2023'!$B:$B,'Compilado 2023'!E:E)</f>
        <v>24.87</v>
      </c>
      <c r="F20" s="18">
        <f>_xlfn.XLOOKUP($B:$B,'Compilado 2023'!$B:$B,'Compilado 2023'!F:F)</f>
        <v>163</v>
      </c>
      <c r="G20" s="18">
        <f>_xlfn.XLOOKUP($B:$B,'Compilado 2023'!$B:$B,'Compilado 2023'!G:G)</f>
        <v>193</v>
      </c>
      <c r="H20" s="35">
        <f t="shared" si="6"/>
        <v>309.72018404907976</v>
      </c>
      <c r="I20" s="19">
        <f t="shared" si="7"/>
        <v>1526.4829032258065</v>
      </c>
      <c r="J20" s="122">
        <f t="shared" si="8"/>
        <v>33.072358618177098</v>
      </c>
      <c r="K20" s="18">
        <f>_xlfn.XLOOKUP($B:$B,'Compilado 2023'!$B:$B,'Compilado 2023'!K:K)</f>
        <v>18</v>
      </c>
      <c r="L20" s="54">
        <f t="shared" si="9"/>
        <v>9.0555555555555554</v>
      </c>
      <c r="M20" s="38"/>
      <c r="N20" s="106">
        <f>VLOOKUP($B:$B,'Compilado 2023'!$B:$R,13)</f>
        <v>1118.21</v>
      </c>
      <c r="O20" s="106">
        <f>VLOOKUP($B:$B,'Compilado 2023'!$B:$R,14)</f>
        <v>356.66</v>
      </c>
      <c r="P20" s="106">
        <f>VLOOKUP($B:$B,'Compilado 2023'!$B:$R,15)</f>
        <v>0</v>
      </c>
      <c r="Q20" s="106">
        <f>VLOOKUP($B:$B,'Compilado 2023'!$B:$R,16)</f>
        <v>51.612903225806448</v>
      </c>
      <c r="R20" s="106">
        <f>VLOOKUP($B:$B,'Compilado 2023'!$B:$R,17)</f>
        <v>0</v>
      </c>
      <c r="S20" s="106">
        <f>_xlfn.XLOOKUP($B:$B,'Compilado 2023'!$B:$B,'Compilado 2023'!S:S)</f>
        <v>0</v>
      </c>
      <c r="T20" s="106">
        <f>_xlfn.XLOOKUP($B:$B,'Compilado 2023'!$B:$B,'Compilado 2023'!U:U)</f>
        <v>0</v>
      </c>
      <c r="U20" s="106">
        <f>_xlfn.XLOOKUP($B:$B,'Compilado 2023'!$B:$B,'Compilado 2023'!V:V)</f>
        <v>0</v>
      </c>
      <c r="V20" s="57"/>
      <c r="W20" s="106">
        <f>_xlfn.XLOOKUP($B:$B,'Compilado 2023'!$B:$B,'Compilado 2023'!X:X)</f>
        <v>0</v>
      </c>
      <c r="X20" s="106">
        <f>_xlfn.XLOOKUP($B:$B,'Compilado 2023'!$B:$B,'Compilado 2023'!Y:Y)</f>
        <v>0</v>
      </c>
      <c r="Y20" s="106">
        <f>_xlfn.XLOOKUP($B:$B,'Compilado 2023'!$B:$B,'Compilado 2023'!Z:Z)</f>
        <v>0</v>
      </c>
      <c r="Z20" s="38"/>
      <c r="AA20" s="107">
        <f>_xlfn.XLOOKUP($B:$B,'Compilado 2023'!$B:$B,'Compilado 2023'!AA:AA)</f>
        <v>0</v>
      </c>
    </row>
    <row r="21" spans="1:27" x14ac:dyDescent="0.2">
      <c r="A21" s="16" t="str">
        <f t="shared" si="0"/>
        <v>quarta-feira</v>
      </c>
      <c r="B21" s="17">
        <f t="shared" si="10"/>
        <v>44944</v>
      </c>
      <c r="C21" s="19">
        <f t="shared" si="5"/>
        <v>41546.6</v>
      </c>
      <c r="D21" s="35">
        <f>_xlfn.XLOOKUP($B:$B,'Compilado 2023'!$B:$B,'Compilado 2023'!D:D)</f>
        <v>41522.589999999997</v>
      </c>
      <c r="E21" s="35">
        <f>_xlfn.XLOOKUP($B:$B,'Compilado 2023'!$B:$B,'Compilado 2023'!E:E)</f>
        <v>24.01</v>
      </c>
      <c r="F21" s="18">
        <f>_xlfn.XLOOKUP($B:$B,'Compilado 2023'!$B:$B,'Compilado 2023'!F:F)</f>
        <v>137</v>
      </c>
      <c r="G21" s="18">
        <f>_xlfn.XLOOKUP($B:$B,'Compilado 2023'!$B:$B,'Compilado 2023'!G:G)</f>
        <v>166</v>
      </c>
      <c r="H21" s="35">
        <f t="shared" si="6"/>
        <v>303.25985401459855</v>
      </c>
      <c r="I21" s="19">
        <f t="shared" si="7"/>
        <v>2175.8329032258061</v>
      </c>
      <c r="J21" s="122">
        <f t="shared" si="8"/>
        <v>19.094572905118131</v>
      </c>
      <c r="K21" s="18">
        <f>_xlfn.XLOOKUP($B:$B,'Compilado 2023'!$B:$B,'Compilado 2023'!K:K)</f>
        <v>17</v>
      </c>
      <c r="L21" s="54">
        <f t="shared" si="9"/>
        <v>8.0588235294117645</v>
      </c>
      <c r="M21" s="38"/>
      <c r="N21" s="106">
        <f>VLOOKUP($B:$B,'Compilado 2023'!$B:$R,13)</f>
        <v>1777.04</v>
      </c>
      <c r="O21" s="106">
        <f>VLOOKUP($B:$B,'Compilado 2023'!$B:$R,14)</f>
        <v>347.18</v>
      </c>
      <c r="P21" s="106">
        <f>VLOOKUP($B:$B,'Compilado 2023'!$B:$R,15)</f>
        <v>0</v>
      </c>
      <c r="Q21" s="106">
        <f>VLOOKUP($B:$B,'Compilado 2023'!$B:$R,16)</f>
        <v>51.612903225806448</v>
      </c>
      <c r="R21" s="106">
        <f>VLOOKUP($B:$B,'Compilado 2023'!$B:$R,17)</f>
        <v>0</v>
      </c>
      <c r="S21" s="106">
        <f>_xlfn.XLOOKUP($B:$B,'Compilado 2023'!$B:$B,'Compilado 2023'!S:S)</f>
        <v>0</v>
      </c>
      <c r="T21" s="106">
        <f>_xlfn.XLOOKUP($B:$B,'Compilado 2023'!$B:$B,'Compilado 2023'!U:U)</f>
        <v>0</v>
      </c>
      <c r="U21" s="106">
        <f>_xlfn.XLOOKUP($B:$B,'Compilado 2023'!$B:$B,'Compilado 2023'!V:V)</f>
        <v>0</v>
      </c>
      <c r="V21" s="57"/>
      <c r="W21" s="106">
        <f>_xlfn.XLOOKUP($B:$B,'Compilado 2023'!$B:$B,'Compilado 2023'!X:X)</f>
        <v>0</v>
      </c>
      <c r="X21" s="106">
        <f>_xlfn.XLOOKUP($B:$B,'Compilado 2023'!$B:$B,'Compilado 2023'!Y:Y)</f>
        <v>0</v>
      </c>
      <c r="Y21" s="106">
        <f>_xlfn.XLOOKUP($B:$B,'Compilado 2023'!$B:$B,'Compilado 2023'!Z:Z)</f>
        <v>0</v>
      </c>
      <c r="Z21" s="38"/>
      <c r="AA21" s="107">
        <f>_xlfn.XLOOKUP($B:$B,'Compilado 2023'!$B:$B,'Compilado 2023'!AA:AA)</f>
        <v>0</v>
      </c>
    </row>
    <row r="22" spans="1:27" s="2" customFormat="1" x14ac:dyDescent="0.2">
      <c r="A22" s="16" t="str">
        <f t="shared" si="0"/>
        <v>quinta-feira</v>
      </c>
      <c r="B22" s="17">
        <f t="shared" si="10"/>
        <v>44945</v>
      </c>
      <c r="C22" s="19">
        <f t="shared" si="5"/>
        <v>48606.590000000004</v>
      </c>
      <c r="D22" s="35">
        <f>_xlfn.XLOOKUP($B:$B,'Compilado 2023'!$B:$B,'Compilado 2023'!D:D)</f>
        <v>48554.23</v>
      </c>
      <c r="E22" s="35">
        <f>_xlfn.XLOOKUP($B:$B,'Compilado 2023'!$B:$B,'Compilado 2023'!E:E)</f>
        <v>52.36</v>
      </c>
      <c r="F22" s="18">
        <f>_xlfn.XLOOKUP($B:$B,'Compilado 2023'!$B:$B,'Compilado 2023'!F:F)</f>
        <v>159</v>
      </c>
      <c r="G22" s="18">
        <f>_xlfn.XLOOKUP($B:$B,'Compilado 2023'!$B:$B,'Compilado 2023'!G:G)</f>
        <v>200</v>
      </c>
      <c r="H22" s="35">
        <f t="shared" si="6"/>
        <v>305.70182389937111</v>
      </c>
      <c r="I22" s="19">
        <f t="shared" si="7"/>
        <v>1120.1429032258063</v>
      </c>
      <c r="J22" s="122">
        <f t="shared" si="8"/>
        <v>43.393204438488993</v>
      </c>
      <c r="K22" s="18">
        <f>_xlfn.XLOOKUP($B:$B,'Compilado 2023'!$B:$B,'Compilado 2023'!K:K)</f>
        <v>10</v>
      </c>
      <c r="L22" s="54">
        <f t="shared" si="9"/>
        <v>15.9</v>
      </c>
      <c r="M22" s="38"/>
      <c r="N22" s="106">
        <f>VLOOKUP($B:$B,'Compilado 2023'!$B:$R,13)</f>
        <v>722.46</v>
      </c>
      <c r="O22" s="106">
        <f>VLOOKUP($B:$B,'Compilado 2023'!$B:$R,14)</f>
        <v>346.07</v>
      </c>
      <c r="P22" s="106">
        <f>VLOOKUP($B:$B,'Compilado 2023'!$B:$R,15)</f>
        <v>0</v>
      </c>
      <c r="Q22" s="106">
        <f>VLOOKUP($B:$B,'Compilado 2023'!$B:$R,16)</f>
        <v>51.612903225806448</v>
      </c>
      <c r="R22" s="106">
        <f>VLOOKUP($B:$B,'Compilado 2023'!$B:$R,17)</f>
        <v>0</v>
      </c>
      <c r="S22" s="106">
        <f>_xlfn.XLOOKUP($B:$B,'Compilado 2023'!$B:$B,'Compilado 2023'!S:S)</f>
        <v>0</v>
      </c>
      <c r="T22" s="106">
        <f>_xlfn.XLOOKUP($B:$B,'Compilado 2023'!$B:$B,'Compilado 2023'!U:U)</f>
        <v>0</v>
      </c>
      <c r="U22" s="106">
        <f>_xlfn.XLOOKUP($B:$B,'Compilado 2023'!$B:$B,'Compilado 2023'!V:V)</f>
        <v>0</v>
      </c>
      <c r="V22" s="57"/>
      <c r="W22" s="106">
        <f>_xlfn.XLOOKUP($B:$B,'Compilado 2023'!$B:$B,'Compilado 2023'!X:X)</f>
        <v>0</v>
      </c>
      <c r="X22" s="106">
        <f>_xlfn.XLOOKUP($B:$B,'Compilado 2023'!$B:$B,'Compilado 2023'!Y:Y)</f>
        <v>0</v>
      </c>
      <c r="Y22" s="106">
        <f>_xlfn.XLOOKUP($B:$B,'Compilado 2023'!$B:$B,'Compilado 2023'!Z:Z)</f>
        <v>0</v>
      </c>
      <c r="Z22" s="38"/>
      <c r="AA22" s="107">
        <f>_xlfn.XLOOKUP($B:$B,'Compilado 2023'!$B:$B,'Compilado 2023'!AA:AA)</f>
        <v>0</v>
      </c>
    </row>
    <row r="23" spans="1:27" s="2" customFormat="1" x14ac:dyDescent="0.2">
      <c r="A23" s="16" t="str">
        <f t="shared" si="0"/>
        <v>sexta-feira</v>
      </c>
      <c r="B23" s="17">
        <f t="shared" si="10"/>
        <v>44946</v>
      </c>
      <c r="C23" s="19">
        <f t="shared" si="5"/>
        <v>47358.7</v>
      </c>
      <c r="D23" s="35">
        <f>_xlfn.XLOOKUP($B:$B,'Compilado 2023'!$B:$B,'Compilado 2023'!D:D)</f>
        <v>47358.7</v>
      </c>
      <c r="E23" s="35">
        <f>_xlfn.XLOOKUP($B:$B,'Compilado 2023'!$B:$B,'Compilado 2023'!E:E)</f>
        <v>0</v>
      </c>
      <c r="F23" s="18">
        <f>_xlfn.XLOOKUP($B:$B,'Compilado 2023'!$B:$B,'Compilado 2023'!F:F)</f>
        <v>156</v>
      </c>
      <c r="G23" s="18">
        <f>_xlfn.XLOOKUP($B:$B,'Compilado 2023'!$B:$B,'Compilado 2023'!G:G)</f>
        <v>186</v>
      </c>
      <c r="H23" s="35">
        <f t="shared" si="6"/>
        <v>303.58141025641027</v>
      </c>
      <c r="I23" s="19">
        <f t="shared" si="7"/>
        <v>1138.8229032258064</v>
      </c>
      <c r="J23" s="122">
        <f t="shared" si="8"/>
        <v>41.585658196592917</v>
      </c>
      <c r="K23" s="18">
        <f>_xlfn.XLOOKUP($B:$B,'Compilado 2023'!$B:$B,'Compilado 2023'!K:K)</f>
        <v>13</v>
      </c>
      <c r="L23" s="54">
        <f t="shared" si="9"/>
        <v>12</v>
      </c>
      <c r="M23" s="38"/>
      <c r="N23" s="106">
        <f>VLOOKUP($B:$B,'Compilado 2023'!$B:$R,13)</f>
        <v>719.38</v>
      </c>
      <c r="O23" s="106">
        <f>VLOOKUP($B:$B,'Compilado 2023'!$B:$R,14)</f>
        <v>367.83</v>
      </c>
      <c r="P23" s="106">
        <f>VLOOKUP($B:$B,'Compilado 2023'!$B:$R,15)</f>
        <v>0</v>
      </c>
      <c r="Q23" s="106">
        <f>VLOOKUP($B:$B,'Compilado 2023'!$B:$R,16)</f>
        <v>51.612903225806448</v>
      </c>
      <c r="R23" s="106">
        <f>VLOOKUP($B:$B,'Compilado 2023'!$B:$R,17)</f>
        <v>0</v>
      </c>
      <c r="S23" s="106">
        <f>_xlfn.XLOOKUP($B:$B,'Compilado 2023'!$B:$B,'Compilado 2023'!S:S)</f>
        <v>0</v>
      </c>
      <c r="T23" s="106">
        <f>_xlfn.XLOOKUP($B:$B,'Compilado 2023'!$B:$B,'Compilado 2023'!U:U)</f>
        <v>0</v>
      </c>
      <c r="U23" s="106">
        <f>_xlfn.XLOOKUP($B:$B,'Compilado 2023'!$B:$B,'Compilado 2023'!V:V)</f>
        <v>0</v>
      </c>
      <c r="V23" s="57"/>
      <c r="W23" s="106">
        <f>_xlfn.XLOOKUP($B:$B,'Compilado 2023'!$B:$B,'Compilado 2023'!X:X)</f>
        <v>0</v>
      </c>
      <c r="X23" s="106">
        <f>_xlfn.XLOOKUP($B:$B,'Compilado 2023'!$B:$B,'Compilado 2023'!Y:Y)</f>
        <v>0</v>
      </c>
      <c r="Y23" s="106">
        <f>_xlfn.XLOOKUP($B:$B,'Compilado 2023'!$B:$B,'Compilado 2023'!Z:Z)</f>
        <v>0</v>
      </c>
      <c r="Z23" s="38"/>
      <c r="AA23" s="107">
        <f>_xlfn.XLOOKUP($B:$B,'Compilado 2023'!$B:$B,'Compilado 2023'!AA:AA)</f>
        <v>0</v>
      </c>
    </row>
    <row r="24" spans="1:27" s="2" customFormat="1" x14ac:dyDescent="0.2">
      <c r="A24" s="16" t="str">
        <f t="shared" si="0"/>
        <v>sábado</v>
      </c>
      <c r="B24" s="17">
        <f t="shared" si="10"/>
        <v>44947</v>
      </c>
      <c r="C24" s="19">
        <f t="shared" si="5"/>
        <v>28997.52</v>
      </c>
      <c r="D24" s="35">
        <f>_xlfn.XLOOKUP($B:$B,'Compilado 2023'!$B:$B,'Compilado 2023'!D:D)</f>
        <v>28997.52</v>
      </c>
      <c r="E24" s="35">
        <f>_xlfn.XLOOKUP($B:$B,'Compilado 2023'!$B:$B,'Compilado 2023'!E:E)</f>
        <v>0</v>
      </c>
      <c r="F24" s="18">
        <f>_xlfn.XLOOKUP($B:$B,'Compilado 2023'!$B:$B,'Compilado 2023'!F:F)</f>
        <v>107</v>
      </c>
      <c r="G24" s="18">
        <f>_xlfn.XLOOKUP($B:$B,'Compilado 2023'!$B:$B,'Compilado 2023'!G:G)</f>
        <v>122</v>
      </c>
      <c r="H24" s="35">
        <f t="shared" si="6"/>
        <v>271.00485981308412</v>
      </c>
      <c r="I24" s="19">
        <f t="shared" si="7"/>
        <v>1247.5429032258064</v>
      </c>
      <c r="J24" s="122">
        <f t="shared" si="8"/>
        <v>23.243705627293703</v>
      </c>
      <c r="K24" s="18">
        <f>_xlfn.XLOOKUP($B:$B,'Compilado 2023'!$B:$B,'Compilado 2023'!K:K)</f>
        <v>9</v>
      </c>
      <c r="L24" s="54">
        <f t="shared" si="9"/>
        <v>11.888888888888889</v>
      </c>
      <c r="M24" s="38"/>
      <c r="N24" s="106">
        <f>VLOOKUP($B:$B,'Compilado 2023'!$B:$R,13)</f>
        <v>738.61</v>
      </c>
      <c r="O24" s="106">
        <f>VLOOKUP($B:$B,'Compilado 2023'!$B:$R,14)</f>
        <v>457.32</v>
      </c>
      <c r="P24" s="106">
        <f>VLOOKUP($B:$B,'Compilado 2023'!$B:$R,15)</f>
        <v>0</v>
      </c>
      <c r="Q24" s="106">
        <f>VLOOKUP($B:$B,'Compilado 2023'!$B:$R,16)</f>
        <v>51.612903225806448</v>
      </c>
      <c r="R24" s="106">
        <f>VLOOKUP($B:$B,'Compilado 2023'!$B:$R,17)</f>
        <v>0</v>
      </c>
      <c r="S24" s="106">
        <f>_xlfn.XLOOKUP($B:$B,'Compilado 2023'!$B:$B,'Compilado 2023'!S:S)</f>
        <v>0</v>
      </c>
      <c r="T24" s="106">
        <f>_xlfn.XLOOKUP($B:$B,'Compilado 2023'!$B:$B,'Compilado 2023'!U:U)</f>
        <v>0</v>
      </c>
      <c r="U24" s="106">
        <f>_xlfn.XLOOKUP($B:$B,'Compilado 2023'!$B:$B,'Compilado 2023'!V:V)</f>
        <v>0</v>
      </c>
      <c r="V24" s="57"/>
      <c r="W24" s="106">
        <f>_xlfn.XLOOKUP($B:$B,'Compilado 2023'!$B:$B,'Compilado 2023'!X:X)</f>
        <v>0</v>
      </c>
      <c r="X24" s="106">
        <f>_xlfn.XLOOKUP($B:$B,'Compilado 2023'!$B:$B,'Compilado 2023'!Y:Y)</f>
        <v>0</v>
      </c>
      <c r="Y24" s="106">
        <f>_xlfn.XLOOKUP($B:$B,'Compilado 2023'!$B:$B,'Compilado 2023'!Z:Z)</f>
        <v>0</v>
      </c>
      <c r="Z24" s="38"/>
      <c r="AA24" s="107">
        <f>_xlfn.XLOOKUP($B:$B,'Compilado 2023'!$B:$B,'Compilado 2023'!AA:AA)</f>
        <v>0</v>
      </c>
    </row>
    <row r="25" spans="1:27" s="2" customFormat="1" x14ac:dyDescent="0.2">
      <c r="A25" s="16" t="str">
        <f t="shared" si="0"/>
        <v>domingo</v>
      </c>
      <c r="B25" s="17">
        <f t="shared" si="10"/>
        <v>44948</v>
      </c>
      <c r="C25" s="19">
        <f t="shared" si="5"/>
        <v>21080.97</v>
      </c>
      <c r="D25" s="35">
        <f>_xlfn.XLOOKUP($B:$B,'Compilado 2023'!$B:$B,'Compilado 2023'!D:D)</f>
        <v>21080.97</v>
      </c>
      <c r="E25" s="35">
        <f>_xlfn.XLOOKUP($B:$B,'Compilado 2023'!$B:$B,'Compilado 2023'!E:E)</f>
        <v>0</v>
      </c>
      <c r="F25" s="18">
        <f>_xlfn.XLOOKUP($B:$B,'Compilado 2023'!$B:$B,'Compilado 2023'!F:F)</f>
        <v>76</v>
      </c>
      <c r="G25" s="18">
        <f>_xlfn.XLOOKUP($B:$B,'Compilado 2023'!$B:$B,'Compilado 2023'!G:G)</f>
        <v>88</v>
      </c>
      <c r="H25" s="35">
        <f t="shared" si="6"/>
        <v>277.38118421052633</v>
      </c>
      <c r="I25" s="19">
        <f t="shared" si="7"/>
        <v>962.9329032258064</v>
      </c>
      <c r="J25" s="122">
        <f t="shared" si="8"/>
        <v>21.892459930883206</v>
      </c>
      <c r="K25" s="18">
        <f>_xlfn.XLOOKUP($B:$B,'Compilado 2023'!$B:$B,'Compilado 2023'!K:K)</f>
        <v>3</v>
      </c>
      <c r="L25" s="54">
        <f t="shared" si="9"/>
        <v>25.333333333333332</v>
      </c>
      <c r="M25" s="38"/>
      <c r="N25" s="106">
        <f>VLOOKUP($B:$B,'Compilado 2023'!$B:$R,13)</f>
        <v>496.73</v>
      </c>
      <c r="O25" s="106">
        <f>VLOOKUP($B:$B,'Compilado 2023'!$B:$R,14)</f>
        <v>414.59</v>
      </c>
      <c r="P25" s="106">
        <f>VLOOKUP($B:$B,'Compilado 2023'!$B:$R,15)</f>
        <v>0</v>
      </c>
      <c r="Q25" s="106">
        <f>VLOOKUP($B:$B,'Compilado 2023'!$B:$R,16)</f>
        <v>51.612903225806448</v>
      </c>
      <c r="R25" s="106">
        <f>VLOOKUP($B:$B,'Compilado 2023'!$B:$R,17)</f>
        <v>0</v>
      </c>
      <c r="S25" s="106">
        <f>_xlfn.XLOOKUP($B:$B,'Compilado 2023'!$B:$B,'Compilado 2023'!S:S)</f>
        <v>0</v>
      </c>
      <c r="T25" s="106">
        <f>_xlfn.XLOOKUP($B:$B,'Compilado 2023'!$B:$B,'Compilado 2023'!U:U)</f>
        <v>0</v>
      </c>
      <c r="U25" s="106">
        <f>_xlfn.XLOOKUP($B:$B,'Compilado 2023'!$B:$B,'Compilado 2023'!V:V)</f>
        <v>0</v>
      </c>
      <c r="V25" s="57"/>
      <c r="W25" s="106">
        <f>_xlfn.XLOOKUP($B:$B,'Compilado 2023'!$B:$B,'Compilado 2023'!X:X)</f>
        <v>0</v>
      </c>
      <c r="X25" s="106">
        <f>_xlfn.XLOOKUP($B:$B,'Compilado 2023'!$B:$B,'Compilado 2023'!Y:Y)</f>
        <v>0</v>
      </c>
      <c r="Y25" s="106">
        <f>_xlfn.XLOOKUP($B:$B,'Compilado 2023'!$B:$B,'Compilado 2023'!Z:Z)</f>
        <v>0</v>
      </c>
      <c r="Z25" s="38"/>
      <c r="AA25" s="107">
        <f>_xlfn.XLOOKUP($B:$B,'Compilado 2023'!$B:$B,'Compilado 2023'!AA:AA)</f>
        <v>0</v>
      </c>
    </row>
    <row r="26" spans="1:27" s="2" customFormat="1" x14ac:dyDescent="0.2">
      <c r="A26" s="16" t="str">
        <f t="shared" si="0"/>
        <v>segunda-feira</v>
      </c>
      <c r="B26" s="17">
        <f t="shared" si="10"/>
        <v>44949</v>
      </c>
      <c r="C26" s="19">
        <f t="shared" si="5"/>
        <v>41285.769999999997</v>
      </c>
      <c r="D26" s="35">
        <f>_xlfn.XLOOKUP($B:$B,'Compilado 2023'!$B:$B,'Compilado 2023'!D:D)</f>
        <v>41285.769999999997</v>
      </c>
      <c r="E26" s="35">
        <f>_xlfn.XLOOKUP($B:$B,'Compilado 2023'!$B:$B,'Compilado 2023'!E:E)</f>
        <v>0</v>
      </c>
      <c r="F26" s="18">
        <f>_xlfn.XLOOKUP($B:$B,'Compilado 2023'!$B:$B,'Compilado 2023'!F:F)</f>
        <v>144</v>
      </c>
      <c r="G26" s="18">
        <f>_xlfn.XLOOKUP($B:$B,'Compilado 2023'!$B:$B,'Compilado 2023'!G:G)</f>
        <v>164</v>
      </c>
      <c r="H26" s="35">
        <f t="shared" si="6"/>
        <v>286.70673611111107</v>
      </c>
      <c r="I26" s="19">
        <f t="shared" si="7"/>
        <v>645.54290322580653</v>
      </c>
      <c r="J26" s="122">
        <f t="shared" si="8"/>
        <v>63.955114050039391</v>
      </c>
      <c r="K26" s="18">
        <f>_xlfn.XLOOKUP($B:$B,'Compilado 2023'!$B:$B,'Compilado 2023'!K:K)</f>
        <v>17</v>
      </c>
      <c r="L26" s="54">
        <f t="shared" si="9"/>
        <v>8.4705882352941178</v>
      </c>
      <c r="M26" s="38"/>
      <c r="N26" s="106">
        <f>VLOOKUP($B:$B,'Compilado 2023'!$B:$R,13)</f>
        <v>353.74</v>
      </c>
      <c r="O26" s="106">
        <f>VLOOKUP($B:$B,'Compilado 2023'!$B:$R,14)</f>
        <v>240.19</v>
      </c>
      <c r="P26" s="106">
        <f>VLOOKUP($B:$B,'Compilado 2023'!$B:$R,15)</f>
        <v>0</v>
      </c>
      <c r="Q26" s="106">
        <f>VLOOKUP($B:$B,'Compilado 2023'!$B:$R,16)</f>
        <v>51.612903225806448</v>
      </c>
      <c r="R26" s="106">
        <f>VLOOKUP($B:$B,'Compilado 2023'!$B:$R,17)</f>
        <v>0</v>
      </c>
      <c r="S26" s="106">
        <f>_xlfn.XLOOKUP($B:$B,'Compilado 2023'!$B:$B,'Compilado 2023'!S:S)</f>
        <v>0</v>
      </c>
      <c r="T26" s="106">
        <f>_xlfn.XLOOKUP($B:$B,'Compilado 2023'!$B:$B,'Compilado 2023'!U:U)</f>
        <v>0</v>
      </c>
      <c r="U26" s="106">
        <f>_xlfn.XLOOKUP($B:$B,'Compilado 2023'!$B:$B,'Compilado 2023'!V:V)</f>
        <v>0</v>
      </c>
      <c r="V26" s="57"/>
      <c r="W26" s="106">
        <f>_xlfn.XLOOKUP($B:$B,'Compilado 2023'!$B:$B,'Compilado 2023'!X:X)</f>
        <v>0</v>
      </c>
      <c r="X26" s="106">
        <f>_xlfn.XLOOKUP($B:$B,'Compilado 2023'!$B:$B,'Compilado 2023'!Y:Y)</f>
        <v>0</v>
      </c>
      <c r="Y26" s="106">
        <f>_xlfn.XLOOKUP($B:$B,'Compilado 2023'!$B:$B,'Compilado 2023'!Z:Z)</f>
        <v>0</v>
      </c>
      <c r="Z26" s="38"/>
      <c r="AA26" s="107">
        <f>_xlfn.XLOOKUP($B:$B,'Compilado 2023'!$B:$B,'Compilado 2023'!AA:AA)</f>
        <v>0</v>
      </c>
    </row>
    <row r="27" spans="1:27" x14ac:dyDescent="0.2">
      <c r="A27" s="16" t="str">
        <f t="shared" si="0"/>
        <v>terça-feira</v>
      </c>
      <c r="B27" s="17">
        <f t="shared" si="10"/>
        <v>44950</v>
      </c>
      <c r="C27" s="19">
        <f t="shared" si="5"/>
        <v>37590.089999999997</v>
      </c>
      <c r="D27" s="35">
        <f>_xlfn.XLOOKUP($B:$B,'Compilado 2023'!$B:$B,'Compilado 2023'!D:D)</f>
        <v>37563.42</v>
      </c>
      <c r="E27" s="35">
        <f>_xlfn.XLOOKUP($B:$B,'Compilado 2023'!$B:$B,'Compilado 2023'!E:E)</f>
        <v>26.67</v>
      </c>
      <c r="F27" s="18">
        <f>_xlfn.XLOOKUP($B:$B,'Compilado 2023'!$B:$B,'Compilado 2023'!F:F)</f>
        <v>139</v>
      </c>
      <c r="G27" s="18">
        <f>_xlfn.XLOOKUP($B:$B,'Compilado 2023'!$B:$B,'Compilado 2023'!G:G)</f>
        <v>155</v>
      </c>
      <c r="H27" s="35">
        <f t="shared" si="6"/>
        <v>270.43230215827333</v>
      </c>
      <c r="I27" s="19">
        <f t="shared" si="7"/>
        <v>649.05290322580652</v>
      </c>
      <c r="J27" s="122">
        <f t="shared" si="8"/>
        <v>57.915294443914298</v>
      </c>
      <c r="K27" s="18">
        <f>_xlfn.XLOOKUP($B:$B,'Compilado 2023'!$B:$B,'Compilado 2023'!K:K)</f>
        <v>15</v>
      </c>
      <c r="L27" s="54">
        <f t="shared" si="9"/>
        <v>9.2666666666666675</v>
      </c>
      <c r="M27" s="38"/>
      <c r="N27" s="106">
        <f>VLOOKUP($B:$B,'Compilado 2023'!$B:$R,13)</f>
        <v>374.54</v>
      </c>
      <c r="O27" s="106">
        <f>VLOOKUP($B:$B,'Compilado 2023'!$B:$R,14)</f>
        <v>222.9</v>
      </c>
      <c r="P27" s="106">
        <f>VLOOKUP($B:$B,'Compilado 2023'!$B:$R,15)</f>
        <v>0</v>
      </c>
      <c r="Q27" s="106">
        <f>VLOOKUP($B:$B,'Compilado 2023'!$B:$R,16)</f>
        <v>51.612903225806448</v>
      </c>
      <c r="R27" s="106">
        <f>VLOOKUP($B:$B,'Compilado 2023'!$B:$R,17)</f>
        <v>0</v>
      </c>
      <c r="S27" s="106">
        <f>_xlfn.XLOOKUP($B:$B,'Compilado 2023'!$B:$B,'Compilado 2023'!S:S)</f>
        <v>0</v>
      </c>
      <c r="T27" s="106">
        <f>_xlfn.XLOOKUP($B:$B,'Compilado 2023'!$B:$B,'Compilado 2023'!U:U)</f>
        <v>0</v>
      </c>
      <c r="U27" s="106">
        <f>_xlfn.XLOOKUP($B:$B,'Compilado 2023'!$B:$B,'Compilado 2023'!V:V)</f>
        <v>0</v>
      </c>
      <c r="V27" s="57"/>
      <c r="W27" s="106">
        <f>_xlfn.XLOOKUP($B:$B,'Compilado 2023'!$B:$B,'Compilado 2023'!X:X)</f>
        <v>0</v>
      </c>
      <c r="X27" s="106">
        <f>_xlfn.XLOOKUP($B:$B,'Compilado 2023'!$B:$B,'Compilado 2023'!Y:Y)</f>
        <v>0</v>
      </c>
      <c r="Y27" s="106">
        <f>_xlfn.XLOOKUP($B:$B,'Compilado 2023'!$B:$B,'Compilado 2023'!Z:Z)</f>
        <v>0</v>
      </c>
      <c r="Z27" s="38"/>
      <c r="AA27" s="107">
        <f>_xlfn.XLOOKUP($B:$B,'Compilado 2023'!$B:$B,'Compilado 2023'!AA:AA)</f>
        <v>0</v>
      </c>
    </row>
    <row r="28" spans="1:27" x14ac:dyDescent="0.2">
      <c r="A28" s="16" t="str">
        <f t="shared" si="0"/>
        <v>quarta-feira</v>
      </c>
      <c r="B28" s="17">
        <f t="shared" si="10"/>
        <v>44951</v>
      </c>
      <c r="C28" s="19">
        <f t="shared" si="5"/>
        <v>30697.73</v>
      </c>
      <c r="D28" s="35">
        <f>_xlfn.XLOOKUP($B:$B,'Compilado 2023'!$B:$B,'Compilado 2023'!D:D)</f>
        <v>30697.73</v>
      </c>
      <c r="E28" s="35">
        <f>_xlfn.XLOOKUP($B:$B,'Compilado 2023'!$B:$B,'Compilado 2023'!E:E)</f>
        <v>0</v>
      </c>
      <c r="F28" s="18">
        <f>_xlfn.XLOOKUP($B:$B,'Compilado 2023'!$B:$B,'Compilado 2023'!F:F)</f>
        <v>119</v>
      </c>
      <c r="G28" s="18">
        <f>_xlfn.XLOOKUP($B:$B,'Compilado 2023'!$B:$B,'Compilado 2023'!G:G)</f>
        <v>135</v>
      </c>
      <c r="H28" s="35">
        <f t="shared" si="6"/>
        <v>257.9641176470588</v>
      </c>
      <c r="I28" s="19">
        <f t="shared" si="7"/>
        <v>674.83290322580649</v>
      </c>
      <c r="J28" s="122">
        <f t="shared" si="8"/>
        <v>45.489379449727579</v>
      </c>
      <c r="K28" s="18">
        <f>_xlfn.XLOOKUP($B:$B,'Compilado 2023'!$B:$B,'Compilado 2023'!K:K)</f>
        <v>8</v>
      </c>
      <c r="L28" s="54">
        <f t="shared" si="9"/>
        <v>14.875</v>
      </c>
      <c r="M28" s="38"/>
      <c r="N28" s="106">
        <f>VLOOKUP($B:$B,'Compilado 2023'!$B:$R,13)</f>
        <v>415.31</v>
      </c>
      <c r="O28" s="106">
        <f>VLOOKUP($B:$B,'Compilado 2023'!$B:$R,14)</f>
        <v>207.91</v>
      </c>
      <c r="P28" s="106">
        <f>VLOOKUP($B:$B,'Compilado 2023'!$B:$R,15)</f>
        <v>0</v>
      </c>
      <c r="Q28" s="106">
        <f>VLOOKUP($B:$B,'Compilado 2023'!$B:$R,16)</f>
        <v>51.612903225806448</v>
      </c>
      <c r="R28" s="106">
        <f>VLOOKUP($B:$B,'Compilado 2023'!$B:$R,17)</f>
        <v>0</v>
      </c>
      <c r="S28" s="106">
        <f>_xlfn.XLOOKUP($B:$B,'Compilado 2023'!$B:$B,'Compilado 2023'!S:S)</f>
        <v>0</v>
      </c>
      <c r="T28" s="106">
        <f>_xlfn.XLOOKUP($B:$B,'Compilado 2023'!$B:$B,'Compilado 2023'!U:U)</f>
        <v>0</v>
      </c>
      <c r="U28" s="106">
        <f>_xlfn.XLOOKUP($B:$B,'Compilado 2023'!$B:$B,'Compilado 2023'!V:V)</f>
        <v>0</v>
      </c>
      <c r="V28" s="57"/>
      <c r="W28" s="106">
        <f>_xlfn.XLOOKUP($B:$B,'Compilado 2023'!$B:$B,'Compilado 2023'!X:X)</f>
        <v>0</v>
      </c>
      <c r="X28" s="106">
        <f>_xlfn.XLOOKUP($B:$B,'Compilado 2023'!$B:$B,'Compilado 2023'!Y:Y)</f>
        <v>0</v>
      </c>
      <c r="Y28" s="106">
        <f>_xlfn.XLOOKUP($B:$B,'Compilado 2023'!$B:$B,'Compilado 2023'!Z:Z)</f>
        <v>0</v>
      </c>
      <c r="Z28" s="38"/>
      <c r="AA28" s="107">
        <f>_xlfn.XLOOKUP($B:$B,'Compilado 2023'!$B:$B,'Compilado 2023'!AA:AA)</f>
        <v>0</v>
      </c>
    </row>
    <row r="29" spans="1:27" s="2" customFormat="1" x14ac:dyDescent="0.2">
      <c r="A29" s="16" t="str">
        <f t="shared" si="0"/>
        <v>quinta-feira</v>
      </c>
      <c r="B29" s="17">
        <f t="shared" si="10"/>
        <v>44952</v>
      </c>
      <c r="C29" s="19">
        <f t="shared" si="5"/>
        <v>43594.71</v>
      </c>
      <c r="D29" s="35">
        <f>_xlfn.XLOOKUP($B:$B,'Compilado 2023'!$B:$B,'Compilado 2023'!D:D)</f>
        <v>43594.71</v>
      </c>
      <c r="E29" s="35">
        <f>_xlfn.XLOOKUP($B:$B,'Compilado 2023'!$B:$B,'Compilado 2023'!E:E)</f>
        <v>0</v>
      </c>
      <c r="F29" s="18">
        <f>_xlfn.XLOOKUP($B:$B,'Compilado 2023'!$B:$B,'Compilado 2023'!F:F)</f>
        <v>157</v>
      </c>
      <c r="G29" s="18">
        <f>_xlfn.XLOOKUP($B:$B,'Compilado 2023'!$B:$B,'Compilado 2023'!G:G)</f>
        <v>186</v>
      </c>
      <c r="H29" s="35">
        <f t="shared" si="6"/>
        <v>277.67331210191082</v>
      </c>
      <c r="I29" s="19">
        <f t="shared" si="7"/>
        <v>1017.0229032258065</v>
      </c>
      <c r="J29" s="122">
        <f t="shared" si="8"/>
        <v>42.865022864013909</v>
      </c>
      <c r="K29" s="18">
        <f>_xlfn.XLOOKUP($B:$B,'Compilado 2023'!$B:$B,'Compilado 2023'!K:K)</f>
        <v>5</v>
      </c>
      <c r="L29" s="54">
        <f t="shared" si="9"/>
        <v>31.4</v>
      </c>
      <c r="M29" s="38"/>
      <c r="N29" s="106">
        <f>VLOOKUP($B:$B,'Compilado 2023'!$B:$R,13)</f>
        <v>556.47</v>
      </c>
      <c r="O29" s="106">
        <f>VLOOKUP($B:$B,'Compilado 2023'!$B:$R,14)</f>
        <v>408.94</v>
      </c>
      <c r="P29" s="106">
        <f>VLOOKUP($B:$B,'Compilado 2023'!$B:$R,15)</f>
        <v>0</v>
      </c>
      <c r="Q29" s="106">
        <f>VLOOKUP($B:$B,'Compilado 2023'!$B:$R,16)</f>
        <v>51.612903225806448</v>
      </c>
      <c r="R29" s="106">
        <f>VLOOKUP($B:$B,'Compilado 2023'!$B:$R,17)</f>
        <v>0</v>
      </c>
      <c r="S29" s="106">
        <f>_xlfn.XLOOKUP($B:$B,'Compilado 2023'!$B:$B,'Compilado 2023'!S:S)</f>
        <v>0</v>
      </c>
      <c r="T29" s="106">
        <f>_xlfn.XLOOKUP($B:$B,'Compilado 2023'!$B:$B,'Compilado 2023'!U:U)</f>
        <v>0</v>
      </c>
      <c r="U29" s="106">
        <f>_xlfn.XLOOKUP($B:$B,'Compilado 2023'!$B:$B,'Compilado 2023'!V:V)</f>
        <v>0</v>
      </c>
      <c r="V29" s="57"/>
      <c r="W29" s="106">
        <f>_xlfn.XLOOKUP($B:$B,'Compilado 2023'!$B:$B,'Compilado 2023'!X:X)</f>
        <v>0</v>
      </c>
      <c r="X29" s="106">
        <f>_xlfn.XLOOKUP($B:$B,'Compilado 2023'!$B:$B,'Compilado 2023'!Y:Y)</f>
        <v>0</v>
      </c>
      <c r="Y29" s="106">
        <f>_xlfn.XLOOKUP($B:$B,'Compilado 2023'!$B:$B,'Compilado 2023'!Z:Z)</f>
        <v>0</v>
      </c>
      <c r="Z29" s="38"/>
      <c r="AA29" s="107">
        <f>_xlfn.XLOOKUP($B:$B,'Compilado 2023'!$B:$B,'Compilado 2023'!AA:AA)</f>
        <v>0</v>
      </c>
    </row>
    <row r="30" spans="1:27" s="2" customFormat="1" x14ac:dyDescent="0.2">
      <c r="A30" s="16" t="str">
        <f t="shared" si="0"/>
        <v>sexta-feira</v>
      </c>
      <c r="B30" s="17">
        <f t="shared" si="10"/>
        <v>44953</v>
      </c>
      <c r="C30" s="19">
        <f t="shared" si="5"/>
        <v>49211.27</v>
      </c>
      <c r="D30" s="35">
        <f>_xlfn.XLOOKUP($B:$B,'Compilado 2023'!$B:$B,'Compilado 2023'!D:D)</f>
        <v>49211.27</v>
      </c>
      <c r="E30" s="35">
        <f>_xlfn.XLOOKUP($B:$B,'Compilado 2023'!$B:$B,'Compilado 2023'!E:E)</f>
        <v>0</v>
      </c>
      <c r="F30" s="18">
        <f>_xlfn.XLOOKUP($B:$B,'Compilado 2023'!$B:$B,'Compilado 2023'!F:F)</f>
        <v>170</v>
      </c>
      <c r="G30" s="18">
        <f>_xlfn.XLOOKUP($B:$B,'Compilado 2023'!$B:$B,'Compilado 2023'!G:G)</f>
        <v>207</v>
      </c>
      <c r="H30" s="35">
        <f t="shared" si="6"/>
        <v>289.47805882352941</v>
      </c>
      <c r="I30" s="19">
        <f t="shared" si="7"/>
        <v>1079.8529032258064</v>
      </c>
      <c r="J30" s="122">
        <f t="shared" si="8"/>
        <v>45.572197706736638</v>
      </c>
      <c r="K30" s="18">
        <f>_xlfn.XLOOKUP($B:$B,'Compilado 2023'!$B:$B,'Compilado 2023'!K:K)</f>
        <v>4</v>
      </c>
      <c r="L30" s="54">
        <f t="shared" si="9"/>
        <v>42.5</v>
      </c>
      <c r="M30" s="38"/>
      <c r="N30" s="106">
        <f>VLOOKUP($B:$B,'Compilado 2023'!$B:$R,13)</f>
        <v>533.99</v>
      </c>
      <c r="O30" s="106">
        <f>VLOOKUP($B:$B,'Compilado 2023'!$B:$R,14)</f>
        <v>494.25</v>
      </c>
      <c r="P30" s="106">
        <f>VLOOKUP($B:$B,'Compilado 2023'!$B:$R,15)</f>
        <v>0</v>
      </c>
      <c r="Q30" s="106">
        <f>VLOOKUP($B:$B,'Compilado 2023'!$B:$R,16)</f>
        <v>51.612903225806448</v>
      </c>
      <c r="R30" s="106">
        <f>VLOOKUP($B:$B,'Compilado 2023'!$B:$R,17)</f>
        <v>0</v>
      </c>
      <c r="S30" s="106">
        <f>_xlfn.XLOOKUP($B:$B,'Compilado 2023'!$B:$B,'Compilado 2023'!S:S)</f>
        <v>0</v>
      </c>
      <c r="T30" s="106">
        <f>_xlfn.XLOOKUP($B:$B,'Compilado 2023'!$B:$B,'Compilado 2023'!U:U)</f>
        <v>0</v>
      </c>
      <c r="U30" s="106">
        <f>_xlfn.XLOOKUP($B:$B,'Compilado 2023'!$B:$B,'Compilado 2023'!V:V)</f>
        <v>0</v>
      </c>
      <c r="V30" s="57"/>
      <c r="W30" s="106">
        <f>_xlfn.XLOOKUP($B:$B,'Compilado 2023'!$B:$B,'Compilado 2023'!X:X)</f>
        <v>0</v>
      </c>
      <c r="X30" s="106">
        <f>_xlfn.XLOOKUP($B:$B,'Compilado 2023'!$B:$B,'Compilado 2023'!Y:Y)</f>
        <v>0</v>
      </c>
      <c r="Y30" s="106">
        <f>_xlfn.XLOOKUP($B:$B,'Compilado 2023'!$B:$B,'Compilado 2023'!Z:Z)</f>
        <v>0</v>
      </c>
      <c r="Z30" s="38"/>
      <c r="AA30" s="107">
        <f>_xlfn.XLOOKUP($B:$B,'Compilado 2023'!$B:$B,'Compilado 2023'!AA:AA)</f>
        <v>0</v>
      </c>
    </row>
    <row r="31" spans="1:27" s="2" customFormat="1" x14ac:dyDescent="0.2">
      <c r="A31" s="16" t="str">
        <f t="shared" si="0"/>
        <v>sábado</v>
      </c>
      <c r="B31" s="17">
        <f t="shared" si="10"/>
        <v>44954</v>
      </c>
      <c r="C31" s="19">
        <f t="shared" si="5"/>
        <v>30886.31</v>
      </c>
      <c r="D31" s="35">
        <f>_xlfn.XLOOKUP($B:$B,'Compilado 2023'!$B:$B,'Compilado 2023'!D:D)</f>
        <v>30886.31</v>
      </c>
      <c r="E31" s="35">
        <f>_xlfn.XLOOKUP($B:$B,'Compilado 2023'!$B:$B,'Compilado 2023'!E:E)</f>
        <v>0</v>
      </c>
      <c r="F31" s="18">
        <f>_xlfn.XLOOKUP($B:$B,'Compilado 2023'!$B:$B,'Compilado 2023'!F:F)</f>
        <v>119</v>
      </c>
      <c r="G31" s="18">
        <f>_xlfn.XLOOKUP($B:$B,'Compilado 2023'!$B:$B,'Compilado 2023'!G:G)</f>
        <v>137</v>
      </c>
      <c r="H31" s="35">
        <f t="shared" si="6"/>
        <v>259.54882352941178</v>
      </c>
      <c r="I31" s="19">
        <f t="shared" si="7"/>
        <v>1102.0029032258062</v>
      </c>
      <c r="J31" s="122">
        <f t="shared" si="8"/>
        <v>28.027430698765802</v>
      </c>
      <c r="K31" s="18">
        <f>_xlfn.XLOOKUP($B:$B,'Compilado 2023'!$B:$B,'Compilado 2023'!K:K)</f>
        <v>2</v>
      </c>
      <c r="L31" s="54">
        <f t="shared" si="9"/>
        <v>59.5</v>
      </c>
      <c r="M31" s="38"/>
      <c r="N31" s="106">
        <f>VLOOKUP($B:$B,'Compilado 2023'!$B:$R,13)</f>
        <v>499.27</v>
      </c>
      <c r="O31" s="106">
        <f>VLOOKUP($B:$B,'Compilado 2023'!$B:$R,14)</f>
        <v>551.12</v>
      </c>
      <c r="P31" s="106">
        <f>VLOOKUP($B:$B,'Compilado 2023'!$B:$R,15)</f>
        <v>0</v>
      </c>
      <c r="Q31" s="106">
        <f>VLOOKUP($B:$B,'Compilado 2023'!$B:$R,16)</f>
        <v>51.612903225806448</v>
      </c>
      <c r="R31" s="106">
        <f>VLOOKUP($B:$B,'Compilado 2023'!$B:$R,17)</f>
        <v>0</v>
      </c>
      <c r="S31" s="106">
        <f>_xlfn.XLOOKUP($B:$B,'Compilado 2023'!$B:$B,'Compilado 2023'!S:S)</f>
        <v>0</v>
      </c>
      <c r="T31" s="106">
        <f>_xlfn.XLOOKUP($B:$B,'Compilado 2023'!$B:$B,'Compilado 2023'!U:U)</f>
        <v>0</v>
      </c>
      <c r="U31" s="106">
        <f>_xlfn.XLOOKUP($B:$B,'Compilado 2023'!$B:$B,'Compilado 2023'!V:V)</f>
        <v>0</v>
      </c>
      <c r="V31" s="57"/>
      <c r="W31" s="106">
        <f>_xlfn.XLOOKUP($B:$B,'Compilado 2023'!$B:$B,'Compilado 2023'!X:X)</f>
        <v>0</v>
      </c>
      <c r="X31" s="106">
        <f>_xlfn.XLOOKUP($B:$B,'Compilado 2023'!$B:$B,'Compilado 2023'!Y:Y)</f>
        <v>0</v>
      </c>
      <c r="Y31" s="106">
        <f>_xlfn.XLOOKUP($B:$B,'Compilado 2023'!$B:$B,'Compilado 2023'!Z:Z)</f>
        <v>0</v>
      </c>
      <c r="Z31" s="38"/>
      <c r="AA31" s="107">
        <f>_xlfn.XLOOKUP($B:$B,'Compilado 2023'!$B:$B,'Compilado 2023'!AA:AA)</f>
        <v>0</v>
      </c>
    </row>
    <row r="32" spans="1:27" s="2" customFormat="1" x14ac:dyDescent="0.2">
      <c r="A32" s="16" t="str">
        <f t="shared" si="0"/>
        <v>domingo</v>
      </c>
      <c r="B32" s="17">
        <f t="shared" si="10"/>
        <v>44955</v>
      </c>
      <c r="C32" s="19">
        <f t="shared" si="5"/>
        <v>34177.75</v>
      </c>
      <c r="D32" s="35">
        <f>_xlfn.XLOOKUP($B:$B,'Compilado 2023'!$B:$B,'Compilado 2023'!D:D)</f>
        <v>34177.75</v>
      </c>
      <c r="E32" s="35">
        <f>_xlfn.XLOOKUP($B:$B,'Compilado 2023'!$B:$B,'Compilado 2023'!E:E)</f>
        <v>0</v>
      </c>
      <c r="F32" s="18">
        <f>_xlfn.XLOOKUP($B:$B,'Compilado 2023'!$B:$B,'Compilado 2023'!F:F)</f>
        <v>112</v>
      </c>
      <c r="G32" s="18">
        <f>_xlfn.XLOOKUP($B:$B,'Compilado 2023'!$B:$B,'Compilado 2023'!G:G)</f>
        <v>137</v>
      </c>
      <c r="H32" s="35">
        <f t="shared" si="6"/>
        <v>305.15848214285717</v>
      </c>
      <c r="I32" s="19">
        <f t="shared" si="7"/>
        <v>907.6829032258064</v>
      </c>
      <c r="J32" s="122">
        <f t="shared" si="8"/>
        <v>37.653843515765239</v>
      </c>
      <c r="K32" s="18">
        <f>_xlfn.XLOOKUP($B:$B,'Compilado 2023'!$B:$B,'Compilado 2023'!K:K)</f>
        <v>4</v>
      </c>
      <c r="L32" s="54">
        <f t="shared" si="9"/>
        <v>28</v>
      </c>
      <c r="M32" s="38"/>
      <c r="N32" s="106">
        <f>VLOOKUP($B:$B,'Compilado 2023'!$B:$R,13)</f>
        <v>380.31</v>
      </c>
      <c r="O32" s="106">
        <f>VLOOKUP($B:$B,'Compilado 2023'!$B:$R,14)</f>
        <v>475.76</v>
      </c>
      <c r="P32" s="106">
        <f>VLOOKUP($B:$B,'Compilado 2023'!$B:$R,15)</f>
        <v>0</v>
      </c>
      <c r="Q32" s="106">
        <f>VLOOKUP($B:$B,'Compilado 2023'!$B:$R,16)</f>
        <v>51.612903225806448</v>
      </c>
      <c r="R32" s="106">
        <f>VLOOKUP($B:$B,'Compilado 2023'!$B:$R,17)</f>
        <v>0</v>
      </c>
      <c r="S32" s="106">
        <f>_xlfn.XLOOKUP($B:$B,'Compilado 2023'!$B:$B,'Compilado 2023'!S:S)</f>
        <v>0</v>
      </c>
      <c r="T32" s="106">
        <f>_xlfn.XLOOKUP($B:$B,'Compilado 2023'!$B:$B,'Compilado 2023'!U:U)</f>
        <v>0</v>
      </c>
      <c r="U32" s="106">
        <f>_xlfn.XLOOKUP($B:$B,'Compilado 2023'!$B:$B,'Compilado 2023'!V:V)</f>
        <v>0</v>
      </c>
      <c r="V32" s="57"/>
      <c r="W32" s="106">
        <f>_xlfn.XLOOKUP($B:$B,'Compilado 2023'!$B:$B,'Compilado 2023'!X:X)</f>
        <v>0</v>
      </c>
      <c r="X32" s="106">
        <f>_xlfn.XLOOKUP($B:$B,'Compilado 2023'!$B:$B,'Compilado 2023'!Y:Y)</f>
        <v>0</v>
      </c>
      <c r="Y32" s="106">
        <f>_xlfn.XLOOKUP($B:$B,'Compilado 2023'!$B:$B,'Compilado 2023'!Z:Z)</f>
        <v>0</v>
      </c>
      <c r="Z32" s="38"/>
      <c r="AA32" s="107">
        <f>_xlfn.XLOOKUP($B:$B,'Compilado 2023'!$B:$B,'Compilado 2023'!AA:AA)</f>
        <v>0</v>
      </c>
    </row>
    <row r="33" spans="1:27" s="2" customFormat="1" x14ac:dyDescent="0.2">
      <c r="A33" s="16" t="str">
        <f t="shared" si="0"/>
        <v>segunda-feira</v>
      </c>
      <c r="B33" s="17">
        <f t="shared" si="10"/>
        <v>44956</v>
      </c>
      <c r="C33" s="19">
        <f t="shared" si="5"/>
        <v>41810.53</v>
      </c>
      <c r="D33" s="35">
        <f>_xlfn.XLOOKUP($B:$B,'Compilado 2023'!$B:$B,'Compilado 2023'!D:D)</f>
        <v>41810.53</v>
      </c>
      <c r="E33" s="35">
        <f>_xlfn.XLOOKUP($B:$B,'Compilado 2023'!$B:$B,'Compilado 2023'!E:E)</f>
        <v>0</v>
      </c>
      <c r="F33" s="18">
        <f>_xlfn.XLOOKUP($B:$B,'Compilado 2023'!$B:$B,'Compilado 2023'!F:F)</f>
        <v>146</v>
      </c>
      <c r="G33" s="18">
        <f>_xlfn.XLOOKUP($B:$B,'Compilado 2023'!$B:$B,'Compilado 2023'!G:G)</f>
        <v>172</v>
      </c>
      <c r="H33" s="35">
        <f t="shared" si="6"/>
        <v>286.37349315068491</v>
      </c>
      <c r="I33" s="19">
        <f t="shared" si="7"/>
        <v>661.97290322580648</v>
      </c>
      <c r="J33" s="122">
        <f t="shared" si="8"/>
        <v>63.160485567092692</v>
      </c>
      <c r="K33" s="18">
        <f>_xlfn.XLOOKUP($B:$B,'Compilado 2023'!$B:$B,'Compilado 2023'!K:K)</f>
        <v>2</v>
      </c>
      <c r="L33" s="54">
        <f t="shared" si="9"/>
        <v>73</v>
      </c>
      <c r="M33" s="38"/>
      <c r="N33" s="106">
        <f>VLOOKUP($B:$B,'Compilado 2023'!$B:$R,13)</f>
        <v>338.42</v>
      </c>
      <c r="O33" s="106">
        <f>VLOOKUP($B:$B,'Compilado 2023'!$B:$R,14)</f>
        <v>271.94</v>
      </c>
      <c r="P33" s="106">
        <f>VLOOKUP($B:$B,'Compilado 2023'!$B:$R,15)</f>
        <v>0</v>
      </c>
      <c r="Q33" s="106">
        <f>VLOOKUP($B:$B,'Compilado 2023'!$B:$R,16)</f>
        <v>51.612903225806448</v>
      </c>
      <c r="R33" s="106">
        <f>VLOOKUP($B:$B,'Compilado 2023'!$B:$R,17)</f>
        <v>0</v>
      </c>
      <c r="S33" s="106">
        <f>_xlfn.XLOOKUP($B:$B,'Compilado 2023'!$B:$B,'Compilado 2023'!S:S)</f>
        <v>0</v>
      </c>
      <c r="T33" s="106">
        <f>_xlfn.XLOOKUP($B:$B,'Compilado 2023'!$B:$B,'Compilado 2023'!U:U)</f>
        <v>0</v>
      </c>
      <c r="U33" s="106">
        <f>_xlfn.XLOOKUP($B:$B,'Compilado 2023'!$B:$B,'Compilado 2023'!V:V)</f>
        <v>0</v>
      </c>
      <c r="V33" s="57"/>
      <c r="W33" s="106">
        <f>_xlfn.XLOOKUP($B:$B,'Compilado 2023'!$B:$B,'Compilado 2023'!X:X)</f>
        <v>0</v>
      </c>
      <c r="X33" s="106">
        <f>_xlfn.XLOOKUP($B:$B,'Compilado 2023'!$B:$B,'Compilado 2023'!Y:Y)</f>
        <v>0</v>
      </c>
      <c r="Y33" s="106">
        <f>_xlfn.XLOOKUP($B:$B,'Compilado 2023'!$B:$B,'Compilado 2023'!Z:Z)</f>
        <v>0</v>
      </c>
      <c r="Z33" s="38"/>
      <c r="AA33" s="107">
        <f>_xlfn.XLOOKUP($B:$B,'Compilado 2023'!$B:$B,'Compilado 2023'!AA:AA)</f>
        <v>0</v>
      </c>
    </row>
    <row r="34" spans="1:27" x14ac:dyDescent="0.2">
      <c r="A34" s="16" t="str">
        <f t="shared" si="0"/>
        <v>terça-feira</v>
      </c>
      <c r="B34" s="17">
        <f t="shared" si="10"/>
        <v>44957</v>
      </c>
      <c r="C34" s="19">
        <f t="shared" si="5"/>
        <v>44914.39</v>
      </c>
      <c r="D34" s="35">
        <f>_xlfn.XLOOKUP($B:$B,'Compilado 2023'!$B:$B,'Compilado 2023'!D:D)</f>
        <v>44892.08</v>
      </c>
      <c r="E34" s="35">
        <f>_xlfn.XLOOKUP($B:$B,'Compilado 2023'!$B:$B,'Compilado 2023'!E:E)</f>
        <v>22.31</v>
      </c>
      <c r="F34" s="18">
        <f>_xlfn.XLOOKUP($B:$B,'Compilado 2023'!$B:$B,'Compilado 2023'!F:F)</f>
        <v>155</v>
      </c>
      <c r="G34" s="18">
        <f>_xlfn.XLOOKUP($B:$B,'Compilado 2023'!$B:$B,'Compilado 2023'!G:G)</f>
        <v>184</v>
      </c>
      <c r="H34" s="35">
        <f t="shared" si="6"/>
        <v>289.7702580645161</v>
      </c>
      <c r="I34" s="19">
        <f t="shared" si="7"/>
        <v>907.77290322580643</v>
      </c>
      <c r="J34" s="122">
        <f t="shared" si="8"/>
        <v>49.477561888435929</v>
      </c>
      <c r="K34" s="18">
        <f>_xlfn.XLOOKUP($B:$B,'Compilado 2023'!$B:$B,'Compilado 2023'!K:K)</f>
        <v>4</v>
      </c>
      <c r="L34" s="54">
        <f t="shared" si="9"/>
        <v>38.75</v>
      </c>
      <c r="M34" s="38"/>
      <c r="N34" s="106">
        <f>VLOOKUP($B:$B,'Compilado 2023'!$B:$R,13)</f>
        <v>596.05999999999995</v>
      </c>
      <c r="O34" s="106">
        <f>VLOOKUP($B:$B,'Compilado 2023'!$B:$R,14)</f>
        <v>260.10000000000002</v>
      </c>
      <c r="P34" s="106">
        <f>VLOOKUP($B:$B,'Compilado 2023'!$B:$R,15)</f>
        <v>0</v>
      </c>
      <c r="Q34" s="106">
        <f>VLOOKUP($B:$B,'Compilado 2023'!$B:$R,16)</f>
        <v>51.612903225806448</v>
      </c>
      <c r="R34" s="106">
        <f>VLOOKUP($B:$B,'Compilado 2023'!$B:$R,17)</f>
        <v>0</v>
      </c>
      <c r="S34" s="106">
        <f>_xlfn.XLOOKUP($B:$B,'Compilado 2023'!$B:$B,'Compilado 2023'!S:S)</f>
        <v>0</v>
      </c>
      <c r="T34" s="106">
        <f>_xlfn.XLOOKUP($B:$B,'Compilado 2023'!$B:$B,'Compilado 2023'!U:U)</f>
        <v>0</v>
      </c>
      <c r="U34" s="106">
        <f>_xlfn.XLOOKUP($B:$B,'Compilado 2023'!$B:$B,'Compilado 2023'!V:V)</f>
        <v>0</v>
      </c>
      <c r="V34" s="57"/>
      <c r="W34" s="106">
        <f>_xlfn.XLOOKUP($B:$B,'Compilado 2023'!$B:$B,'Compilado 2023'!X:X)</f>
        <v>0</v>
      </c>
      <c r="X34" s="106">
        <f>_xlfn.XLOOKUP($B:$B,'Compilado 2023'!$B:$B,'Compilado 2023'!Y:Y)</f>
        <v>0</v>
      </c>
      <c r="Y34" s="106">
        <f>_xlfn.XLOOKUP($B:$B,'Compilado 2023'!$B:$B,'Compilado 2023'!Z:Z)</f>
        <v>0</v>
      </c>
      <c r="Z34" s="38"/>
      <c r="AA34" s="107">
        <f>_xlfn.XLOOKUP($B:$B,'Compilado 2023'!$B:$B,'Compilado 2023'!AA:AA)</f>
        <v>0</v>
      </c>
    </row>
    <row r="35" spans="1:27" s="61" customFormat="1" ht="12" x14ac:dyDescent="0.2">
      <c r="A35" s="90" t="s">
        <v>186</v>
      </c>
      <c r="B35" s="91">
        <f>COUNTA(B4:B33)</f>
        <v>30</v>
      </c>
      <c r="C35" s="92">
        <f>SUM(C4:C34)</f>
        <v>1253345.8</v>
      </c>
      <c r="D35" s="92">
        <f>SUM(D4:D34)</f>
        <v>1253021.2900000003</v>
      </c>
      <c r="E35" s="92">
        <f>SUM(E4:E34)</f>
        <v>324.51000000000005</v>
      </c>
      <c r="F35" s="93">
        <f>SUM(F4:F34)</f>
        <v>4374</v>
      </c>
      <c r="G35" s="93">
        <f>SUM(G4:G34)</f>
        <v>5430</v>
      </c>
      <c r="H35" s="92">
        <f>C35/F35</f>
        <v>286.54453589391863</v>
      </c>
      <c r="I35" s="92">
        <f>SUM(I4:I34)</f>
        <v>27096.82</v>
      </c>
      <c r="J35" s="123">
        <f>C35/I35</f>
        <v>46.254350141455717</v>
      </c>
      <c r="K35" s="93">
        <f>SUM(K4:K34)</f>
        <v>41627</v>
      </c>
      <c r="L35" s="94">
        <f>IFERROR(F35/K35,0)</f>
        <v>0.10507603238282845</v>
      </c>
      <c r="M35" s="95"/>
      <c r="N35" s="92">
        <f t="shared" ref="N35:U35" si="11">SUM(N4:N34)</f>
        <v>16809.219999999998</v>
      </c>
      <c r="O35" s="92">
        <f t="shared" si="11"/>
        <v>8687.5999999999985</v>
      </c>
      <c r="P35" s="92">
        <f t="shared" si="11"/>
        <v>0</v>
      </c>
      <c r="Q35" s="92">
        <f t="shared" si="11"/>
        <v>1599.9999999999989</v>
      </c>
      <c r="R35" s="92">
        <f t="shared" si="11"/>
        <v>0</v>
      </c>
      <c r="S35" s="92">
        <f t="shared" si="11"/>
        <v>0</v>
      </c>
      <c r="T35" s="92">
        <f t="shared" si="11"/>
        <v>0</v>
      </c>
      <c r="U35" s="92">
        <f t="shared" si="11"/>
        <v>0</v>
      </c>
      <c r="V35" s="97">
        <f t="shared" ref="V35:Y35" si="12">SUM(V4:V33)</f>
        <v>0</v>
      </c>
      <c r="W35" s="96">
        <f t="shared" si="12"/>
        <v>0</v>
      </c>
      <c r="X35" s="92">
        <f t="shared" si="12"/>
        <v>0</v>
      </c>
      <c r="Y35" s="92">
        <f t="shared" si="12"/>
        <v>0</v>
      </c>
      <c r="Z35" s="95"/>
      <c r="AA35" s="98"/>
    </row>
    <row r="36" spans="1:27" ht="6.75" customHeight="1" x14ac:dyDescent="0.2">
      <c r="M36" s="21"/>
    </row>
    <row r="37" spans="1:27" s="34" customFormat="1" ht="15.75" x14ac:dyDescent="0.3">
      <c r="A37" s="99" t="str">
        <f>JUN!A38</f>
        <v>Média Junho 2023</v>
      </c>
      <c r="B37" s="100"/>
      <c r="C37" s="101" t="s">
        <v>187</v>
      </c>
      <c r="D37" s="101"/>
      <c r="E37" s="101"/>
      <c r="F37" s="102"/>
      <c r="G37" s="102"/>
      <c r="H37" s="103"/>
      <c r="I37" s="101"/>
      <c r="J37" s="124"/>
      <c r="K37" s="104"/>
      <c r="L37" s="105"/>
      <c r="M37" s="21"/>
      <c r="N37"/>
      <c r="O37"/>
      <c r="P37"/>
      <c r="Q37"/>
      <c r="R37"/>
      <c r="S37"/>
      <c r="T37"/>
      <c r="U37"/>
      <c r="V37"/>
      <c r="W37"/>
      <c r="X37"/>
      <c r="Y37"/>
      <c r="Z37"/>
      <c r="AA37"/>
    </row>
    <row r="38" spans="1:27" s="34" customFormat="1" ht="15.75" x14ac:dyDescent="0.3">
      <c r="A38" s="99" t="str">
        <f>_xlfn.CONCAT("Média ",B2)</f>
        <v>Média Janeiro 2023</v>
      </c>
      <c r="B38" s="100"/>
      <c r="C38" s="101">
        <f>AVERAGE(C4:C34)</f>
        <v>40430.509677419359</v>
      </c>
      <c r="D38" s="101">
        <f>AVERAGE(D4:D34)</f>
        <v>40420.041612903231</v>
      </c>
      <c r="E38" s="101">
        <f>AVERAGE(E4:E34)</f>
        <v>10.468064516129035</v>
      </c>
      <c r="F38" s="102">
        <f>AVERAGE(F4:F34)</f>
        <v>141.09677419354838</v>
      </c>
      <c r="G38" s="102">
        <f>AVERAGE(G4:G34)</f>
        <v>175.16129032258064</v>
      </c>
      <c r="H38" s="103">
        <f>H35</f>
        <v>286.54453589391863</v>
      </c>
      <c r="I38" s="101">
        <f>AVERAGE(I4:I34)</f>
        <v>874.09096774193551</v>
      </c>
      <c r="J38" s="124">
        <f>IFERROR(C38/I38,0)</f>
        <v>46.254350141455717</v>
      </c>
      <c r="K38" s="104">
        <f>AVERAGE(K4:K33)</f>
        <v>1387.4333333333334</v>
      </c>
      <c r="L38" s="105">
        <f>IFERROR(F38/K38,0)</f>
        <v>0.10169625509469407</v>
      </c>
      <c r="M38" s="21"/>
      <c r="N38"/>
      <c r="O38"/>
      <c r="P38"/>
      <c r="Q38"/>
      <c r="R38"/>
      <c r="S38"/>
      <c r="T38"/>
      <c r="U38"/>
      <c r="V38"/>
      <c r="W38"/>
      <c r="X38"/>
      <c r="Y38"/>
      <c r="Z38"/>
      <c r="AA38"/>
    </row>
    <row r="39" spans="1:27" ht="15.75" customHeight="1" x14ac:dyDescent="0.2">
      <c r="M39" s="21"/>
    </row>
    <row r="40" spans="1:27" ht="15.75" customHeight="1" x14ac:dyDescent="0.2">
      <c r="M40" s="21"/>
    </row>
    <row r="41" spans="1:27" ht="14.25" x14ac:dyDescent="0.2">
      <c r="B41" s="223" t="s">
        <v>188</v>
      </c>
      <c r="C41" s="223"/>
      <c r="D41" s="223"/>
      <c r="E41" s="76"/>
      <c r="F41" s="76"/>
      <c r="G41" s="76"/>
      <c r="H41" s="76"/>
      <c r="I41" s="76"/>
      <c r="J41" s="76"/>
      <c r="K41" s="76"/>
      <c r="L41" s="76"/>
      <c r="M41" s="21"/>
    </row>
    <row r="42" spans="1:27" ht="15.75" customHeight="1" x14ac:dyDescent="0.2"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21"/>
    </row>
    <row r="43" spans="1:27" ht="15" thickBot="1" x14ac:dyDescent="0.25">
      <c r="B43" s="77" t="s">
        <v>153</v>
      </c>
      <c r="C43" s="78" t="s">
        <v>75</v>
      </c>
      <c r="D43" s="78" t="s">
        <v>154</v>
      </c>
      <c r="E43" s="78" t="s">
        <v>77</v>
      </c>
      <c r="F43" s="78" t="s">
        <v>78</v>
      </c>
      <c r="G43" s="78" t="s">
        <v>79</v>
      </c>
      <c r="H43" s="78" t="s">
        <v>80</v>
      </c>
      <c r="I43" s="78" t="s">
        <v>81</v>
      </c>
      <c r="J43" s="78" t="s">
        <v>82</v>
      </c>
      <c r="K43" s="78" t="s">
        <v>40</v>
      </c>
      <c r="L43" s="78" t="s">
        <v>83</v>
      </c>
      <c r="M43" s="21"/>
      <c r="N43" s="78" t="s">
        <v>85</v>
      </c>
      <c r="O43" s="78" t="s">
        <v>155</v>
      </c>
      <c r="P43" s="78" t="s">
        <v>87</v>
      </c>
      <c r="Q43" s="78" t="s">
        <v>88</v>
      </c>
      <c r="R43" s="78" t="s">
        <v>89</v>
      </c>
      <c r="S43" s="78" t="s">
        <v>90</v>
      </c>
      <c r="T43" s="78" t="s">
        <v>91</v>
      </c>
      <c r="U43" s="78" t="s">
        <v>92</v>
      </c>
    </row>
    <row r="44" spans="1:27" s="20" customFormat="1" ht="14.25" x14ac:dyDescent="0.2">
      <c r="B44" s="79" t="str">
        <f>_xlfn.CONCAT(_xlfn.XLOOKUP(O1,Referencia!B1:B13,Referencia!C1:C13),"/",P1)</f>
        <v>JAN/2023</v>
      </c>
      <c r="C44" s="80">
        <f>C35</f>
        <v>1253345.8</v>
      </c>
      <c r="D44" s="80">
        <f t="shared" ref="D44:L44" si="13">D35</f>
        <v>1253021.2900000003</v>
      </c>
      <c r="E44" s="80">
        <f t="shared" si="13"/>
        <v>324.51000000000005</v>
      </c>
      <c r="F44" s="81">
        <f t="shared" si="13"/>
        <v>4374</v>
      </c>
      <c r="G44" s="81">
        <f t="shared" si="13"/>
        <v>5430</v>
      </c>
      <c r="H44" s="80">
        <f t="shared" si="13"/>
        <v>286.54453589391863</v>
      </c>
      <c r="I44" s="80">
        <f t="shared" si="13"/>
        <v>27096.82</v>
      </c>
      <c r="J44" s="136">
        <f>IFERROR(C44/I44,0)</f>
        <v>46.254350141455717</v>
      </c>
      <c r="K44" s="81">
        <f t="shared" si="13"/>
        <v>41627</v>
      </c>
      <c r="L44" s="82">
        <f t="shared" si="13"/>
        <v>0.10507603238282845</v>
      </c>
      <c r="M44" s="21"/>
      <c r="N44" s="134">
        <f>N35</f>
        <v>16809.219999999998</v>
      </c>
      <c r="O44" s="134">
        <f t="shared" ref="O44:U44" si="14">O35</f>
        <v>8687.5999999999985</v>
      </c>
      <c r="P44" s="134">
        <f t="shared" si="14"/>
        <v>0</v>
      </c>
      <c r="Q44" s="134">
        <f t="shared" si="14"/>
        <v>1599.9999999999989</v>
      </c>
      <c r="R44" s="134">
        <f t="shared" si="14"/>
        <v>0</v>
      </c>
      <c r="S44" s="134">
        <f t="shared" si="14"/>
        <v>0</v>
      </c>
      <c r="T44" s="134">
        <f t="shared" si="14"/>
        <v>0</v>
      </c>
      <c r="U44" s="134">
        <f t="shared" si="14"/>
        <v>0</v>
      </c>
      <c r="V44" s="134">
        <f t="shared" ref="V44" si="15">V35</f>
        <v>0</v>
      </c>
      <c r="W44"/>
      <c r="X44"/>
      <c r="Y44"/>
      <c r="Z44"/>
      <c r="AA44"/>
    </row>
    <row r="45" spans="1:27" s="206" customFormat="1" ht="14.25" x14ac:dyDescent="0.2">
      <c r="B45" s="138" t="str">
        <f>_xlfn.CONCAT(_xlfn.XLOOKUP(O1,Referencia!B1:B13,Referencia!C1:C13),"/",(P1-1))</f>
        <v>JAN/2022</v>
      </c>
      <c r="C45" s="134">
        <f>SUM(C64:C94)</f>
        <v>734495.29000000015</v>
      </c>
      <c r="D45" s="134">
        <f>SUM(D64:D94)</f>
        <v>734200.77000000014</v>
      </c>
      <c r="E45" s="134">
        <f>SUM(E64:E94)</f>
        <v>294.52000000000004</v>
      </c>
      <c r="F45" s="135">
        <f>SUM(F64:F94)</f>
        <v>2545</v>
      </c>
      <c r="G45" s="135">
        <f>SUM(G64:G94)</f>
        <v>3082</v>
      </c>
      <c r="H45" s="134">
        <f>C45/F45</f>
        <v>288.60325736738707</v>
      </c>
      <c r="I45" s="134">
        <f>SUM(I64:I94)</f>
        <v>19520.620000000003</v>
      </c>
      <c r="J45" s="136">
        <f>IFERROR(C45/I45,0)</f>
        <v>37.626637371149073</v>
      </c>
      <c r="K45" s="135">
        <f>SUM(K64:K94)</f>
        <v>102098</v>
      </c>
      <c r="L45" s="137">
        <f>F45/K45</f>
        <v>2.4927030891888184E-2</v>
      </c>
      <c r="M45" s="207"/>
      <c r="N45" s="134">
        <f>SUM(N64:N94)</f>
        <v>10242.200000000001</v>
      </c>
      <c r="O45" s="134">
        <f t="shared" ref="O45:U45" si="16">SUM(O64:O94)</f>
        <v>7678.42</v>
      </c>
      <c r="P45" s="134">
        <f t="shared" si="16"/>
        <v>0</v>
      </c>
      <c r="Q45" s="134">
        <f t="shared" si="16"/>
        <v>1599.9999999999989</v>
      </c>
      <c r="R45" s="134">
        <f t="shared" si="16"/>
        <v>0</v>
      </c>
      <c r="S45" s="134">
        <f t="shared" si="16"/>
        <v>0</v>
      </c>
      <c r="T45" s="134">
        <f t="shared" si="16"/>
        <v>0</v>
      </c>
      <c r="U45" s="134">
        <f t="shared" si="16"/>
        <v>0</v>
      </c>
      <c r="V45" s="134">
        <f t="shared" ref="V45" si="17">SUM(V64:V94)</f>
        <v>0</v>
      </c>
      <c r="W45" s="204"/>
      <c r="X45" s="204"/>
      <c r="Y45" s="204"/>
      <c r="Z45" s="204"/>
      <c r="AA45" s="204"/>
    </row>
    <row r="46" spans="1:27" s="20" customFormat="1" ht="14.25" x14ac:dyDescent="0.2">
      <c r="B46" s="83"/>
      <c r="C46" s="87">
        <f>C44-C45</f>
        <v>518850.50999999989</v>
      </c>
      <c r="D46" s="87">
        <f t="shared" ref="D46:L46" si="18">D44-D45</f>
        <v>518820.52000000014</v>
      </c>
      <c r="E46" s="87">
        <f t="shared" si="18"/>
        <v>29.990000000000009</v>
      </c>
      <c r="F46" s="88">
        <f t="shared" si="18"/>
        <v>1829</v>
      </c>
      <c r="G46" s="88">
        <f t="shared" si="18"/>
        <v>2348</v>
      </c>
      <c r="H46" s="87">
        <f t="shared" si="18"/>
        <v>-2.058721473468438</v>
      </c>
      <c r="I46" s="87">
        <f t="shared" si="18"/>
        <v>7576.1999999999971</v>
      </c>
      <c r="J46" s="125">
        <f t="shared" si="18"/>
        <v>8.6277127703066441</v>
      </c>
      <c r="K46" s="88">
        <f t="shared" si="18"/>
        <v>-60471</v>
      </c>
      <c r="L46" s="89">
        <f t="shared" si="18"/>
        <v>8.0149001490940258E-2</v>
      </c>
      <c r="M46" s="21"/>
      <c r="N46"/>
      <c r="O46"/>
      <c r="P46"/>
      <c r="Q46"/>
      <c r="R46"/>
      <c r="S46"/>
      <c r="T46"/>
      <c r="U46"/>
      <c r="V46"/>
      <c r="W46"/>
      <c r="X46"/>
      <c r="Y46"/>
      <c r="Z46"/>
      <c r="AA46"/>
    </row>
    <row r="47" spans="1:27" ht="14.25" x14ac:dyDescent="0.2">
      <c r="B47" s="84"/>
      <c r="C47" s="85">
        <f>IFERROR(1-(C45/C44),0)</f>
        <v>0.41397235304095636</v>
      </c>
      <c r="D47" s="85">
        <f t="shared" ref="D47:L47" si="19">IFERROR(1-(D45/D44),0)</f>
        <v>0.41405563029180459</v>
      </c>
      <c r="E47" s="85">
        <f t="shared" si="19"/>
        <v>9.2416258358756331E-2</v>
      </c>
      <c r="F47" s="85">
        <f t="shared" si="19"/>
        <v>0.41815272062185638</v>
      </c>
      <c r="G47" s="85">
        <f t="shared" si="19"/>
        <v>0.43241252302025779</v>
      </c>
      <c r="H47" s="85">
        <f t="shared" si="19"/>
        <v>-7.184647465169558E-3</v>
      </c>
      <c r="I47" s="85">
        <f t="shared" si="19"/>
        <v>0.2795973844901356</v>
      </c>
      <c r="J47" s="85">
        <f t="shared" si="19"/>
        <v>0.18652759673244246</v>
      </c>
      <c r="K47" s="85">
        <f t="shared" si="19"/>
        <v>-1.4526869579840009</v>
      </c>
      <c r="L47" s="85">
        <f t="shared" si="19"/>
        <v>0.76277148721156163</v>
      </c>
      <c r="M47" s="21"/>
    </row>
    <row r="48" spans="1:27" ht="15.75" customHeight="1" x14ac:dyDescent="0.2"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</row>
    <row r="49" spans="1:27" ht="14.25" x14ac:dyDescent="0.2">
      <c r="B49" s="223" t="s">
        <v>189</v>
      </c>
      <c r="C49" s="223"/>
      <c r="D49" s="223"/>
      <c r="E49" s="84"/>
      <c r="F49" s="84"/>
      <c r="G49" s="84"/>
      <c r="H49" s="84"/>
      <c r="I49" s="84"/>
      <c r="J49" s="84"/>
      <c r="K49" s="84"/>
      <c r="L49" s="84"/>
      <c r="M49" s="21"/>
    </row>
    <row r="50" spans="1:27" ht="15" thickBot="1" x14ac:dyDescent="0.25">
      <c r="B50" s="77" t="s">
        <v>153</v>
      </c>
      <c r="C50" s="78" t="s">
        <v>75</v>
      </c>
      <c r="D50" s="78" t="s">
        <v>154</v>
      </c>
      <c r="E50" s="78" t="s">
        <v>77</v>
      </c>
      <c r="F50" s="78" t="s">
        <v>78</v>
      </c>
      <c r="G50" s="78" t="s">
        <v>79</v>
      </c>
      <c r="H50" s="78" t="s">
        <v>80</v>
      </c>
      <c r="I50" s="78" t="s">
        <v>81</v>
      </c>
      <c r="J50" s="78" t="s">
        <v>82</v>
      </c>
      <c r="K50" s="78" t="s">
        <v>40</v>
      </c>
      <c r="L50" s="78" t="s">
        <v>83</v>
      </c>
      <c r="M50" s="21"/>
      <c r="N50" s="78" t="s">
        <v>85</v>
      </c>
      <c r="O50" s="78" t="s">
        <v>155</v>
      </c>
      <c r="P50" s="78" t="s">
        <v>87</v>
      </c>
      <c r="Q50" s="78" t="s">
        <v>88</v>
      </c>
      <c r="R50" s="78" t="s">
        <v>89</v>
      </c>
      <c r="S50" s="78" t="s">
        <v>90</v>
      </c>
      <c r="T50" s="78" t="s">
        <v>91</v>
      </c>
      <c r="U50" s="78" t="s">
        <v>92</v>
      </c>
    </row>
    <row r="51" spans="1:27" ht="14.25" x14ac:dyDescent="0.2">
      <c r="B51" s="79" t="str">
        <f>B44</f>
        <v>JAN/2023</v>
      </c>
      <c r="C51" s="80">
        <f>C44</f>
        <v>1253345.8</v>
      </c>
      <c r="D51" s="80">
        <f t="shared" ref="D51:U51" si="20">D44</f>
        <v>1253021.2900000003</v>
      </c>
      <c r="E51" s="80">
        <f t="shared" si="20"/>
        <v>324.51000000000005</v>
      </c>
      <c r="F51" s="81">
        <f t="shared" si="20"/>
        <v>4374</v>
      </c>
      <c r="G51" s="81">
        <f t="shared" si="20"/>
        <v>5430</v>
      </c>
      <c r="H51" s="80">
        <f t="shared" si="20"/>
        <v>286.54453589391863</v>
      </c>
      <c r="I51" s="80">
        <f t="shared" si="20"/>
        <v>27096.82</v>
      </c>
      <c r="J51" s="118">
        <f t="shared" si="20"/>
        <v>46.254350141455717</v>
      </c>
      <c r="K51" s="81">
        <f t="shared" si="20"/>
        <v>41627</v>
      </c>
      <c r="L51" s="82">
        <f t="shared" si="20"/>
        <v>0.10507603238282845</v>
      </c>
      <c r="M51" s="21"/>
      <c r="N51" s="80">
        <f t="shared" si="20"/>
        <v>16809.219999999998</v>
      </c>
      <c r="O51" s="80">
        <f t="shared" si="20"/>
        <v>8687.5999999999985</v>
      </c>
      <c r="P51" s="80">
        <f t="shared" si="20"/>
        <v>0</v>
      </c>
      <c r="Q51" s="80">
        <f t="shared" si="20"/>
        <v>1599.9999999999989</v>
      </c>
      <c r="R51" s="80">
        <f t="shared" si="20"/>
        <v>0</v>
      </c>
      <c r="S51" s="80">
        <f t="shared" si="20"/>
        <v>0</v>
      </c>
      <c r="T51" s="80">
        <f t="shared" si="20"/>
        <v>0</v>
      </c>
      <c r="U51" s="80">
        <f t="shared" si="20"/>
        <v>0</v>
      </c>
    </row>
    <row r="52" spans="1:27" s="204" customFormat="1" ht="14.25" x14ac:dyDescent="0.2">
      <c r="B52" s="138" t="s">
        <v>190</v>
      </c>
      <c r="C52" s="134">
        <f>DEZ!C45</f>
        <v>3470256.77</v>
      </c>
      <c r="D52" s="134">
        <f>DEZ!D45</f>
        <v>3469620.04</v>
      </c>
      <c r="E52" s="134">
        <f>DEZ!E45</f>
        <v>636.73</v>
      </c>
      <c r="F52" s="135">
        <f>DEZ!F45</f>
        <v>10887</v>
      </c>
      <c r="G52" s="135">
        <f>DEZ!G45</f>
        <v>14826</v>
      </c>
      <c r="H52" s="134">
        <f>DEZ!H45</f>
        <v>318.75234408009555</v>
      </c>
      <c r="I52" s="134">
        <f>DEZ!I45</f>
        <v>37063.610000000008</v>
      </c>
      <c r="J52" s="136">
        <f>DEZ!J45</f>
        <v>93.629756248784162</v>
      </c>
      <c r="K52" s="135">
        <f>DEZ!K45</f>
        <v>169385</v>
      </c>
      <c r="L52" s="137">
        <f>DEZ!L45</f>
        <v>6.4273696017947274E-2</v>
      </c>
      <c r="M52" s="205">
        <f>DEZ!M45</f>
        <v>0</v>
      </c>
      <c r="N52" s="134">
        <f>DEZ!N45</f>
        <v>24316.789999999994</v>
      </c>
      <c r="O52" s="134">
        <f>DEZ!O45</f>
        <v>11146.819999999998</v>
      </c>
      <c r="P52" s="134">
        <f>DEZ!P45</f>
        <v>0</v>
      </c>
      <c r="Q52" s="134">
        <f>DEZ!Q45</f>
        <v>1599.9999999999989</v>
      </c>
      <c r="R52" s="134">
        <f>DEZ!R45</f>
        <v>0</v>
      </c>
      <c r="S52" s="134">
        <f>DEZ!S45</f>
        <v>0</v>
      </c>
      <c r="T52" s="134">
        <f>DEZ!T45</f>
        <v>0</v>
      </c>
      <c r="U52" s="134">
        <f>DEZ!U45</f>
        <v>0</v>
      </c>
    </row>
    <row r="53" spans="1:27" ht="14.25" x14ac:dyDescent="0.2">
      <c r="B53" s="83"/>
      <c r="C53" s="87">
        <f t="shared" ref="C53:L53" si="21">C51-C52</f>
        <v>-2216910.9699999997</v>
      </c>
      <c r="D53" s="87">
        <f t="shared" si="21"/>
        <v>-2216598.75</v>
      </c>
      <c r="E53" s="87">
        <f t="shared" si="21"/>
        <v>-312.21999999999997</v>
      </c>
      <c r="F53" s="88">
        <f t="shared" si="21"/>
        <v>-6513</v>
      </c>
      <c r="G53" s="88">
        <f t="shared" si="21"/>
        <v>-9396</v>
      </c>
      <c r="H53" s="87">
        <f t="shared" si="21"/>
        <v>-32.207808186176919</v>
      </c>
      <c r="I53" s="87">
        <f t="shared" si="21"/>
        <v>-9966.7900000000081</v>
      </c>
      <c r="J53" s="125">
        <f t="shared" si="21"/>
        <v>-47.375406107328445</v>
      </c>
      <c r="K53" s="88">
        <f t="shared" si="21"/>
        <v>-127758</v>
      </c>
      <c r="L53" s="89">
        <f t="shared" si="21"/>
        <v>4.0802336364881175E-2</v>
      </c>
      <c r="M53" s="21"/>
      <c r="N53" s="87">
        <f t="shared" ref="N53:U53" si="22">IFERROR(N51-N52,0)</f>
        <v>-7507.5699999999961</v>
      </c>
      <c r="O53" s="87">
        <f t="shared" si="22"/>
        <v>-2459.2199999999993</v>
      </c>
      <c r="P53" s="87">
        <f t="shared" si="22"/>
        <v>0</v>
      </c>
      <c r="Q53" s="87">
        <f t="shared" si="22"/>
        <v>0</v>
      </c>
      <c r="R53" s="87">
        <f t="shared" si="22"/>
        <v>0</v>
      </c>
      <c r="S53" s="87">
        <f t="shared" si="22"/>
        <v>0</v>
      </c>
      <c r="T53" s="87">
        <f t="shared" si="22"/>
        <v>0</v>
      </c>
      <c r="U53" s="87">
        <f t="shared" si="22"/>
        <v>0</v>
      </c>
    </row>
    <row r="54" spans="1:27" ht="14.25" x14ac:dyDescent="0.2">
      <c r="B54" s="84"/>
      <c r="C54" s="85">
        <f>IFERROR(1-(C52/C51),0)</f>
        <v>-1.7687943502902392</v>
      </c>
      <c r="D54" s="85">
        <f t="shared" ref="D54:L54" si="23">IFERROR(1-(D52/D51),0)</f>
        <v>-1.7690032625064172</v>
      </c>
      <c r="E54" s="85">
        <f t="shared" si="23"/>
        <v>-0.9621275153308062</v>
      </c>
      <c r="F54" s="85">
        <f t="shared" si="23"/>
        <v>-1.4890260631001371</v>
      </c>
      <c r="G54" s="85">
        <f t="shared" si="23"/>
        <v>-1.7303867403314919</v>
      </c>
      <c r="H54" s="85">
        <f t="shared" si="23"/>
        <v>-0.11240070617888365</v>
      </c>
      <c r="I54" s="85">
        <f t="shared" si="23"/>
        <v>-0.36782139011145998</v>
      </c>
      <c r="J54" s="85">
        <f t="shared" si="23"/>
        <v>-1.0242367682703204</v>
      </c>
      <c r="K54" s="85">
        <f t="shared" si="23"/>
        <v>-3.0691137963341104</v>
      </c>
      <c r="L54" s="85">
        <f t="shared" si="23"/>
        <v>0.38831249562435044</v>
      </c>
      <c r="M54" s="21"/>
      <c r="N54" s="85">
        <f t="shared" ref="N54:U54" si="24">IFERROR(1-(N52/N51),0)</f>
        <v>-0.44663404964656284</v>
      </c>
      <c r="O54" s="85">
        <f t="shared" si="24"/>
        <v>-0.2830724250656107</v>
      </c>
      <c r="P54" s="85">
        <f t="shared" si="24"/>
        <v>0</v>
      </c>
      <c r="Q54" s="85">
        <f t="shared" si="24"/>
        <v>0</v>
      </c>
      <c r="R54" s="85">
        <f t="shared" si="24"/>
        <v>0</v>
      </c>
      <c r="S54" s="85">
        <f t="shared" si="24"/>
        <v>0</v>
      </c>
      <c r="T54" s="85">
        <f t="shared" si="24"/>
        <v>0</v>
      </c>
      <c r="U54" s="85">
        <f t="shared" si="24"/>
        <v>0</v>
      </c>
    </row>
    <row r="55" spans="1:27" ht="14.25" x14ac:dyDescent="0.2">
      <c r="M55" s="21"/>
    </row>
    <row r="56" spans="1:27" x14ac:dyDescent="0.2">
      <c r="M56" s="39"/>
      <c r="V56" s="59"/>
      <c r="Z56" s="39"/>
    </row>
    <row r="57" spans="1:27" x14ac:dyDescent="0.2">
      <c r="B57" s="223" t="s">
        <v>191</v>
      </c>
      <c r="C57" s="223"/>
      <c r="D57" s="223"/>
      <c r="E57" s="84"/>
      <c r="F57" s="84"/>
      <c r="G57" s="84"/>
      <c r="H57" s="84"/>
      <c r="I57" s="84"/>
      <c r="J57" s="84"/>
      <c r="K57" s="84"/>
      <c r="L57" s="84"/>
      <c r="M57" s="150"/>
    </row>
    <row r="58" spans="1:27" ht="13.5" thickBot="1" x14ac:dyDescent="0.25">
      <c r="B58" s="77" t="s">
        <v>153</v>
      </c>
      <c r="C58" s="78" t="s">
        <v>75</v>
      </c>
      <c r="D58" s="78" t="s">
        <v>154</v>
      </c>
      <c r="E58" s="78" t="s">
        <v>77</v>
      </c>
      <c r="F58" s="78" t="s">
        <v>78</v>
      </c>
      <c r="G58" s="78" t="s">
        <v>79</v>
      </c>
      <c r="H58" s="78" t="s">
        <v>80</v>
      </c>
      <c r="I58" s="78" t="s">
        <v>81</v>
      </c>
      <c r="J58" s="78" t="s">
        <v>82</v>
      </c>
      <c r="K58" s="78" t="s">
        <v>40</v>
      </c>
      <c r="L58" s="78" t="s">
        <v>83</v>
      </c>
      <c r="M58" s="150"/>
      <c r="N58" s="78" t="s">
        <v>85</v>
      </c>
      <c r="O58" s="78" t="s">
        <v>155</v>
      </c>
      <c r="P58" s="78" t="s">
        <v>87</v>
      </c>
      <c r="Q58" s="78" t="s">
        <v>88</v>
      </c>
      <c r="R58" s="78" t="s">
        <v>89</v>
      </c>
      <c r="S58" s="78" t="s">
        <v>90</v>
      </c>
      <c r="T58" s="78" t="s">
        <v>91</v>
      </c>
      <c r="U58" s="78" t="s">
        <v>92</v>
      </c>
    </row>
    <row r="59" spans="1:27" x14ac:dyDescent="0.2">
      <c r="B59" s="79" t="str">
        <f>B52</f>
        <v>DEZ/2022</v>
      </c>
      <c r="C59" s="80">
        <f>C44</f>
        <v>1253345.8</v>
      </c>
      <c r="D59" s="80">
        <f t="shared" ref="D59:L59" si="25">D51</f>
        <v>1253021.2900000003</v>
      </c>
      <c r="E59" s="80">
        <f t="shared" si="25"/>
        <v>324.51000000000005</v>
      </c>
      <c r="F59" s="81">
        <f t="shared" si="25"/>
        <v>4374</v>
      </c>
      <c r="G59" s="81">
        <f t="shared" si="25"/>
        <v>5430</v>
      </c>
      <c r="H59" s="80">
        <f t="shared" si="25"/>
        <v>286.54453589391863</v>
      </c>
      <c r="I59" s="80">
        <f t="shared" si="25"/>
        <v>27096.82</v>
      </c>
      <c r="J59" s="118">
        <f t="shared" si="25"/>
        <v>46.254350141455717</v>
      </c>
      <c r="K59" s="81">
        <f t="shared" si="25"/>
        <v>41627</v>
      </c>
      <c r="L59" s="82">
        <f t="shared" si="25"/>
        <v>0.10507603238282845</v>
      </c>
      <c r="M59" s="150"/>
      <c r="N59" s="80">
        <f t="shared" ref="N59:U59" si="26">N51</f>
        <v>16809.219999999998</v>
      </c>
      <c r="O59" s="80">
        <f t="shared" si="26"/>
        <v>8687.5999999999985</v>
      </c>
      <c r="P59" s="80">
        <f t="shared" si="26"/>
        <v>0</v>
      </c>
      <c r="Q59" s="80">
        <f t="shared" si="26"/>
        <v>1599.9999999999989</v>
      </c>
      <c r="R59" s="80">
        <f t="shared" si="26"/>
        <v>0</v>
      </c>
      <c r="S59" s="80">
        <f t="shared" si="26"/>
        <v>0</v>
      </c>
      <c r="T59" s="80">
        <f t="shared" si="26"/>
        <v>0</v>
      </c>
      <c r="U59" s="80">
        <f t="shared" si="26"/>
        <v>0</v>
      </c>
    </row>
    <row r="60" spans="1:27" ht="14.25" x14ac:dyDescent="0.2">
      <c r="A60" s="128">
        <f ca="1">TODAY()</f>
        <v>45834</v>
      </c>
      <c r="B60" s="138" t="str">
        <f>B45</f>
        <v>JAN/2022</v>
      </c>
      <c r="C60" s="134">
        <f t="shared" ref="C60:K60" ca="1" si="27">SUMIF($A$64:$A$94,"Realizado",C64:C94)</f>
        <v>734495.29000000015</v>
      </c>
      <c r="D60" s="134">
        <f t="shared" ca="1" si="27"/>
        <v>734200.77000000014</v>
      </c>
      <c r="E60" s="134">
        <f t="shared" ca="1" si="27"/>
        <v>294.52000000000004</v>
      </c>
      <c r="F60" s="135">
        <f t="shared" ca="1" si="27"/>
        <v>2545</v>
      </c>
      <c r="G60" s="135">
        <f t="shared" ca="1" si="27"/>
        <v>3082</v>
      </c>
      <c r="H60" s="134">
        <f ca="1">C60/F60</f>
        <v>288.60325736738707</v>
      </c>
      <c r="I60" s="134">
        <f t="shared" ca="1" si="27"/>
        <v>19520.620000000003</v>
      </c>
      <c r="J60" s="136">
        <f ca="1">C60/I60</f>
        <v>37.626637371149073</v>
      </c>
      <c r="K60" s="135">
        <f t="shared" ca="1" si="27"/>
        <v>102098</v>
      </c>
      <c r="L60" s="137">
        <f ca="1">F60/K60</f>
        <v>2.4927030891888184E-2</v>
      </c>
      <c r="M60" s="21"/>
      <c r="N60" s="134">
        <f t="shared" ref="N60:U60" ca="1" si="28">SUMIF($A$64:$A$94,"Realizado",N64:N94)</f>
        <v>10242.200000000001</v>
      </c>
      <c r="O60" s="134">
        <f ca="1">SUMIF($A$64:$A$94,"Realizado",O64:O94)</f>
        <v>7678.42</v>
      </c>
      <c r="P60" s="134">
        <f t="shared" ca="1" si="28"/>
        <v>0</v>
      </c>
      <c r="Q60" s="134">
        <f t="shared" ca="1" si="28"/>
        <v>1599.9999999999989</v>
      </c>
      <c r="R60" s="134">
        <f t="shared" ca="1" si="28"/>
        <v>0</v>
      </c>
      <c r="S60" s="134">
        <f t="shared" ca="1" si="28"/>
        <v>0</v>
      </c>
      <c r="T60" s="134">
        <f t="shared" ca="1" si="28"/>
        <v>0</v>
      </c>
      <c r="U60" s="134">
        <f t="shared" ca="1" si="28"/>
        <v>0</v>
      </c>
    </row>
    <row r="61" spans="1:27" x14ac:dyDescent="0.2">
      <c r="B61" s="83"/>
      <c r="C61" s="87">
        <f ca="1">IFERROR(C59-C60,0)</f>
        <v>518850.50999999989</v>
      </c>
      <c r="D61" s="87">
        <f t="shared" ref="D61:L61" ca="1" si="29">IFERROR(D59-D60,0)</f>
        <v>518820.52000000014</v>
      </c>
      <c r="E61" s="87">
        <f t="shared" ca="1" si="29"/>
        <v>29.990000000000009</v>
      </c>
      <c r="F61" s="88">
        <f t="shared" ca="1" si="29"/>
        <v>1829</v>
      </c>
      <c r="G61" s="88">
        <f t="shared" ca="1" si="29"/>
        <v>2348</v>
      </c>
      <c r="H61" s="87">
        <f t="shared" ca="1" si="29"/>
        <v>-2.058721473468438</v>
      </c>
      <c r="I61" s="87">
        <f t="shared" ca="1" si="29"/>
        <v>7576.1999999999971</v>
      </c>
      <c r="J61" s="125">
        <f t="shared" ca="1" si="29"/>
        <v>8.6277127703066441</v>
      </c>
      <c r="K61" s="88">
        <f t="shared" ca="1" si="29"/>
        <v>-60471</v>
      </c>
      <c r="L61" s="89">
        <f t="shared" ca="1" si="29"/>
        <v>8.0149001490940258E-2</v>
      </c>
      <c r="M61" s="150"/>
      <c r="N61" s="87">
        <f t="shared" ref="N61:U61" ca="1" si="30">IFERROR(N59-N60,0)</f>
        <v>6567.0199999999968</v>
      </c>
      <c r="O61" s="87">
        <f t="shared" ca="1" si="30"/>
        <v>1009.1799999999985</v>
      </c>
      <c r="P61" s="87">
        <f t="shared" ca="1" si="30"/>
        <v>0</v>
      </c>
      <c r="Q61" s="87">
        <f t="shared" ca="1" si="30"/>
        <v>0</v>
      </c>
      <c r="R61" s="87">
        <f t="shared" ca="1" si="30"/>
        <v>0</v>
      </c>
      <c r="S61" s="87">
        <f t="shared" ca="1" si="30"/>
        <v>0</v>
      </c>
      <c r="T61" s="87">
        <f t="shared" ca="1" si="30"/>
        <v>0</v>
      </c>
      <c r="U61" s="87">
        <f t="shared" ca="1" si="30"/>
        <v>0</v>
      </c>
    </row>
    <row r="62" spans="1:27" x14ac:dyDescent="0.2">
      <c r="B62" s="84"/>
      <c r="C62" s="85">
        <f ca="1">IFERROR(1-(C60/C59),0)</f>
        <v>0.41397235304095636</v>
      </c>
      <c r="D62" s="85">
        <f t="shared" ref="D62:L62" ca="1" si="31">IFERROR(1-(D60/D59),0)</f>
        <v>0.41405563029180459</v>
      </c>
      <c r="E62" s="85">
        <f t="shared" ca="1" si="31"/>
        <v>9.2416258358756331E-2</v>
      </c>
      <c r="F62" s="85">
        <f t="shared" ca="1" si="31"/>
        <v>0.41815272062185638</v>
      </c>
      <c r="G62" s="85">
        <f t="shared" ca="1" si="31"/>
        <v>0.43241252302025779</v>
      </c>
      <c r="H62" s="85">
        <f t="shared" ca="1" si="31"/>
        <v>-7.184647465169558E-3</v>
      </c>
      <c r="I62" s="85">
        <f t="shared" ca="1" si="31"/>
        <v>0.2795973844901356</v>
      </c>
      <c r="J62" s="85">
        <f t="shared" ca="1" si="31"/>
        <v>0.18652759673244246</v>
      </c>
      <c r="K62" s="85">
        <f t="shared" ca="1" si="31"/>
        <v>-1.4526869579840009</v>
      </c>
      <c r="L62" s="85">
        <f t="shared" ca="1" si="31"/>
        <v>0.76277148721156163</v>
      </c>
      <c r="M62" s="150"/>
      <c r="N62" s="85">
        <f t="shared" ref="N62:U62" ca="1" si="32">IFERROR(1-(N60/N59),0)</f>
        <v>0.39067963891245383</v>
      </c>
      <c r="O62" s="85">
        <f t="shared" ca="1" si="32"/>
        <v>0.11616326718541359</v>
      </c>
      <c r="P62" s="85">
        <f t="shared" ca="1" si="32"/>
        <v>0</v>
      </c>
      <c r="Q62" s="85">
        <f t="shared" ca="1" si="32"/>
        <v>0</v>
      </c>
      <c r="R62" s="85">
        <f t="shared" ca="1" si="32"/>
        <v>0</v>
      </c>
      <c r="S62" s="85">
        <f t="shared" ca="1" si="32"/>
        <v>0</v>
      </c>
      <c r="T62" s="85">
        <f t="shared" ca="1" si="32"/>
        <v>0</v>
      </c>
      <c r="U62" s="85">
        <f t="shared" ca="1" si="32"/>
        <v>0</v>
      </c>
    </row>
    <row r="63" spans="1:27" x14ac:dyDescent="0.2">
      <c r="A63" s="128">
        <f ca="1">TODAY()</f>
        <v>45834</v>
      </c>
      <c r="C63">
        <f ca="1">MONTH(A63)</f>
        <v>6</v>
      </c>
      <c r="M63" s="148"/>
      <c r="V63" s="59"/>
      <c r="Z63" s="39"/>
    </row>
    <row r="64" spans="1:27" hidden="1" x14ac:dyDescent="0.2">
      <c r="A64" s="17" t="str">
        <f t="shared" ref="A64:A68" ca="1" si="33">IF($A$63&lt;=AA64,"Previsto","Realizado")</f>
        <v>Realizado</v>
      </c>
      <c r="B64" s="17">
        <v>44562</v>
      </c>
      <c r="C64" s="19">
        <f t="shared" ref="C64:C94" si="34">D64+E64</f>
        <v>5604.5</v>
      </c>
      <c r="D64" s="35">
        <f>_xlfn.XLOOKUP($B:$B,'Compilado 2023'!$B:$B,'Compilado 2023'!D:D)</f>
        <v>5604.5</v>
      </c>
      <c r="E64" s="35">
        <f>_xlfn.XLOOKUP($B:$B,'Compilado 2023'!$B:$B,'Compilado 2023'!E:E)</f>
        <v>0</v>
      </c>
      <c r="F64" s="18">
        <f>_xlfn.XLOOKUP($B:$B,'Compilado 2023'!$B:$B,'Compilado 2023'!F:F)</f>
        <v>16</v>
      </c>
      <c r="G64" s="18">
        <f>_xlfn.XLOOKUP($B:$B,'Compilado 2023'!$B:$B,'Compilado 2023'!G:G)</f>
        <v>20</v>
      </c>
      <c r="H64" s="35">
        <f t="shared" ref="H64:H94" si="35">IFERROR(C64/F64,0)</f>
        <v>350.28125</v>
      </c>
      <c r="I64" s="19">
        <f t="shared" ref="I64:I94" si="36">SUM(N64:U64)</f>
        <v>608.5729032258065</v>
      </c>
      <c r="J64" s="122">
        <f t="shared" ref="J64:J94" si="37">IF(I64&gt;0,C64/I64,0)</f>
        <v>9.2092499851582961</v>
      </c>
      <c r="K64" s="18">
        <f>_xlfn.XLOOKUP($B:$B,'Compilado 2023'!$B:$B,'Compilado 2023'!K:K)</f>
        <v>1451</v>
      </c>
      <c r="L64" s="54">
        <f t="shared" ref="L64:L94" si="38">IFERROR(F64/K64,0)</f>
        <v>1.1026878015161957E-2</v>
      </c>
      <c r="M64" s="149"/>
      <c r="N64" s="106">
        <f>_xlfn.XLOOKUP($B:$B,'Compilado 2023'!$B:$B,'Compilado 2023'!N:N)</f>
        <v>301.44</v>
      </c>
      <c r="O64" s="106">
        <f>_xlfn.XLOOKUP($B:$B,'Compilado 2023'!$B:$B,'Compilado 2023'!O:O)</f>
        <v>255.52</v>
      </c>
      <c r="P64" s="106">
        <f>_xlfn.XLOOKUP($B:$B,'Compilado 2023'!$B:$B,'Compilado 2023'!P:P)</f>
        <v>0</v>
      </c>
      <c r="Q64" s="106">
        <f>_xlfn.XLOOKUP($B:$B,'Compilado 2023'!$B:$B,'Compilado 2023'!Q:Q)</f>
        <v>51.612903225806448</v>
      </c>
      <c r="R64" s="106">
        <f>_xlfn.XLOOKUP($B:$B,'Compilado 2023'!$B:$B,'Compilado 2023'!R:R)</f>
        <v>0</v>
      </c>
      <c r="S64" s="106">
        <f>_xlfn.XLOOKUP($B:$B,'Compilado 2023'!$B:$B,'Compilado 2023'!T:T)</f>
        <v>0</v>
      </c>
      <c r="T64" s="106">
        <f>_xlfn.XLOOKUP($B:$B,'Compilado 2023'!$B:$B,'Compilado 2023'!U:U)</f>
        <v>0</v>
      </c>
      <c r="U64" s="106">
        <f>_xlfn.XLOOKUP($B:$B,'Compilado 2023'!$B:$B,'Compilado 2023'!V:V)</f>
        <v>0</v>
      </c>
      <c r="V64" s="57"/>
      <c r="W64" s="106">
        <f>_xlfn.XLOOKUP($B:$B,'Compilado 2023'!$B:$B,'Compilado 2023'!X:X)</f>
        <v>0</v>
      </c>
      <c r="X64" s="106">
        <f>_xlfn.XLOOKUP($B:$B,'Compilado 2023'!$B:$B,'Compilado 2023'!Y:Y)</f>
        <v>0</v>
      </c>
      <c r="Y64" s="106">
        <f>_xlfn.XLOOKUP($B:$B,'Compilado 2023'!$B:$B,'Compilado 2023'!Z:Z)</f>
        <v>0</v>
      </c>
      <c r="AA64" s="208">
        <v>45108</v>
      </c>
    </row>
    <row r="65" spans="1:27" hidden="1" x14ac:dyDescent="0.2">
      <c r="A65" s="17" t="str">
        <f t="shared" ca="1" si="33"/>
        <v>Realizado</v>
      </c>
      <c r="B65" s="17">
        <v>44563</v>
      </c>
      <c r="C65" s="19">
        <f t="shared" si="34"/>
        <v>14542.06</v>
      </c>
      <c r="D65" s="35">
        <f>_xlfn.XLOOKUP($B:$B,'Compilado 2023'!$B:$B,'Compilado 2023'!D:D)</f>
        <v>14542.06</v>
      </c>
      <c r="E65" s="35">
        <f>_xlfn.XLOOKUP($B:$B,'Compilado 2023'!$B:$B,'Compilado 2023'!E:E)</f>
        <v>0</v>
      </c>
      <c r="F65" s="18">
        <f>_xlfn.XLOOKUP($B:$B,'Compilado 2023'!$B:$B,'Compilado 2023'!F:F)</f>
        <v>49</v>
      </c>
      <c r="G65" s="18">
        <f>_xlfn.XLOOKUP($B:$B,'Compilado 2023'!$B:$B,'Compilado 2023'!G:G)</f>
        <v>53</v>
      </c>
      <c r="H65" s="35">
        <f t="shared" si="35"/>
        <v>296.77673469387753</v>
      </c>
      <c r="I65" s="19">
        <f t="shared" si="36"/>
        <v>540.95290322580649</v>
      </c>
      <c r="J65" s="122">
        <f t="shared" si="37"/>
        <v>26.882303271288297</v>
      </c>
      <c r="K65" s="18">
        <f>_xlfn.XLOOKUP($B:$B,'Compilado 2023'!$B:$B,'Compilado 2023'!K:K)</f>
        <v>2330</v>
      </c>
      <c r="L65" s="54">
        <f t="shared" si="38"/>
        <v>2.1030042918454936E-2</v>
      </c>
      <c r="M65" s="149"/>
      <c r="N65" s="106">
        <f>_xlfn.XLOOKUP($B:$B,'Compilado 2023'!$B:$B,'Compilado 2023'!N:N)</f>
        <v>407.29</v>
      </c>
      <c r="O65" s="106">
        <f>_xlfn.XLOOKUP($B:$B,'Compilado 2023'!$B:$B,'Compilado 2023'!O:O)</f>
        <v>82.05</v>
      </c>
      <c r="P65" s="106">
        <f>_xlfn.XLOOKUP($B:$B,'Compilado 2023'!$B:$B,'Compilado 2023'!P:P)</f>
        <v>0</v>
      </c>
      <c r="Q65" s="106">
        <f>_xlfn.XLOOKUP($B:$B,'Compilado 2023'!$B:$B,'Compilado 2023'!Q:Q)</f>
        <v>51.612903225806448</v>
      </c>
      <c r="R65" s="106">
        <f>_xlfn.XLOOKUP($B:$B,'Compilado 2023'!$B:$B,'Compilado 2023'!R:R)</f>
        <v>0</v>
      </c>
      <c r="S65" s="106">
        <f>_xlfn.XLOOKUP($B:$B,'Compilado 2023'!$B:$B,'Compilado 2023'!T:T)</f>
        <v>0</v>
      </c>
      <c r="T65" s="106">
        <f>_xlfn.XLOOKUP($B:$B,'Compilado 2023'!$B:$B,'Compilado 2023'!U:U)</f>
        <v>0</v>
      </c>
      <c r="U65" s="106">
        <f>_xlfn.XLOOKUP($B:$B,'Compilado 2023'!$B:$B,'Compilado 2023'!V:V)</f>
        <v>0</v>
      </c>
      <c r="V65" s="57"/>
      <c r="W65" s="106">
        <f>_xlfn.XLOOKUP($B:$B,'Compilado 2023'!$B:$B,'Compilado 2023'!X:X)</f>
        <v>0</v>
      </c>
      <c r="X65" s="106">
        <f>_xlfn.XLOOKUP($B:$B,'Compilado 2023'!$B:$B,'Compilado 2023'!Y:Y)</f>
        <v>0</v>
      </c>
      <c r="Y65" s="106">
        <f>_xlfn.XLOOKUP($B:$B,'Compilado 2023'!$B:$B,'Compilado 2023'!Z:Z)</f>
        <v>0</v>
      </c>
      <c r="AA65" s="208">
        <v>45109</v>
      </c>
    </row>
    <row r="66" spans="1:27" hidden="1" x14ac:dyDescent="0.2">
      <c r="A66" s="17" t="str">
        <f t="shared" ca="1" si="33"/>
        <v>Realizado</v>
      </c>
      <c r="B66" s="17">
        <v>44564</v>
      </c>
      <c r="C66" s="19">
        <f t="shared" si="34"/>
        <v>32070.35</v>
      </c>
      <c r="D66" s="35">
        <f>_xlfn.XLOOKUP($B:$B,'Compilado 2023'!$B:$B,'Compilado 2023'!D:D)</f>
        <v>32070.35</v>
      </c>
      <c r="E66" s="35">
        <f>_xlfn.XLOOKUP($B:$B,'Compilado 2023'!$B:$B,'Compilado 2023'!E:E)</f>
        <v>0</v>
      </c>
      <c r="F66" s="18">
        <f>_xlfn.XLOOKUP($B:$B,'Compilado 2023'!$B:$B,'Compilado 2023'!F:F)</f>
        <v>110</v>
      </c>
      <c r="G66" s="18">
        <f>_xlfn.XLOOKUP($B:$B,'Compilado 2023'!$B:$B,'Compilado 2023'!G:G)</f>
        <v>132</v>
      </c>
      <c r="H66" s="35">
        <f t="shared" si="35"/>
        <v>291.54863636363638</v>
      </c>
      <c r="I66" s="19">
        <f t="shared" si="36"/>
        <v>414.71290322580649</v>
      </c>
      <c r="J66" s="122">
        <f t="shared" si="37"/>
        <v>77.331449662028135</v>
      </c>
      <c r="K66" s="18">
        <f>_xlfn.XLOOKUP($B:$B,'Compilado 2023'!$B:$B,'Compilado 2023'!K:K)</f>
        <v>3741</v>
      </c>
      <c r="L66" s="54">
        <f t="shared" si="38"/>
        <v>2.9403902699812884E-2</v>
      </c>
      <c r="M66" s="149"/>
      <c r="N66" s="106">
        <f>_xlfn.XLOOKUP($B:$B,'Compilado 2023'!$B:$B,'Compilado 2023'!N:N)</f>
        <v>282.47000000000003</v>
      </c>
      <c r="O66" s="106">
        <f>_xlfn.XLOOKUP($B:$B,'Compilado 2023'!$B:$B,'Compilado 2023'!O:O)</f>
        <v>80.63</v>
      </c>
      <c r="P66" s="106">
        <f>_xlfn.XLOOKUP($B:$B,'Compilado 2023'!$B:$B,'Compilado 2023'!P:P)</f>
        <v>0</v>
      </c>
      <c r="Q66" s="106">
        <f>_xlfn.XLOOKUP($B:$B,'Compilado 2023'!$B:$B,'Compilado 2023'!Q:Q)</f>
        <v>51.612903225806448</v>
      </c>
      <c r="R66" s="106">
        <f>_xlfn.XLOOKUP($B:$B,'Compilado 2023'!$B:$B,'Compilado 2023'!R:R)</f>
        <v>0</v>
      </c>
      <c r="S66" s="106">
        <f>_xlfn.XLOOKUP($B:$B,'Compilado 2023'!$B:$B,'Compilado 2023'!T:T)</f>
        <v>0</v>
      </c>
      <c r="T66" s="106">
        <f>_xlfn.XLOOKUP($B:$B,'Compilado 2023'!$B:$B,'Compilado 2023'!U:U)</f>
        <v>0</v>
      </c>
      <c r="U66" s="106">
        <f>_xlfn.XLOOKUP($B:$B,'Compilado 2023'!$B:$B,'Compilado 2023'!V:V)</f>
        <v>0</v>
      </c>
      <c r="V66" s="57"/>
      <c r="W66" s="106">
        <f>_xlfn.XLOOKUP($B:$B,'Compilado 2023'!$B:$B,'Compilado 2023'!X:X)</f>
        <v>0</v>
      </c>
      <c r="X66" s="106">
        <f>_xlfn.XLOOKUP($B:$B,'Compilado 2023'!$B:$B,'Compilado 2023'!Y:Y)</f>
        <v>0</v>
      </c>
      <c r="Y66" s="106">
        <f>_xlfn.XLOOKUP($B:$B,'Compilado 2023'!$B:$B,'Compilado 2023'!Z:Z)</f>
        <v>0</v>
      </c>
      <c r="AA66" s="208">
        <v>45110</v>
      </c>
    </row>
    <row r="67" spans="1:27" hidden="1" x14ac:dyDescent="0.2">
      <c r="A67" s="17" t="str">
        <f t="shared" ca="1" si="33"/>
        <v>Realizado</v>
      </c>
      <c r="B67" s="17">
        <v>44565</v>
      </c>
      <c r="C67" s="19">
        <f t="shared" si="34"/>
        <v>29496.3</v>
      </c>
      <c r="D67" s="35">
        <f>_xlfn.XLOOKUP($B:$B,'Compilado 2023'!$B:$B,'Compilado 2023'!D:D)</f>
        <v>29496.3</v>
      </c>
      <c r="E67" s="35">
        <f>_xlfn.XLOOKUP($B:$B,'Compilado 2023'!$B:$B,'Compilado 2023'!E:E)</f>
        <v>0</v>
      </c>
      <c r="F67" s="18">
        <f>_xlfn.XLOOKUP($B:$B,'Compilado 2023'!$B:$B,'Compilado 2023'!F:F)</f>
        <v>90</v>
      </c>
      <c r="G67" s="18">
        <f>_xlfn.XLOOKUP($B:$B,'Compilado 2023'!$B:$B,'Compilado 2023'!G:G)</f>
        <v>113</v>
      </c>
      <c r="H67" s="35">
        <f t="shared" si="35"/>
        <v>327.73666666666668</v>
      </c>
      <c r="I67" s="19">
        <f t="shared" si="36"/>
        <v>189.78290322580642</v>
      </c>
      <c r="J67" s="122">
        <f t="shared" si="37"/>
        <v>155.42127082387859</v>
      </c>
      <c r="K67" s="18">
        <f>_xlfn.XLOOKUP($B:$B,'Compilado 2023'!$B:$B,'Compilado 2023'!K:K)</f>
        <v>3810</v>
      </c>
      <c r="L67" s="54">
        <f t="shared" si="38"/>
        <v>2.3622047244094488E-2</v>
      </c>
      <c r="M67" s="149"/>
      <c r="N67" s="106">
        <f>_xlfn.XLOOKUP($B:$B,'Compilado 2023'!$B:$B,'Compilado 2023'!N:N)</f>
        <v>0</v>
      </c>
      <c r="O67" s="106">
        <f>_xlfn.XLOOKUP($B:$B,'Compilado 2023'!$B:$B,'Compilado 2023'!O:O)</f>
        <v>138.16999999999999</v>
      </c>
      <c r="P67" s="106">
        <f>_xlfn.XLOOKUP($B:$B,'Compilado 2023'!$B:$B,'Compilado 2023'!P:P)</f>
        <v>0</v>
      </c>
      <c r="Q67" s="106">
        <f>_xlfn.XLOOKUP($B:$B,'Compilado 2023'!$B:$B,'Compilado 2023'!Q:Q)</f>
        <v>51.612903225806448</v>
      </c>
      <c r="R67" s="106">
        <f>_xlfn.XLOOKUP($B:$B,'Compilado 2023'!$B:$B,'Compilado 2023'!R:R)</f>
        <v>0</v>
      </c>
      <c r="S67" s="106">
        <f>_xlfn.XLOOKUP($B:$B,'Compilado 2023'!$B:$B,'Compilado 2023'!T:T)</f>
        <v>0</v>
      </c>
      <c r="T67" s="106">
        <f>_xlfn.XLOOKUP($B:$B,'Compilado 2023'!$B:$B,'Compilado 2023'!U:U)</f>
        <v>0</v>
      </c>
      <c r="U67" s="106">
        <f>_xlfn.XLOOKUP($B:$B,'Compilado 2023'!$B:$B,'Compilado 2023'!V:V)</f>
        <v>0</v>
      </c>
      <c r="V67" s="57"/>
      <c r="W67" s="106">
        <f>_xlfn.XLOOKUP($B:$B,'Compilado 2023'!$B:$B,'Compilado 2023'!X:X)</f>
        <v>0</v>
      </c>
      <c r="X67" s="106">
        <f>_xlfn.XLOOKUP($B:$B,'Compilado 2023'!$B:$B,'Compilado 2023'!Y:Y)</f>
        <v>0</v>
      </c>
      <c r="Y67" s="106">
        <f>_xlfn.XLOOKUP($B:$B,'Compilado 2023'!$B:$B,'Compilado 2023'!Z:Z)</f>
        <v>0</v>
      </c>
      <c r="AA67" s="208">
        <v>45111</v>
      </c>
    </row>
    <row r="68" spans="1:27" hidden="1" x14ac:dyDescent="0.2">
      <c r="A68" s="17" t="str">
        <f t="shared" ca="1" si="33"/>
        <v>Realizado</v>
      </c>
      <c r="B68" s="17">
        <v>44566</v>
      </c>
      <c r="C68" s="19">
        <f t="shared" si="34"/>
        <v>31936.07</v>
      </c>
      <c r="D68" s="35">
        <f>_xlfn.XLOOKUP($B:$B,'Compilado 2023'!$B:$B,'Compilado 2023'!D:D)</f>
        <v>31936.07</v>
      </c>
      <c r="E68" s="35">
        <f>_xlfn.XLOOKUP($B:$B,'Compilado 2023'!$B:$B,'Compilado 2023'!E:E)</f>
        <v>0</v>
      </c>
      <c r="F68" s="18">
        <f>_xlfn.XLOOKUP($B:$B,'Compilado 2023'!$B:$B,'Compilado 2023'!F:F)</f>
        <v>100</v>
      </c>
      <c r="G68" s="18">
        <f>_xlfn.XLOOKUP($B:$B,'Compilado 2023'!$B:$B,'Compilado 2023'!G:G)</f>
        <v>112</v>
      </c>
      <c r="H68" s="35">
        <f t="shared" si="35"/>
        <v>319.36070000000001</v>
      </c>
      <c r="I68" s="19">
        <f t="shared" si="36"/>
        <v>210.47290322580648</v>
      </c>
      <c r="J68" s="122">
        <f t="shared" si="37"/>
        <v>151.73482909454285</v>
      </c>
      <c r="K68" s="18">
        <f>_xlfn.XLOOKUP($B:$B,'Compilado 2023'!$B:$B,'Compilado 2023'!K:K)</f>
        <v>3549</v>
      </c>
      <c r="L68" s="54">
        <f t="shared" si="38"/>
        <v>2.817695125387433E-2</v>
      </c>
      <c r="M68" s="149"/>
      <c r="N68" s="106">
        <f>_xlfn.XLOOKUP($B:$B,'Compilado 2023'!$B:$B,'Compilado 2023'!N:N)</f>
        <v>0</v>
      </c>
      <c r="O68" s="106">
        <f>_xlfn.XLOOKUP($B:$B,'Compilado 2023'!$B:$B,'Compilado 2023'!O:O)</f>
        <v>158.86000000000001</v>
      </c>
      <c r="P68" s="106">
        <f>_xlfn.XLOOKUP($B:$B,'Compilado 2023'!$B:$B,'Compilado 2023'!P:P)</f>
        <v>0</v>
      </c>
      <c r="Q68" s="106">
        <f>_xlfn.XLOOKUP($B:$B,'Compilado 2023'!$B:$B,'Compilado 2023'!Q:Q)</f>
        <v>51.612903225806448</v>
      </c>
      <c r="R68" s="106">
        <f>_xlfn.XLOOKUP($B:$B,'Compilado 2023'!$B:$B,'Compilado 2023'!R:R)</f>
        <v>0</v>
      </c>
      <c r="S68" s="106">
        <f>_xlfn.XLOOKUP($B:$B,'Compilado 2023'!$B:$B,'Compilado 2023'!T:T)</f>
        <v>0</v>
      </c>
      <c r="T68" s="106">
        <f>_xlfn.XLOOKUP($B:$B,'Compilado 2023'!$B:$B,'Compilado 2023'!U:U)</f>
        <v>0</v>
      </c>
      <c r="U68" s="106">
        <f>_xlfn.XLOOKUP($B:$B,'Compilado 2023'!$B:$B,'Compilado 2023'!V:V)</f>
        <v>0</v>
      </c>
      <c r="V68" s="57"/>
      <c r="W68" s="106">
        <f>_xlfn.XLOOKUP($B:$B,'Compilado 2023'!$B:$B,'Compilado 2023'!X:X)</f>
        <v>0</v>
      </c>
      <c r="X68" s="106">
        <f>_xlfn.XLOOKUP($B:$B,'Compilado 2023'!$B:$B,'Compilado 2023'!Y:Y)</f>
        <v>0</v>
      </c>
      <c r="Y68" s="106">
        <f>_xlfn.XLOOKUP($B:$B,'Compilado 2023'!$B:$B,'Compilado 2023'!Z:Z)</f>
        <v>0</v>
      </c>
      <c r="AA68" s="208">
        <v>45112</v>
      </c>
    </row>
    <row r="69" spans="1:27" hidden="1" x14ac:dyDescent="0.2">
      <c r="A69" s="17" t="str">
        <f ca="1">IF($A$63&lt;=AA69,"Previsto","Realizado")</f>
        <v>Realizado</v>
      </c>
      <c r="B69" s="17">
        <v>44567</v>
      </c>
      <c r="C69" s="19">
        <f t="shared" si="34"/>
        <v>31305.439999999999</v>
      </c>
      <c r="D69" s="35">
        <f>_xlfn.XLOOKUP($B:$B,'Compilado 2023'!$B:$B,'Compilado 2023'!D:D)</f>
        <v>31305.439999999999</v>
      </c>
      <c r="E69" s="35">
        <f>_xlfn.XLOOKUP($B:$B,'Compilado 2023'!$B:$B,'Compilado 2023'!E:E)</f>
        <v>0</v>
      </c>
      <c r="F69" s="18">
        <f>_xlfn.XLOOKUP($B:$B,'Compilado 2023'!$B:$B,'Compilado 2023'!F:F)</f>
        <v>102</v>
      </c>
      <c r="G69" s="18">
        <f>_xlfn.XLOOKUP($B:$B,'Compilado 2023'!$B:$B,'Compilado 2023'!G:G)</f>
        <v>125</v>
      </c>
      <c r="H69" s="35">
        <f t="shared" si="35"/>
        <v>306.91607843137251</v>
      </c>
      <c r="I69" s="19">
        <f t="shared" si="36"/>
        <v>266.02290322580643</v>
      </c>
      <c r="J69" s="122">
        <f t="shared" si="37"/>
        <v>117.67949157906608</v>
      </c>
      <c r="K69" s="18">
        <f>_xlfn.XLOOKUP($B:$B,'Compilado 2023'!$B:$B,'Compilado 2023'!K:K)</f>
        <v>3584</v>
      </c>
      <c r="L69" s="54">
        <f t="shared" si="38"/>
        <v>2.8459821428571428E-2</v>
      </c>
      <c r="M69" s="149"/>
      <c r="N69" s="106">
        <f>_xlfn.XLOOKUP($B:$B,'Compilado 2023'!$B:$B,'Compilado 2023'!N:N)</f>
        <v>0</v>
      </c>
      <c r="O69" s="106">
        <f>_xlfn.XLOOKUP($B:$B,'Compilado 2023'!$B:$B,'Compilado 2023'!O:O)</f>
        <v>214.41</v>
      </c>
      <c r="P69" s="106">
        <f>_xlfn.XLOOKUP($B:$B,'Compilado 2023'!$B:$B,'Compilado 2023'!P:P)</f>
        <v>0</v>
      </c>
      <c r="Q69" s="106">
        <f>_xlfn.XLOOKUP($B:$B,'Compilado 2023'!$B:$B,'Compilado 2023'!Q:Q)</f>
        <v>51.612903225806448</v>
      </c>
      <c r="R69" s="106">
        <f>_xlfn.XLOOKUP($B:$B,'Compilado 2023'!$B:$B,'Compilado 2023'!R:R)</f>
        <v>0</v>
      </c>
      <c r="S69" s="106">
        <f>_xlfn.XLOOKUP($B:$B,'Compilado 2023'!$B:$B,'Compilado 2023'!T:T)</f>
        <v>0</v>
      </c>
      <c r="T69" s="106">
        <f>_xlfn.XLOOKUP($B:$B,'Compilado 2023'!$B:$B,'Compilado 2023'!U:U)</f>
        <v>0</v>
      </c>
      <c r="U69" s="106">
        <f>_xlfn.XLOOKUP($B:$B,'Compilado 2023'!$B:$B,'Compilado 2023'!V:V)</f>
        <v>0</v>
      </c>
      <c r="V69" s="57"/>
      <c r="W69" s="106">
        <f>_xlfn.XLOOKUP($B:$B,'Compilado 2023'!$B:$B,'Compilado 2023'!X:X)</f>
        <v>0</v>
      </c>
      <c r="X69" s="106">
        <f>_xlfn.XLOOKUP($B:$B,'Compilado 2023'!$B:$B,'Compilado 2023'!Y:Y)</f>
        <v>0</v>
      </c>
      <c r="Y69" s="106">
        <f>_xlfn.XLOOKUP($B:$B,'Compilado 2023'!$B:$B,'Compilado 2023'!Z:Z)</f>
        <v>0</v>
      </c>
      <c r="AA69" s="208">
        <v>45113</v>
      </c>
    </row>
    <row r="70" spans="1:27" hidden="1" x14ac:dyDescent="0.2">
      <c r="A70" s="17" t="str">
        <f t="shared" ref="A70:A94" ca="1" si="39">IF($A$63&lt;=AA70,"Previsto","Realizado")</f>
        <v>Realizado</v>
      </c>
      <c r="B70" s="17">
        <v>44568</v>
      </c>
      <c r="C70" s="19">
        <f t="shared" si="34"/>
        <v>23900.41</v>
      </c>
      <c r="D70" s="35">
        <f>_xlfn.XLOOKUP($B:$B,'Compilado 2023'!$B:$B,'Compilado 2023'!D:D)</f>
        <v>23900.41</v>
      </c>
      <c r="E70" s="35">
        <f>_xlfn.XLOOKUP($B:$B,'Compilado 2023'!$B:$B,'Compilado 2023'!E:E)</f>
        <v>0</v>
      </c>
      <c r="F70" s="18">
        <f>_xlfn.XLOOKUP($B:$B,'Compilado 2023'!$B:$B,'Compilado 2023'!F:F)</f>
        <v>84</v>
      </c>
      <c r="G70" s="18">
        <f>_xlfn.XLOOKUP($B:$B,'Compilado 2023'!$B:$B,'Compilado 2023'!G:G)</f>
        <v>103</v>
      </c>
      <c r="H70" s="35">
        <f t="shared" si="35"/>
        <v>284.52869047619049</v>
      </c>
      <c r="I70" s="19">
        <f t="shared" si="36"/>
        <v>331.71290322580649</v>
      </c>
      <c r="J70" s="122">
        <f t="shared" si="37"/>
        <v>72.051493226750679</v>
      </c>
      <c r="K70" s="18">
        <f>_xlfn.XLOOKUP($B:$B,'Compilado 2023'!$B:$B,'Compilado 2023'!K:K)</f>
        <v>3558</v>
      </c>
      <c r="L70" s="54">
        <f t="shared" si="38"/>
        <v>2.3608768971332208E-2</v>
      </c>
      <c r="M70" s="149"/>
      <c r="N70" s="106">
        <f>_xlfn.XLOOKUP($B:$B,'Compilado 2023'!$B:$B,'Compilado 2023'!N:N)</f>
        <v>0</v>
      </c>
      <c r="O70" s="106">
        <f>_xlfn.XLOOKUP($B:$B,'Compilado 2023'!$B:$B,'Compilado 2023'!O:O)</f>
        <v>280.10000000000002</v>
      </c>
      <c r="P70" s="106">
        <f>_xlfn.XLOOKUP($B:$B,'Compilado 2023'!$B:$B,'Compilado 2023'!P:P)</f>
        <v>0</v>
      </c>
      <c r="Q70" s="106">
        <f>_xlfn.XLOOKUP($B:$B,'Compilado 2023'!$B:$B,'Compilado 2023'!Q:Q)</f>
        <v>51.612903225806448</v>
      </c>
      <c r="R70" s="106">
        <f>_xlfn.XLOOKUP($B:$B,'Compilado 2023'!$B:$B,'Compilado 2023'!R:R)</f>
        <v>0</v>
      </c>
      <c r="S70" s="106">
        <f>_xlfn.XLOOKUP($B:$B,'Compilado 2023'!$B:$B,'Compilado 2023'!T:T)</f>
        <v>0</v>
      </c>
      <c r="T70" s="106">
        <f>_xlfn.XLOOKUP($B:$B,'Compilado 2023'!$B:$B,'Compilado 2023'!U:U)</f>
        <v>0</v>
      </c>
      <c r="U70" s="106">
        <f>_xlfn.XLOOKUP($B:$B,'Compilado 2023'!$B:$B,'Compilado 2023'!V:V)</f>
        <v>0</v>
      </c>
      <c r="V70" s="57"/>
      <c r="W70" s="106">
        <f>_xlfn.XLOOKUP($B:$B,'Compilado 2023'!$B:$B,'Compilado 2023'!X:X)</f>
        <v>0</v>
      </c>
      <c r="X70" s="106">
        <f>_xlfn.XLOOKUP($B:$B,'Compilado 2023'!$B:$B,'Compilado 2023'!Y:Y)</f>
        <v>0</v>
      </c>
      <c r="Y70" s="106">
        <f>_xlfn.XLOOKUP($B:$B,'Compilado 2023'!$B:$B,'Compilado 2023'!Z:Z)</f>
        <v>0</v>
      </c>
      <c r="AA70" s="208">
        <v>45114</v>
      </c>
    </row>
    <row r="71" spans="1:27" hidden="1" x14ac:dyDescent="0.2">
      <c r="A71" s="17" t="str">
        <f t="shared" ca="1" si="39"/>
        <v>Realizado</v>
      </c>
      <c r="B71" s="17">
        <v>44569</v>
      </c>
      <c r="C71" s="19">
        <f t="shared" si="34"/>
        <v>11335.06</v>
      </c>
      <c r="D71" s="35">
        <f>_xlfn.XLOOKUP($B:$B,'Compilado 2023'!$B:$B,'Compilado 2023'!D:D)</f>
        <v>11298.96</v>
      </c>
      <c r="E71" s="35">
        <f>_xlfn.XLOOKUP($B:$B,'Compilado 2023'!$B:$B,'Compilado 2023'!E:E)</f>
        <v>36.1</v>
      </c>
      <c r="F71" s="18">
        <f>_xlfn.XLOOKUP($B:$B,'Compilado 2023'!$B:$B,'Compilado 2023'!F:F)</f>
        <v>42</v>
      </c>
      <c r="G71" s="18">
        <f>_xlfn.XLOOKUP($B:$B,'Compilado 2023'!$B:$B,'Compilado 2023'!G:G)</f>
        <v>51</v>
      </c>
      <c r="H71" s="35">
        <f t="shared" si="35"/>
        <v>269.88238095238091</v>
      </c>
      <c r="I71" s="19">
        <f t="shared" si="36"/>
        <v>345.41290322580647</v>
      </c>
      <c r="J71" s="122">
        <f t="shared" si="37"/>
        <v>32.815971534769041</v>
      </c>
      <c r="K71" s="18">
        <f>_xlfn.XLOOKUP($B:$B,'Compilado 2023'!$B:$B,'Compilado 2023'!K:K)</f>
        <v>2705</v>
      </c>
      <c r="L71" s="54">
        <f t="shared" si="38"/>
        <v>1.5526802218114602E-2</v>
      </c>
      <c r="M71" s="149"/>
      <c r="N71" s="106">
        <f>_xlfn.XLOOKUP($B:$B,'Compilado 2023'!$B:$B,'Compilado 2023'!N:N)</f>
        <v>0</v>
      </c>
      <c r="O71" s="106">
        <f>_xlfn.XLOOKUP($B:$B,'Compilado 2023'!$B:$B,'Compilado 2023'!O:O)</f>
        <v>293.8</v>
      </c>
      <c r="P71" s="106">
        <f>_xlfn.XLOOKUP($B:$B,'Compilado 2023'!$B:$B,'Compilado 2023'!P:P)</f>
        <v>0</v>
      </c>
      <c r="Q71" s="106">
        <f>_xlfn.XLOOKUP($B:$B,'Compilado 2023'!$B:$B,'Compilado 2023'!Q:Q)</f>
        <v>51.612903225806448</v>
      </c>
      <c r="R71" s="106">
        <f>_xlfn.XLOOKUP($B:$B,'Compilado 2023'!$B:$B,'Compilado 2023'!R:R)</f>
        <v>0</v>
      </c>
      <c r="S71" s="106">
        <f>_xlfn.XLOOKUP($B:$B,'Compilado 2023'!$B:$B,'Compilado 2023'!T:T)</f>
        <v>0</v>
      </c>
      <c r="T71" s="106">
        <f>_xlfn.XLOOKUP($B:$B,'Compilado 2023'!$B:$B,'Compilado 2023'!U:U)</f>
        <v>0</v>
      </c>
      <c r="U71" s="106">
        <f>_xlfn.XLOOKUP($B:$B,'Compilado 2023'!$B:$B,'Compilado 2023'!V:V)</f>
        <v>0</v>
      </c>
      <c r="V71" s="57"/>
      <c r="W71" s="106">
        <f>_xlfn.XLOOKUP($B:$B,'Compilado 2023'!$B:$B,'Compilado 2023'!X:X)</f>
        <v>0</v>
      </c>
      <c r="X71" s="106">
        <f>_xlfn.XLOOKUP($B:$B,'Compilado 2023'!$B:$B,'Compilado 2023'!Y:Y)</f>
        <v>0</v>
      </c>
      <c r="Y71" s="106">
        <f>_xlfn.XLOOKUP($B:$B,'Compilado 2023'!$B:$B,'Compilado 2023'!Z:Z)</f>
        <v>0</v>
      </c>
      <c r="AA71" s="208">
        <v>45115</v>
      </c>
    </row>
    <row r="72" spans="1:27" hidden="1" x14ac:dyDescent="0.2">
      <c r="A72" s="17" t="str">
        <f t="shared" ca="1" si="39"/>
        <v>Realizado</v>
      </c>
      <c r="B72" s="17">
        <v>44570</v>
      </c>
      <c r="C72" s="19">
        <f t="shared" si="34"/>
        <v>11848.73</v>
      </c>
      <c r="D72" s="35">
        <f>_xlfn.XLOOKUP($B:$B,'Compilado 2023'!$B:$B,'Compilado 2023'!D:D)</f>
        <v>11796.75</v>
      </c>
      <c r="E72" s="35">
        <f>_xlfn.XLOOKUP($B:$B,'Compilado 2023'!$B:$B,'Compilado 2023'!E:E)</f>
        <v>51.98</v>
      </c>
      <c r="F72" s="18">
        <f>_xlfn.XLOOKUP($B:$B,'Compilado 2023'!$B:$B,'Compilado 2023'!F:F)</f>
        <v>40</v>
      </c>
      <c r="G72" s="18">
        <f>_xlfn.XLOOKUP($B:$B,'Compilado 2023'!$B:$B,'Compilado 2023'!G:G)</f>
        <v>43</v>
      </c>
      <c r="H72" s="35">
        <f t="shared" si="35"/>
        <v>296.21825000000001</v>
      </c>
      <c r="I72" s="19">
        <f t="shared" si="36"/>
        <v>355.34290322580648</v>
      </c>
      <c r="J72" s="122">
        <f t="shared" si="37"/>
        <v>33.344495957108215</v>
      </c>
      <c r="K72" s="18">
        <f>_xlfn.XLOOKUP($B:$B,'Compilado 2023'!$B:$B,'Compilado 2023'!K:K)</f>
        <v>2507</v>
      </c>
      <c r="L72" s="54">
        <f t="shared" si="38"/>
        <v>1.5955325089748704E-2</v>
      </c>
      <c r="M72" s="149"/>
      <c r="N72" s="106">
        <f>_xlfn.XLOOKUP($B:$B,'Compilado 2023'!$B:$B,'Compilado 2023'!N:N)</f>
        <v>0</v>
      </c>
      <c r="O72" s="106">
        <f>_xlfn.XLOOKUP($B:$B,'Compilado 2023'!$B:$B,'Compilado 2023'!O:O)</f>
        <v>303.73</v>
      </c>
      <c r="P72" s="106">
        <f>_xlfn.XLOOKUP($B:$B,'Compilado 2023'!$B:$B,'Compilado 2023'!P:P)</f>
        <v>0</v>
      </c>
      <c r="Q72" s="106">
        <f>_xlfn.XLOOKUP($B:$B,'Compilado 2023'!$B:$B,'Compilado 2023'!Q:Q)</f>
        <v>51.612903225806448</v>
      </c>
      <c r="R72" s="106">
        <f>_xlfn.XLOOKUP($B:$B,'Compilado 2023'!$B:$B,'Compilado 2023'!R:R)</f>
        <v>0</v>
      </c>
      <c r="S72" s="106">
        <f>_xlfn.XLOOKUP($B:$B,'Compilado 2023'!$B:$B,'Compilado 2023'!T:T)</f>
        <v>0</v>
      </c>
      <c r="T72" s="106">
        <f>_xlfn.XLOOKUP($B:$B,'Compilado 2023'!$B:$B,'Compilado 2023'!U:U)</f>
        <v>0</v>
      </c>
      <c r="U72" s="106">
        <f>_xlfn.XLOOKUP($B:$B,'Compilado 2023'!$B:$B,'Compilado 2023'!V:V)</f>
        <v>0</v>
      </c>
      <c r="V72" s="57"/>
      <c r="W72" s="106">
        <f>_xlfn.XLOOKUP($B:$B,'Compilado 2023'!$B:$B,'Compilado 2023'!X:X)</f>
        <v>0</v>
      </c>
      <c r="X72" s="106">
        <f>_xlfn.XLOOKUP($B:$B,'Compilado 2023'!$B:$B,'Compilado 2023'!Y:Y)</f>
        <v>0</v>
      </c>
      <c r="Y72" s="106">
        <f>_xlfn.XLOOKUP($B:$B,'Compilado 2023'!$B:$B,'Compilado 2023'!Z:Z)</f>
        <v>0</v>
      </c>
      <c r="AA72" s="208">
        <v>45116</v>
      </c>
    </row>
    <row r="73" spans="1:27" hidden="1" x14ac:dyDescent="0.2">
      <c r="A73" s="17" t="str">
        <f t="shared" ca="1" si="39"/>
        <v>Realizado</v>
      </c>
      <c r="B73" s="17">
        <v>44571</v>
      </c>
      <c r="C73" s="19">
        <f t="shared" si="34"/>
        <v>30538.06</v>
      </c>
      <c r="D73" s="35">
        <f>_xlfn.XLOOKUP($B:$B,'Compilado 2023'!$B:$B,'Compilado 2023'!D:D)</f>
        <v>30538.06</v>
      </c>
      <c r="E73" s="35">
        <f>_xlfn.XLOOKUP($B:$B,'Compilado 2023'!$B:$B,'Compilado 2023'!E:E)</f>
        <v>0</v>
      </c>
      <c r="F73" s="18">
        <f>_xlfn.XLOOKUP($B:$B,'Compilado 2023'!$B:$B,'Compilado 2023'!F:F)</f>
        <v>106</v>
      </c>
      <c r="G73" s="18">
        <f>_xlfn.XLOOKUP($B:$B,'Compilado 2023'!$B:$B,'Compilado 2023'!G:G)</f>
        <v>120</v>
      </c>
      <c r="H73" s="35">
        <f t="shared" si="35"/>
        <v>288.09490566037738</v>
      </c>
      <c r="I73" s="19">
        <f t="shared" si="36"/>
        <v>350.01290322580644</v>
      </c>
      <c r="J73" s="122">
        <f t="shared" si="37"/>
        <v>87.248383469733838</v>
      </c>
      <c r="K73" s="18">
        <f>_xlfn.XLOOKUP($B:$B,'Compilado 2023'!$B:$B,'Compilado 2023'!K:K)</f>
        <v>3501</v>
      </c>
      <c r="L73" s="54">
        <f t="shared" si="38"/>
        <v>3.0277063696086834E-2</v>
      </c>
      <c r="M73" s="149"/>
      <c r="N73" s="106">
        <f>_xlfn.XLOOKUP($B:$B,'Compilado 2023'!$B:$B,'Compilado 2023'!N:N)</f>
        <v>0</v>
      </c>
      <c r="O73" s="106">
        <f>_xlfn.XLOOKUP($B:$B,'Compilado 2023'!$B:$B,'Compilado 2023'!O:O)</f>
        <v>298.39999999999998</v>
      </c>
      <c r="P73" s="106">
        <f>_xlfn.XLOOKUP($B:$B,'Compilado 2023'!$B:$B,'Compilado 2023'!P:P)</f>
        <v>0</v>
      </c>
      <c r="Q73" s="106">
        <f>_xlfn.XLOOKUP($B:$B,'Compilado 2023'!$B:$B,'Compilado 2023'!Q:Q)</f>
        <v>51.612903225806448</v>
      </c>
      <c r="R73" s="106">
        <f>_xlfn.XLOOKUP($B:$B,'Compilado 2023'!$B:$B,'Compilado 2023'!R:R)</f>
        <v>0</v>
      </c>
      <c r="S73" s="106">
        <f>_xlfn.XLOOKUP($B:$B,'Compilado 2023'!$B:$B,'Compilado 2023'!T:T)</f>
        <v>0</v>
      </c>
      <c r="T73" s="106">
        <f>_xlfn.XLOOKUP($B:$B,'Compilado 2023'!$B:$B,'Compilado 2023'!U:U)</f>
        <v>0</v>
      </c>
      <c r="U73" s="106">
        <f>_xlfn.XLOOKUP($B:$B,'Compilado 2023'!$B:$B,'Compilado 2023'!V:V)</f>
        <v>0</v>
      </c>
      <c r="V73" s="57"/>
      <c r="W73" s="106">
        <f>_xlfn.XLOOKUP($B:$B,'Compilado 2023'!$B:$B,'Compilado 2023'!X:X)</f>
        <v>0</v>
      </c>
      <c r="X73" s="106">
        <f>_xlfn.XLOOKUP($B:$B,'Compilado 2023'!$B:$B,'Compilado 2023'!Y:Y)</f>
        <v>0</v>
      </c>
      <c r="Y73" s="106">
        <f>_xlfn.XLOOKUP($B:$B,'Compilado 2023'!$B:$B,'Compilado 2023'!Z:Z)</f>
        <v>0</v>
      </c>
      <c r="AA73" s="208">
        <v>45117</v>
      </c>
    </row>
    <row r="74" spans="1:27" hidden="1" x14ac:dyDescent="0.2">
      <c r="A74" s="17" t="str">
        <f t="shared" ca="1" si="39"/>
        <v>Realizado</v>
      </c>
      <c r="B74" s="17">
        <v>44572</v>
      </c>
      <c r="C74" s="19">
        <f t="shared" si="34"/>
        <v>23086.73</v>
      </c>
      <c r="D74" s="35">
        <f>_xlfn.XLOOKUP($B:$B,'Compilado 2023'!$B:$B,'Compilado 2023'!D:D)</f>
        <v>23086.73</v>
      </c>
      <c r="E74" s="35">
        <f>_xlfn.XLOOKUP($B:$B,'Compilado 2023'!$B:$B,'Compilado 2023'!E:E)</f>
        <v>0</v>
      </c>
      <c r="F74" s="18">
        <f>_xlfn.XLOOKUP($B:$B,'Compilado 2023'!$B:$B,'Compilado 2023'!F:F)</f>
        <v>81</v>
      </c>
      <c r="G74" s="18">
        <f>_xlfn.XLOOKUP($B:$B,'Compilado 2023'!$B:$B,'Compilado 2023'!G:G)</f>
        <v>97</v>
      </c>
      <c r="H74" s="35">
        <f t="shared" si="35"/>
        <v>285.02135802469138</v>
      </c>
      <c r="I74" s="19">
        <f t="shared" si="36"/>
        <v>725.78290322580642</v>
      </c>
      <c r="J74" s="122">
        <f t="shared" si="37"/>
        <v>31.809415594372616</v>
      </c>
      <c r="K74" s="18">
        <f>_xlfn.XLOOKUP($B:$B,'Compilado 2023'!$B:$B,'Compilado 2023'!K:K)</f>
        <v>3639</v>
      </c>
      <c r="L74" s="54">
        <f t="shared" si="38"/>
        <v>2.2258862324814509E-2</v>
      </c>
      <c r="M74" s="149"/>
      <c r="N74" s="106">
        <f>_xlfn.XLOOKUP($B:$B,'Compilado 2023'!$B:$B,'Compilado 2023'!N:N)</f>
        <v>528.15</v>
      </c>
      <c r="O74" s="106">
        <f>_xlfn.XLOOKUP($B:$B,'Compilado 2023'!$B:$B,'Compilado 2023'!O:O)</f>
        <v>146.02000000000001</v>
      </c>
      <c r="P74" s="106">
        <f>_xlfn.XLOOKUP($B:$B,'Compilado 2023'!$B:$B,'Compilado 2023'!P:P)</f>
        <v>0</v>
      </c>
      <c r="Q74" s="106">
        <f>_xlfn.XLOOKUP($B:$B,'Compilado 2023'!$B:$B,'Compilado 2023'!Q:Q)</f>
        <v>51.612903225806448</v>
      </c>
      <c r="R74" s="106">
        <f>_xlfn.XLOOKUP($B:$B,'Compilado 2023'!$B:$B,'Compilado 2023'!R:R)</f>
        <v>0</v>
      </c>
      <c r="S74" s="106">
        <f>_xlfn.XLOOKUP($B:$B,'Compilado 2023'!$B:$B,'Compilado 2023'!T:T)</f>
        <v>0</v>
      </c>
      <c r="T74" s="106">
        <f>_xlfn.XLOOKUP($B:$B,'Compilado 2023'!$B:$B,'Compilado 2023'!U:U)</f>
        <v>0</v>
      </c>
      <c r="U74" s="106">
        <f>_xlfn.XLOOKUP($B:$B,'Compilado 2023'!$B:$B,'Compilado 2023'!V:V)</f>
        <v>0</v>
      </c>
      <c r="V74" s="57"/>
      <c r="W74" s="106">
        <f>_xlfn.XLOOKUP($B:$B,'Compilado 2023'!$B:$B,'Compilado 2023'!X:X)</f>
        <v>0</v>
      </c>
      <c r="X74" s="106">
        <f>_xlfn.XLOOKUP($B:$B,'Compilado 2023'!$B:$B,'Compilado 2023'!Y:Y)</f>
        <v>0</v>
      </c>
      <c r="Y74" s="106">
        <f>_xlfn.XLOOKUP($B:$B,'Compilado 2023'!$B:$B,'Compilado 2023'!Z:Z)</f>
        <v>0</v>
      </c>
      <c r="AA74" s="208">
        <v>45118</v>
      </c>
    </row>
    <row r="75" spans="1:27" hidden="1" x14ac:dyDescent="0.2">
      <c r="A75" s="17" t="str">
        <f t="shared" ca="1" si="39"/>
        <v>Realizado</v>
      </c>
      <c r="B75" s="17">
        <v>44573</v>
      </c>
      <c r="C75" s="19">
        <f t="shared" si="34"/>
        <v>27521.47</v>
      </c>
      <c r="D75" s="35">
        <f>_xlfn.XLOOKUP($B:$B,'Compilado 2023'!$B:$B,'Compilado 2023'!D:D)</f>
        <v>27521.47</v>
      </c>
      <c r="E75" s="35">
        <f>_xlfn.XLOOKUP($B:$B,'Compilado 2023'!$B:$B,'Compilado 2023'!E:E)</f>
        <v>0</v>
      </c>
      <c r="F75" s="18">
        <f>_xlfn.XLOOKUP($B:$B,'Compilado 2023'!$B:$B,'Compilado 2023'!F:F)</f>
        <v>104</v>
      </c>
      <c r="G75" s="18">
        <f>_xlfn.XLOOKUP($B:$B,'Compilado 2023'!$B:$B,'Compilado 2023'!G:G)</f>
        <v>132</v>
      </c>
      <c r="H75" s="35">
        <f t="shared" si="35"/>
        <v>264.62951923076923</v>
      </c>
      <c r="I75" s="19">
        <f t="shared" si="36"/>
        <v>864.91290322580642</v>
      </c>
      <c r="J75" s="122">
        <f t="shared" si="37"/>
        <v>31.819932269891058</v>
      </c>
      <c r="K75" s="18">
        <f>_xlfn.XLOOKUP($B:$B,'Compilado 2023'!$B:$B,'Compilado 2023'!K:K)</f>
        <v>4033</v>
      </c>
      <c r="L75" s="54">
        <f t="shared" si="38"/>
        <v>2.5787255145053312E-2</v>
      </c>
      <c r="M75" s="149"/>
      <c r="N75" s="106">
        <f>_xlfn.XLOOKUP($B:$B,'Compilado 2023'!$B:$B,'Compilado 2023'!N:N)</f>
        <v>663.54</v>
      </c>
      <c r="O75" s="106">
        <f>_xlfn.XLOOKUP($B:$B,'Compilado 2023'!$B:$B,'Compilado 2023'!O:O)</f>
        <v>149.76</v>
      </c>
      <c r="P75" s="106">
        <f>_xlfn.XLOOKUP($B:$B,'Compilado 2023'!$B:$B,'Compilado 2023'!P:P)</f>
        <v>0</v>
      </c>
      <c r="Q75" s="106">
        <f>_xlfn.XLOOKUP($B:$B,'Compilado 2023'!$B:$B,'Compilado 2023'!Q:Q)</f>
        <v>51.612903225806448</v>
      </c>
      <c r="R75" s="106">
        <f>_xlfn.XLOOKUP($B:$B,'Compilado 2023'!$B:$B,'Compilado 2023'!R:R)</f>
        <v>0</v>
      </c>
      <c r="S75" s="106">
        <f>_xlfn.XLOOKUP($B:$B,'Compilado 2023'!$B:$B,'Compilado 2023'!T:T)</f>
        <v>0</v>
      </c>
      <c r="T75" s="106">
        <f>_xlfn.XLOOKUP($B:$B,'Compilado 2023'!$B:$B,'Compilado 2023'!U:U)</f>
        <v>0</v>
      </c>
      <c r="U75" s="106">
        <f>_xlfn.XLOOKUP($B:$B,'Compilado 2023'!$B:$B,'Compilado 2023'!V:V)</f>
        <v>0</v>
      </c>
      <c r="V75" s="57"/>
      <c r="W75" s="106">
        <f>_xlfn.XLOOKUP($B:$B,'Compilado 2023'!$B:$B,'Compilado 2023'!X:X)</f>
        <v>0</v>
      </c>
      <c r="X75" s="106">
        <f>_xlfn.XLOOKUP($B:$B,'Compilado 2023'!$B:$B,'Compilado 2023'!Y:Y)</f>
        <v>0</v>
      </c>
      <c r="Y75" s="106">
        <f>_xlfn.XLOOKUP($B:$B,'Compilado 2023'!$B:$B,'Compilado 2023'!Z:Z)</f>
        <v>0</v>
      </c>
      <c r="AA75" s="208">
        <v>45119</v>
      </c>
    </row>
    <row r="76" spans="1:27" hidden="1" x14ac:dyDescent="0.2">
      <c r="A76" s="17" t="str">
        <f t="shared" ca="1" si="39"/>
        <v>Realizado</v>
      </c>
      <c r="B76" s="17">
        <v>44574</v>
      </c>
      <c r="C76" s="19">
        <f t="shared" si="34"/>
        <v>29283.95</v>
      </c>
      <c r="D76" s="35">
        <f>_xlfn.XLOOKUP($B:$B,'Compilado 2023'!$B:$B,'Compilado 2023'!D:D)</f>
        <v>29283.95</v>
      </c>
      <c r="E76" s="35">
        <f>_xlfn.XLOOKUP($B:$B,'Compilado 2023'!$B:$B,'Compilado 2023'!E:E)</f>
        <v>0</v>
      </c>
      <c r="F76" s="18">
        <f>_xlfn.XLOOKUP($B:$B,'Compilado 2023'!$B:$B,'Compilado 2023'!F:F)</f>
        <v>104</v>
      </c>
      <c r="G76" s="18">
        <f>_xlfn.XLOOKUP($B:$B,'Compilado 2023'!$B:$B,'Compilado 2023'!G:G)</f>
        <v>129</v>
      </c>
      <c r="H76" s="35">
        <f t="shared" si="35"/>
        <v>281.57644230769233</v>
      </c>
      <c r="I76" s="19">
        <f t="shared" si="36"/>
        <v>881.95290322580638</v>
      </c>
      <c r="J76" s="122">
        <f t="shared" si="37"/>
        <v>33.203530361872886</v>
      </c>
      <c r="K76" s="18">
        <f>_xlfn.XLOOKUP($B:$B,'Compilado 2023'!$B:$B,'Compilado 2023'!K:K)</f>
        <v>3773</v>
      </c>
      <c r="L76" s="54">
        <f t="shared" si="38"/>
        <v>2.7564272462231646E-2</v>
      </c>
      <c r="M76" s="149"/>
      <c r="N76" s="106">
        <f>_xlfn.XLOOKUP($B:$B,'Compilado 2023'!$B:$B,'Compilado 2023'!N:N)</f>
        <v>629.92999999999995</v>
      </c>
      <c r="O76" s="106">
        <f>_xlfn.XLOOKUP($B:$B,'Compilado 2023'!$B:$B,'Compilado 2023'!O:O)</f>
        <v>200.41</v>
      </c>
      <c r="P76" s="106">
        <f>_xlfn.XLOOKUP($B:$B,'Compilado 2023'!$B:$B,'Compilado 2023'!P:P)</f>
        <v>0</v>
      </c>
      <c r="Q76" s="106">
        <f>_xlfn.XLOOKUP($B:$B,'Compilado 2023'!$B:$B,'Compilado 2023'!Q:Q)</f>
        <v>51.612903225806448</v>
      </c>
      <c r="R76" s="106">
        <f>_xlfn.XLOOKUP($B:$B,'Compilado 2023'!$B:$B,'Compilado 2023'!R:R)</f>
        <v>0</v>
      </c>
      <c r="S76" s="106">
        <f>_xlfn.XLOOKUP($B:$B,'Compilado 2023'!$B:$B,'Compilado 2023'!T:T)</f>
        <v>0</v>
      </c>
      <c r="T76" s="106">
        <f>_xlfn.XLOOKUP($B:$B,'Compilado 2023'!$B:$B,'Compilado 2023'!U:U)</f>
        <v>0</v>
      </c>
      <c r="U76" s="106">
        <f>_xlfn.XLOOKUP($B:$B,'Compilado 2023'!$B:$B,'Compilado 2023'!V:V)</f>
        <v>0</v>
      </c>
      <c r="V76" s="57"/>
      <c r="W76" s="106">
        <f>_xlfn.XLOOKUP($B:$B,'Compilado 2023'!$B:$B,'Compilado 2023'!X:X)</f>
        <v>0</v>
      </c>
      <c r="X76" s="106">
        <f>_xlfn.XLOOKUP($B:$B,'Compilado 2023'!$B:$B,'Compilado 2023'!Y:Y)</f>
        <v>0</v>
      </c>
      <c r="Y76" s="106">
        <f>_xlfn.XLOOKUP($B:$B,'Compilado 2023'!$B:$B,'Compilado 2023'!Z:Z)</f>
        <v>0</v>
      </c>
      <c r="AA76" s="208">
        <v>45120</v>
      </c>
    </row>
    <row r="77" spans="1:27" hidden="1" x14ac:dyDescent="0.2">
      <c r="A77" s="17" t="str">
        <f t="shared" ca="1" si="39"/>
        <v>Realizado</v>
      </c>
      <c r="B77" s="17">
        <v>44575</v>
      </c>
      <c r="C77" s="19">
        <f t="shared" si="34"/>
        <v>29457.77</v>
      </c>
      <c r="D77" s="35">
        <f>_xlfn.XLOOKUP($B:$B,'Compilado 2023'!$B:$B,'Compilado 2023'!D:D)</f>
        <v>29457.77</v>
      </c>
      <c r="E77" s="35">
        <f>_xlfn.XLOOKUP($B:$B,'Compilado 2023'!$B:$B,'Compilado 2023'!E:E)</f>
        <v>0</v>
      </c>
      <c r="F77" s="18">
        <f>_xlfn.XLOOKUP($B:$B,'Compilado 2023'!$B:$B,'Compilado 2023'!F:F)</f>
        <v>109</v>
      </c>
      <c r="G77" s="18">
        <f>_xlfn.XLOOKUP($B:$B,'Compilado 2023'!$B:$B,'Compilado 2023'!G:G)</f>
        <v>133</v>
      </c>
      <c r="H77" s="35">
        <f t="shared" si="35"/>
        <v>270.25477064220183</v>
      </c>
      <c r="I77" s="19">
        <f t="shared" si="36"/>
        <v>807.74290322580646</v>
      </c>
      <c r="J77" s="122">
        <f t="shared" si="37"/>
        <v>36.469240252507682</v>
      </c>
      <c r="K77" s="18">
        <f>_xlfn.XLOOKUP($B:$B,'Compilado 2023'!$B:$B,'Compilado 2023'!K:K)</f>
        <v>3470</v>
      </c>
      <c r="L77" s="54">
        <f t="shared" si="38"/>
        <v>3.1412103746397697E-2</v>
      </c>
      <c r="M77" s="149"/>
      <c r="N77" s="106">
        <f>_xlfn.XLOOKUP($B:$B,'Compilado 2023'!$B:$B,'Compilado 2023'!N:N)</f>
        <v>542.01</v>
      </c>
      <c r="O77" s="106">
        <f>_xlfn.XLOOKUP($B:$B,'Compilado 2023'!$B:$B,'Compilado 2023'!O:O)</f>
        <v>214.12</v>
      </c>
      <c r="P77" s="106">
        <f>_xlfn.XLOOKUP($B:$B,'Compilado 2023'!$B:$B,'Compilado 2023'!P:P)</f>
        <v>0</v>
      </c>
      <c r="Q77" s="106">
        <f>_xlfn.XLOOKUP($B:$B,'Compilado 2023'!$B:$B,'Compilado 2023'!Q:Q)</f>
        <v>51.612903225806448</v>
      </c>
      <c r="R77" s="106">
        <f>_xlfn.XLOOKUP($B:$B,'Compilado 2023'!$B:$B,'Compilado 2023'!R:R)</f>
        <v>0</v>
      </c>
      <c r="S77" s="106">
        <f>_xlfn.XLOOKUP($B:$B,'Compilado 2023'!$B:$B,'Compilado 2023'!T:T)</f>
        <v>0</v>
      </c>
      <c r="T77" s="106">
        <f>_xlfn.XLOOKUP($B:$B,'Compilado 2023'!$B:$B,'Compilado 2023'!U:U)</f>
        <v>0</v>
      </c>
      <c r="U77" s="106">
        <f>_xlfn.XLOOKUP($B:$B,'Compilado 2023'!$B:$B,'Compilado 2023'!V:V)</f>
        <v>0</v>
      </c>
      <c r="V77" s="57"/>
      <c r="W77" s="106">
        <f>_xlfn.XLOOKUP($B:$B,'Compilado 2023'!$B:$B,'Compilado 2023'!X:X)</f>
        <v>0</v>
      </c>
      <c r="X77" s="106">
        <f>_xlfn.XLOOKUP($B:$B,'Compilado 2023'!$B:$B,'Compilado 2023'!Y:Y)</f>
        <v>0</v>
      </c>
      <c r="Y77" s="106">
        <f>_xlfn.XLOOKUP($B:$B,'Compilado 2023'!$B:$B,'Compilado 2023'!Z:Z)</f>
        <v>0</v>
      </c>
      <c r="AA77" s="208">
        <v>45121</v>
      </c>
    </row>
    <row r="78" spans="1:27" hidden="1" x14ac:dyDescent="0.2">
      <c r="A78" s="17" t="str">
        <f t="shared" ca="1" si="39"/>
        <v>Realizado</v>
      </c>
      <c r="B78" s="17">
        <v>44576</v>
      </c>
      <c r="C78" s="19">
        <f t="shared" si="34"/>
        <v>17356.990000000002</v>
      </c>
      <c r="D78" s="35">
        <f>_xlfn.XLOOKUP($B:$B,'Compilado 2023'!$B:$B,'Compilado 2023'!D:D)</f>
        <v>17288.830000000002</v>
      </c>
      <c r="E78" s="35">
        <f>_xlfn.XLOOKUP($B:$B,'Compilado 2023'!$B:$B,'Compilado 2023'!E:E)</f>
        <v>68.16</v>
      </c>
      <c r="F78" s="18">
        <f>_xlfn.XLOOKUP($B:$B,'Compilado 2023'!$B:$B,'Compilado 2023'!F:F)</f>
        <v>64</v>
      </c>
      <c r="G78" s="18">
        <f>_xlfn.XLOOKUP($B:$B,'Compilado 2023'!$B:$B,'Compilado 2023'!G:G)</f>
        <v>80</v>
      </c>
      <c r="H78" s="35">
        <f t="shared" si="35"/>
        <v>271.20296875000003</v>
      </c>
      <c r="I78" s="19">
        <f t="shared" si="36"/>
        <v>775.03290322580654</v>
      </c>
      <c r="J78" s="122">
        <f t="shared" si="37"/>
        <v>22.395165324926893</v>
      </c>
      <c r="K78" s="18">
        <f>_xlfn.XLOOKUP($B:$B,'Compilado 2023'!$B:$B,'Compilado 2023'!K:K)</f>
        <v>2830</v>
      </c>
      <c r="L78" s="54">
        <f t="shared" si="38"/>
        <v>2.2614840989399292E-2</v>
      </c>
      <c r="M78" s="149"/>
      <c r="N78" s="106">
        <f>_xlfn.XLOOKUP($B:$B,'Compilado 2023'!$B:$B,'Compilado 2023'!N:N)</f>
        <v>504.22</v>
      </c>
      <c r="O78" s="106">
        <f>_xlfn.XLOOKUP($B:$B,'Compilado 2023'!$B:$B,'Compilado 2023'!O:O)</f>
        <v>219.2</v>
      </c>
      <c r="P78" s="106">
        <f>_xlfn.XLOOKUP($B:$B,'Compilado 2023'!$B:$B,'Compilado 2023'!P:P)</f>
        <v>0</v>
      </c>
      <c r="Q78" s="106">
        <f>_xlfn.XLOOKUP($B:$B,'Compilado 2023'!$B:$B,'Compilado 2023'!Q:Q)</f>
        <v>51.612903225806448</v>
      </c>
      <c r="R78" s="106">
        <f>_xlfn.XLOOKUP($B:$B,'Compilado 2023'!$B:$B,'Compilado 2023'!R:R)</f>
        <v>0</v>
      </c>
      <c r="S78" s="106">
        <f>_xlfn.XLOOKUP($B:$B,'Compilado 2023'!$B:$B,'Compilado 2023'!T:T)</f>
        <v>0</v>
      </c>
      <c r="T78" s="106">
        <f>_xlfn.XLOOKUP($B:$B,'Compilado 2023'!$B:$B,'Compilado 2023'!U:U)</f>
        <v>0</v>
      </c>
      <c r="U78" s="106">
        <f>_xlfn.XLOOKUP($B:$B,'Compilado 2023'!$B:$B,'Compilado 2023'!V:V)</f>
        <v>0</v>
      </c>
      <c r="V78" s="57"/>
      <c r="W78" s="106">
        <f>_xlfn.XLOOKUP($B:$B,'Compilado 2023'!$B:$B,'Compilado 2023'!X:X)</f>
        <v>0</v>
      </c>
      <c r="X78" s="106">
        <f>_xlfn.XLOOKUP($B:$B,'Compilado 2023'!$B:$B,'Compilado 2023'!Y:Y)</f>
        <v>0</v>
      </c>
      <c r="Y78" s="106">
        <f>_xlfn.XLOOKUP($B:$B,'Compilado 2023'!$B:$B,'Compilado 2023'!Z:Z)</f>
        <v>0</v>
      </c>
      <c r="AA78" s="208">
        <v>45122</v>
      </c>
    </row>
    <row r="79" spans="1:27" hidden="1" x14ac:dyDescent="0.2">
      <c r="A79" s="17" t="str">
        <f t="shared" ca="1" si="39"/>
        <v>Realizado</v>
      </c>
      <c r="B79" s="17">
        <v>44577</v>
      </c>
      <c r="C79" s="19">
        <f t="shared" si="34"/>
        <v>16479.939999999999</v>
      </c>
      <c r="D79" s="35">
        <f>_xlfn.XLOOKUP($B:$B,'Compilado 2023'!$B:$B,'Compilado 2023'!D:D)</f>
        <v>16479.939999999999</v>
      </c>
      <c r="E79" s="35">
        <f>_xlfn.XLOOKUP($B:$B,'Compilado 2023'!$B:$B,'Compilado 2023'!E:E)</f>
        <v>0</v>
      </c>
      <c r="F79" s="18">
        <f>_xlfn.XLOOKUP($B:$B,'Compilado 2023'!$B:$B,'Compilado 2023'!F:F)</f>
        <v>57</v>
      </c>
      <c r="G79" s="18">
        <f>_xlfn.XLOOKUP($B:$B,'Compilado 2023'!$B:$B,'Compilado 2023'!G:G)</f>
        <v>67</v>
      </c>
      <c r="H79" s="35">
        <f t="shared" si="35"/>
        <v>289.12175438596489</v>
      </c>
      <c r="I79" s="19">
        <f t="shared" si="36"/>
        <v>637.42290322580641</v>
      </c>
      <c r="J79" s="122">
        <f t="shared" si="37"/>
        <v>25.854012958429887</v>
      </c>
      <c r="K79" s="18">
        <f>_xlfn.XLOOKUP($B:$B,'Compilado 2023'!$B:$B,'Compilado 2023'!K:K)</f>
        <v>2426</v>
      </c>
      <c r="L79" s="54">
        <f t="shared" si="38"/>
        <v>2.3495465787304205E-2</v>
      </c>
      <c r="M79" s="149"/>
      <c r="N79" s="106">
        <f>_xlfn.XLOOKUP($B:$B,'Compilado 2023'!$B:$B,'Compilado 2023'!N:N)</f>
        <v>367.86</v>
      </c>
      <c r="O79" s="106">
        <f>_xlfn.XLOOKUP($B:$B,'Compilado 2023'!$B:$B,'Compilado 2023'!O:O)</f>
        <v>217.95</v>
      </c>
      <c r="P79" s="106">
        <f>_xlfn.XLOOKUP($B:$B,'Compilado 2023'!$B:$B,'Compilado 2023'!P:P)</f>
        <v>0</v>
      </c>
      <c r="Q79" s="106">
        <f>_xlfn.XLOOKUP($B:$B,'Compilado 2023'!$B:$B,'Compilado 2023'!Q:Q)</f>
        <v>51.612903225806448</v>
      </c>
      <c r="R79" s="106">
        <f>_xlfn.XLOOKUP($B:$B,'Compilado 2023'!$B:$B,'Compilado 2023'!R:R)</f>
        <v>0</v>
      </c>
      <c r="S79" s="106">
        <f>_xlfn.XLOOKUP($B:$B,'Compilado 2023'!$B:$B,'Compilado 2023'!T:T)</f>
        <v>0</v>
      </c>
      <c r="T79" s="106">
        <f>_xlfn.XLOOKUP($B:$B,'Compilado 2023'!$B:$B,'Compilado 2023'!U:U)</f>
        <v>0</v>
      </c>
      <c r="U79" s="106">
        <f>_xlfn.XLOOKUP($B:$B,'Compilado 2023'!$B:$B,'Compilado 2023'!V:V)</f>
        <v>0</v>
      </c>
      <c r="V79" s="57"/>
      <c r="W79" s="106">
        <f>_xlfn.XLOOKUP($B:$B,'Compilado 2023'!$B:$B,'Compilado 2023'!X:X)</f>
        <v>0</v>
      </c>
      <c r="X79" s="106">
        <f>_xlfn.XLOOKUP($B:$B,'Compilado 2023'!$B:$B,'Compilado 2023'!Y:Y)</f>
        <v>0</v>
      </c>
      <c r="Y79" s="106">
        <f>_xlfn.XLOOKUP($B:$B,'Compilado 2023'!$B:$B,'Compilado 2023'!Z:Z)</f>
        <v>0</v>
      </c>
      <c r="AA79" s="208">
        <v>45123</v>
      </c>
    </row>
    <row r="80" spans="1:27" hidden="1" x14ac:dyDescent="0.2">
      <c r="A80" s="17" t="str">
        <f t="shared" ca="1" si="39"/>
        <v>Realizado</v>
      </c>
      <c r="B80" s="17">
        <v>44578</v>
      </c>
      <c r="C80" s="19">
        <f t="shared" si="34"/>
        <v>29037.33</v>
      </c>
      <c r="D80" s="35">
        <f>_xlfn.XLOOKUP($B:$B,'Compilado 2023'!$B:$B,'Compilado 2023'!D:D)</f>
        <v>29037.33</v>
      </c>
      <c r="E80" s="35">
        <f>_xlfn.XLOOKUP($B:$B,'Compilado 2023'!$B:$B,'Compilado 2023'!E:E)</f>
        <v>0</v>
      </c>
      <c r="F80" s="18">
        <f>_xlfn.XLOOKUP($B:$B,'Compilado 2023'!$B:$B,'Compilado 2023'!F:F)</f>
        <v>114</v>
      </c>
      <c r="G80" s="18">
        <f>_xlfn.XLOOKUP($B:$B,'Compilado 2023'!$B:$B,'Compilado 2023'!G:G)</f>
        <v>147</v>
      </c>
      <c r="H80" s="35">
        <f t="shared" si="35"/>
        <v>254.71342105263159</v>
      </c>
      <c r="I80" s="19">
        <f t="shared" si="36"/>
        <v>866.52290322580643</v>
      </c>
      <c r="J80" s="122">
        <f t="shared" si="37"/>
        <v>33.510170235434842</v>
      </c>
      <c r="K80" s="18">
        <f>_xlfn.XLOOKUP($B:$B,'Compilado 2023'!$B:$B,'Compilado 2023'!K:K)</f>
        <v>4395</v>
      </c>
      <c r="L80" s="54">
        <f t="shared" si="38"/>
        <v>2.5938566552901023E-2</v>
      </c>
      <c r="M80" s="149"/>
      <c r="N80" s="106">
        <f>_xlfn.XLOOKUP($B:$B,'Compilado 2023'!$B:$B,'Compilado 2023'!N:N)</f>
        <v>558.91999999999996</v>
      </c>
      <c r="O80" s="106">
        <f>_xlfn.XLOOKUP($B:$B,'Compilado 2023'!$B:$B,'Compilado 2023'!O:O)</f>
        <v>255.99</v>
      </c>
      <c r="P80" s="106">
        <f>_xlfn.XLOOKUP($B:$B,'Compilado 2023'!$B:$B,'Compilado 2023'!P:P)</f>
        <v>0</v>
      </c>
      <c r="Q80" s="106">
        <f>_xlfn.XLOOKUP($B:$B,'Compilado 2023'!$B:$B,'Compilado 2023'!Q:Q)</f>
        <v>51.612903225806448</v>
      </c>
      <c r="R80" s="106">
        <f>_xlfn.XLOOKUP($B:$B,'Compilado 2023'!$B:$B,'Compilado 2023'!R:R)</f>
        <v>0</v>
      </c>
      <c r="S80" s="106">
        <f>_xlfn.XLOOKUP($B:$B,'Compilado 2023'!$B:$B,'Compilado 2023'!T:T)</f>
        <v>0</v>
      </c>
      <c r="T80" s="106">
        <f>_xlfn.XLOOKUP($B:$B,'Compilado 2023'!$B:$B,'Compilado 2023'!U:U)</f>
        <v>0</v>
      </c>
      <c r="U80" s="106">
        <f>_xlfn.XLOOKUP($B:$B,'Compilado 2023'!$B:$B,'Compilado 2023'!V:V)</f>
        <v>0</v>
      </c>
      <c r="V80" s="57"/>
      <c r="W80" s="106">
        <f>_xlfn.XLOOKUP($B:$B,'Compilado 2023'!$B:$B,'Compilado 2023'!X:X)</f>
        <v>0</v>
      </c>
      <c r="X80" s="106">
        <f>_xlfn.XLOOKUP($B:$B,'Compilado 2023'!$B:$B,'Compilado 2023'!Y:Y)</f>
        <v>0</v>
      </c>
      <c r="Y80" s="106">
        <f>_xlfn.XLOOKUP($B:$B,'Compilado 2023'!$B:$B,'Compilado 2023'!Z:Z)</f>
        <v>0</v>
      </c>
      <c r="AA80" s="208">
        <v>45124</v>
      </c>
    </row>
    <row r="81" spans="1:27" hidden="1" x14ac:dyDescent="0.2">
      <c r="A81" s="17" t="str">
        <f t="shared" ca="1" si="39"/>
        <v>Realizado</v>
      </c>
      <c r="B81" s="17">
        <v>44579</v>
      </c>
      <c r="C81" s="19">
        <f t="shared" si="34"/>
        <v>23704.3</v>
      </c>
      <c r="D81" s="35">
        <f>_xlfn.XLOOKUP($B:$B,'Compilado 2023'!$B:$B,'Compilado 2023'!D:D)</f>
        <v>23704.3</v>
      </c>
      <c r="E81" s="35">
        <f>_xlfn.XLOOKUP($B:$B,'Compilado 2023'!$B:$B,'Compilado 2023'!E:E)</f>
        <v>0</v>
      </c>
      <c r="F81" s="18">
        <f>_xlfn.XLOOKUP($B:$B,'Compilado 2023'!$B:$B,'Compilado 2023'!F:F)</f>
        <v>84</v>
      </c>
      <c r="G81" s="18">
        <f>_xlfn.XLOOKUP($B:$B,'Compilado 2023'!$B:$B,'Compilado 2023'!G:G)</f>
        <v>104</v>
      </c>
      <c r="H81" s="35">
        <f t="shared" si="35"/>
        <v>282.19404761904764</v>
      </c>
      <c r="I81" s="19">
        <f t="shared" si="36"/>
        <v>762.94290322580639</v>
      </c>
      <c r="J81" s="122">
        <f t="shared" si="37"/>
        <v>31.06955959584343</v>
      </c>
      <c r="K81" s="18">
        <f>_xlfn.XLOOKUP($B:$B,'Compilado 2023'!$B:$B,'Compilado 2023'!K:K)</f>
        <v>3565</v>
      </c>
      <c r="L81" s="54">
        <f t="shared" si="38"/>
        <v>2.356241234221599E-2</v>
      </c>
      <c r="M81" s="149"/>
      <c r="N81" s="106">
        <f>_xlfn.XLOOKUP($B:$B,'Compilado 2023'!$B:$B,'Compilado 2023'!N:N)</f>
        <v>520.02</v>
      </c>
      <c r="O81" s="106">
        <f>_xlfn.XLOOKUP($B:$B,'Compilado 2023'!$B:$B,'Compilado 2023'!O:O)</f>
        <v>191.31</v>
      </c>
      <c r="P81" s="106">
        <f>_xlfn.XLOOKUP($B:$B,'Compilado 2023'!$B:$B,'Compilado 2023'!P:P)</f>
        <v>0</v>
      </c>
      <c r="Q81" s="106">
        <f>_xlfn.XLOOKUP($B:$B,'Compilado 2023'!$B:$B,'Compilado 2023'!Q:Q)</f>
        <v>51.612903225806448</v>
      </c>
      <c r="R81" s="106">
        <f>_xlfn.XLOOKUP($B:$B,'Compilado 2023'!$B:$B,'Compilado 2023'!R:R)</f>
        <v>0</v>
      </c>
      <c r="S81" s="106">
        <f>_xlfn.XLOOKUP($B:$B,'Compilado 2023'!$B:$B,'Compilado 2023'!T:T)</f>
        <v>0</v>
      </c>
      <c r="T81" s="106">
        <f>_xlfn.XLOOKUP($B:$B,'Compilado 2023'!$B:$B,'Compilado 2023'!U:U)</f>
        <v>0</v>
      </c>
      <c r="U81" s="106">
        <f>_xlfn.XLOOKUP($B:$B,'Compilado 2023'!$B:$B,'Compilado 2023'!V:V)</f>
        <v>0</v>
      </c>
      <c r="V81" s="57"/>
      <c r="W81" s="106">
        <f>_xlfn.XLOOKUP($B:$B,'Compilado 2023'!$B:$B,'Compilado 2023'!X:X)</f>
        <v>0</v>
      </c>
      <c r="X81" s="106">
        <f>_xlfn.XLOOKUP($B:$B,'Compilado 2023'!$B:$B,'Compilado 2023'!Y:Y)</f>
        <v>0</v>
      </c>
      <c r="Y81" s="106">
        <f>_xlfn.XLOOKUP($B:$B,'Compilado 2023'!$B:$B,'Compilado 2023'!Z:Z)</f>
        <v>0</v>
      </c>
      <c r="AA81" s="208">
        <v>45125</v>
      </c>
    </row>
    <row r="82" spans="1:27" hidden="1" x14ac:dyDescent="0.2">
      <c r="A82" s="17" t="str">
        <f t="shared" ca="1" si="39"/>
        <v>Realizado</v>
      </c>
      <c r="B82" s="17">
        <v>44580</v>
      </c>
      <c r="C82" s="19">
        <f t="shared" si="34"/>
        <v>30359.67</v>
      </c>
      <c r="D82" s="35">
        <f>_xlfn.XLOOKUP($B:$B,'Compilado 2023'!$B:$B,'Compilado 2023'!D:D)</f>
        <v>30324.67</v>
      </c>
      <c r="E82" s="35">
        <f>_xlfn.XLOOKUP($B:$B,'Compilado 2023'!$B:$B,'Compilado 2023'!E:E)</f>
        <v>35</v>
      </c>
      <c r="F82" s="18">
        <f>_xlfn.XLOOKUP($B:$B,'Compilado 2023'!$B:$B,'Compilado 2023'!F:F)</f>
        <v>95</v>
      </c>
      <c r="G82" s="18">
        <f>_xlfn.XLOOKUP($B:$B,'Compilado 2023'!$B:$B,'Compilado 2023'!G:G)</f>
        <v>124</v>
      </c>
      <c r="H82" s="35">
        <f t="shared" si="35"/>
        <v>319.57547368421052</v>
      </c>
      <c r="I82" s="19">
        <f t="shared" si="36"/>
        <v>730.54290322580653</v>
      </c>
      <c r="J82" s="122">
        <f t="shared" si="37"/>
        <v>41.557682465934519</v>
      </c>
      <c r="K82" s="18">
        <f>_xlfn.XLOOKUP($B:$B,'Compilado 2023'!$B:$B,'Compilado 2023'!K:K)</f>
        <v>3392</v>
      </c>
      <c r="L82" s="54">
        <f t="shared" si="38"/>
        <v>2.8007075471698114E-2</v>
      </c>
      <c r="M82" s="149"/>
      <c r="N82" s="106">
        <f>_xlfn.XLOOKUP($B:$B,'Compilado 2023'!$B:$B,'Compilado 2023'!N:N)</f>
        <v>488.86</v>
      </c>
      <c r="O82" s="106">
        <f>_xlfn.XLOOKUP($B:$B,'Compilado 2023'!$B:$B,'Compilado 2023'!O:O)</f>
        <v>190.07</v>
      </c>
      <c r="P82" s="106">
        <f>_xlfn.XLOOKUP($B:$B,'Compilado 2023'!$B:$B,'Compilado 2023'!P:P)</f>
        <v>0</v>
      </c>
      <c r="Q82" s="106">
        <f>_xlfn.XLOOKUP($B:$B,'Compilado 2023'!$B:$B,'Compilado 2023'!Q:Q)</f>
        <v>51.612903225806448</v>
      </c>
      <c r="R82" s="106">
        <f>_xlfn.XLOOKUP($B:$B,'Compilado 2023'!$B:$B,'Compilado 2023'!R:R)</f>
        <v>0</v>
      </c>
      <c r="S82" s="106">
        <f>_xlfn.XLOOKUP($B:$B,'Compilado 2023'!$B:$B,'Compilado 2023'!T:T)</f>
        <v>0</v>
      </c>
      <c r="T82" s="106">
        <f>_xlfn.XLOOKUP($B:$B,'Compilado 2023'!$B:$B,'Compilado 2023'!U:U)</f>
        <v>0</v>
      </c>
      <c r="U82" s="106">
        <f>_xlfn.XLOOKUP($B:$B,'Compilado 2023'!$B:$B,'Compilado 2023'!V:V)</f>
        <v>0</v>
      </c>
      <c r="V82" s="57"/>
      <c r="W82" s="106">
        <f>_xlfn.XLOOKUP($B:$B,'Compilado 2023'!$B:$B,'Compilado 2023'!X:X)</f>
        <v>0</v>
      </c>
      <c r="X82" s="106">
        <f>_xlfn.XLOOKUP($B:$B,'Compilado 2023'!$B:$B,'Compilado 2023'!Y:Y)</f>
        <v>0</v>
      </c>
      <c r="Y82" s="106">
        <f>_xlfn.XLOOKUP($B:$B,'Compilado 2023'!$B:$B,'Compilado 2023'!Z:Z)</f>
        <v>0</v>
      </c>
      <c r="AA82" s="208">
        <v>45126</v>
      </c>
    </row>
    <row r="83" spans="1:27" hidden="1" x14ac:dyDescent="0.2">
      <c r="A83" s="17" t="str">
        <f t="shared" ca="1" si="39"/>
        <v>Realizado</v>
      </c>
      <c r="B83" s="17">
        <v>44581</v>
      </c>
      <c r="C83" s="19">
        <f t="shared" si="34"/>
        <v>23211.75</v>
      </c>
      <c r="D83" s="35">
        <f>_xlfn.XLOOKUP($B:$B,'Compilado 2023'!$B:$B,'Compilado 2023'!D:D)</f>
        <v>23211.75</v>
      </c>
      <c r="E83" s="35">
        <f>_xlfn.XLOOKUP($B:$B,'Compilado 2023'!$B:$B,'Compilado 2023'!E:E)</f>
        <v>0</v>
      </c>
      <c r="F83" s="18">
        <f>_xlfn.XLOOKUP($B:$B,'Compilado 2023'!$B:$B,'Compilado 2023'!F:F)</f>
        <v>84</v>
      </c>
      <c r="G83" s="18">
        <f>_xlfn.XLOOKUP($B:$B,'Compilado 2023'!$B:$B,'Compilado 2023'!G:G)</f>
        <v>104</v>
      </c>
      <c r="H83" s="35">
        <f t="shared" si="35"/>
        <v>276.33035714285717</v>
      </c>
      <c r="I83" s="19">
        <f t="shared" si="36"/>
        <v>686.37290322580645</v>
      </c>
      <c r="J83" s="122">
        <f t="shared" si="37"/>
        <v>33.817987118823773</v>
      </c>
      <c r="K83" s="18">
        <f>_xlfn.XLOOKUP($B:$B,'Compilado 2023'!$B:$B,'Compilado 2023'!K:K)</f>
        <v>3446</v>
      </c>
      <c r="L83" s="54">
        <f t="shared" si="38"/>
        <v>2.4376088218224026E-2</v>
      </c>
      <c r="M83" s="149"/>
      <c r="N83" s="106">
        <f>_xlfn.XLOOKUP($B:$B,'Compilado 2023'!$B:$B,'Compilado 2023'!N:N)</f>
        <v>409.9</v>
      </c>
      <c r="O83" s="106">
        <f>_xlfn.XLOOKUP($B:$B,'Compilado 2023'!$B:$B,'Compilado 2023'!O:O)</f>
        <v>224.86</v>
      </c>
      <c r="P83" s="106">
        <f>_xlfn.XLOOKUP($B:$B,'Compilado 2023'!$B:$B,'Compilado 2023'!P:P)</f>
        <v>0</v>
      </c>
      <c r="Q83" s="106">
        <f>_xlfn.XLOOKUP($B:$B,'Compilado 2023'!$B:$B,'Compilado 2023'!Q:Q)</f>
        <v>51.612903225806448</v>
      </c>
      <c r="R83" s="106">
        <f>_xlfn.XLOOKUP($B:$B,'Compilado 2023'!$B:$B,'Compilado 2023'!R:R)</f>
        <v>0</v>
      </c>
      <c r="S83" s="106">
        <f>_xlfn.XLOOKUP($B:$B,'Compilado 2023'!$B:$B,'Compilado 2023'!T:T)</f>
        <v>0</v>
      </c>
      <c r="T83" s="106">
        <f>_xlfn.XLOOKUP($B:$B,'Compilado 2023'!$B:$B,'Compilado 2023'!U:U)</f>
        <v>0</v>
      </c>
      <c r="U83" s="106">
        <f>_xlfn.XLOOKUP($B:$B,'Compilado 2023'!$B:$B,'Compilado 2023'!V:V)</f>
        <v>0</v>
      </c>
      <c r="V83" s="57"/>
      <c r="W83" s="106">
        <f>_xlfn.XLOOKUP($B:$B,'Compilado 2023'!$B:$B,'Compilado 2023'!X:X)</f>
        <v>0</v>
      </c>
      <c r="X83" s="106">
        <f>_xlfn.XLOOKUP($B:$B,'Compilado 2023'!$B:$B,'Compilado 2023'!Y:Y)</f>
        <v>0</v>
      </c>
      <c r="Y83" s="106">
        <f>_xlfn.XLOOKUP($B:$B,'Compilado 2023'!$B:$B,'Compilado 2023'!Z:Z)</f>
        <v>0</v>
      </c>
      <c r="AA83" s="208">
        <v>45127</v>
      </c>
    </row>
    <row r="84" spans="1:27" hidden="1" x14ac:dyDescent="0.2">
      <c r="A84" s="17" t="str">
        <f t="shared" ca="1" si="39"/>
        <v>Realizado</v>
      </c>
      <c r="B84" s="17">
        <v>44582</v>
      </c>
      <c r="C84" s="19">
        <f t="shared" si="34"/>
        <v>28186.440000000002</v>
      </c>
      <c r="D84" s="35">
        <f>_xlfn.XLOOKUP($B:$B,'Compilado 2023'!$B:$B,'Compilado 2023'!D:D)</f>
        <v>28164.080000000002</v>
      </c>
      <c r="E84" s="35">
        <f>_xlfn.XLOOKUP($B:$B,'Compilado 2023'!$B:$B,'Compilado 2023'!E:E)</f>
        <v>22.36</v>
      </c>
      <c r="F84" s="18">
        <f>_xlfn.XLOOKUP($B:$B,'Compilado 2023'!$B:$B,'Compilado 2023'!F:F)</f>
        <v>101</v>
      </c>
      <c r="G84" s="18">
        <f>_xlfn.XLOOKUP($B:$B,'Compilado 2023'!$B:$B,'Compilado 2023'!G:G)</f>
        <v>129</v>
      </c>
      <c r="H84" s="35">
        <f t="shared" si="35"/>
        <v>279.07366336633663</v>
      </c>
      <c r="I84" s="19">
        <f t="shared" si="36"/>
        <v>701.92290322580641</v>
      </c>
      <c r="J84" s="122">
        <f t="shared" si="37"/>
        <v>40.156034046566099</v>
      </c>
      <c r="K84" s="18">
        <f>_xlfn.XLOOKUP($B:$B,'Compilado 2023'!$B:$B,'Compilado 2023'!K:K)</f>
        <v>3195</v>
      </c>
      <c r="L84" s="54">
        <f t="shared" si="38"/>
        <v>3.1611893583724571E-2</v>
      </c>
      <c r="M84" s="149"/>
      <c r="N84" s="106">
        <f>_xlfn.XLOOKUP($B:$B,'Compilado 2023'!$B:$B,'Compilado 2023'!N:N)</f>
        <v>367.89</v>
      </c>
      <c r="O84" s="106">
        <f>_xlfn.XLOOKUP($B:$B,'Compilado 2023'!$B:$B,'Compilado 2023'!O:O)</f>
        <v>282.42</v>
      </c>
      <c r="P84" s="106">
        <f>_xlfn.XLOOKUP($B:$B,'Compilado 2023'!$B:$B,'Compilado 2023'!P:P)</f>
        <v>0</v>
      </c>
      <c r="Q84" s="106">
        <f>_xlfn.XLOOKUP($B:$B,'Compilado 2023'!$B:$B,'Compilado 2023'!Q:Q)</f>
        <v>51.612903225806448</v>
      </c>
      <c r="R84" s="106">
        <f>_xlfn.XLOOKUP($B:$B,'Compilado 2023'!$B:$B,'Compilado 2023'!R:R)</f>
        <v>0</v>
      </c>
      <c r="S84" s="106">
        <f>_xlfn.XLOOKUP($B:$B,'Compilado 2023'!$B:$B,'Compilado 2023'!T:T)</f>
        <v>0</v>
      </c>
      <c r="T84" s="106">
        <f>_xlfn.XLOOKUP($B:$B,'Compilado 2023'!$B:$B,'Compilado 2023'!U:U)</f>
        <v>0</v>
      </c>
      <c r="U84" s="106">
        <f>_xlfn.XLOOKUP($B:$B,'Compilado 2023'!$B:$B,'Compilado 2023'!V:V)</f>
        <v>0</v>
      </c>
      <c r="V84" s="57"/>
      <c r="W84" s="106">
        <f>_xlfn.XLOOKUP($B:$B,'Compilado 2023'!$B:$B,'Compilado 2023'!X:X)</f>
        <v>0</v>
      </c>
      <c r="X84" s="106">
        <f>_xlfn.XLOOKUP($B:$B,'Compilado 2023'!$B:$B,'Compilado 2023'!Y:Y)</f>
        <v>0</v>
      </c>
      <c r="Y84" s="106">
        <f>_xlfn.XLOOKUP($B:$B,'Compilado 2023'!$B:$B,'Compilado 2023'!Z:Z)</f>
        <v>0</v>
      </c>
      <c r="AA84" s="208">
        <v>45128</v>
      </c>
    </row>
    <row r="85" spans="1:27" hidden="1" x14ac:dyDescent="0.2">
      <c r="A85" s="17" t="str">
        <f t="shared" ca="1" si="39"/>
        <v>Realizado</v>
      </c>
      <c r="B85" s="17">
        <v>44583</v>
      </c>
      <c r="C85" s="19">
        <f t="shared" si="34"/>
        <v>17544.060000000001</v>
      </c>
      <c r="D85" s="35">
        <f>_xlfn.XLOOKUP($B:$B,'Compilado 2023'!$B:$B,'Compilado 2023'!D:D)</f>
        <v>17544.060000000001</v>
      </c>
      <c r="E85" s="35">
        <f>_xlfn.XLOOKUP($B:$B,'Compilado 2023'!$B:$B,'Compilado 2023'!E:E)</f>
        <v>0</v>
      </c>
      <c r="F85" s="18">
        <f>_xlfn.XLOOKUP($B:$B,'Compilado 2023'!$B:$B,'Compilado 2023'!F:F)</f>
        <v>55</v>
      </c>
      <c r="G85" s="18">
        <f>_xlfn.XLOOKUP($B:$B,'Compilado 2023'!$B:$B,'Compilado 2023'!G:G)</f>
        <v>62</v>
      </c>
      <c r="H85" s="35">
        <f t="shared" si="35"/>
        <v>318.98290909090912</v>
      </c>
      <c r="I85" s="19">
        <f t="shared" si="36"/>
        <v>585.91290322580642</v>
      </c>
      <c r="J85" s="122">
        <f t="shared" si="37"/>
        <v>29.943119367075369</v>
      </c>
      <c r="K85" s="18">
        <f>_xlfn.XLOOKUP($B:$B,'Compilado 2023'!$B:$B,'Compilado 2023'!K:K)</f>
        <v>2480</v>
      </c>
      <c r="L85" s="54">
        <f t="shared" si="38"/>
        <v>2.2177419354838711E-2</v>
      </c>
      <c r="M85" s="149"/>
      <c r="N85" s="106">
        <f>_xlfn.XLOOKUP($B:$B,'Compilado 2023'!$B:$B,'Compilado 2023'!N:N)</f>
        <v>240.31</v>
      </c>
      <c r="O85" s="106">
        <f>_xlfn.XLOOKUP($B:$B,'Compilado 2023'!$B:$B,'Compilado 2023'!O:O)</f>
        <v>293.99</v>
      </c>
      <c r="P85" s="106">
        <f>_xlfn.XLOOKUP($B:$B,'Compilado 2023'!$B:$B,'Compilado 2023'!P:P)</f>
        <v>0</v>
      </c>
      <c r="Q85" s="106">
        <f>_xlfn.XLOOKUP($B:$B,'Compilado 2023'!$B:$B,'Compilado 2023'!Q:Q)</f>
        <v>51.612903225806448</v>
      </c>
      <c r="R85" s="106">
        <f>_xlfn.XLOOKUP($B:$B,'Compilado 2023'!$B:$B,'Compilado 2023'!R:R)</f>
        <v>0</v>
      </c>
      <c r="S85" s="106">
        <f>_xlfn.XLOOKUP($B:$B,'Compilado 2023'!$B:$B,'Compilado 2023'!T:T)</f>
        <v>0</v>
      </c>
      <c r="T85" s="106">
        <f>_xlfn.XLOOKUP($B:$B,'Compilado 2023'!$B:$B,'Compilado 2023'!U:U)</f>
        <v>0</v>
      </c>
      <c r="U85" s="106">
        <f>_xlfn.XLOOKUP($B:$B,'Compilado 2023'!$B:$B,'Compilado 2023'!V:V)</f>
        <v>0</v>
      </c>
      <c r="V85" s="57"/>
      <c r="W85" s="106">
        <f>_xlfn.XLOOKUP($B:$B,'Compilado 2023'!$B:$B,'Compilado 2023'!X:X)</f>
        <v>0</v>
      </c>
      <c r="X85" s="106">
        <f>_xlfn.XLOOKUP($B:$B,'Compilado 2023'!$B:$B,'Compilado 2023'!Y:Y)</f>
        <v>0</v>
      </c>
      <c r="Y85" s="106">
        <f>_xlfn.XLOOKUP($B:$B,'Compilado 2023'!$B:$B,'Compilado 2023'!Z:Z)</f>
        <v>0</v>
      </c>
      <c r="AA85" s="208">
        <v>45129</v>
      </c>
    </row>
    <row r="86" spans="1:27" hidden="1" x14ac:dyDescent="0.2">
      <c r="A86" s="17" t="str">
        <f t="shared" ca="1" si="39"/>
        <v>Realizado</v>
      </c>
      <c r="B86" s="17">
        <v>44584</v>
      </c>
      <c r="C86" s="19">
        <f t="shared" si="34"/>
        <v>13039.53</v>
      </c>
      <c r="D86" s="35">
        <f>_xlfn.XLOOKUP($B:$B,'Compilado 2023'!$B:$B,'Compilado 2023'!D:D)</f>
        <v>13039.53</v>
      </c>
      <c r="E86" s="35">
        <f>_xlfn.XLOOKUP($B:$B,'Compilado 2023'!$B:$B,'Compilado 2023'!E:E)</f>
        <v>0</v>
      </c>
      <c r="F86" s="18">
        <f>_xlfn.XLOOKUP($B:$B,'Compilado 2023'!$B:$B,'Compilado 2023'!F:F)</f>
        <v>50</v>
      </c>
      <c r="G86" s="18">
        <f>_xlfn.XLOOKUP($B:$B,'Compilado 2023'!$B:$B,'Compilado 2023'!G:G)</f>
        <v>58</v>
      </c>
      <c r="H86" s="35">
        <f t="shared" si="35"/>
        <v>260.79060000000004</v>
      </c>
      <c r="I86" s="19">
        <f t="shared" si="36"/>
        <v>547.50290322580645</v>
      </c>
      <c r="J86" s="122">
        <f t="shared" si="37"/>
        <v>23.816366859742679</v>
      </c>
      <c r="K86" s="18">
        <f>_xlfn.XLOOKUP($B:$B,'Compilado 2023'!$B:$B,'Compilado 2023'!K:K)</f>
        <v>2195</v>
      </c>
      <c r="L86" s="54">
        <f t="shared" si="38"/>
        <v>2.2779043280182234E-2</v>
      </c>
      <c r="M86" s="149"/>
      <c r="N86" s="106">
        <f>_xlfn.XLOOKUP($B:$B,'Compilado 2023'!$B:$B,'Compilado 2023'!N:N)</f>
        <v>195.31</v>
      </c>
      <c r="O86" s="106">
        <f>_xlfn.XLOOKUP($B:$B,'Compilado 2023'!$B:$B,'Compilado 2023'!O:O)</f>
        <v>300.58</v>
      </c>
      <c r="P86" s="106">
        <f>_xlfn.XLOOKUP($B:$B,'Compilado 2023'!$B:$B,'Compilado 2023'!P:P)</f>
        <v>0</v>
      </c>
      <c r="Q86" s="106">
        <f>_xlfn.XLOOKUP($B:$B,'Compilado 2023'!$B:$B,'Compilado 2023'!Q:Q)</f>
        <v>51.612903225806448</v>
      </c>
      <c r="R86" s="106">
        <f>_xlfn.XLOOKUP($B:$B,'Compilado 2023'!$B:$B,'Compilado 2023'!R:R)</f>
        <v>0</v>
      </c>
      <c r="S86" s="106">
        <f>_xlfn.XLOOKUP($B:$B,'Compilado 2023'!$B:$B,'Compilado 2023'!T:T)</f>
        <v>0</v>
      </c>
      <c r="T86" s="106">
        <f>_xlfn.XLOOKUP($B:$B,'Compilado 2023'!$B:$B,'Compilado 2023'!U:U)</f>
        <v>0</v>
      </c>
      <c r="U86" s="106">
        <f>_xlfn.XLOOKUP($B:$B,'Compilado 2023'!$B:$B,'Compilado 2023'!V:V)</f>
        <v>0</v>
      </c>
      <c r="V86" s="57"/>
      <c r="W86" s="106">
        <f>_xlfn.XLOOKUP($B:$B,'Compilado 2023'!$B:$B,'Compilado 2023'!X:X)</f>
        <v>0</v>
      </c>
      <c r="X86" s="106">
        <f>_xlfn.XLOOKUP($B:$B,'Compilado 2023'!$B:$B,'Compilado 2023'!Y:Y)</f>
        <v>0</v>
      </c>
      <c r="Y86" s="106">
        <f>_xlfn.XLOOKUP($B:$B,'Compilado 2023'!$B:$B,'Compilado 2023'!Z:Z)</f>
        <v>0</v>
      </c>
      <c r="AA86" s="208">
        <v>45130</v>
      </c>
    </row>
    <row r="87" spans="1:27" hidden="1" x14ac:dyDescent="0.2">
      <c r="A87" s="17" t="str">
        <f t="shared" ca="1" si="39"/>
        <v>Realizado</v>
      </c>
      <c r="B87" s="17">
        <v>44585</v>
      </c>
      <c r="C87" s="19">
        <f t="shared" si="34"/>
        <v>22746.44</v>
      </c>
      <c r="D87" s="35">
        <f>_xlfn.XLOOKUP($B:$B,'Compilado 2023'!$B:$B,'Compilado 2023'!D:D)</f>
        <v>22746.44</v>
      </c>
      <c r="E87" s="35">
        <f>_xlfn.XLOOKUP($B:$B,'Compilado 2023'!$B:$B,'Compilado 2023'!E:E)</f>
        <v>0</v>
      </c>
      <c r="F87" s="18">
        <f>_xlfn.XLOOKUP($B:$B,'Compilado 2023'!$B:$B,'Compilado 2023'!F:F)</f>
        <v>85</v>
      </c>
      <c r="G87" s="18">
        <f>_xlfn.XLOOKUP($B:$B,'Compilado 2023'!$B:$B,'Compilado 2023'!G:G)</f>
        <v>101</v>
      </c>
      <c r="H87" s="35">
        <f t="shared" si="35"/>
        <v>267.60517647058822</v>
      </c>
      <c r="I87" s="19">
        <f t="shared" si="36"/>
        <v>809.58290322580649</v>
      </c>
      <c r="J87" s="122">
        <f t="shared" si="37"/>
        <v>28.096492538770459</v>
      </c>
      <c r="K87" s="18">
        <f>_xlfn.XLOOKUP($B:$B,'Compilado 2023'!$B:$B,'Compilado 2023'!K:K)</f>
        <v>4190</v>
      </c>
      <c r="L87" s="54">
        <f t="shared" si="38"/>
        <v>2.028639618138425E-2</v>
      </c>
      <c r="M87" s="149"/>
      <c r="N87" s="106">
        <f>_xlfn.XLOOKUP($B:$B,'Compilado 2023'!$B:$B,'Compilado 2023'!N:N)</f>
        <v>368.09</v>
      </c>
      <c r="O87" s="106">
        <f>_xlfn.XLOOKUP($B:$B,'Compilado 2023'!$B:$B,'Compilado 2023'!O:O)</f>
        <v>389.88</v>
      </c>
      <c r="P87" s="106">
        <f>_xlfn.XLOOKUP($B:$B,'Compilado 2023'!$B:$B,'Compilado 2023'!P:P)</f>
        <v>0</v>
      </c>
      <c r="Q87" s="106">
        <f>_xlfn.XLOOKUP($B:$B,'Compilado 2023'!$B:$B,'Compilado 2023'!Q:Q)</f>
        <v>51.612903225806448</v>
      </c>
      <c r="R87" s="106">
        <f>_xlfn.XLOOKUP($B:$B,'Compilado 2023'!$B:$B,'Compilado 2023'!R:R)</f>
        <v>0</v>
      </c>
      <c r="S87" s="106">
        <f>_xlfn.XLOOKUP($B:$B,'Compilado 2023'!$B:$B,'Compilado 2023'!T:T)</f>
        <v>0</v>
      </c>
      <c r="T87" s="106">
        <f>_xlfn.XLOOKUP($B:$B,'Compilado 2023'!$B:$B,'Compilado 2023'!U:U)</f>
        <v>0</v>
      </c>
      <c r="U87" s="106">
        <f>_xlfn.XLOOKUP($B:$B,'Compilado 2023'!$B:$B,'Compilado 2023'!V:V)</f>
        <v>0</v>
      </c>
      <c r="V87" s="57"/>
      <c r="W87" s="106">
        <f>_xlfn.XLOOKUP($B:$B,'Compilado 2023'!$B:$B,'Compilado 2023'!X:X)</f>
        <v>0</v>
      </c>
      <c r="X87" s="106">
        <f>_xlfn.XLOOKUP($B:$B,'Compilado 2023'!$B:$B,'Compilado 2023'!Y:Y)</f>
        <v>0</v>
      </c>
      <c r="Y87" s="106">
        <f>_xlfn.XLOOKUP($B:$B,'Compilado 2023'!$B:$B,'Compilado 2023'!Z:Z)</f>
        <v>0</v>
      </c>
      <c r="AA87" s="208">
        <v>45131</v>
      </c>
    </row>
    <row r="88" spans="1:27" hidden="1" x14ac:dyDescent="0.2">
      <c r="A88" s="17" t="str">
        <f t="shared" ca="1" si="39"/>
        <v>Realizado</v>
      </c>
      <c r="B88" s="17">
        <v>44586</v>
      </c>
      <c r="C88" s="19">
        <f t="shared" si="34"/>
        <v>22863.53</v>
      </c>
      <c r="D88" s="35">
        <f>_xlfn.XLOOKUP($B:$B,'Compilado 2023'!$B:$B,'Compilado 2023'!D:D)</f>
        <v>22863.53</v>
      </c>
      <c r="E88" s="35">
        <f>_xlfn.XLOOKUP($B:$B,'Compilado 2023'!$B:$B,'Compilado 2023'!E:E)</f>
        <v>0</v>
      </c>
      <c r="F88" s="18">
        <f>_xlfn.XLOOKUP($B:$B,'Compilado 2023'!$B:$B,'Compilado 2023'!F:F)</f>
        <v>81</v>
      </c>
      <c r="G88" s="18">
        <f>_xlfn.XLOOKUP($B:$B,'Compilado 2023'!$B:$B,'Compilado 2023'!G:G)</f>
        <v>96</v>
      </c>
      <c r="H88" s="35">
        <f t="shared" si="35"/>
        <v>282.26580246913579</v>
      </c>
      <c r="I88" s="19">
        <f t="shared" si="36"/>
        <v>831.86290322580646</v>
      </c>
      <c r="J88" s="122">
        <f t="shared" si="37"/>
        <v>27.484733255130827</v>
      </c>
      <c r="K88" s="18">
        <f>_xlfn.XLOOKUP($B:$B,'Compilado 2023'!$B:$B,'Compilado 2023'!K:K)</f>
        <v>3729</v>
      </c>
      <c r="L88" s="54">
        <f t="shared" si="38"/>
        <v>2.1721641190667738E-2</v>
      </c>
      <c r="M88" s="149"/>
      <c r="N88" s="106">
        <f>_xlfn.XLOOKUP($B:$B,'Compilado 2023'!$B:$B,'Compilado 2023'!N:N)</f>
        <v>350.74</v>
      </c>
      <c r="O88" s="106">
        <f>_xlfn.XLOOKUP($B:$B,'Compilado 2023'!$B:$B,'Compilado 2023'!O:O)</f>
        <v>429.51</v>
      </c>
      <c r="P88" s="106">
        <f>_xlfn.XLOOKUP($B:$B,'Compilado 2023'!$B:$B,'Compilado 2023'!P:P)</f>
        <v>0</v>
      </c>
      <c r="Q88" s="106">
        <f>_xlfn.XLOOKUP($B:$B,'Compilado 2023'!$B:$B,'Compilado 2023'!Q:Q)</f>
        <v>51.612903225806448</v>
      </c>
      <c r="R88" s="106">
        <f>_xlfn.XLOOKUP($B:$B,'Compilado 2023'!$B:$B,'Compilado 2023'!R:R)</f>
        <v>0</v>
      </c>
      <c r="S88" s="106">
        <f>_xlfn.XLOOKUP($B:$B,'Compilado 2023'!$B:$B,'Compilado 2023'!T:T)</f>
        <v>0</v>
      </c>
      <c r="T88" s="106">
        <f>_xlfn.XLOOKUP($B:$B,'Compilado 2023'!$B:$B,'Compilado 2023'!U:U)</f>
        <v>0</v>
      </c>
      <c r="U88" s="106">
        <f>_xlfn.XLOOKUP($B:$B,'Compilado 2023'!$B:$B,'Compilado 2023'!V:V)</f>
        <v>0</v>
      </c>
      <c r="V88" s="57"/>
      <c r="W88" s="106">
        <f>_xlfn.XLOOKUP($B:$B,'Compilado 2023'!$B:$B,'Compilado 2023'!X:X)</f>
        <v>0</v>
      </c>
      <c r="X88" s="106">
        <f>_xlfn.XLOOKUP($B:$B,'Compilado 2023'!$B:$B,'Compilado 2023'!Y:Y)</f>
        <v>0</v>
      </c>
      <c r="Y88" s="106">
        <f>_xlfn.XLOOKUP($B:$B,'Compilado 2023'!$B:$B,'Compilado 2023'!Z:Z)</f>
        <v>0</v>
      </c>
      <c r="AA88" s="208">
        <v>45132</v>
      </c>
    </row>
    <row r="89" spans="1:27" hidden="1" x14ac:dyDescent="0.2">
      <c r="A89" s="17" t="str">
        <f t="shared" ca="1" si="39"/>
        <v>Realizado</v>
      </c>
      <c r="B89" s="17">
        <v>44587</v>
      </c>
      <c r="C89" s="19">
        <f t="shared" si="34"/>
        <v>31040.799999999999</v>
      </c>
      <c r="D89" s="35">
        <f>_xlfn.XLOOKUP($B:$B,'Compilado 2023'!$B:$B,'Compilado 2023'!D:D)</f>
        <v>31040.799999999999</v>
      </c>
      <c r="E89" s="35">
        <f>_xlfn.XLOOKUP($B:$B,'Compilado 2023'!$B:$B,'Compilado 2023'!E:E)</f>
        <v>0</v>
      </c>
      <c r="F89" s="18">
        <f>_xlfn.XLOOKUP($B:$B,'Compilado 2023'!$B:$B,'Compilado 2023'!F:F)</f>
        <v>98</v>
      </c>
      <c r="G89" s="18">
        <f>_xlfn.XLOOKUP($B:$B,'Compilado 2023'!$B:$B,'Compilado 2023'!G:G)</f>
        <v>118</v>
      </c>
      <c r="H89" s="35">
        <f t="shared" si="35"/>
        <v>316.74285714285713</v>
      </c>
      <c r="I89" s="19">
        <f t="shared" si="36"/>
        <v>788.75290322580645</v>
      </c>
      <c r="J89" s="122">
        <f t="shared" si="37"/>
        <v>39.354276698127791</v>
      </c>
      <c r="K89" s="18">
        <f>_xlfn.XLOOKUP($B:$B,'Compilado 2023'!$B:$B,'Compilado 2023'!K:K)</f>
        <v>3595</v>
      </c>
      <c r="L89" s="54">
        <f t="shared" si="38"/>
        <v>2.7260083449235049E-2</v>
      </c>
      <c r="M89" s="149"/>
      <c r="N89" s="106">
        <f>_xlfn.XLOOKUP($B:$B,'Compilado 2023'!$B:$B,'Compilado 2023'!N:N)</f>
        <v>412.58</v>
      </c>
      <c r="O89" s="106">
        <f>_xlfn.XLOOKUP($B:$B,'Compilado 2023'!$B:$B,'Compilado 2023'!O:O)</f>
        <v>324.56</v>
      </c>
      <c r="P89" s="106">
        <f>_xlfn.XLOOKUP($B:$B,'Compilado 2023'!$B:$B,'Compilado 2023'!P:P)</f>
        <v>0</v>
      </c>
      <c r="Q89" s="106">
        <f>_xlfn.XLOOKUP($B:$B,'Compilado 2023'!$B:$B,'Compilado 2023'!Q:Q)</f>
        <v>51.612903225806448</v>
      </c>
      <c r="R89" s="106">
        <f>_xlfn.XLOOKUP($B:$B,'Compilado 2023'!$B:$B,'Compilado 2023'!R:R)</f>
        <v>0</v>
      </c>
      <c r="S89" s="106">
        <f>_xlfn.XLOOKUP($B:$B,'Compilado 2023'!$B:$B,'Compilado 2023'!T:T)</f>
        <v>0</v>
      </c>
      <c r="T89" s="106">
        <f>_xlfn.XLOOKUP($B:$B,'Compilado 2023'!$B:$B,'Compilado 2023'!U:U)</f>
        <v>0</v>
      </c>
      <c r="U89" s="106">
        <f>_xlfn.XLOOKUP($B:$B,'Compilado 2023'!$B:$B,'Compilado 2023'!V:V)</f>
        <v>0</v>
      </c>
      <c r="V89" s="57"/>
      <c r="W89" s="106">
        <f>_xlfn.XLOOKUP($B:$B,'Compilado 2023'!$B:$B,'Compilado 2023'!X:X)</f>
        <v>0</v>
      </c>
      <c r="X89" s="106">
        <f>_xlfn.XLOOKUP($B:$B,'Compilado 2023'!$B:$B,'Compilado 2023'!Y:Y)</f>
        <v>0</v>
      </c>
      <c r="Y89" s="106">
        <f>_xlfn.XLOOKUP($B:$B,'Compilado 2023'!$B:$B,'Compilado 2023'!Z:Z)</f>
        <v>0</v>
      </c>
      <c r="AA89" s="208">
        <v>45133</v>
      </c>
    </row>
    <row r="90" spans="1:27" hidden="1" x14ac:dyDescent="0.2">
      <c r="A90" s="17" t="str">
        <f t="shared" ca="1" si="39"/>
        <v>Realizado</v>
      </c>
      <c r="B90" s="17">
        <v>44588</v>
      </c>
      <c r="C90" s="19">
        <f t="shared" si="34"/>
        <v>27183.93</v>
      </c>
      <c r="D90" s="35">
        <f>_xlfn.XLOOKUP($B:$B,'Compilado 2023'!$B:$B,'Compilado 2023'!D:D)</f>
        <v>27183.93</v>
      </c>
      <c r="E90" s="35">
        <f>_xlfn.XLOOKUP($B:$B,'Compilado 2023'!$B:$B,'Compilado 2023'!E:E)</f>
        <v>0</v>
      </c>
      <c r="F90" s="18">
        <f>_xlfn.XLOOKUP($B:$B,'Compilado 2023'!$B:$B,'Compilado 2023'!F:F)</f>
        <v>94</v>
      </c>
      <c r="G90" s="18">
        <f>_xlfn.XLOOKUP($B:$B,'Compilado 2023'!$B:$B,'Compilado 2023'!G:G)</f>
        <v>114</v>
      </c>
      <c r="H90" s="35">
        <f t="shared" si="35"/>
        <v>289.19074468085108</v>
      </c>
      <c r="I90" s="19">
        <f t="shared" si="36"/>
        <v>856.80290322580652</v>
      </c>
      <c r="J90" s="122">
        <f t="shared" si="37"/>
        <v>31.727168404371991</v>
      </c>
      <c r="K90" s="18">
        <f>_xlfn.XLOOKUP($B:$B,'Compilado 2023'!$B:$B,'Compilado 2023'!K:K)</f>
        <v>3755</v>
      </c>
      <c r="L90" s="54">
        <f t="shared" si="38"/>
        <v>2.5033288948069242E-2</v>
      </c>
      <c r="M90" s="149"/>
      <c r="N90" s="106">
        <f>_xlfn.XLOOKUP($B:$B,'Compilado 2023'!$B:$B,'Compilado 2023'!N:N)</f>
        <v>483.31</v>
      </c>
      <c r="O90" s="106">
        <f>_xlfn.XLOOKUP($B:$B,'Compilado 2023'!$B:$B,'Compilado 2023'!O:O)</f>
        <v>321.88</v>
      </c>
      <c r="P90" s="106">
        <f>_xlfn.XLOOKUP($B:$B,'Compilado 2023'!$B:$B,'Compilado 2023'!P:P)</f>
        <v>0</v>
      </c>
      <c r="Q90" s="106">
        <f>_xlfn.XLOOKUP($B:$B,'Compilado 2023'!$B:$B,'Compilado 2023'!Q:Q)</f>
        <v>51.612903225806448</v>
      </c>
      <c r="R90" s="106">
        <f>_xlfn.XLOOKUP($B:$B,'Compilado 2023'!$B:$B,'Compilado 2023'!R:R)</f>
        <v>0</v>
      </c>
      <c r="S90" s="106">
        <f>_xlfn.XLOOKUP($B:$B,'Compilado 2023'!$B:$B,'Compilado 2023'!T:T)</f>
        <v>0</v>
      </c>
      <c r="T90" s="106">
        <f>_xlfn.XLOOKUP($B:$B,'Compilado 2023'!$B:$B,'Compilado 2023'!U:U)</f>
        <v>0</v>
      </c>
      <c r="U90" s="106">
        <f>_xlfn.XLOOKUP($B:$B,'Compilado 2023'!$B:$B,'Compilado 2023'!V:V)</f>
        <v>0</v>
      </c>
      <c r="V90" s="57"/>
      <c r="W90" s="106">
        <f>_xlfn.XLOOKUP($B:$B,'Compilado 2023'!$B:$B,'Compilado 2023'!X:X)</f>
        <v>0</v>
      </c>
      <c r="X90" s="106">
        <f>_xlfn.XLOOKUP($B:$B,'Compilado 2023'!$B:$B,'Compilado 2023'!Y:Y)</f>
        <v>0</v>
      </c>
      <c r="Y90" s="106">
        <f>_xlfn.XLOOKUP($B:$B,'Compilado 2023'!$B:$B,'Compilado 2023'!Z:Z)</f>
        <v>0</v>
      </c>
      <c r="AA90" s="208">
        <v>45134</v>
      </c>
    </row>
    <row r="91" spans="1:27" hidden="1" x14ac:dyDescent="0.2">
      <c r="A91" s="17" t="str">
        <f t="shared" ca="1" si="39"/>
        <v>Realizado</v>
      </c>
      <c r="B91" s="17">
        <v>44589</v>
      </c>
      <c r="C91" s="19">
        <f t="shared" si="34"/>
        <v>34283.760000000002</v>
      </c>
      <c r="D91" s="35">
        <f>_xlfn.XLOOKUP($B:$B,'Compilado 2023'!$B:$B,'Compilado 2023'!D:D)</f>
        <v>34248.76</v>
      </c>
      <c r="E91" s="35">
        <f>_xlfn.XLOOKUP($B:$B,'Compilado 2023'!$B:$B,'Compilado 2023'!E:E)</f>
        <v>35</v>
      </c>
      <c r="F91" s="18">
        <f>_xlfn.XLOOKUP($B:$B,'Compilado 2023'!$B:$B,'Compilado 2023'!F:F)</f>
        <v>120</v>
      </c>
      <c r="G91" s="18">
        <f>_xlfn.XLOOKUP($B:$B,'Compilado 2023'!$B:$B,'Compilado 2023'!G:G)</f>
        <v>143</v>
      </c>
      <c r="H91" s="35">
        <f t="shared" si="35"/>
        <v>285.69800000000004</v>
      </c>
      <c r="I91" s="19">
        <f t="shared" si="36"/>
        <v>804.38290322580644</v>
      </c>
      <c r="J91" s="122">
        <f t="shared" si="37"/>
        <v>42.621194287586519</v>
      </c>
      <c r="K91" s="18">
        <f>_xlfn.XLOOKUP($B:$B,'Compilado 2023'!$B:$B,'Compilado 2023'!K:K)</f>
        <v>3664</v>
      </c>
      <c r="L91" s="54">
        <f t="shared" si="38"/>
        <v>3.2751091703056769E-2</v>
      </c>
      <c r="M91" s="149"/>
      <c r="N91" s="106">
        <f>_xlfn.XLOOKUP($B:$B,'Compilado 2023'!$B:$B,'Compilado 2023'!N:N)</f>
        <v>463.92</v>
      </c>
      <c r="O91" s="106">
        <f>_xlfn.XLOOKUP($B:$B,'Compilado 2023'!$B:$B,'Compilado 2023'!O:O)</f>
        <v>288.85000000000002</v>
      </c>
      <c r="P91" s="106">
        <f>_xlfn.XLOOKUP($B:$B,'Compilado 2023'!$B:$B,'Compilado 2023'!P:P)</f>
        <v>0</v>
      </c>
      <c r="Q91" s="106">
        <f>_xlfn.XLOOKUP($B:$B,'Compilado 2023'!$B:$B,'Compilado 2023'!Q:Q)</f>
        <v>51.612903225806448</v>
      </c>
      <c r="R91" s="106">
        <f>_xlfn.XLOOKUP($B:$B,'Compilado 2023'!$B:$B,'Compilado 2023'!R:R)</f>
        <v>0</v>
      </c>
      <c r="S91" s="106">
        <f>_xlfn.XLOOKUP($B:$B,'Compilado 2023'!$B:$B,'Compilado 2023'!T:T)</f>
        <v>0</v>
      </c>
      <c r="T91" s="106">
        <f>_xlfn.XLOOKUP($B:$B,'Compilado 2023'!$B:$B,'Compilado 2023'!U:U)</f>
        <v>0</v>
      </c>
      <c r="U91" s="106">
        <f>_xlfn.XLOOKUP($B:$B,'Compilado 2023'!$B:$B,'Compilado 2023'!V:V)</f>
        <v>0</v>
      </c>
      <c r="V91" s="57"/>
      <c r="W91" s="106">
        <f>_xlfn.XLOOKUP($B:$B,'Compilado 2023'!$B:$B,'Compilado 2023'!X:X)</f>
        <v>0</v>
      </c>
      <c r="X91" s="106">
        <f>_xlfn.XLOOKUP($B:$B,'Compilado 2023'!$B:$B,'Compilado 2023'!Y:Y)</f>
        <v>0</v>
      </c>
      <c r="Y91" s="106">
        <f>_xlfn.XLOOKUP($B:$B,'Compilado 2023'!$B:$B,'Compilado 2023'!Z:Z)</f>
        <v>0</v>
      </c>
      <c r="AA91" s="208">
        <v>45135</v>
      </c>
    </row>
    <row r="92" spans="1:27" hidden="1" x14ac:dyDescent="0.2">
      <c r="A92" s="17" t="str">
        <f t="shared" ca="1" si="39"/>
        <v>Realizado</v>
      </c>
      <c r="B92" s="17">
        <v>44590</v>
      </c>
      <c r="C92" s="19">
        <f t="shared" si="34"/>
        <v>20013.039999999997</v>
      </c>
      <c r="D92" s="35">
        <f>_xlfn.XLOOKUP($B:$B,'Compilado 2023'!$B:$B,'Compilado 2023'!D:D)</f>
        <v>19991.099999999999</v>
      </c>
      <c r="E92" s="35">
        <f>_xlfn.XLOOKUP($B:$B,'Compilado 2023'!$B:$B,'Compilado 2023'!E:E)</f>
        <v>21.94</v>
      </c>
      <c r="F92" s="18">
        <f>_xlfn.XLOOKUP($B:$B,'Compilado 2023'!$B:$B,'Compilado 2023'!F:F)</f>
        <v>64</v>
      </c>
      <c r="G92" s="18">
        <f>_xlfn.XLOOKUP($B:$B,'Compilado 2023'!$B:$B,'Compilado 2023'!G:G)</f>
        <v>81</v>
      </c>
      <c r="H92" s="35">
        <f t="shared" si="35"/>
        <v>312.70374999999996</v>
      </c>
      <c r="I92" s="19">
        <f t="shared" si="36"/>
        <v>677.67290322580641</v>
      </c>
      <c r="J92" s="122">
        <f t="shared" si="37"/>
        <v>29.532005639793866</v>
      </c>
      <c r="K92" s="18">
        <f>_xlfn.XLOOKUP($B:$B,'Compilado 2023'!$B:$B,'Compilado 2023'!K:K)</f>
        <v>3019</v>
      </c>
      <c r="L92" s="54">
        <f t="shared" si="38"/>
        <v>2.119907254057635E-2</v>
      </c>
      <c r="M92" s="149"/>
      <c r="N92" s="106">
        <f>_xlfn.XLOOKUP($B:$B,'Compilado 2023'!$B:$B,'Compilado 2023'!N:N)</f>
        <v>338.09</v>
      </c>
      <c r="O92" s="106">
        <f>_xlfn.XLOOKUP($B:$B,'Compilado 2023'!$B:$B,'Compilado 2023'!O:O)</f>
        <v>287.97000000000003</v>
      </c>
      <c r="P92" s="106">
        <f>_xlfn.XLOOKUP($B:$B,'Compilado 2023'!$B:$B,'Compilado 2023'!P:P)</f>
        <v>0</v>
      </c>
      <c r="Q92" s="106">
        <f>_xlfn.XLOOKUP($B:$B,'Compilado 2023'!$B:$B,'Compilado 2023'!Q:Q)</f>
        <v>51.612903225806448</v>
      </c>
      <c r="R92" s="106">
        <f>_xlfn.XLOOKUP($B:$B,'Compilado 2023'!$B:$B,'Compilado 2023'!R:R)</f>
        <v>0</v>
      </c>
      <c r="S92" s="106">
        <f>_xlfn.XLOOKUP($B:$B,'Compilado 2023'!$B:$B,'Compilado 2023'!T:T)</f>
        <v>0</v>
      </c>
      <c r="T92" s="106">
        <f>_xlfn.XLOOKUP($B:$B,'Compilado 2023'!$B:$B,'Compilado 2023'!U:U)</f>
        <v>0</v>
      </c>
      <c r="U92" s="106">
        <f>_xlfn.XLOOKUP($B:$B,'Compilado 2023'!$B:$B,'Compilado 2023'!V:V)</f>
        <v>0</v>
      </c>
      <c r="V92" s="57"/>
      <c r="W92" s="106">
        <f>_xlfn.XLOOKUP($B:$B,'Compilado 2023'!$B:$B,'Compilado 2023'!X:X)</f>
        <v>0</v>
      </c>
      <c r="X92" s="106">
        <f>_xlfn.XLOOKUP($B:$B,'Compilado 2023'!$B:$B,'Compilado 2023'!Y:Y)</f>
        <v>0</v>
      </c>
      <c r="Y92" s="106">
        <f>_xlfn.XLOOKUP($B:$B,'Compilado 2023'!$B:$B,'Compilado 2023'!Z:Z)</f>
        <v>0</v>
      </c>
      <c r="AA92" s="208">
        <v>45136</v>
      </c>
    </row>
    <row r="93" spans="1:27" hidden="1" x14ac:dyDescent="0.2">
      <c r="A93" s="17" t="str">
        <f t="shared" ca="1" si="39"/>
        <v>Realizado</v>
      </c>
      <c r="B93" s="17">
        <v>44591</v>
      </c>
      <c r="C93" s="19">
        <f t="shared" si="34"/>
        <v>12825.9</v>
      </c>
      <c r="D93" s="35">
        <f>_xlfn.XLOOKUP($B:$B,'Compilado 2023'!$B:$B,'Compilado 2023'!D:D)</f>
        <v>12825.9</v>
      </c>
      <c r="E93" s="35">
        <f>_xlfn.XLOOKUP($B:$B,'Compilado 2023'!$B:$B,'Compilado 2023'!E:E)</f>
        <v>0</v>
      </c>
      <c r="F93" s="18">
        <f>_xlfn.XLOOKUP($B:$B,'Compilado 2023'!$B:$B,'Compilado 2023'!F:F)</f>
        <v>50</v>
      </c>
      <c r="G93" s="18">
        <f>_xlfn.XLOOKUP($B:$B,'Compilado 2023'!$B:$B,'Compilado 2023'!G:G)</f>
        <v>56</v>
      </c>
      <c r="H93" s="35">
        <f t="shared" si="35"/>
        <v>256.51799999999997</v>
      </c>
      <c r="I93" s="19">
        <f t="shared" si="36"/>
        <v>608.11290322580646</v>
      </c>
      <c r="J93" s="122">
        <f t="shared" si="37"/>
        <v>21.091313688565897</v>
      </c>
      <c r="K93" s="18">
        <f>_xlfn.XLOOKUP($B:$B,'Compilado 2023'!$B:$B,'Compilado 2023'!K:K)</f>
        <v>2728</v>
      </c>
      <c r="L93" s="54">
        <f t="shared" si="38"/>
        <v>1.8328445747800588E-2</v>
      </c>
      <c r="M93" s="149"/>
      <c r="N93" s="106">
        <f>_xlfn.XLOOKUP($B:$B,'Compilado 2023'!$B:$B,'Compilado 2023'!N:N)</f>
        <v>259.91000000000003</v>
      </c>
      <c r="O93" s="106">
        <f>_xlfn.XLOOKUP($B:$B,'Compilado 2023'!$B:$B,'Compilado 2023'!O:O)</f>
        <v>296.58999999999997</v>
      </c>
      <c r="P93" s="106">
        <f>_xlfn.XLOOKUP($B:$B,'Compilado 2023'!$B:$B,'Compilado 2023'!P:P)</f>
        <v>0</v>
      </c>
      <c r="Q93" s="106">
        <f>_xlfn.XLOOKUP($B:$B,'Compilado 2023'!$B:$B,'Compilado 2023'!Q:Q)</f>
        <v>51.612903225806448</v>
      </c>
      <c r="R93" s="106">
        <f>_xlfn.XLOOKUP($B:$B,'Compilado 2023'!$B:$B,'Compilado 2023'!R:R)</f>
        <v>0</v>
      </c>
      <c r="S93" s="106">
        <f>_xlfn.XLOOKUP($B:$B,'Compilado 2023'!$B:$B,'Compilado 2023'!T:T)</f>
        <v>0</v>
      </c>
      <c r="T93" s="106">
        <f>_xlfn.XLOOKUP($B:$B,'Compilado 2023'!$B:$B,'Compilado 2023'!U:U)</f>
        <v>0</v>
      </c>
      <c r="U93" s="106">
        <f>_xlfn.XLOOKUP($B:$B,'Compilado 2023'!$B:$B,'Compilado 2023'!V:V)</f>
        <v>0</v>
      </c>
      <c r="V93" s="57"/>
      <c r="W93" s="106">
        <f>_xlfn.XLOOKUP($B:$B,'Compilado 2023'!$B:$B,'Compilado 2023'!X:X)</f>
        <v>0</v>
      </c>
      <c r="X93" s="106">
        <f>_xlfn.XLOOKUP($B:$B,'Compilado 2023'!$B:$B,'Compilado 2023'!Y:Y)</f>
        <v>0</v>
      </c>
      <c r="Y93" s="106">
        <f>_xlfn.XLOOKUP($B:$B,'Compilado 2023'!$B:$B,'Compilado 2023'!Z:Z)</f>
        <v>0</v>
      </c>
      <c r="AA93" s="208">
        <v>45137</v>
      </c>
    </row>
    <row r="94" spans="1:27" hidden="1" x14ac:dyDescent="0.2">
      <c r="A94" s="17" t="str">
        <f t="shared" ca="1" si="39"/>
        <v>Realizado</v>
      </c>
      <c r="B94" s="17">
        <v>44592</v>
      </c>
      <c r="C94" s="19">
        <f t="shared" si="34"/>
        <v>32690.98</v>
      </c>
      <c r="D94" s="35">
        <f>_xlfn.XLOOKUP($B:$B,'Compilado 2023'!$B:$B,'Compilado 2023'!D:D)</f>
        <v>32667</v>
      </c>
      <c r="E94" s="35">
        <f>_xlfn.XLOOKUP($B:$B,'Compilado 2023'!$B:$B,'Compilado 2023'!E:E)</f>
        <v>23.98</v>
      </c>
      <c r="F94" s="18">
        <f>_xlfn.XLOOKUP($B:$B,'Compilado 2023'!$B:$B,'Compilado 2023'!F:F)</f>
        <v>112</v>
      </c>
      <c r="G94" s="18">
        <f>_xlfn.XLOOKUP($B:$B,'Compilado 2023'!$B:$B,'Compilado 2023'!G:G)</f>
        <v>135</v>
      </c>
      <c r="H94" s="35">
        <f t="shared" si="35"/>
        <v>291.88375000000002</v>
      </c>
      <c r="I94" s="19">
        <f t="shared" si="36"/>
        <v>955.88290322580644</v>
      </c>
      <c r="J94" s="122">
        <f t="shared" si="37"/>
        <v>34.199774773330653</v>
      </c>
      <c r="K94" s="18">
        <f>_xlfn.XLOOKUP($B:$B,'Compilado 2023'!$B:$B,'Compilado 2023'!K:K)</f>
        <v>3843</v>
      </c>
      <c r="L94" s="54">
        <f t="shared" si="38"/>
        <v>2.9143897996357013E-2</v>
      </c>
      <c r="M94" s="149"/>
      <c r="N94" s="106">
        <f>_xlfn.XLOOKUP($B:$B,'Compilado 2023'!$B:$B,'Compilado 2023'!N:N)</f>
        <v>557.44000000000005</v>
      </c>
      <c r="O94" s="106">
        <f>_xlfn.XLOOKUP($B:$B,'Compilado 2023'!$B:$B,'Compilado 2023'!O:O)</f>
        <v>346.83</v>
      </c>
      <c r="P94" s="106">
        <f>_xlfn.XLOOKUP($B:$B,'Compilado 2023'!$B:$B,'Compilado 2023'!P:P)</f>
        <v>0</v>
      </c>
      <c r="Q94" s="106">
        <f>_xlfn.XLOOKUP($B:$B,'Compilado 2023'!$B:$B,'Compilado 2023'!Q:Q)</f>
        <v>51.612903225806448</v>
      </c>
      <c r="R94" s="106">
        <f>_xlfn.XLOOKUP($B:$B,'Compilado 2023'!$B:$B,'Compilado 2023'!R:R)</f>
        <v>0</v>
      </c>
      <c r="S94" s="106">
        <f>_xlfn.XLOOKUP($B:$B,'Compilado 2023'!$B:$B,'Compilado 2023'!T:T)</f>
        <v>0</v>
      </c>
      <c r="T94" s="106">
        <f>_xlfn.XLOOKUP($B:$B,'Compilado 2023'!$B:$B,'Compilado 2023'!U:U)</f>
        <v>0</v>
      </c>
      <c r="U94" s="106">
        <f>_xlfn.XLOOKUP($B:$B,'Compilado 2023'!$B:$B,'Compilado 2023'!V:V)</f>
        <v>0</v>
      </c>
      <c r="V94" s="57"/>
      <c r="W94" s="106">
        <f>_xlfn.XLOOKUP($B:$B,'Compilado 2023'!$B:$B,'Compilado 2023'!X:X)</f>
        <v>0</v>
      </c>
      <c r="X94" s="106">
        <f>_xlfn.XLOOKUP($B:$B,'Compilado 2023'!$B:$B,'Compilado 2023'!Y:Y)</f>
        <v>0</v>
      </c>
      <c r="Y94" s="106">
        <f>_xlfn.XLOOKUP($B:$B,'Compilado 2023'!$B:$B,'Compilado 2023'!Z:Z)</f>
        <v>0</v>
      </c>
      <c r="AA94" s="208">
        <v>45138</v>
      </c>
    </row>
  </sheetData>
  <autoFilter ref="A3:AG35" xr:uid="{5AC97755-A801-4CDC-AD96-89A41ED155F6}"/>
  <mergeCells count="3">
    <mergeCell ref="B41:D41"/>
    <mergeCell ref="B49:D49"/>
    <mergeCell ref="B57:D57"/>
  </mergeCells>
  <conditionalFormatting sqref="A64:A94">
    <cfRule type="cellIs" dxfId="320" priority="25" operator="equal">
      <formula>TODAY()</formula>
    </cfRule>
    <cfRule type="cellIs" dxfId="319" priority="26" operator="equal">
      <formula>"Realizado"</formula>
    </cfRule>
    <cfRule type="cellIs" dxfId="318" priority="24" operator="equal">
      <formula>"Realizado"</formula>
    </cfRule>
  </conditionalFormatting>
  <conditionalFormatting sqref="A64:B94">
    <cfRule type="cellIs" dxfId="317" priority="27" operator="equal">
      <formula>TODAY()</formula>
    </cfRule>
  </conditionalFormatting>
  <conditionalFormatting sqref="B4:H34">
    <cfRule type="cellIs" dxfId="316" priority="60" operator="equal">
      <formula>TODAY()</formula>
    </cfRule>
  </conditionalFormatting>
  <conditionalFormatting sqref="C65:D93">
    <cfRule type="cellIs" dxfId="315" priority="21" operator="equal">
      <formula>$A$1</formula>
    </cfRule>
    <cfRule type="cellIs" dxfId="314" priority="22" operator="equal">
      <formula>TODAY()</formula>
    </cfRule>
  </conditionalFormatting>
  <conditionalFormatting sqref="C64:H94">
    <cfRule type="cellIs" dxfId="313" priority="1" operator="equal">
      <formula>TODAY()</formula>
    </cfRule>
  </conditionalFormatting>
  <conditionalFormatting sqref="C94:H94">
    <cfRule type="cellIs" dxfId="312" priority="18" operator="equal">
      <formula>$A$1</formula>
    </cfRule>
  </conditionalFormatting>
  <conditionalFormatting sqref="C46:L46">
    <cfRule type="cellIs" dxfId="311" priority="23" operator="lessThan">
      <formula>0</formula>
    </cfRule>
  </conditionalFormatting>
  <conditionalFormatting sqref="C47:L47">
    <cfRule type="cellIs" dxfId="310" priority="41" operator="lessThan">
      <formula>0</formula>
    </cfRule>
  </conditionalFormatting>
  <conditionalFormatting sqref="C53:L53">
    <cfRule type="cellIs" dxfId="309" priority="58" operator="lessThan">
      <formula>0</formula>
    </cfRule>
  </conditionalFormatting>
  <conditionalFormatting sqref="C54:L54">
    <cfRule type="cellIs" dxfId="308" priority="42" operator="lessThan">
      <formula>0</formula>
    </cfRule>
  </conditionalFormatting>
  <conditionalFormatting sqref="C61:L61">
    <cfRule type="cellIs" dxfId="307" priority="43" operator="lessThan">
      <formula>0</formula>
    </cfRule>
  </conditionalFormatting>
  <conditionalFormatting sqref="C62:L62">
    <cfRule type="cellIs" dxfId="306" priority="49" operator="lessThan">
      <formula>0</formula>
    </cfRule>
  </conditionalFormatting>
  <conditionalFormatting sqref="N4:Q34">
    <cfRule type="cellIs" dxfId="305" priority="78" operator="equal">
      <formula>TODAY()</formula>
    </cfRule>
  </conditionalFormatting>
  <conditionalFormatting sqref="N53:U53">
    <cfRule type="cellIs" dxfId="304" priority="30" operator="lessThan">
      <formula>0</formula>
    </cfRule>
  </conditionalFormatting>
  <conditionalFormatting sqref="N54:U54">
    <cfRule type="cellIs" dxfId="303" priority="31" operator="lessThan">
      <formula>0</formula>
    </cfRule>
  </conditionalFormatting>
  <conditionalFormatting sqref="N61:U61">
    <cfRule type="cellIs" dxfId="302" priority="32" operator="lessThan">
      <formula>0</formula>
    </cfRule>
  </conditionalFormatting>
  <conditionalFormatting sqref="N62:U62">
    <cfRule type="cellIs" dxfId="301" priority="33" operator="lessThan">
      <formula>0</formula>
    </cfRule>
  </conditionalFormatting>
  <conditionalFormatting sqref="N64:U94">
    <cfRule type="cellIs" dxfId="300" priority="5" operator="equal">
      <formula>TODAY()</formula>
    </cfRule>
  </conditionalFormatting>
  <conditionalFormatting sqref="R4 R5:S34">
    <cfRule type="cellIs" dxfId="299" priority="77" operator="equal">
      <formula>TODAY()</formula>
    </cfRule>
  </conditionalFormatting>
  <conditionalFormatting sqref="S4:U34">
    <cfRule type="cellIs" dxfId="298" priority="71" operator="equal">
      <formula>TODAY()</formula>
    </cfRule>
  </conditionalFormatting>
  <conditionalFormatting sqref="W4:Y34">
    <cfRule type="cellIs" dxfId="297" priority="69" operator="equal">
      <formula>TODAY()</formula>
    </cfRule>
  </conditionalFormatting>
  <conditionalFormatting sqref="W64:Y94">
    <cfRule type="cellIs" dxfId="296" priority="3" operator="equal">
      <formula>TODAY()</formula>
    </cfRule>
  </conditionalFormatting>
  <conditionalFormatting sqref="AA4:AA34">
    <cfRule type="cellIs" dxfId="295" priority="74" operator="equal">
      <formula>TODAY()</formula>
    </cfRule>
  </conditionalFormatting>
  <conditionalFormatting sqref="AA64:AA94">
    <cfRule type="cellIs" dxfId="294" priority="19" operator="equal">
      <formula>TODAY()</formula>
    </cfRule>
  </conditionalFormatting>
  <printOptions horizontalCentered="1" gridLines="1"/>
  <pageMargins left="0.7" right="0.7" top="0.75" bottom="0.75" header="0" footer="0"/>
  <pageSetup paperSize="9" fitToWidth="0" pageOrder="overThenDown" orientation="landscape" cellComments="atEnd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9C125-DF33-4258-9A29-3DFD685C93DE}">
  <sheetPr codeName="Planilha6">
    <outlinePr summaryBelow="0" summaryRight="0"/>
    <pageSetUpPr fitToPage="1"/>
  </sheetPr>
  <dimension ref="A1:AG94"/>
  <sheetViews>
    <sheetView showGridLines="0" workbookViewId="0">
      <pane ySplit="3" topLeftCell="A41" activePane="bottomLeft" state="frozen"/>
      <selection activeCell="L60" sqref="L60"/>
      <selection pane="bottomLeft" activeCell="L60" sqref="L60"/>
    </sheetView>
  </sheetViews>
  <sheetFormatPr defaultColWidth="0" defaultRowHeight="12.75" x14ac:dyDescent="0.2"/>
  <cols>
    <col min="1" max="1" width="14" customWidth="1"/>
    <col min="2" max="2" width="11.7109375" customWidth="1"/>
    <col min="3" max="3" width="18.7109375" customWidth="1"/>
    <col min="4" max="4" width="16.140625" bestFit="1" customWidth="1"/>
    <col min="5" max="5" width="11.7109375" customWidth="1"/>
    <col min="6" max="6" width="8.5703125" bestFit="1" customWidth="1"/>
    <col min="7" max="7" width="9" bestFit="1" customWidth="1"/>
    <col min="8" max="8" width="15.140625" customWidth="1"/>
    <col min="9" max="9" width="15.28515625" customWidth="1"/>
    <col min="10" max="10" width="12.42578125" bestFit="1" customWidth="1"/>
    <col min="11" max="11" width="12" customWidth="1"/>
    <col min="12" max="12" width="10.42578125" bestFit="1" customWidth="1"/>
    <col min="13" max="13" width="0.42578125" customWidth="1"/>
    <col min="14" max="15" width="12.7109375" bestFit="1" customWidth="1"/>
    <col min="16" max="16" width="10.42578125" bestFit="1" customWidth="1"/>
    <col min="17" max="17" width="11.7109375" bestFit="1" customWidth="1"/>
    <col min="18" max="18" width="10.42578125" bestFit="1" customWidth="1"/>
    <col min="19" max="19" width="10.140625" customWidth="1"/>
    <col min="20" max="20" width="7.85546875" bestFit="1" customWidth="1"/>
    <col min="21" max="21" width="10.42578125" bestFit="1" customWidth="1"/>
    <col min="22" max="22" width="1.140625" customWidth="1"/>
    <col min="23" max="25" width="10.42578125" bestFit="1" customWidth="1"/>
    <col min="26" max="26" width="0.7109375" customWidth="1"/>
    <col min="27" max="27" width="36" customWidth="1"/>
    <col min="28" max="33" width="0" hidden="1" customWidth="1"/>
    <col min="34" max="16384" width="12.5703125" hidden="1"/>
  </cols>
  <sheetData>
    <row r="1" spans="1:27" s="8" customFormat="1" ht="59.25" x14ac:dyDescent="0.75">
      <c r="A1" s="6"/>
      <c r="B1" s="6"/>
      <c r="C1" s="7" t="s">
        <v>69</v>
      </c>
      <c r="D1" s="6"/>
      <c r="E1" s="6"/>
      <c r="F1" s="6"/>
      <c r="G1" s="6"/>
      <c r="H1" s="6"/>
      <c r="I1" s="6"/>
      <c r="J1" s="6"/>
      <c r="K1" s="6"/>
      <c r="L1" s="6"/>
      <c r="M1" s="75" t="s">
        <v>184</v>
      </c>
      <c r="N1" s="49">
        <f ca="1">TODAY()</f>
        <v>45834</v>
      </c>
      <c r="O1" s="50">
        <f>MONTH(B4)</f>
        <v>2</v>
      </c>
      <c r="P1" s="50">
        <f>YEAR(B4)</f>
        <v>2023</v>
      </c>
      <c r="Q1" s="49"/>
      <c r="R1" s="49"/>
      <c r="S1" s="49"/>
      <c r="T1" s="49"/>
      <c r="U1" s="36"/>
      <c r="V1" s="75" t="s">
        <v>185</v>
      </c>
      <c r="W1" s="36"/>
      <c r="X1" s="36"/>
      <c r="Y1" s="36"/>
      <c r="Z1" s="36"/>
      <c r="AA1" s="51" t="s">
        <v>73</v>
      </c>
    </row>
    <row r="2" spans="1:27" s="10" customFormat="1" ht="24" thickBot="1" x14ac:dyDescent="0.25">
      <c r="A2" s="43"/>
      <c r="B2" s="11" t="str">
        <f>_xlfn.CONCAT(_xlfn.XLOOKUP(O1,Referencia!$B$1:$B$13,Referencia!$A$1:$A$13)," ",P1)</f>
        <v>Fevereiro 2023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</row>
    <row r="3" spans="1:27" s="9" customFormat="1" ht="16.5" x14ac:dyDescent="0.35">
      <c r="A3" s="15" t="s">
        <v>74</v>
      </c>
      <c r="B3" s="13" t="s">
        <v>20</v>
      </c>
      <c r="C3" s="13" t="s">
        <v>75</v>
      </c>
      <c r="D3" s="13" t="s">
        <v>76</v>
      </c>
      <c r="E3" s="13" t="s">
        <v>77</v>
      </c>
      <c r="F3" s="13" t="s">
        <v>78</v>
      </c>
      <c r="G3" s="13" t="s">
        <v>79</v>
      </c>
      <c r="H3" s="13" t="s">
        <v>80</v>
      </c>
      <c r="I3" s="13" t="s">
        <v>81</v>
      </c>
      <c r="J3" s="13" t="s">
        <v>82</v>
      </c>
      <c r="K3" s="13" t="s">
        <v>40</v>
      </c>
      <c r="L3" s="13" t="s">
        <v>83</v>
      </c>
      <c r="M3" s="37"/>
      <c r="N3" s="13" t="s">
        <v>85</v>
      </c>
      <c r="O3" s="13" t="s">
        <v>155</v>
      </c>
      <c r="P3" s="13" t="s">
        <v>87</v>
      </c>
      <c r="Q3" s="13" t="s">
        <v>88</v>
      </c>
      <c r="R3" s="13" t="s">
        <v>89</v>
      </c>
      <c r="S3" s="13" t="s">
        <v>90</v>
      </c>
      <c r="T3" s="13" t="s">
        <v>91</v>
      </c>
      <c r="U3" s="13" t="s">
        <v>92</v>
      </c>
      <c r="V3" s="56"/>
      <c r="W3" s="13" t="s">
        <v>88</v>
      </c>
      <c r="X3" s="13" t="s">
        <v>91</v>
      </c>
      <c r="Y3" s="13" t="s">
        <v>92</v>
      </c>
      <c r="Z3" s="37"/>
      <c r="AA3" s="14" t="s">
        <v>73</v>
      </c>
    </row>
    <row r="4" spans="1:27" s="2" customFormat="1" x14ac:dyDescent="0.2">
      <c r="A4" s="16" t="str">
        <f t="shared" ref="A4:A31" si="0">TEXT(B4,"DDDD")</f>
        <v>quarta-feira</v>
      </c>
      <c r="B4" s="17">
        <v>44958</v>
      </c>
      <c r="C4" s="19">
        <f>D4+E4</f>
        <v>53448.29</v>
      </c>
      <c r="D4" s="35">
        <f>_xlfn.XLOOKUP($B:$B,'Compilado 2023'!$B:$B,'Compilado 2023'!D:D)</f>
        <v>53426.06</v>
      </c>
      <c r="E4" s="35">
        <f>_xlfn.XLOOKUP($B:$B,'Compilado 2023'!$B:$B,'Compilado 2023'!E:E)</f>
        <v>22.23</v>
      </c>
      <c r="F4" s="18">
        <f>_xlfn.XLOOKUP($B:$B,'Compilado 2023'!$B:$B,'Compilado 2023'!F:F)</f>
        <v>168</v>
      </c>
      <c r="G4" s="18">
        <f>_xlfn.XLOOKUP($B:$B,'Compilado 2023'!$B:$B,'Compilado 2023'!G:G)</f>
        <v>202</v>
      </c>
      <c r="H4" s="35">
        <f>IFERROR(C4/F4,0)</f>
        <v>318.14458333333334</v>
      </c>
      <c r="I4" s="19">
        <f>SUM(N4:U4)</f>
        <v>789.49285714285713</v>
      </c>
      <c r="J4" s="122">
        <f t="shared" ref="J4:J31" si="1">IF(I4&gt;0,C4/I4,0)</f>
        <v>67.699523202055573</v>
      </c>
      <c r="K4" s="18">
        <f>_xlfn.XLOOKUP($B:$B,'Compilado 2023'!$B:$B,'Compilado 2023'!K:K)</f>
        <v>3</v>
      </c>
      <c r="L4" s="54">
        <f t="shared" ref="L4:L31" si="2">IFERROR(F4/K4,0)</f>
        <v>56</v>
      </c>
      <c r="M4" s="38"/>
      <c r="N4" s="106">
        <f>_xlfn.XLOOKUP($B:$B,'Compilado 2023'!$B:$B,'Compilado 2023'!N:N)</f>
        <v>489.19</v>
      </c>
      <c r="O4" s="106">
        <f>_xlfn.XLOOKUP($B:$B,'Compilado 2023'!$B:$B,'Compilado 2023'!O:O)</f>
        <v>243.16</v>
      </c>
      <c r="P4" s="106">
        <f>_xlfn.XLOOKUP($B:$B,'Compilado 2023'!$B:$B,'Compilado 2023'!P:P)</f>
        <v>0</v>
      </c>
      <c r="Q4" s="106">
        <f>_xlfn.XLOOKUP($B:$B,'Compilado 2023'!$B:$B,'Compilado 2023'!Q:Q)</f>
        <v>57.142857142857146</v>
      </c>
      <c r="R4" s="106">
        <f>_xlfn.XLOOKUP($B:$B,'Compilado 2023'!$B:$B,'Compilado 2023'!R:R)</f>
        <v>0</v>
      </c>
      <c r="S4" s="106">
        <f>_xlfn.XLOOKUP($B:$B,'Compilado 2023'!$B:$B,'Compilado 2023'!S:S)</f>
        <v>0</v>
      </c>
      <c r="T4" s="106">
        <f>_xlfn.XLOOKUP($B:$B,'Compilado 2023'!$B:$B,'Compilado 2023'!U:U)</f>
        <v>0</v>
      </c>
      <c r="U4" s="106">
        <f>_xlfn.XLOOKUP($B:$B,'Compilado 2023'!$B:$B,'Compilado 2023'!V:V)</f>
        <v>0</v>
      </c>
      <c r="V4" s="57"/>
      <c r="W4" s="106">
        <f>_xlfn.XLOOKUP($B:$B,'Compilado 2023'!$B:$B,'Compilado 2023'!X:X)</f>
        <v>0</v>
      </c>
      <c r="X4" s="106">
        <f>_xlfn.XLOOKUP($B:$B,'Compilado 2023'!$B:$B,'Compilado 2023'!Y:Y)</f>
        <v>0</v>
      </c>
      <c r="Y4" s="106">
        <f>_xlfn.XLOOKUP($B:$B,'Compilado 2023'!$B:$B,'Compilado 2023'!Z:Z)</f>
        <v>0</v>
      </c>
      <c r="Z4" s="38"/>
      <c r="AA4" s="107">
        <f>_xlfn.XLOOKUP($B:$B,'Compilado 2023'!$B:$B,'Compilado 2023'!AA:AA)</f>
        <v>0</v>
      </c>
    </row>
    <row r="5" spans="1:27" s="2" customFormat="1" x14ac:dyDescent="0.2">
      <c r="A5" s="16" t="str">
        <f t="shared" si="0"/>
        <v>quinta-feira</v>
      </c>
      <c r="B5" s="17">
        <f>B4+1</f>
        <v>44959</v>
      </c>
      <c r="C5" s="19">
        <f t="shared" ref="C5:C31" si="3">D5+E5</f>
        <v>50248.229999999996</v>
      </c>
      <c r="D5" s="35">
        <f>_xlfn.XLOOKUP($B:$B,'Compilado 2023'!$B:$B,'Compilado 2023'!D:D)</f>
        <v>50223.6</v>
      </c>
      <c r="E5" s="35">
        <f>_xlfn.XLOOKUP($B:$B,'Compilado 2023'!$B:$B,'Compilado 2023'!E:E)</f>
        <v>24.63</v>
      </c>
      <c r="F5" s="18">
        <f>_xlfn.XLOOKUP($B:$B,'Compilado 2023'!$B:$B,'Compilado 2023'!F:F)</f>
        <v>170</v>
      </c>
      <c r="G5" s="18">
        <f>_xlfn.XLOOKUP($B:$B,'Compilado 2023'!$B:$B,'Compilado 2023'!G:G)</f>
        <v>213</v>
      </c>
      <c r="H5" s="35">
        <f t="shared" ref="H5:H31" si="4">IFERROR(C5/F5,0)</f>
        <v>295.57782352941172</v>
      </c>
      <c r="I5" s="19">
        <f t="shared" ref="I5:I31" si="5">SUM(N5:U5)</f>
        <v>994.63285714285712</v>
      </c>
      <c r="J5" s="122">
        <f t="shared" si="1"/>
        <v>50.519374701074192</v>
      </c>
      <c r="K5" s="18">
        <f>_xlfn.XLOOKUP($B:$B,'Compilado 2023'!$B:$B,'Compilado 2023'!K:K)</f>
        <v>136</v>
      </c>
      <c r="L5" s="54">
        <f t="shared" si="2"/>
        <v>1.25</v>
      </c>
      <c r="M5" s="38"/>
      <c r="N5" s="106">
        <f>_xlfn.XLOOKUP($B:$B,'Compilado 2023'!$B:$B,'Compilado 2023'!N:N)</f>
        <v>658.46</v>
      </c>
      <c r="O5" s="106">
        <f>_xlfn.XLOOKUP($B:$B,'Compilado 2023'!$B:$B,'Compilado 2023'!O:O)</f>
        <v>279.02999999999997</v>
      </c>
      <c r="P5" s="106">
        <f>_xlfn.XLOOKUP($B:$B,'Compilado 2023'!$B:$B,'Compilado 2023'!P:P)</f>
        <v>0</v>
      </c>
      <c r="Q5" s="106">
        <f>_xlfn.XLOOKUP($B:$B,'Compilado 2023'!$B:$B,'Compilado 2023'!Q:Q)</f>
        <v>57.142857142857146</v>
      </c>
      <c r="R5" s="106">
        <f>_xlfn.XLOOKUP($B:$B,'Compilado 2023'!$B:$B,'Compilado 2023'!R:R)</f>
        <v>0</v>
      </c>
      <c r="S5" s="106">
        <f>_xlfn.XLOOKUP($B:$B,'Compilado 2023'!$B:$B,'Compilado 2023'!S:S)</f>
        <v>0</v>
      </c>
      <c r="T5" s="106">
        <f>_xlfn.XLOOKUP($B:$B,'Compilado 2023'!$B:$B,'Compilado 2023'!U:U)</f>
        <v>0</v>
      </c>
      <c r="U5" s="106">
        <f>_xlfn.XLOOKUP($B:$B,'Compilado 2023'!$B:$B,'Compilado 2023'!V:V)</f>
        <v>0</v>
      </c>
      <c r="V5" s="57"/>
      <c r="W5" s="106">
        <f>_xlfn.XLOOKUP($B:$B,'Compilado 2023'!$B:$B,'Compilado 2023'!X:X)</f>
        <v>0</v>
      </c>
      <c r="X5" s="106">
        <f>_xlfn.XLOOKUP($B:$B,'Compilado 2023'!$B:$B,'Compilado 2023'!Y:Y)</f>
        <v>0</v>
      </c>
      <c r="Y5" s="106">
        <f>_xlfn.XLOOKUP($B:$B,'Compilado 2023'!$B:$B,'Compilado 2023'!Z:Z)</f>
        <v>0</v>
      </c>
      <c r="Z5" s="38"/>
      <c r="AA5" s="107">
        <f>_xlfn.XLOOKUP($B:$B,'Compilado 2023'!$B:$B,'Compilado 2023'!AA:AA)</f>
        <v>0</v>
      </c>
    </row>
    <row r="6" spans="1:27" x14ac:dyDescent="0.2">
      <c r="A6" s="16" t="str">
        <f t="shared" si="0"/>
        <v>sexta-feira</v>
      </c>
      <c r="B6" s="17">
        <f t="shared" ref="B6:B31" si="6">B5+1</f>
        <v>44960</v>
      </c>
      <c r="C6" s="19">
        <f t="shared" si="3"/>
        <v>56820.639999999999</v>
      </c>
      <c r="D6" s="35">
        <f>_xlfn.XLOOKUP($B:$B,'Compilado 2023'!$B:$B,'Compilado 2023'!D:D)</f>
        <v>56820.639999999999</v>
      </c>
      <c r="E6" s="35">
        <f>_xlfn.XLOOKUP($B:$B,'Compilado 2023'!$B:$B,'Compilado 2023'!E:E)</f>
        <v>0</v>
      </c>
      <c r="F6" s="18">
        <f>_xlfn.XLOOKUP($B:$B,'Compilado 2023'!$B:$B,'Compilado 2023'!F:F)</f>
        <v>186</v>
      </c>
      <c r="G6" s="18">
        <f>_xlfn.XLOOKUP($B:$B,'Compilado 2023'!$B:$B,'Compilado 2023'!G:G)</f>
        <v>226</v>
      </c>
      <c r="H6" s="35">
        <f t="shared" si="4"/>
        <v>305.487311827957</v>
      </c>
      <c r="I6" s="19">
        <f t="shared" si="5"/>
        <v>1157.6128571428571</v>
      </c>
      <c r="J6" s="122">
        <f t="shared" si="1"/>
        <v>49.084320072464394</v>
      </c>
      <c r="K6" s="18">
        <f>_xlfn.XLOOKUP($B:$B,'Compilado 2023'!$B:$B,'Compilado 2023'!K:K)</f>
        <v>5</v>
      </c>
      <c r="L6" s="54">
        <f t="shared" si="2"/>
        <v>37.200000000000003</v>
      </c>
      <c r="M6" s="38"/>
      <c r="N6" s="106">
        <f>_xlfn.XLOOKUP($B:$B,'Compilado 2023'!$B:$B,'Compilado 2023'!N:N)</f>
        <v>796.55</v>
      </c>
      <c r="O6" s="106">
        <f>_xlfn.XLOOKUP($B:$B,'Compilado 2023'!$B:$B,'Compilado 2023'!O:O)</f>
        <v>303.92</v>
      </c>
      <c r="P6" s="106">
        <f>_xlfn.XLOOKUP($B:$B,'Compilado 2023'!$B:$B,'Compilado 2023'!P:P)</f>
        <v>0</v>
      </c>
      <c r="Q6" s="106">
        <f>_xlfn.XLOOKUP($B:$B,'Compilado 2023'!$B:$B,'Compilado 2023'!Q:Q)</f>
        <v>57.142857142857146</v>
      </c>
      <c r="R6" s="106">
        <f>_xlfn.XLOOKUP($B:$B,'Compilado 2023'!$B:$B,'Compilado 2023'!R:R)</f>
        <v>0</v>
      </c>
      <c r="S6" s="106">
        <f>_xlfn.XLOOKUP($B:$B,'Compilado 2023'!$B:$B,'Compilado 2023'!S:S)</f>
        <v>0</v>
      </c>
      <c r="T6" s="106">
        <f>_xlfn.XLOOKUP($B:$B,'Compilado 2023'!$B:$B,'Compilado 2023'!U:U)</f>
        <v>0</v>
      </c>
      <c r="U6" s="106">
        <f>_xlfn.XLOOKUP($B:$B,'Compilado 2023'!$B:$B,'Compilado 2023'!V:V)</f>
        <v>0</v>
      </c>
      <c r="V6" s="57"/>
      <c r="W6" s="106">
        <f>_xlfn.XLOOKUP($B:$B,'Compilado 2023'!$B:$B,'Compilado 2023'!X:X)</f>
        <v>0</v>
      </c>
      <c r="X6" s="106">
        <f>_xlfn.XLOOKUP($B:$B,'Compilado 2023'!$B:$B,'Compilado 2023'!Y:Y)</f>
        <v>0</v>
      </c>
      <c r="Y6" s="106">
        <f>_xlfn.XLOOKUP($B:$B,'Compilado 2023'!$B:$B,'Compilado 2023'!Z:Z)</f>
        <v>0</v>
      </c>
      <c r="Z6" s="38"/>
      <c r="AA6" s="107">
        <f>_xlfn.XLOOKUP($B:$B,'Compilado 2023'!$B:$B,'Compilado 2023'!AA:AA)</f>
        <v>0</v>
      </c>
    </row>
    <row r="7" spans="1:27" x14ac:dyDescent="0.2">
      <c r="A7" s="16" t="str">
        <f t="shared" si="0"/>
        <v>sábado</v>
      </c>
      <c r="B7" s="17">
        <f t="shared" si="6"/>
        <v>44961</v>
      </c>
      <c r="C7" s="19">
        <f t="shared" si="3"/>
        <v>34845.57</v>
      </c>
      <c r="D7" s="35">
        <f>_xlfn.XLOOKUP($B:$B,'Compilado 2023'!$B:$B,'Compilado 2023'!D:D)</f>
        <v>34845.57</v>
      </c>
      <c r="E7" s="35">
        <f>_xlfn.XLOOKUP($B:$B,'Compilado 2023'!$B:$B,'Compilado 2023'!E:E)</f>
        <v>0</v>
      </c>
      <c r="F7" s="18">
        <f>_xlfn.XLOOKUP($B:$B,'Compilado 2023'!$B:$B,'Compilado 2023'!F:F)</f>
        <v>132</v>
      </c>
      <c r="G7" s="18">
        <f>_xlfn.XLOOKUP($B:$B,'Compilado 2023'!$B:$B,'Compilado 2023'!G:G)</f>
        <v>155</v>
      </c>
      <c r="H7" s="35">
        <f t="shared" si="4"/>
        <v>263.98159090909093</v>
      </c>
      <c r="I7" s="19">
        <f t="shared" si="5"/>
        <v>1069.5528571428572</v>
      </c>
      <c r="J7" s="122">
        <f t="shared" si="1"/>
        <v>32.579567963648358</v>
      </c>
      <c r="K7" s="18">
        <f>_xlfn.XLOOKUP($B:$B,'Compilado 2023'!$B:$B,'Compilado 2023'!K:K)</f>
        <v>1</v>
      </c>
      <c r="L7" s="54">
        <f t="shared" si="2"/>
        <v>132</v>
      </c>
      <c r="M7" s="38"/>
      <c r="N7" s="106">
        <f>_xlfn.XLOOKUP($B:$B,'Compilado 2023'!$B:$B,'Compilado 2023'!N:N)</f>
        <v>704.94</v>
      </c>
      <c r="O7" s="106">
        <f>_xlfn.XLOOKUP($B:$B,'Compilado 2023'!$B:$B,'Compilado 2023'!O:O)</f>
        <v>307.47000000000003</v>
      </c>
      <c r="P7" s="106">
        <f>_xlfn.XLOOKUP($B:$B,'Compilado 2023'!$B:$B,'Compilado 2023'!P:P)</f>
        <v>0</v>
      </c>
      <c r="Q7" s="106">
        <f>_xlfn.XLOOKUP($B:$B,'Compilado 2023'!$B:$B,'Compilado 2023'!Q:Q)</f>
        <v>57.142857142857146</v>
      </c>
      <c r="R7" s="106">
        <f>_xlfn.XLOOKUP($B:$B,'Compilado 2023'!$B:$B,'Compilado 2023'!R:R)</f>
        <v>0</v>
      </c>
      <c r="S7" s="106">
        <f>_xlfn.XLOOKUP($B:$B,'Compilado 2023'!$B:$B,'Compilado 2023'!S:S)</f>
        <v>0</v>
      </c>
      <c r="T7" s="106">
        <f>_xlfn.XLOOKUP($B:$B,'Compilado 2023'!$B:$B,'Compilado 2023'!U:U)</f>
        <v>0</v>
      </c>
      <c r="U7" s="106">
        <f>_xlfn.XLOOKUP($B:$B,'Compilado 2023'!$B:$B,'Compilado 2023'!V:V)</f>
        <v>0</v>
      </c>
      <c r="V7" s="57"/>
      <c r="W7" s="106">
        <f>_xlfn.XLOOKUP($B:$B,'Compilado 2023'!$B:$B,'Compilado 2023'!X:X)</f>
        <v>0</v>
      </c>
      <c r="X7" s="106">
        <f>_xlfn.XLOOKUP($B:$B,'Compilado 2023'!$B:$B,'Compilado 2023'!Y:Y)</f>
        <v>0</v>
      </c>
      <c r="Y7" s="106">
        <f>_xlfn.XLOOKUP($B:$B,'Compilado 2023'!$B:$B,'Compilado 2023'!Z:Z)</f>
        <v>0</v>
      </c>
      <c r="Z7" s="38"/>
      <c r="AA7" s="107">
        <f>_xlfn.XLOOKUP($B:$B,'Compilado 2023'!$B:$B,'Compilado 2023'!AA:AA)</f>
        <v>0</v>
      </c>
    </row>
    <row r="8" spans="1:27" s="2" customFormat="1" x14ac:dyDescent="0.2">
      <c r="A8" s="16" t="str">
        <f t="shared" si="0"/>
        <v>domingo</v>
      </c>
      <c r="B8" s="17">
        <f t="shared" si="6"/>
        <v>44962</v>
      </c>
      <c r="C8" s="19">
        <f t="shared" si="3"/>
        <v>26623.71</v>
      </c>
      <c r="D8" s="35">
        <f>_xlfn.XLOOKUP($B:$B,'Compilado 2023'!$B:$B,'Compilado 2023'!D:D)</f>
        <v>26623.71</v>
      </c>
      <c r="E8" s="35">
        <f>_xlfn.XLOOKUP($B:$B,'Compilado 2023'!$B:$B,'Compilado 2023'!E:E)</f>
        <v>0</v>
      </c>
      <c r="F8" s="18">
        <f>_xlfn.XLOOKUP($B:$B,'Compilado 2023'!$B:$B,'Compilado 2023'!F:F)</f>
        <v>82</v>
      </c>
      <c r="G8" s="18">
        <f>_xlfn.XLOOKUP($B:$B,'Compilado 2023'!$B:$B,'Compilado 2023'!G:G)</f>
        <v>93</v>
      </c>
      <c r="H8" s="35">
        <f t="shared" si="4"/>
        <v>324.67939024390245</v>
      </c>
      <c r="I8" s="19">
        <f t="shared" si="5"/>
        <v>854.82285714285717</v>
      </c>
      <c r="J8" s="122">
        <f t="shared" si="1"/>
        <v>31.145294931614902</v>
      </c>
      <c r="K8" s="18">
        <f>_xlfn.XLOOKUP($B:$B,'Compilado 2023'!$B:$B,'Compilado 2023'!K:K)</f>
        <v>0</v>
      </c>
      <c r="L8" s="54">
        <f t="shared" si="2"/>
        <v>0</v>
      </c>
      <c r="M8" s="38"/>
      <c r="N8" s="106">
        <f>_xlfn.XLOOKUP($B:$B,'Compilado 2023'!$B:$B,'Compilado 2023'!N:N)</f>
        <v>504.42</v>
      </c>
      <c r="O8" s="106">
        <f>_xlfn.XLOOKUP($B:$B,'Compilado 2023'!$B:$B,'Compilado 2023'!O:O)</f>
        <v>293.26</v>
      </c>
      <c r="P8" s="106">
        <f>_xlfn.XLOOKUP($B:$B,'Compilado 2023'!$B:$B,'Compilado 2023'!P:P)</f>
        <v>0</v>
      </c>
      <c r="Q8" s="106">
        <f>_xlfn.XLOOKUP($B:$B,'Compilado 2023'!$B:$B,'Compilado 2023'!Q:Q)</f>
        <v>57.142857142857146</v>
      </c>
      <c r="R8" s="106">
        <f>_xlfn.XLOOKUP($B:$B,'Compilado 2023'!$B:$B,'Compilado 2023'!R:R)</f>
        <v>0</v>
      </c>
      <c r="S8" s="106">
        <f>_xlfn.XLOOKUP($B:$B,'Compilado 2023'!$B:$B,'Compilado 2023'!S:S)</f>
        <v>0</v>
      </c>
      <c r="T8" s="106">
        <f>_xlfn.XLOOKUP($B:$B,'Compilado 2023'!$B:$B,'Compilado 2023'!U:U)</f>
        <v>0</v>
      </c>
      <c r="U8" s="106">
        <f>_xlfn.XLOOKUP($B:$B,'Compilado 2023'!$B:$B,'Compilado 2023'!V:V)</f>
        <v>0</v>
      </c>
      <c r="V8" s="57"/>
      <c r="W8" s="106">
        <f>_xlfn.XLOOKUP($B:$B,'Compilado 2023'!$B:$B,'Compilado 2023'!X:X)</f>
        <v>0</v>
      </c>
      <c r="X8" s="106">
        <f>_xlfn.XLOOKUP($B:$B,'Compilado 2023'!$B:$B,'Compilado 2023'!Y:Y)</f>
        <v>0</v>
      </c>
      <c r="Y8" s="106">
        <f>_xlfn.XLOOKUP($B:$B,'Compilado 2023'!$B:$B,'Compilado 2023'!Z:Z)</f>
        <v>0</v>
      </c>
      <c r="Z8" s="38"/>
      <c r="AA8" s="107">
        <f>_xlfn.XLOOKUP($B:$B,'Compilado 2023'!$B:$B,'Compilado 2023'!AA:AA)</f>
        <v>0</v>
      </c>
    </row>
    <row r="9" spans="1:27" s="2" customFormat="1" x14ac:dyDescent="0.2">
      <c r="A9" s="16" t="str">
        <f t="shared" si="0"/>
        <v>segunda-feira</v>
      </c>
      <c r="B9" s="17">
        <f t="shared" si="6"/>
        <v>44963</v>
      </c>
      <c r="C9" s="19">
        <f t="shared" si="3"/>
        <v>56135.29</v>
      </c>
      <c r="D9" s="35">
        <f>_xlfn.XLOOKUP($B:$B,'Compilado 2023'!$B:$B,'Compilado 2023'!D:D)</f>
        <v>56135.29</v>
      </c>
      <c r="E9" s="35">
        <f>_xlfn.XLOOKUP($B:$B,'Compilado 2023'!$B:$B,'Compilado 2023'!E:E)</f>
        <v>0</v>
      </c>
      <c r="F9" s="18">
        <f>_xlfn.XLOOKUP($B:$B,'Compilado 2023'!$B:$B,'Compilado 2023'!F:F)</f>
        <v>146</v>
      </c>
      <c r="G9" s="18">
        <f>_xlfn.XLOOKUP($B:$B,'Compilado 2023'!$B:$B,'Compilado 2023'!G:G)</f>
        <v>260</v>
      </c>
      <c r="H9" s="35">
        <f t="shared" si="4"/>
        <v>384.48828767123291</v>
      </c>
      <c r="I9" s="19">
        <f t="shared" si="5"/>
        <v>360.14285714285717</v>
      </c>
      <c r="J9" s="122">
        <f t="shared" si="1"/>
        <v>155.86950813169378</v>
      </c>
      <c r="K9" s="18">
        <f>_xlfn.XLOOKUP($B:$B,'Compilado 2023'!$B:$B,'Compilado 2023'!K:K)</f>
        <v>3386</v>
      </c>
      <c r="L9" s="54">
        <f t="shared" si="2"/>
        <v>4.3118724158298878E-2</v>
      </c>
      <c r="M9" s="38"/>
      <c r="N9" s="106">
        <f>_xlfn.XLOOKUP($B:$B,'Compilado 2023'!$B:$B,'Compilado 2023'!N:N)</f>
        <v>78.040000000000006</v>
      </c>
      <c r="O9" s="106">
        <f>_xlfn.XLOOKUP($B:$B,'Compilado 2023'!$B:$B,'Compilado 2023'!O:O)</f>
        <v>224.96</v>
      </c>
      <c r="P9" s="106">
        <f>_xlfn.XLOOKUP($B:$B,'Compilado 2023'!$B:$B,'Compilado 2023'!P:P)</f>
        <v>0</v>
      </c>
      <c r="Q9" s="106">
        <f>_xlfn.XLOOKUP($B:$B,'Compilado 2023'!$B:$B,'Compilado 2023'!Q:Q)</f>
        <v>57.142857142857146</v>
      </c>
      <c r="R9" s="106">
        <f>_xlfn.XLOOKUP($B:$B,'Compilado 2023'!$B:$B,'Compilado 2023'!R:R)</f>
        <v>0</v>
      </c>
      <c r="S9" s="106">
        <f>_xlfn.XLOOKUP($B:$B,'Compilado 2023'!$B:$B,'Compilado 2023'!S:S)</f>
        <v>0</v>
      </c>
      <c r="T9" s="106">
        <f>_xlfn.XLOOKUP($B:$B,'Compilado 2023'!$B:$B,'Compilado 2023'!U:U)</f>
        <v>0</v>
      </c>
      <c r="U9" s="106">
        <f>_xlfn.XLOOKUP($B:$B,'Compilado 2023'!$B:$B,'Compilado 2023'!V:V)</f>
        <v>0</v>
      </c>
      <c r="V9" s="57"/>
      <c r="W9" s="106">
        <f>_xlfn.XLOOKUP($B:$B,'Compilado 2023'!$B:$B,'Compilado 2023'!X:X)</f>
        <v>0</v>
      </c>
      <c r="X9" s="106">
        <f>_xlfn.XLOOKUP($B:$B,'Compilado 2023'!$B:$B,'Compilado 2023'!Y:Y)</f>
        <v>0</v>
      </c>
      <c r="Y9" s="106">
        <f>_xlfn.XLOOKUP($B:$B,'Compilado 2023'!$B:$B,'Compilado 2023'!Z:Z)</f>
        <v>0</v>
      </c>
      <c r="Z9" s="38"/>
      <c r="AA9" s="107">
        <f>_xlfn.XLOOKUP($B:$B,'Compilado 2023'!$B:$B,'Compilado 2023'!AA:AA)</f>
        <v>0</v>
      </c>
    </row>
    <row r="10" spans="1:27" s="2" customFormat="1" x14ac:dyDescent="0.2">
      <c r="A10" s="16" t="str">
        <f t="shared" si="0"/>
        <v>terça-feira</v>
      </c>
      <c r="B10" s="17">
        <f t="shared" si="6"/>
        <v>44964</v>
      </c>
      <c r="C10" s="19">
        <f t="shared" si="3"/>
        <v>58274.909999999996</v>
      </c>
      <c r="D10" s="35">
        <f>_xlfn.XLOOKUP($B:$B,'Compilado 2023'!$B:$B,'Compilado 2023'!D:D)</f>
        <v>58252.6</v>
      </c>
      <c r="E10" s="35">
        <f>_xlfn.XLOOKUP($B:$B,'Compilado 2023'!$B:$B,'Compilado 2023'!E:E)</f>
        <v>22.31</v>
      </c>
      <c r="F10" s="18">
        <f>_xlfn.XLOOKUP($B:$B,'Compilado 2023'!$B:$B,'Compilado 2023'!F:F)</f>
        <v>184</v>
      </c>
      <c r="G10" s="18">
        <f>_xlfn.XLOOKUP($B:$B,'Compilado 2023'!$B:$B,'Compilado 2023'!G:G)</f>
        <v>216</v>
      </c>
      <c r="H10" s="35">
        <f t="shared" si="4"/>
        <v>316.71146739130432</v>
      </c>
      <c r="I10" s="19">
        <f t="shared" si="5"/>
        <v>473.93285714285713</v>
      </c>
      <c r="J10" s="122">
        <f t="shared" si="1"/>
        <v>122.9602656193011</v>
      </c>
      <c r="K10" s="18">
        <f>_xlfn.XLOOKUP($B:$B,'Compilado 2023'!$B:$B,'Compilado 2023'!K:K)</f>
        <v>5315</v>
      </c>
      <c r="L10" s="54">
        <f t="shared" si="2"/>
        <v>3.4619002822201317E-2</v>
      </c>
      <c r="M10" s="38"/>
      <c r="N10" s="106">
        <f>_xlfn.XLOOKUP($B:$B,'Compilado 2023'!$B:$B,'Compilado 2023'!N:N)</f>
        <v>108.64</v>
      </c>
      <c r="O10" s="106">
        <f>_xlfn.XLOOKUP($B:$B,'Compilado 2023'!$B:$B,'Compilado 2023'!O:O)</f>
        <v>308.14999999999998</v>
      </c>
      <c r="P10" s="106">
        <f>_xlfn.XLOOKUP($B:$B,'Compilado 2023'!$B:$B,'Compilado 2023'!P:P)</f>
        <v>0</v>
      </c>
      <c r="Q10" s="106">
        <f>_xlfn.XLOOKUP($B:$B,'Compilado 2023'!$B:$B,'Compilado 2023'!Q:Q)</f>
        <v>57.142857142857146</v>
      </c>
      <c r="R10" s="106">
        <f>_xlfn.XLOOKUP($B:$B,'Compilado 2023'!$B:$B,'Compilado 2023'!R:R)</f>
        <v>0</v>
      </c>
      <c r="S10" s="106">
        <f>_xlfn.XLOOKUP($B:$B,'Compilado 2023'!$B:$B,'Compilado 2023'!S:S)</f>
        <v>0</v>
      </c>
      <c r="T10" s="106">
        <f>_xlfn.XLOOKUP($B:$B,'Compilado 2023'!$B:$B,'Compilado 2023'!U:U)</f>
        <v>0</v>
      </c>
      <c r="U10" s="106">
        <f>_xlfn.XLOOKUP($B:$B,'Compilado 2023'!$B:$B,'Compilado 2023'!V:V)</f>
        <v>0</v>
      </c>
      <c r="V10" s="57"/>
      <c r="W10" s="106">
        <f>_xlfn.XLOOKUP($B:$B,'Compilado 2023'!$B:$B,'Compilado 2023'!X:X)</f>
        <v>0</v>
      </c>
      <c r="X10" s="106">
        <f>_xlfn.XLOOKUP($B:$B,'Compilado 2023'!$B:$B,'Compilado 2023'!Y:Y)</f>
        <v>0</v>
      </c>
      <c r="Y10" s="106">
        <f>_xlfn.XLOOKUP($B:$B,'Compilado 2023'!$B:$B,'Compilado 2023'!Z:Z)</f>
        <v>0</v>
      </c>
      <c r="Z10" s="38"/>
      <c r="AA10" s="107">
        <f>_xlfn.XLOOKUP($B:$B,'Compilado 2023'!$B:$B,'Compilado 2023'!AA:AA)</f>
        <v>0</v>
      </c>
    </row>
    <row r="11" spans="1:27" s="2" customFormat="1" x14ac:dyDescent="0.2">
      <c r="A11" s="16" t="str">
        <f t="shared" si="0"/>
        <v>quarta-feira</v>
      </c>
      <c r="B11" s="17">
        <f t="shared" si="6"/>
        <v>44965</v>
      </c>
      <c r="C11" s="19">
        <f t="shared" si="3"/>
        <v>54102.85</v>
      </c>
      <c r="D11" s="35">
        <f>_xlfn.XLOOKUP($B:$B,'Compilado 2023'!$B:$B,'Compilado 2023'!D:D)</f>
        <v>54102.85</v>
      </c>
      <c r="E11" s="35">
        <f>_xlfn.XLOOKUP($B:$B,'Compilado 2023'!$B:$B,'Compilado 2023'!E:E)</f>
        <v>0</v>
      </c>
      <c r="F11" s="18">
        <f>_xlfn.XLOOKUP($B:$B,'Compilado 2023'!$B:$B,'Compilado 2023'!F:F)</f>
        <v>168</v>
      </c>
      <c r="G11" s="18">
        <f>_xlfn.XLOOKUP($B:$B,'Compilado 2023'!$B:$B,'Compilado 2023'!G:G)</f>
        <v>200</v>
      </c>
      <c r="H11" s="35">
        <f t="shared" si="4"/>
        <v>322.04077380952378</v>
      </c>
      <c r="I11" s="19">
        <f t="shared" si="5"/>
        <v>867.24285714285702</v>
      </c>
      <c r="J11" s="122">
        <f t="shared" si="1"/>
        <v>62.38488971617771</v>
      </c>
      <c r="K11" s="18">
        <f>_xlfn.XLOOKUP($B:$B,'Compilado 2023'!$B:$B,'Compilado 2023'!K:K)</f>
        <v>4952</v>
      </c>
      <c r="L11" s="54">
        <f t="shared" si="2"/>
        <v>3.3925686591276254E-2</v>
      </c>
      <c r="M11" s="38"/>
      <c r="N11" s="106">
        <f>_xlfn.XLOOKUP($B:$B,'Compilado 2023'!$B:$B,'Compilado 2023'!N:N)</f>
        <v>474.2</v>
      </c>
      <c r="O11" s="106">
        <f>_xlfn.XLOOKUP($B:$B,'Compilado 2023'!$B:$B,'Compilado 2023'!O:O)</f>
        <v>335.9</v>
      </c>
      <c r="P11" s="106">
        <f>_xlfn.XLOOKUP($B:$B,'Compilado 2023'!$B:$B,'Compilado 2023'!P:P)</f>
        <v>0</v>
      </c>
      <c r="Q11" s="106">
        <f>_xlfn.XLOOKUP($B:$B,'Compilado 2023'!$B:$B,'Compilado 2023'!Q:Q)</f>
        <v>57.142857142857146</v>
      </c>
      <c r="R11" s="106">
        <f>_xlfn.XLOOKUP($B:$B,'Compilado 2023'!$B:$B,'Compilado 2023'!R:R)</f>
        <v>0</v>
      </c>
      <c r="S11" s="106">
        <f>_xlfn.XLOOKUP($B:$B,'Compilado 2023'!$B:$B,'Compilado 2023'!S:S)</f>
        <v>0</v>
      </c>
      <c r="T11" s="106">
        <f>_xlfn.XLOOKUP($B:$B,'Compilado 2023'!$B:$B,'Compilado 2023'!U:U)</f>
        <v>0</v>
      </c>
      <c r="U11" s="106">
        <f>_xlfn.XLOOKUP($B:$B,'Compilado 2023'!$B:$B,'Compilado 2023'!V:V)</f>
        <v>0</v>
      </c>
      <c r="V11" s="57"/>
      <c r="W11" s="106">
        <f>_xlfn.XLOOKUP($B:$B,'Compilado 2023'!$B:$B,'Compilado 2023'!X:X)</f>
        <v>0</v>
      </c>
      <c r="X11" s="106">
        <f>_xlfn.XLOOKUP($B:$B,'Compilado 2023'!$B:$B,'Compilado 2023'!Y:Y)</f>
        <v>0</v>
      </c>
      <c r="Y11" s="106">
        <f>_xlfn.XLOOKUP($B:$B,'Compilado 2023'!$B:$B,'Compilado 2023'!Z:Z)</f>
        <v>0</v>
      </c>
      <c r="Z11" s="38"/>
      <c r="AA11" s="107">
        <f>_xlfn.XLOOKUP($B:$B,'Compilado 2023'!$B:$B,'Compilado 2023'!AA:AA)</f>
        <v>0</v>
      </c>
    </row>
    <row r="12" spans="1:27" s="2" customFormat="1" x14ac:dyDescent="0.2">
      <c r="A12" s="16" t="str">
        <f t="shared" si="0"/>
        <v>quinta-feira</v>
      </c>
      <c r="B12" s="17">
        <f t="shared" si="6"/>
        <v>44966</v>
      </c>
      <c r="C12" s="19">
        <f t="shared" si="3"/>
        <v>59517.48</v>
      </c>
      <c r="D12" s="35">
        <f>_xlfn.XLOOKUP($B:$B,'Compilado 2023'!$B:$B,'Compilado 2023'!D:D)</f>
        <v>59490.93</v>
      </c>
      <c r="E12" s="35">
        <f>_xlfn.XLOOKUP($B:$B,'Compilado 2023'!$B:$B,'Compilado 2023'!E:E)</f>
        <v>26.55</v>
      </c>
      <c r="F12" s="18">
        <f>_xlfn.XLOOKUP($B:$B,'Compilado 2023'!$B:$B,'Compilado 2023'!F:F)</f>
        <v>205</v>
      </c>
      <c r="G12" s="18">
        <f>_xlfn.XLOOKUP($B:$B,'Compilado 2023'!$B:$B,'Compilado 2023'!G:G)</f>
        <v>233</v>
      </c>
      <c r="H12" s="35">
        <f t="shared" si="4"/>
        <v>290.32917073170734</v>
      </c>
      <c r="I12" s="19">
        <f t="shared" si="5"/>
        <v>1384.2028571428571</v>
      </c>
      <c r="J12" s="122">
        <f t="shared" si="1"/>
        <v>42.997657238513767</v>
      </c>
      <c r="K12" s="18">
        <f>_xlfn.XLOOKUP($B:$B,'Compilado 2023'!$B:$B,'Compilado 2023'!K:K)</f>
        <v>5382</v>
      </c>
      <c r="L12" s="54">
        <f t="shared" si="2"/>
        <v>3.8089929394277224E-2</v>
      </c>
      <c r="M12" s="38"/>
      <c r="N12" s="106">
        <f>_xlfn.XLOOKUP($B:$B,'Compilado 2023'!$B:$B,'Compilado 2023'!N:N)</f>
        <v>984.16</v>
      </c>
      <c r="O12" s="106">
        <f>_xlfn.XLOOKUP($B:$B,'Compilado 2023'!$B:$B,'Compilado 2023'!O:O)</f>
        <v>342.9</v>
      </c>
      <c r="P12" s="106">
        <f>_xlfn.XLOOKUP($B:$B,'Compilado 2023'!$B:$B,'Compilado 2023'!P:P)</f>
        <v>0</v>
      </c>
      <c r="Q12" s="106">
        <f>_xlfn.XLOOKUP($B:$B,'Compilado 2023'!$B:$B,'Compilado 2023'!Q:Q)</f>
        <v>57.142857142857146</v>
      </c>
      <c r="R12" s="106">
        <f>_xlfn.XLOOKUP($B:$B,'Compilado 2023'!$B:$B,'Compilado 2023'!R:R)</f>
        <v>0</v>
      </c>
      <c r="S12" s="106">
        <f>_xlfn.XLOOKUP($B:$B,'Compilado 2023'!$B:$B,'Compilado 2023'!S:S)</f>
        <v>0</v>
      </c>
      <c r="T12" s="106">
        <f>_xlfn.XLOOKUP($B:$B,'Compilado 2023'!$B:$B,'Compilado 2023'!U:U)</f>
        <v>0</v>
      </c>
      <c r="U12" s="106">
        <f>_xlfn.XLOOKUP($B:$B,'Compilado 2023'!$B:$B,'Compilado 2023'!V:V)</f>
        <v>0</v>
      </c>
      <c r="V12" s="57"/>
      <c r="W12" s="106">
        <f>_xlfn.XLOOKUP($B:$B,'Compilado 2023'!$B:$B,'Compilado 2023'!X:X)</f>
        <v>0</v>
      </c>
      <c r="X12" s="106">
        <f>_xlfn.XLOOKUP($B:$B,'Compilado 2023'!$B:$B,'Compilado 2023'!Y:Y)</f>
        <v>0</v>
      </c>
      <c r="Y12" s="106">
        <f>_xlfn.XLOOKUP($B:$B,'Compilado 2023'!$B:$B,'Compilado 2023'!Z:Z)</f>
        <v>0</v>
      </c>
      <c r="Z12" s="38"/>
      <c r="AA12" s="107">
        <f>_xlfn.XLOOKUP($B:$B,'Compilado 2023'!$B:$B,'Compilado 2023'!AA:AA)</f>
        <v>0</v>
      </c>
    </row>
    <row r="13" spans="1:27" x14ac:dyDescent="0.2">
      <c r="A13" s="16" t="str">
        <f t="shared" si="0"/>
        <v>sexta-feira</v>
      </c>
      <c r="B13" s="17">
        <f t="shared" si="6"/>
        <v>44967</v>
      </c>
      <c r="C13" s="19">
        <f t="shared" si="3"/>
        <v>54709.57</v>
      </c>
      <c r="D13" s="35">
        <f>_xlfn.XLOOKUP($B:$B,'Compilado 2023'!$B:$B,'Compilado 2023'!D:D)</f>
        <v>54685.72</v>
      </c>
      <c r="E13" s="35">
        <f>_xlfn.XLOOKUP($B:$B,'Compilado 2023'!$B:$B,'Compilado 2023'!E:E)</f>
        <v>23.85</v>
      </c>
      <c r="F13" s="18">
        <f>_xlfn.XLOOKUP($B:$B,'Compilado 2023'!$B:$B,'Compilado 2023'!F:F)</f>
        <v>192</v>
      </c>
      <c r="G13" s="18">
        <f>_xlfn.XLOOKUP($B:$B,'Compilado 2023'!$B:$B,'Compilado 2023'!G:G)</f>
        <v>228</v>
      </c>
      <c r="H13" s="35">
        <f t="shared" si="4"/>
        <v>284.94567708333335</v>
      </c>
      <c r="I13" s="19">
        <f t="shared" si="5"/>
        <v>1717.8928571428571</v>
      </c>
      <c r="J13" s="122">
        <f t="shared" si="1"/>
        <v>31.846904638157213</v>
      </c>
      <c r="K13" s="18">
        <f>_xlfn.XLOOKUP($B:$B,'Compilado 2023'!$B:$B,'Compilado 2023'!K:K)</f>
        <v>5580</v>
      </c>
      <c r="L13" s="54">
        <f t="shared" si="2"/>
        <v>3.4408602150537634E-2</v>
      </c>
      <c r="M13" s="38"/>
      <c r="N13" s="106">
        <f>_xlfn.XLOOKUP($B:$B,'Compilado 2023'!$B:$B,'Compilado 2023'!N:N)</f>
        <v>1263.3599999999999</v>
      </c>
      <c r="O13" s="106">
        <f>_xlfn.XLOOKUP($B:$B,'Compilado 2023'!$B:$B,'Compilado 2023'!O:O)</f>
        <v>397.39</v>
      </c>
      <c r="P13" s="106">
        <f>_xlfn.XLOOKUP($B:$B,'Compilado 2023'!$B:$B,'Compilado 2023'!P:P)</f>
        <v>0</v>
      </c>
      <c r="Q13" s="106">
        <f>_xlfn.XLOOKUP($B:$B,'Compilado 2023'!$B:$B,'Compilado 2023'!Q:Q)</f>
        <v>57.142857142857146</v>
      </c>
      <c r="R13" s="106">
        <f>_xlfn.XLOOKUP($B:$B,'Compilado 2023'!$B:$B,'Compilado 2023'!R:R)</f>
        <v>0</v>
      </c>
      <c r="S13" s="106">
        <f>_xlfn.XLOOKUP($B:$B,'Compilado 2023'!$B:$B,'Compilado 2023'!S:S)</f>
        <v>0</v>
      </c>
      <c r="T13" s="106">
        <f>_xlfn.XLOOKUP($B:$B,'Compilado 2023'!$B:$B,'Compilado 2023'!U:U)</f>
        <v>0</v>
      </c>
      <c r="U13" s="106">
        <f>_xlfn.XLOOKUP($B:$B,'Compilado 2023'!$B:$B,'Compilado 2023'!V:V)</f>
        <v>0</v>
      </c>
      <c r="V13" s="57"/>
      <c r="W13" s="106">
        <f>_xlfn.XLOOKUP($B:$B,'Compilado 2023'!$B:$B,'Compilado 2023'!X:X)</f>
        <v>0</v>
      </c>
      <c r="X13" s="106">
        <f>_xlfn.XLOOKUP($B:$B,'Compilado 2023'!$B:$B,'Compilado 2023'!Y:Y)</f>
        <v>0</v>
      </c>
      <c r="Y13" s="106">
        <f>_xlfn.XLOOKUP($B:$B,'Compilado 2023'!$B:$B,'Compilado 2023'!Z:Z)</f>
        <v>0</v>
      </c>
      <c r="Z13" s="38"/>
      <c r="AA13" s="107">
        <f>_xlfn.XLOOKUP($B:$B,'Compilado 2023'!$B:$B,'Compilado 2023'!AA:AA)</f>
        <v>0</v>
      </c>
    </row>
    <row r="14" spans="1:27" x14ac:dyDescent="0.2">
      <c r="A14" s="16" t="str">
        <f t="shared" si="0"/>
        <v>sábado</v>
      </c>
      <c r="B14" s="17">
        <f t="shared" si="6"/>
        <v>44968</v>
      </c>
      <c r="C14" s="19">
        <f t="shared" si="3"/>
        <v>34589.97</v>
      </c>
      <c r="D14" s="35">
        <f>_xlfn.XLOOKUP($B:$B,'Compilado 2023'!$B:$B,'Compilado 2023'!D:D)</f>
        <v>34589.97</v>
      </c>
      <c r="E14" s="35">
        <f>_xlfn.XLOOKUP($B:$B,'Compilado 2023'!$B:$B,'Compilado 2023'!E:E)</f>
        <v>0</v>
      </c>
      <c r="F14" s="18">
        <f>_xlfn.XLOOKUP($B:$B,'Compilado 2023'!$B:$B,'Compilado 2023'!F:F)</f>
        <v>128</v>
      </c>
      <c r="G14" s="18">
        <f>_xlfn.XLOOKUP($B:$B,'Compilado 2023'!$B:$B,'Compilado 2023'!G:G)</f>
        <v>144</v>
      </c>
      <c r="H14" s="35">
        <f t="shared" si="4"/>
        <v>270.23414062500001</v>
      </c>
      <c r="I14" s="19">
        <f t="shared" si="5"/>
        <v>1084.4128571428571</v>
      </c>
      <c r="J14" s="122">
        <f t="shared" si="1"/>
        <v>31.897417825841242</v>
      </c>
      <c r="K14" s="18">
        <f>_xlfn.XLOOKUP($B:$B,'Compilado 2023'!$B:$B,'Compilado 2023'!K:K)</f>
        <v>4314</v>
      </c>
      <c r="L14" s="54">
        <f t="shared" si="2"/>
        <v>2.9670839128419099E-2</v>
      </c>
      <c r="M14" s="38"/>
      <c r="N14" s="106">
        <f>_xlfn.XLOOKUP($B:$B,'Compilado 2023'!$B:$B,'Compilado 2023'!N:N)</f>
        <v>732.43</v>
      </c>
      <c r="O14" s="106">
        <f>_xlfn.XLOOKUP($B:$B,'Compilado 2023'!$B:$B,'Compilado 2023'!O:O)</f>
        <v>294.83999999999997</v>
      </c>
      <c r="P14" s="106">
        <f>_xlfn.XLOOKUP($B:$B,'Compilado 2023'!$B:$B,'Compilado 2023'!P:P)</f>
        <v>0</v>
      </c>
      <c r="Q14" s="106">
        <f>_xlfn.XLOOKUP($B:$B,'Compilado 2023'!$B:$B,'Compilado 2023'!Q:Q)</f>
        <v>57.142857142857146</v>
      </c>
      <c r="R14" s="106">
        <f>_xlfn.XLOOKUP($B:$B,'Compilado 2023'!$B:$B,'Compilado 2023'!R:R)</f>
        <v>0</v>
      </c>
      <c r="S14" s="106">
        <f>_xlfn.XLOOKUP($B:$B,'Compilado 2023'!$B:$B,'Compilado 2023'!S:S)</f>
        <v>0</v>
      </c>
      <c r="T14" s="106">
        <f>_xlfn.XLOOKUP($B:$B,'Compilado 2023'!$B:$B,'Compilado 2023'!U:U)</f>
        <v>0</v>
      </c>
      <c r="U14" s="106">
        <f>_xlfn.XLOOKUP($B:$B,'Compilado 2023'!$B:$B,'Compilado 2023'!V:V)</f>
        <v>0</v>
      </c>
      <c r="V14" s="57"/>
      <c r="W14" s="106">
        <f>_xlfn.XLOOKUP($B:$B,'Compilado 2023'!$B:$B,'Compilado 2023'!X:X)</f>
        <v>0</v>
      </c>
      <c r="X14" s="106">
        <f>_xlfn.XLOOKUP($B:$B,'Compilado 2023'!$B:$B,'Compilado 2023'!Y:Y)</f>
        <v>0</v>
      </c>
      <c r="Y14" s="106">
        <f>_xlfn.XLOOKUP($B:$B,'Compilado 2023'!$B:$B,'Compilado 2023'!Z:Z)</f>
        <v>0</v>
      </c>
      <c r="Z14" s="38"/>
      <c r="AA14" s="107">
        <f>_xlfn.XLOOKUP($B:$B,'Compilado 2023'!$B:$B,'Compilado 2023'!AA:AA)</f>
        <v>0</v>
      </c>
    </row>
    <row r="15" spans="1:27" s="2" customFormat="1" x14ac:dyDescent="0.2">
      <c r="A15" s="16" t="str">
        <f t="shared" si="0"/>
        <v>domingo</v>
      </c>
      <c r="B15" s="17">
        <f t="shared" si="6"/>
        <v>44969</v>
      </c>
      <c r="C15" s="19">
        <f t="shared" si="3"/>
        <v>23175.759999999998</v>
      </c>
      <c r="D15" s="35">
        <f>_xlfn.XLOOKUP($B:$B,'Compilado 2023'!$B:$B,'Compilado 2023'!D:D)</f>
        <v>23175.759999999998</v>
      </c>
      <c r="E15" s="35">
        <f>_xlfn.XLOOKUP($B:$B,'Compilado 2023'!$B:$B,'Compilado 2023'!E:E)</f>
        <v>0</v>
      </c>
      <c r="F15" s="18">
        <f>_xlfn.XLOOKUP($B:$B,'Compilado 2023'!$B:$B,'Compilado 2023'!F:F)</f>
        <v>82</v>
      </c>
      <c r="G15" s="18">
        <f>_xlfn.XLOOKUP($B:$B,'Compilado 2023'!$B:$B,'Compilado 2023'!G:G)</f>
        <v>91</v>
      </c>
      <c r="H15" s="35">
        <f t="shared" si="4"/>
        <v>282.63121951219512</v>
      </c>
      <c r="I15" s="19">
        <f t="shared" si="5"/>
        <v>1220.532857142857</v>
      </c>
      <c r="J15" s="122">
        <f t="shared" si="1"/>
        <v>18.988231135581298</v>
      </c>
      <c r="K15" s="18">
        <f>_xlfn.XLOOKUP($B:$B,'Compilado 2023'!$B:$B,'Compilado 2023'!K:K)</f>
        <v>3954</v>
      </c>
      <c r="L15" s="54">
        <f t="shared" si="2"/>
        <v>2.0738492665655032E-2</v>
      </c>
      <c r="M15" s="38"/>
      <c r="N15" s="106">
        <f>_xlfn.XLOOKUP($B:$B,'Compilado 2023'!$B:$B,'Compilado 2023'!N:N)</f>
        <v>857.78</v>
      </c>
      <c r="O15" s="106">
        <f>_xlfn.XLOOKUP($B:$B,'Compilado 2023'!$B:$B,'Compilado 2023'!O:O)</f>
        <v>305.61</v>
      </c>
      <c r="P15" s="106">
        <f>_xlfn.XLOOKUP($B:$B,'Compilado 2023'!$B:$B,'Compilado 2023'!P:P)</f>
        <v>0</v>
      </c>
      <c r="Q15" s="106">
        <f>_xlfn.XLOOKUP($B:$B,'Compilado 2023'!$B:$B,'Compilado 2023'!Q:Q)</f>
        <v>57.142857142857146</v>
      </c>
      <c r="R15" s="106">
        <f>_xlfn.XLOOKUP($B:$B,'Compilado 2023'!$B:$B,'Compilado 2023'!R:R)</f>
        <v>0</v>
      </c>
      <c r="S15" s="106">
        <f>_xlfn.XLOOKUP($B:$B,'Compilado 2023'!$B:$B,'Compilado 2023'!S:S)</f>
        <v>0</v>
      </c>
      <c r="T15" s="106">
        <f>_xlfn.XLOOKUP($B:$B,'Compilado 2023'!$B:$B,'Compilado 2023'!U:U)</f>
        <v>0</v>
      </c>
      <c r="U15" s="106">
        <f>_xlfn.XLOOKUP($B:$B,'Compilado 2023'!$B:$B,'Compilado 2023'!V:V)</f>
        <v>0</v>
      </c>
      <c r="V15" s="57"/>
      <c r="W15" s="106">
        <f>_xlfn.XLOOKUP($B:$B,'Compilado 2023'!$B:$B,'Compilado 2023'!X:X)</f>
        <v>0</v>
      </c>
      <c r="X15" s="106">
        <f>_xlfn.XLOOKUP($B:$B,'Compilado 2023'!$B:$B,'Compilado 2023'!Y:Y)</f>
        <v>0</v>
      </c>
      <c r="Y15" s="106">
        <f>_xlfn.XLOOKUP($B:$B,'Compilado 2023'!$B:$B,'Compilado 2023'!Z:Z)</f>
        <v>0</v>
      </c>
      <c r="Z15" s="38"/>
      <c r="AA15" s="107">
        <f>_xlfn.XLOOKUP($B:$B,'Compilado 2023'!$B:$B,'Compilado 2023'!AA:AA)</f>
        <v>0</v>
      </c>
    </row>
    <row r="16" spans="1:27" s="2" customFormat="1" x14ac:dyDescent="0.2">
      <c r="A16" s="16" t="str">
        <f t="shared" si="0"/>
        <v>segunda-feira</v>
      </c>
      <c r="B16" s="17">
        <f t="shared" si="6"/>
        <v>44970</v>
      </c>
      <c r="C16" s="19">
        <f t="shared" si="3"/>
        <v>56619.64</v>
      </c>
      <c r="D16" s="35">
        <f>_xlfn.XLOOKUP($B:$B,'Compilado 2023'!$B:$B,'Compilado 2023'!D:D)</f>
        <v>56619.64</v>
      </c>
      <c r="E16" s="35">
        <f>_xlfn.XLOOKUP($B:$B,'Compilado 2023'!$B:$B,'Compilado 2023'!E:E)</f>
        <v>0</v>
      </c>
      <c r="F16" s="18">
        <f>_xlfn.XLOOKUP($B:$B,'Compilado 2023'!$B:$B,'Compilado 2023'!F:F)</f>
        <v>185</v>
      </c>
      <c r="G16" s="18">
        <f>_xlfn.XLOOKUP($B:$B,'Compilado 2023'!$B:$B,'Compilado 2023'!G:G)</f>
        <v>248</v>
      </c>
      <c r="H16" s="35">
        <f t="shared" si="4"/>
        <v>306.05210810810809</v>
      </c>
      <c r="I16" s="19">
        <f t="shared" si="5"/>
        <v>1516.5028571428572</v>
      </c>
      <c r="J16" s="122">
        <f t="shared" si="1"/>
        <v>37.335663255309207</v>
      </c>
      <c r="K16" s="18">
        <f>_xlfn.XLOOKUP($B:$B,'Compilado 2023'!$B:$B,'Compilado 2023'!K:K)</f>
        <v>5517</v>
      </c>
      <c r="L16" s="54">
        <f t="shared" si="2"/>
        <v>3.3532717056371217E-2</v>
      </c>
      <c r="M16" s="38"/>
      <c r="N16" s="106">
        <f>_xlfn.XLOOKUP($B:$B,'Compilado 2023'!$B:$B,'Compilado 2023'!N:N)</f>
        <v>1118.21</v>
      </c>
      <c r="O16" s="106">
        <f>_xlfn.XLOOKUP($B:$B,'Compilado 2023'!$B:$B,'Compilado 2023'!O:O)</f>
        <v>341.15</v>
      </c>
      <c r="P16" s="106">
        <f>_xlfn.XLOOKUP($B:$B,'Compilado 2023'!$B:$B,'Compilado 2023'!P:P)</f>
        <v>0</v>
      </c>
      <c r="Q16" s="106">
        <f>_xlfn.XLOOKUP($B:$B,'Compilado 2023'!$B:$B,'Compilado 2023'!Q:Q)</f>
        <v>57.142857142857146</v>
      </c>
      <c r="R16" s="106">
        <f>_xlfn.XLOOKUP($B:$B,'Compilado 2023'!$B:$B,'Compilado 2023'!R:R)</f>
        <v>0</v>
      </c>
      <c r="S16" s="106">
        <f>_xlfn.XLOOKUP($B:$B,'Compilado 2023'!$B:$B,'Compilado 2023'!S:S)</f>
        <v>0</v>
      </c>
      <c r="T16" s="106">
        <f>_xlfn.XLOOKUP($B:$B,'Compilado 2023'!$B:$B,'Compilado 2023'!U:U)</f>
        <v>0</v>
      </c>
      <c r="U16" s="106">
        <f>_xlfn.XLOOKUP($B:$B,'Compilado 2023'!$B:$B,'Compilado 2023'!V:V)</f>
        <v>0</v>
      </c>
      <c r="V16" s="57"/>
      <c r="W16" s="106">
        <f>_xlfn.XLOOKUP($B:$B,'Compilado 2023'!$B:$B,'Compilado 2023'!X:X)</f>
        <v>0</v>
      </c>
      <c r="X16" s="106">
        <f>_xlfn.XLOOKUP($B:$B,'Compilado 2023'!$B:$B,'Compilado 2023'!Y:Y)</f>
        <v>0</v>
      </c>
      <c r="Y16" s="106">
        <f>_xlfn.XLOOKUP($B:$B,'Compilado 2023'!$B:$B,'Compilado 2023'!Z:Z)</f>
        <v>0</v>
      </c>
      <c r="Z16" s="38"/>
      <c r="AA16" s="107">
        <f>_xlfn.XLOOKUP($B:$B,'Compilado 2023'!$B:$B,'Compilado 2023'!AA:AA)</f>
        <v>0</v>
      </c>
    </row>
    <row r="17" spans="1:27" s="2" customFormat="1" x14ac:dyDescent="0.2">
      <c r="A17" s="16" t="str">
        <f t="shared" si="0"/>
        <v>terça-feira</v>
      </c>
      <c r="B17" s="17">
        <f t="shared" si="6"/>
        <v>44971</v>
      </c>
      <c r="C17" s="19">
        <f t="shared" si="3"/>
        <v>74816.789999999994</v>
      </c>
      <c r="D17" s="35">
        <f>_xlfn.XLOOKUP($B:$B,'Compilado 2023'!$B:$B,'Compilado 2023'!D:D)</f>
        <v>74816.789999999994</v>
      </c>
      <c r="E17" s="35">
        <f>_xlfn.XLOOKUP($B:$B,'Compilado 2023'!$B:$B,'Compilado 2023'!E:E)</f>
        <v>0</v>
      </c>
      <c r="F17" s="18">
        <f>_xlfn.XLOOKUP($B:$B,'Compilado 2023'!$B:$B,'Compilado 2023'!F:F)</f>
        <v>242</v>
      </c>
      <c r="G17" s="18">
        <f>_xlfn.XLOOKUP($B:$B,'Compilado 2023'!$B:$B,'Compilado 2023'!G:G)</f>
        <v>284</v>
      </c>
      <c r="H17" s="35">
        <f t="shared" si="4"/>
        <v>309.16028925619833</v>
      </c>
      <c r="I17" s="19">
        <f t="shared" si="5"/>
        <v>2155.6328571428571</v>
      </c>
      <c r="J17" s="122">
        <f t="shared" si="1"/>
        <v>34.707575435255009</v>
      </c>
      <c r="K17" s="18">
        <f>_xlfn.XLOOKUP($B:$B,'Compilado 2023'!$B:$B,'Compilado 2023'!K:K)</f>
        <v>6309</v>
      </c>
      <c r="L17" s="54">
        <f t="shared" si="2"/>
        <v>3.8357901410683154E-2</v>
      </c>
      <c r="M17" s="38"/>
      <c r="N17" s="106">
        <f>_xlfn.XLOOKUP($B:$B,'Compilado 2023'!$B:$B,'Compilado 2023'!N:N)</f>
        <v>1777.04</v>
      </c>
      <c r="O17" s="106">
        <f>_xlfn.XLOOKUP($B:$B,'Compilado 2023'!$B:$B,'Compilado 2023'!O:O)</f>
        <v>321.45</v>
      </c>
      <c r="P17" s="106">
        <f>_xlfn.XLOOKUP($B:$B,'Compilado 2023'!$B:$B,'Compilado 2023'!P:P)</f>
        <v>0</v>
      </c>
      <c r="Q17" s="106">
        <f>_xlfn.XLOOKUP($B:$B,'Compilado 2023'!$B:$B,'Compilado 2023'!Q:Q)</f>
        <v>57.142857142857146</v>
      </c>
      <c r="R17" s="106">
        <f>_xlfn.XLOOKUP($B:$B,'Compilado 2023'!$B:$B,'Compilado 2023'!R:R)</f>
        <v>0</v>
      </c>
      <c r="S17" s="106">
        <f>_xlfn.XLOOKUP($B:$B,'Compilado 2023'!$B:$B,'Compilado 2023'!S:S)</f>
        <v>0</v>
      </c>
      <c r="T17" s="106">
        <f>_xlfn.XLOOKUP($B:$B,'Compilado 2023'!$B:$B,'Compilado 2023'!U:U)</f>
        <v>0</v>
      </c>
      <c r="U17" s="106">
        <f>_xlfn.XLOOKUP($B:$B,'Compilado 2023'!$B:$B,'Compilado 2023'!V:V)</f>
        <v>0</v>
      </c>
      <c r="V17" s="57"/>
      <c r="W17" s="106">
        <f>_xlfn.XLOOKUP($B:$B,'Compilado 2023'!$B:$B,'Compilado 2023'!X:X)</f>
        <v>0</v>
      </c>
      <c r="X17" s="106">
        <f>_xlfn.XLOOKUP($B:$B,'Compilado 2023'!$B:$B,'Compilado 2023'!Y:Y)</f>
        <v>0</v>
      </c>
      <c r="Y17" s="106">
        <f>_xlfn.XLOOKUP($B:$B,'Compilado 2023'!$B:$B,'Compilado 2023'!Z:Z)</f>
        <v>0</v>
      </c>
      <c r="Z17" s="38"/>
      <c r="AA17" s="107">
        <f>_xlfn.XLOOKUP($B:$B,'Compilado 2023'!$B:$B,'Compilado 2023'!AA:AA)</f>
        <v>0</v>
      </c>
    </row>
    <row r="18" spans="1:27" s="2" customFormat="1" x14ac:dyDescent="0.2">
      <c r="A18" s="16" t="str">
        <f t="shared" si="0"/>
        <v>quarta-feira</v>
      </c>
      <c r="B18" s="17">
        <f t="shared" si="6"/>
        <v>44972</v>
      </c>
      <c r="C18" s="19">
        <f t="shared" si="3"/>
        <v>87917.3</v>
      </c>
      <c r="D18" s="35">
        <f>_xlfn.XLOOKUP($B:$B,'Compilado 2023'!$B:$B,'Compilado 2023'!D:D)</f>
        <v>87917.3</v>
      </c>
      <c r="E18" s="35">
        <f>_xlfn.XLOOKUP($B:$B,'Compilado 2023'!$B:$B,'Compilado 2023'!E:E)</f>
        <v>0</v>
      </c>
      <c r="F18" s="18">
        <f>_xlfn.XLOOKUP($B:$B,'Compilado 2023'!$B:$B,'Compilado 2023'!F:F)</f>
        <v>319</v>
      </c>
      <c r="G18" s="18">
        <f>_xlfn.XLOOKUP($B:$B,'Compilado 2023'!$B:$B,'Compilado 2023'!G:G)</f>
        <v>468</v>
      </c>
      <c r="H18" s="35">
        <f t="shared" si="4"/>
        <v>275.60282131661444</v>
      </c>
      <c r="I18" s="19">
        <f t="shared" si="5"/>
        <v>1099.7128571428573</v>
      </c>
      <c r="J18" s="122">
        <f t="shared" si="1"/>
        <v>79.945687120923765</v>
      </c>
      <c r="K18" s="18">
        <f>_xlfn.XLOOKUP($B:$B,'Compilado 2023'!$B:$B,'Compilado 2023'!K:K)</f>
        <v>5862</v>
      </c>
      <c r="L18" s="54">
        <f t="shared" si="2"/>
        <v>5.4418287273967927E-2</v>
      </c>
      <c r="M18" s="38"/>
      <c r="N18" s="106">
        <f>_xlfn.XLOOKUP($B:$B,'Compilado 2023'!$B:$B,'Compilado 2023'!N:N)</f>
        <v>722.46</v>
      </c>
      <c r="O18" s="106">
        <f>_xlfn.XLOOKUP($B:$B,'Compilado 2023'!$B:$B,'Compilado 2023'!O:O)</f>
        <v>320.11</v>
      </c>
      <c r="P18" s="106">
        <f>_xlfn.XLOOKUP($B:$B,'Compilado 2023'!$B:$B,'Compilado 2023'!P:P)</f>
        <v>0</v>
      </c>
      <c r="Q18" s="106">
        <f>_xlfn.XLOOKUP($B:$B,'Compilado 2023'!$B:$B,'Compilado 2023'!Q:Q)</f>
        <v>57.142857142857146</v>
      </c>
      <c r="R18" s="106">
        <f>_xlfn.XLOOKUP($B:$B,'Compilado 2023'!$B:$B,'Compilado 2023'!R:R)</f>
        <v>0</v>
      </c>
      <c r="S18" s="106">
        <f>_xlfn.XLOOKUP($B:$B,'Compilado 2023'!$B:$B,'Compilado 2023'!S:S)</f>
        <v>0</v>
      </c>
      <c r="T18" s="106">
        <f>_xlfn.XLOOKUP($B:$B,'Compilado 2023'!$B:$B,'Compilado 2023'!U:U)</f>
        <v>0</v>
      </c>
      <c r="U18" s="106">
        <f>_xlfn.XLOOKUP($B:$B,'Compilado 2023'!$B:$B,'Compilado 2023'!V:V)</f>
        <v>0</v>
      </c>
      <c r="V18" s="57"/>
      <c r="W18" s="106">
        <f>_xlfn.XLOOKUP($B:$B,'Compilado 2023'!$B:$B,'Compilado 2023'!X:X)</f>
        <v>0</v>
      </c>
      <c r="X18" s="106">
        <f>_xlfn.XLOOKUP($B:$B,'Compilado 2023'!$B:$B,'Compilado 2023'!Y:Y)</f>
        <v>0</v>
      </c>
      <c r="Y18" s="106">
        <f>_xlfn.XLOOKUP($B:$B,'Compilado 2023'!$B:$B,'Compilado 2023'!Z:Z)</f>
        <v>0</v>
      </c>
      <c r="Z18" s="38"/>
      <c r="AA18" s="107">
        <f>_xlfn.XLOOKUP($B:$B,'Compilado 2023'!$B:$B,'Compilado 2023'!AA:AA)</f>
        <v>0</v>
      </c>
    </row>
    <row r="19" spans="1:27" s="2" customFormat="1" x14ac:dyDescent="0.2">
      <c r="A19" s="16" t="str">
        <f t="shared" si="0"/>
        <v>quinta-feira</v>
      </c>
      <c r="B19" s="17">
        <f t="shared" si="6"/>
        <v>44973</v>
      </c>
      <c r="C19" s="19">
        <f t="shared" si="3"/>
        <v>62188.55</v>
      </c>
      <c r="D19" s="35">
        <f>_xlfn.XLOOKUP($B:$B,'Compilado 2023'!$B:$B,'Compilado 2023'!D:D)</f>
        <v>62188.55</v>
      </c>
      <c r="E19" s="35">
        <f>_xlfn.XLOOKUP($B:$B,'Compilado 2023'!$B:$B,'Compilado 2023'!E:E)</f>
        <v>0</v>
      </c>
      <c r="F19" s="18">
        <f>_xlfn.XLOOKUP($B:$B,'Compilado 2023'!$B:$B,'Compilado 2023'!F:F)</f>
        <v>235</v>
      </c>
      <c r="G19" s="18">
        <f>_xlfn.XLOOKUP($B:$B,'Compilado 2023'!$B:$B,'Compilado 2023'!G:G)</f>
        <v>315</v>
      </c>
      <c r="H19" s="35">
        <f t="shared" si="4"/>
        <v>264.63212765957451</v>
      </c>
      <c r="I19" s="19">
        <f t="shared" si="5"/>
        <v>1210.722857142857</v>
      </c>
      <c r="J19" s="122">
        <f t="shared" si="1"/>
        <v>51.364810396622566</v>
      </c>
      <c r="K19" s="18">
        <f>_xlfn.XLOOKUP($B:$B,'Compilado 2023'!$B:$B,'Compilado 2023'!K:K)</f>
        <v>5223</v>
      </c>
      <c r="L19" s="54">
        <f t="shared" si="2"/>
        <v>4.4993298870381004E-2</v>
      </c>
      <c r="M19" s="38"/>
      <c r="N19" s="106">
        <f>_xlfn.XLOOKUP($B:$B,'Compilado 2023'!$B:$B,'Compilado 2023'!N:N)</f>
        <v>719.38</v>
      </c>
      <c r="O19" s="106">
        <f>_xlfn.XLOOKUP($B:$B,'Compilado 2023'!$B:$B,'Compilado 2023'!O:O)</f>
        <v>434.2</v>
      </c>
      <c r="P19" s="106">
        <f>_xlfn.XLOOKUP($B:$B,'Compilado 2023'!$B:$B,'Compilado 2023'!P:P)</f>
        <v>0</v>
      </c>
      <c r="Q19" s="106">
        <f>_xlfn.XLOOKUP($B:$B,'Compilado 2023'!$B:$B,'Compilado 2023'!Q:Q)</f>
        <v>57.142857142857146</v>
      </c>
      <c r="R19" s="106">
        <f>_xlfn.XLOOKUP($B:$B,'Compilado 2023'!$B:$B,'Compilado 2023'!R:R)</f>
        <v>0</v>
      </c>
      <c r="S19" s="106">
        <f>_xlfn.XLOOKUP($B:$B,'Compilado 2023'!$B:$B,'Compilado 2023'!S:S)</f>
        <v>0</v>
      </c>
      <c r="T19" s="106">
        <f>_xlfn.XLOOKUP($B:$B,'Compilado 2023'!$B:$B,'Compilado 2023'!U:U)</f>
        <v>0</v>
      </c>
      <c r="U19" s="106">
        <f>_xlfn.XLOOKUP($B:$B,'Compilado 2023'!$B:$B,'Compilado 2023'!V:V)</f>
        <v>0</v>
      </c>
      <c r="V19" s="57"/>
      <c r="W19" s="106">
        <f>_xlfn.XLOOKUP($B:$B,'Compilado 2023'!$B:$B,'Compilado 2023'!X:X)</f>
        <v>0</v>
      </c>
      <c r="X19" s="106">
        <f>_xlfn.XLOOKUP($B:$B,'Compilado 2023'!$B:$B,'Compilado 2023'!Y:Y)</f>
        <v>0</v>
      </c>
      <c r="Y19" s="106">
        <f>_xlfn.XLOOKUP($B:$B,'Compilado 2023'!$B:$B,'Compilado 2023'!Z:Z)</f>
        <v>0</v>
      </c>
      <c r="Z19" s="38"/>
      <c r="AA19" s="107">
        <f>_xlfn.XLOOKUP($B:$B,'Compilado 2023'!$B:$B,'Compilado 2023'!AA:AA)</f>
        <v>0</v>
      </c>
    </row>
    <row r="20" spans="1:27" x14ac:dyDescent="0.2">
      <c r="A20" s="16" t="str">
        <f t="shared" si="0"/>
        <v>sexta-feira</v>
      </c>
      <c r="B20" s="17">
        <f t="shared" si="6"/>
        <v>44974</v>
      </c>
      <c r="C20" s="19">
        <f t="shared" si="3"/>
        <v>57524.81</v>
      </c>
      <c r="D20" s="35">
        <f>_xlfn.XLOOKUP($B:$B,'Compilado 2023'!$B:$B,'Compilado 2023'!D:D)</f>
        <v>57501.36</v>
      </c>
      <c r="E20" s="35">
        <f>_xlfn.XLOOKUP($B:$B,'Compilado 2023'!$B:$B,'Compilado 2023'!E:E)</f>
        <v>23.45</v>
      </c>
      <c r="F20" s="18">
        <f>_xlfn.XLOOKUP($B:$B,'Compilado 2023'!$B:$B,'Compilado 2023'!F:F)</f>
        <v>214</v>
      </c>
      <c r="G20" s="18">
        <f>_xlfn.XLOOKUP($B:$B,'Compilado 2023'!$B:$B,'Compilado 2023'!G:G)</f>
        <v>296</v>
      </c>
      <c r="H20" s="35">
        <f t="shared" si="4"/>
        <v>268.80752336448597</v>
      </c>
      <c r="I20" s="19">
        <f t="shared" si="5"/>
        <v>1274.7928571428572</v>
      </c>
      <c r="J20" s="122">
        <f t="shared" si="1"/>
        <v>45.124829243966801</v>
      </c>
      <c r="K20" s="18">
        <f>_xlfn.XLOOKUP($B:$B,'Compilado 2023'!$B:$B,'Compilado 2023'!K:K)</f>
        <v>4723</v>
      </c>
      <c r="L20" s="54">
        <f t="shared" si="2"/>
        <v>4.531018420495448E-2</v>
      </c>
      <c r="M20" s="38"/>
      <c r="N20" s="106">
        <f>_xlfn.XLOOKUP($B:$B,'Compilado 2023'!$B:$B,'Compilado 2023'!N:N)</f>
        <v>738.61</v>
      </c>
      <c r="O20" s="106">
        <f>_xlfn.XLOOKUP($B:$B,'Compilado 2023'!$B:$B,'Compilado 2023'!O:O)</f>
        <v>479.04</v>
      </c>
      <c r="P20" s="106">
        <f>_xlfn.XLOOKUP($B:$B,'Compilado 2023'!$B:$B,'Compilado 2023'!P:P)</f>
        <v>0</v>
      </c>
      <c r="Q20" s="106">
        <f>_xlfn.XLOOKUP($B:$B,'Compilado 2023'!$B:$B,'Compilado 2023'!Q:Q)</f>
        <v>57.142857142857146</v>
      </c>
      <c r="R20" s="106">
        <f>_xlfn.XLOOKUP($B:$B,'Compilado 2023'!$B:$B,'Compilado 2023'!R:R)</f>
        <v>0</v>
      </c>
      <c r="S20" s="106">
        <f>_xlfn.XLOOKUP($B:$B,'Compilado 2023'!$B:$B,'Compilado 2023'!S:S)</f>
        <v>0</v>
      </c>
      <c r="T20" s="106">
        <f>_xlfn.XLOOKUP($B:$B,'Compilado 2023'!$B:$B,'Compilado 2023'!U:U)</f>
        <v>0</v>
      </c>
      <c r="U20" s="106">
        <f>_xlfn.XLOOKUP($B:$B,'Compilado 2023'!$B:$B,'Compilado 2023'!V:V)</f>
        <v>0</v>
      </c>
      <c r="V20" s="57"/>
      <c r="W20" s="106">
        <f>_xlfn.XLOOKUP($B:$B,'Compilado 2023'!$B:$B,'Compilado 2023'!X:X)</f>
        <v>0</v>
      </c>
      <c r="X20" s="106">
        <f>_xlfn.XLOOKUP($B:$B,'Compilado 2023'!$B:$B,'Compilado 2023'!Y:Y)</f>
        <v>0</v>
      </c>
      <c r="Y20" s="106">
        <f>_xlfn.XLOOKUP($B:$B,'Compilado 2023'!$B:$B,'Compilado 2023'!Z:Z)</f>
        <v>0</v>
      </c>
      <c r="Z20" s="38"/>
      <c r="AA20" s="107">
        <f>_xlfn.XLOOKUP($B:$B,'Compilado 2023'!$B:$B,'Compilado 2023'!AA:AA)</f>
        <v>0</v>
      </c>
    </row>
    <row r="21" spans="1:27" x14ac:dyDescent="0.2">
      <c r="A21" s="16" t="str">
        <f t="shared" si="0"/>
        <v>sábado</v>
      </c>
      <c r="B21" s="17">
        <f t="shared" si="6"/>
        <v>44975</v>
      </c>
      <c r="C21" s="19">
        <f t="shared" si="3"/>
        <v>35844</v>
      </c>
      <c r="D21" s="35">
        <f>_xlfn.XLOOKUP($B:$B,'Compilado 2023'!$B:$B,'Compilado 2023'!D:D)</f>
        <v>35821.769999999997</v>
      </c>
      <c r="E21" s="35">
        <f>_xlfn.XLOOKUP($B:$B,'Compilado 2023'!$B:$B,'Compilado 2023'!E:E)</f>
        <v>22.23</v>
      </c>
      <c r="F21" s="18">
        <f>_xlfn.XLOOKUP($B:$B,'Compilado 2023'!$B:$B,'Compilado 2023'!F:F)</f>
        <v>143</v>
      </c>
      <c r="G21" s="18">
        <f>_xlfn.XLOOKUP($B:$B,'Compilado 2023'!$B:$B,'Compilado 2023'!G:G)</f>
        <v>195</v>
      </c>
      <c r="H21" s="35">
        <f t="shared" si="4"/>
        <v>250.65734265734267</v>
      </c>
      <c r="I21" s="19">
        <f t="shared" si="5"/>
        <v>953.83285714285716</v>
      </c>
      <c r="J21" s="122">
        <f t="shared" si="1"/>
        <v>37.578910950256336</v>
      </c>
      <c r="K21" s="18">
        <f>_xlfn.XLOOKUP($B:$B,'Compilado 2023'!$B:$B,'Compilado 2023'!K:K)</f>
        <v>3548</v>
      </c>
      <c r="L21" s="54">
        <f t="shared" si="2"/>
        <v>4.0304396843291998E-2</v>
      </c>
      <c r="M21" s="38"/>
      <c r="N21" s="106">
        <f>_xlfn.XLOOKUP($B:$B,'Compilado 2023'!$B:$B,'Compilado 2023'!N:N)</f>
        <v>496.73</v>
      </c>
      <c r="O21" s="106">
        <f>_xlfn.XLOOKUP($B:$B,'Compilado 2023'!$B:$B,'Compilado 2023'!O:O)</f>
        <v>399.96</v>
      </c>
      <c r="P21" s="106">
        <f>_xlfn.XLOOKUP($B:$B,'Compilado 2023'!$B:$B,'Compilado 2023'!P:P)</f>
        <v>0</v>
      </c>
      <c r="Q21" s="106">
        <f>_xlfn.XLOOKUP($B:$B,'Compilado 2023'!$B:$B,'Compilado 2023'!Q:Q)</f>
        <v>57.142857142857146</v>
      </c>
      <c r="R21" s="106">
        <f>_xlfn.XLOOKUP($B:$B,'Compilado 2023'!$B:$B,'Compilado 2023'!R:R)</f>
        <v>0</v>
      </c>
      <c r="S21" s="106">
        <f>_xlfn.XLOOKUP($B:$B,'Compilado 2023'!$B:$B,'Compilado 2023'!S:S)</f>
        <v>0</v>
      </c>
      <c r="T21" s="106">
        <f>_xlfn.XLOOKUP($B:$B,'Compilado 2023'!$B:$B,'Compilado 2023'!U:U)</f>
        <v>0</v>
      </c>
      <c r="U21" s="106">
        <f>_xlfn.XLOOKUP($B:$B,'Compilado 2023'!$B:$B,'Compilado 2023'!V:V)</f>
        <v>0</v>
      </c>
      <c r="V21" s="57"/>
      <c r="W21" s="106">
        <f>_xlfn.XLOOKUP($B:$B,'Compilado 2023'!$B:$B,'Compilado 2023'!X:X)</f>
        <v>0</v>
      </c>
      <c r="X21" s="106">
        <f>_xlfn.XLOOKUP($B:$B,'Compilado 2023'!$B:$B,'Compilado 2023'!Y:Y)</f>
        <v>0</v>
      </c>
      <c r="Y21" s="106">
        <f>_xlfn.XLOOKUP($B:$B,'Compilado 2023'!$B:$B,'Compilado 2023'!Z:Z)</f>
        <v>0</v>
      </c>
      <c r="Z21" s="38"/>
      <c r="AA21" s="107">
        <f>_xlfn.XLOOKUP($B:$B,'Compilado 2023'!$B:$B,'Compilado 2023'!AA:AA)</f>
        <v>0</v>
      </c>
    </row>
    <row r="22" spans="1:27" s="2" customFormat="1" x14ac:dyDescent="0.2">
      <c r="A22" s="16" t="str">
        <f t="shared" si="0"/>
        <v>domingo</v>
      </c>
      <c r="B22" s="17">
        <f t="shared" si="6"/>
        <v>44976</v>
      </c>
      <c r="C22" s="19">
        <f t="shared" si="3"/>
        <v>14837.7</v>
      </c>
      <c r="D22" s="35">
        <f>_xlfn.XLOOKUP($B:$B,'Compilado 2023'!$B:$B,'Compilado 2023'!D:D)</f>
        <v>14837.7</v>
      </c>
      <c r="E22" s="35">
        <f>_xlfn.XLOOKUP($B:$B,'Compilado 2023'!$B:$B,'Compilado 2023'!E:E)</f>
        <v>0</v>
      </c>
      <c r="F22" s="18">
        <f>_xlfn.XLOOKUP($B:$B,'Compilado 2023'!$B:$B,'Compilado 2023'!F:F)</f>
        <v>59</v>
      </c>
      <c r="G22" s="18">
        <f>_xlfn.XLOOKUP($B:$B,'Compilado 2023'!$B:$B,'Compilado 2023'!G:G)</f>
        <v>75</v>
      </c>
      <c r="H22" s="35">
        <f t="shared" si="4"/>
        <v>251.4864406779661</v>
      </c>
      <c r="I22" s="19">
        <f t="shared" si="5"/>
        <v>728.2928571428572</v>
      </c>
      <c r="J22" s="122">
        <f t="shared" si="1"/>
        <v>20.373260364256922</v>
      </c>
      <c r="K22" s="18">
        <f>_xlfn.XLOOKUP($B:$B,'Compilado 2023'!$B:$B,'Compilado 2023'!K:K)</f>
        <v>2843</v>
      </c>
      <c r="L22" s="54">
        <f t="shared" si="2"/>
        <v>2.0752725993668661E-2</v>
      </c>
      <c r="M22" s="38"/>
      <c r="N22" s="106">
        <f>_xlfn.XLOOKUP($B:$B,'Compilado 2023'!$B:$B,'Compilado 2023'!N:N)</f>
        <v>353.74</v>
      </c>
      <c r="O22" s="106">
        <f>_xlfn.XLOOKUP($B:$B,'Compilado 2023'!$B:$B,'Compilado 2023'!O:O)</f>
        <v>317.41000000000003</v>
      </c>
      <c r="P22" s="106">
        <f>_xlfn.XLOOKUP($B:$B,'Compilado 2023'!$B:$B,'Compilado 2023'!P:P)</f>
        <v>0</v>
      </c>
      <c r="Q22" s="106">
        <f>_xlfn.XLOOKUP($B:$B,'Compilado 2023'!$B:$B,'Compilado 2023'!Q:Q)</f>
        <v>57.142857142857146</v>
      </c>
      <c r="R22" s="106">
        <f>_xlfn.XLOOKUP($B:$B,'Compilado 2023'!$B:$B,'Compilado 2023'!R:R)</f>
        <v>0</v>
      </c>
      <c r="S22" s="106">
        <f>_xlfn.XLOOKUP($B:$B,'Compilado 2023'!$B:$B,'Compilado 2023'!S:S)</f>
        <v>0</v>
      </c>
      <c r="T22" s="106">
        <f>_xlfn.XLOOKUP($B:$B,'Compilado 2023'!$B:$B,'Compilado 2023'!U:U)</f>
        <v>0</v>
      </c>
      <c r="U22" s="106">
        <f>_xlfn.XLOOKUP($B:$B,'Compilado 2023'!$B:$B,'Compilado 2023'!V:V)</f>
        <v>0</v>
      </c>
      <c r="V22" s="57"/>
      <c r="W22" s="106">
        <f>_xlfn.XLOOKUP($B:$B,'Compilado 2023'!$B:$B,'Compilado 2023'!X:X)</f>
        <v>0</v>
      </c>
      <c r="X22" s="106">
        <f>_xlfn.XLOOKUP($B:$B,'Compilado 2023'!$B:$B,'Compilado 2023'!Y:Y)</f>
        <v>0</v>
      </c>
      <c r="Y22" s="106">
        <f>_xlfn.XLOOKUP($B:$B,'Compilado 2023'!$B:$B,'Compilado 2023'!Z:Z)</f>
        <v>0</v>
      </c>
      <c r="Z22" s="38"/>
      <c r="AA22" s="107">
        <f>_xlfn.XLOOKUP($B:$B,'Compilado 2023'!$B:$B,'Compilado 2023'!AA:AA)</f>
        <v>0</v>
      </c>
    </row>
    <row r="23" spans="1:27" s="2" customFormat="1" x14ac:dyDescent="0.2">
      <c r="A23" s="16" t="str">
        <f t="shared" si="0"/>
        <v>segunda-feira</v>
      </c>
      <c r="B23" s="17">
        <f t="shared" si="6"/>
        <v>44977</v>
      </c>
      <c r="C23" s="19">
        <f t="shared" si="3"/>
        <v>18044.34</v>
      </c>
      <c r="D23" s="35">
        <f>_xlfn.XLOOKUP($B:$B,'Compilado 2023'!$B:$B,'Compilado 2023'!D:D)</f>
        <v>18044.34</v>
      </c>
      <c r="E23" s="35">
        <f>_xlfn.XLOOKUP($B:$B,'Compilado 2023'!$B:$B,'Compilado 2023'!E:E)</f>
        <v>0</v>
      </c>
      <c r="F23" s="18">
        <f>_xlfn.XLOOKUP($B:$B,'Compilado 2023'!$B:$B,'Compilado 2023'!F:F)</f>
        <v>62</v>
      </c>
      <c r="G23" s="18">
        <f>_xlfn.XLOOKUP($B:$B,'Compilado 2023'!$B:$B,'Compilado 2023'!G:G)</f>
        <v>74</v>
      </c>
      <c r="H23" s="35">
        <f t="shared" si="4"/>
        <v>291.03774193548389</v>
      </c>
      <c r="I23" s="19">
        <f t="shared" si="5"/>
        <v>760.08285714285716</v>
      </c>
      <c r="J23" s="122">
        <f t="shared" si="1"/>
        <v>23.739964439967071</v>
      </c>
      <c r="K23" s="18">
        <f>_xlfn.XLOOKUP($B:$B,'Compilado 2023'!$B:$B,'Compilado 2023'!K:K)</f>
        <v>3229</v>
      </c>
      <c r="L23" s="54">
        <f t="shared" si="2"/>
        <v>1.9200991018891299E-2</v>
      </c>
      <c r="M23" s="38"/>
      <c r="N23" s="106">
        <f>_xlfn.XLOOKUP($B:$B,'Compilado 2023'!$B:$B,'Compilado 2023'!N:N)</f>
        <v>374.54</v>
      </c>
      <c r="O23" s="106">
        <f>_xlfn.XLOOKUP($B:$B,'Compilado 2023'!$B:$B,'Compilado 2023'!O:O)</f>
        <v>328.4</v>
      </c>
      <c r="P23" s="106">
        <f>_xlfn.XLOOKUP($B:$B,'Compilado 2023'!$B:$B,'Compilado 2023'!P:P)</f>
        <v>0</v>
      </c>
      <c r="Q23" s="106">
        <f>_xlfn.XLOOKUP($B:$B,'Compilado 2023'!$B:$B,'Compilado 2023'!Q:Q)</f>
        <v>57.142857142857146</v>
      </c>
      <c r="R23" s="106">
        <f>_xlfn.XLOOKUP($B:$B,'Compilado 2023'!$B:$B,'Compilado 2023'!R:R)</f>
        <v>0</v>
      </c>
      <c r="S23" s="106">
        <f>_xlfn.XLOOKUP($B:$B,'Compilado 2023'!$B:$B,'Compilado 2023'!S:S)</f>
        <v>0</v>
      </c>
      <c r="T23" s="106">
        <f>_xlfn.XLOOKUP($B:$B,'Compilado 2023'!$B:$B,'Compilado 2023'!U:U)</f>
        <v>0</v>
      </c>
      <c r="U23" s="106">
        <f>_xlfn.XLOOKUP($B:$B,'Compilado 2023'!$B:$B,'Compilado 2023'!V:V)</f>
        <v>0</v>
      </c>
      <c r="V23" s="57"/>
      <c r="W23" s="106">
        <f>_xlfn.XLOOKUP($B:$B,'Compilado 2023'!$B:$B,'Compilado 2023'!X:X)</f>
        <v>0</v>
      </c>
      <c r="X23" s="106">
        <f>_xlfn.XLOOKUP($B:$B,'Compilado 2023'!$B:$B,'Compilado 2023'!Y:Y)</f>
        <v>0</v>
      </c>
      <c r="Y23" s="106">
        <f>_xlfn.XLOOKUP($B:$B,'Compilado 2023'!$B:$B,'Compilado 2023'!Z:Z)</f>
        <v>0</v>
      </c>
      <c r="Z23" s="38"/>
      <c r="AA23" s="107">
        <f>_xlfn.XLOOKUP($B:$B,'Compilado 2023'!$B:$B,'Compilado 2023'!AA:AA)</f>
        <v>0</v>
      </c>
    </row>
    <row r="24" spans="1:27" s="2" customFormat="1" x14ac:dyDescent="0.2">
      <c r="A24" s="16" t="str">
        <f t="shared" si="0"/>
        <v>terça-feira</v>
      </c>
      <c r="B24" s="17">
        <f t="shared" si="6"/>
        <v>44978</v>
      </c>
      <c r="C24" s="19">
        <f t="shared" si="3"/>
        <v>23344.45</v>
      </c>
      <c r="D24" s="35">
        <f>_xlfn.XLOOKUP($B:$B,'Compilado 2023'!$B:$B,'Compilado 2023'!D:D)</f>
        <v>23344.45</v>
      </c>
      <c r="E24" s="35">
        <f>_xlfn.XLOOKUP($B:$B,'Compilado 2023'!$B:$B,'Compilado 2023'!E:E)</f>
        <v>0</v>
      </c>
      <c r="F24" s="18">
        <f>_xlfn.XLOOKUP($B:$B,'Compilado 2023'!$B:$B,'Compilado 2023'!F:F)</f>
        <v>79</v>
      </c>
      <c r="G24" s="18">
        <f>_xlfn.XLOOKUP($B:$B,'Compilado 2023'!$B:$B,'Compilado 2023'!G:G)</f>
        <v>103</v>
      </c>
      <c r="H24" s="35">
        <f t="shared" si="4"/>
        <v>295.49936708860758</v>
      </c>
      <c r="I24" s="19">
        <f t="shared" si="5"/>
        <v>842.93285714285707</v>
      </c>
      <c r="J24" s="122">
        <f t="shared" si="1"/>
        <v>27.694317290141736</v>
      </c>
      <c r="K24" s="18">
        <f>_xlfn.XLOOKUP($B:$B,'Compilado 2023'!$B:$B,'Compilado 2023'!K:K)</f>
        <v>3360</v>
      </c>
      <c r="L24" s="54">
        <f t="shared" si="2"/>
        <v>2.3511904761904762E-2</v>
      </c>
      <c r="M24" s="38"/>
      <c r="N24" s="106">
        <f>_xlfn.XLOOKUP($B:$B,'Compilado 2023'!$B:$B,'Compilado 2023'!N:N)</f>
        <v>415.31</v>
      </c>
      <c r="O24" s="106">
        <f>_xlfn.XLOOKUP($B:$B,'Compilado 2023'!$B:$B,'Compilado 2023'!O:O)</f>
        <v>370.48</v>
      </c>
      <c r="P24" s="106">
        <f>_xlfn.XLOOKUP($B:$B,'Compilado 2023'!$B:$B,'Compilado 2023'!P:P)</f>
        <v>0</v>
      </c>
      <c r="Q24" s="106">
        <f>_xlfn.XLOOKUP($B:$B,'Compilado 2023'!$B:$B,'Compilado 2023'!Q:Q)</f>
        <v>57.142857142857146</v>
      </c>
      <c r="R24" s="106">
        <f>_xlfn.XLOOKUP($B:$B,'Compilado 2023'!$B:$B,'Compilado 2023'!R:R)</f>
        <v>0</v>
      </c>
      <c r="S24" s="106">
        <f>_xlfn.XLOOKUP($B:$B,'Compilado 2023'!$B:$B,'Compilado 2023'!S:S)</f>
        <v>0</v>
      </c>
      <c r="T24" s="106">
        <f>_xlfn.XLOOKUP($B:$B,'Compilado 2023'!$B:$B,'Compilado 2023'!U:U)</f>
        <v>0</v>
      </c>
      <c r="U24" s="106">
        <f>_xlfn.XLOOKUP($B:$B,'Compilado 2023'!$B:$B,'Compilado 2023'!V:V)</f>
        <v>0</v>
      </c>
      <c r="V24" s="57"/>
      <c r="W24" s="106">
        <f>_xlfn.XLOOKUP($B:$B,'Compilado 2023'!$B:$B,'Compilado 2023'!X:X)</f>
        <v>0</v>
      </c>
      <c r="X24" s="106">
        <f>_xlfn.XLOOKUP($B:$B,'Compilado 2023'!$B:$B,'Compilado 2023'!Y:Y)</f>
        <v>0</v>
      </c>
      <c r="Y24" s="106">
        <f>_xlfn.XLOOKUP($B:$B,'Compilado 2023'!$B:$B,'Compilado 2023'!Z:Z)</f>
        <v>0</v>
      </c>
      <c r="Z24" s="38"/>
      <c r="AA24" s="107">
        <f>_xlfn.XLOOKUP($B:$B,'Compilado 2023'!$B:$B,'Compilado 2023'!AA:AA)</f>
        <v>0</v>
      </c>
    </row>
    <row r="25" spans="1:27" s="2" customFormat="1" x14ac:dyDescent="0.2">
      <c r="A25" s="16" t="str">
        <f t="shared" si="0"/>
        <v>quarta-feira</v>
      </c>
      <c r="B25" s="17">
        <f t="shared" si="6"/>
        <v>44979</v>
      </c>
      <c r="C25" s="19">
        <f t="shared" si="3"/>
        <v>44515.35</v>
      </c>
      <c r="D25" s="35">
        <f>_xlfn.XLOOKUP($B:$B,'Compilado 2023'!$B:$B,'Compilado 2023'!D:D)</f>
        <v>44491.9</v>
      </c>
      <c r="E25" s="35">
        <f>_xlfn.XLOOKUP($B:$B,'Compilado 2023'!$B:$B,'Compilado 2023'!E:E)</f>
        <v>23.45</v>
      </c>
      <c r="F25" s="18">
        <f>_xlfn.XLOOKUP($B:$B,'Compilado 2023'!$B:$B,'Compilado 2023'!F:F)</f>
        <v>148</v>
      </c>
      <c r="G25" s="18">
        <f>_xlfn.XLOOKUP($B:$B,'Compilado 2023'!$B:$B,'Compilado 2023'!G:G)</f>
        <v>166</v>
      </c>
      <c r="H25" s="35">
        <f t="shared" si="4"/>
        <v>300.77939189189186</v>
      </c>
      <c r="I25" s="19">
        <f t="shared" si="5"/>
        <v>1005.4928571428571</v>
      </c>
      <c r="J25" s="122">
        <f t="shared" si="1"/>
        <v>44.272169298638197</v>
      </c>
      <c r="K25" s="18">
        <f>_xlfn.XLOOKUP($B:$B,'Compilado 2023'!$B:$B,'Compilado 2023'!K:K)</f>
        <v>5099</v>
      </c>
      <c r="L25" s="54">
        <f t="shared" si="2"/>
        <v>2.9025299078250636E-2</v>
      </c>
      <c r="M25" s="38"/>
      <c r="N25" s="106">
        <f>_xlfn.XLOOKUP($B:$B,'Compilado 2023'!$B:$B,'Compilado 2023'!N:N)</f>
        <v>556.47</v>
      </c>
      <c r="O25" s="106">
        <f>_xlfn.XLOOKUP($B:$B,'Compilado 2023'!$B:$B,'Compilado 2023'!O:O)</f>
        <v>391.88</v>
      </c>
      <c r="P25" s="106">
        <f>_xlfn.XLOOKUP($B:$B,'Compilado 2023'!$B:$B,'Compilado 2023'!P:P)</f>
        <v>0</v>
      </c>
      <c r="Q25" s="106">
        <f>_xlfn.XLOOKUP($B:$B,'Compilado 2023'!$B:$B,'Compilado 2023'!Q:Q)</f>
        <v>57.142857142857146</v>
      </c>
      <c r="R25" s="106">
        <f>_xlfn.XLOOKUP($B:$B,'Compilado 2023'!$B:$B,'Compilado 2023'!R:R)</f>
        <v>0</v>
      </c>
      <c r="S25" s="106">
        <f>_xlfn.XLOOKUP($B:$B,'Compilado 2023'!$B:$B,'Compilado 2023'!S:S)</f>
        <v>0</v>
      </c>
      <c r="T25" s="106">
        <f>_xlfn.XLOOKUP($B:$B,'Compilado 2023'!$B:$B,'Compilado 2023'!U:U)</f>
        <v>0</v>
      </c>
      <c r="U25" s="106">
        <f>_xlfn.XLOOKUP($B:$B,'Compilado 2023'!$B:$B,'Compilado 2023'!V:V)</f>
        <v>0</v>
      </c>
      <c r="V25" s="57"/>
      <c r="W25" s="106">
        <f>_xlfn.XLOOKUP($B:$B,'Compilado 2023'!$B:$B,'Compilado 2023'!X:X)</f>
        <v>0</v>
      </c>
      <c r="X25" s="106">
        <f>_xlfn.XLOOKUP($B:$B,'Compilado 2023'!$B:$B,'Compilado 2023'!Y:Y)</f>
        <v>0</v>
      </c>
      <c r="Y25" s="106">
        <f>_xlfn.XLOOKUP($B:$B,'Compilado 2023'!$B:$B,'Compilado 2023'!Z:Z)</f>
        <v>0</v>
      </c>
      <c r="Z25" s="38"/>
      <c r="AA25" s="107">
        <f>_xlfn.XLOOKUP($B:$B,'Compilado 2023'!$B:$B,'Compilado 2023'!AA:AA)</f>
        <v>0</v>
      </c>
    </row>
    <row r="26" spans="1:27" s="2" customFormat="1" x14ac:dyDescent="0.2">
      <c r="A26" s="16" t="str">
        <f t="shared" si="0"/>
        <v>quinta-feira</v>
      </c>
      <c r="B26" s="17">
        <f t="shared" si="6"/>
        <v>44980</v>
      </c>
      <c r="C26" s="19">
        <f t="shared" si="3"/>
        <v>68916.42</v>
      </c>
      <c r="D26" s="35">
        <f>_xlfn.XLOOKUP($B:$B,'Compilado 2023'!$B:$B,'Compilado 2023'!D:D)</f>
        <v>68817.23</v>
      </c>
      <c r="E26" s="35">
        <f>_xlfn.XLOOKUP($B:$B,'Compilado 2023'!$B:$B,'Compilado 2023'!E:E)</f>
        <v>99.19</v>
      </c>
      <c r="F26" s="18">
        <f>_xlfn.XLOOKUP($B:$B,'Compilado 2023'!$B:$B,'Compilado 2023'!F:F)</f>
        <v>201</v>
      </c>
      <c r="G26" s="18">
        <f>_xlfn.XLOOKUP($B:$B,'Compilado 2023'!$B:$B,'Compilado 2023'!G:G)</f>
        <v>294</v>
      </c>
      <c r="H26" s="35">
        <f t="shared" si="4"/>
        <v>342.86776119402987</v>
      </c>
      <c r="I26" s="19">
        <f t="shared" si="5"/>
        <v>989.12285714285713</v>
      </c>
      <c r="J26" s="122">
        <f t="shared" si="1"/>
        <v>69.674277065105301</v>
      </c>
      <c r="K26" s="18">
        <f>_xlfn.XLOOKUP($B:$B,'Compilado 2023'!$B:$B,'Compilado 2023'!K:K)</f>
        <v>5529</v>
      </c>
      <c r="L26" s="54">
        <f t="shared" si="2"/>
        <v>3.6353771025501899E-2</v>
      </c>
      <c r="M26" s="38"/>
      <c r="N26" s="106">
        <f>_xlfn.XLOOKUP($B:$B,'Compilado 2023'!$B:$B,'Compilado 2023'!N:N)</f>
        <v>533.99</v>
      </c>
      <c r="O26" s="106">
        <f>_xlfn.XLOOKUP($B:$B,'Compilado 2023'!$B:$B,'Compilado 2023'!O:O)</f>
        <v>397.99</v>
      </c>
      <c r="P26" s="106">
        <f>_xlfn.XLOOKUP($B:$B,'Compilado 2023'!$B:$B,'Compilado 2023'!P:P)</f>
        <v>0</v>
      </c>
      <c r="Q26" s="106">
        <f>_xlfn.XLOOKUP($B:$B,'Compilado 2023'!$B:$B,'Compilado 2023'!Q:Q)</f>
        <v>57.142857142857146</v>
      </c>
      <c r="R26" s="106">
        <f>_xlfn.XLOOKUP($B:$B,'Compilado 2023'!$B:$B,'Compilado 2023'!R:R)</f>
        <v>0</v>
      </c>
      <c r="S26" s="106">
        <f>_xlfn.XLOOKUP($B:$B,'Compilado 2023'!$B:$B,'Compilado 2023'!S:S)</f>
        <v>0</v>
      </c>
      <c r="T26" s="106">
        <f>_xlfn.XLOOKUP($B:$B,'Compilado 2023'!$B:$B,'Compilado 2023'!U:U)</f>
        <v>0</v>
      </c>
      <c r="U26" s="106">
        <f>_xlfn.XLOOKUP($B:$B,'Compilado 2023'!$B:$B,'Compilado 2023'!V:V)</f>
        <v>0</v>
      </c>
      <c r="V26" s="57"/>
      <c r="W26" s="106">
        <f>_xlfn.XLOOKUP($B:$B,'Compilado 2023'!$B:$B,'Compilado 2023'!X:X)</f>
        <v>0</v>
      </c>
      <c r="X26" s="106">
        <f>_xlfn.XLOOKUP($B:$B,'Compilado 2023'!$B:$B,'Compilado 2023'!Y:Y)</f>
        <v>0</v>
      </c>
      <c r="Y26" s="106">
        <f>_xlfn.XLOOKUP($B:$B,'Compilado 2023'!$B:$B,'Compilado 2023'!Z:Z)</f>
        <v>0</v>
      </c>
      <c r="Z26" s="38"/>
      <c r="AA26" s="107">
        <f>_xlfn.XLOOKUP($B:$B,'Compilado 2023'!$B:$B,'Compilado 2023'!AA:AA)</f>
        <v>0</v>
      </c>
    </row>
    <row r="27" spans="1:27" x14ac:dyDescent="0.2">
      <c r="A27" s="16" t="str">
        <f t="shared" si="0"/>
        <v>sexta-feira</v>
      </c>
      <c r="B27" s="17">
        <f t="shared" si="6"/>
        <v>44981</v>
      </c>
      <c r="C27" s="19">
        <f t="shared" si="3"/>
        <v>61456.45</v>
      </c>
      <c r="D27" s="35">
        <f>_xlfn.XLOOKUP($B:$B,'Compilado 2023'!$B:$B,'Compilado 2023'!D:D)</f>
        <v>61424.28</v>
      </c>
      <c r="E27" s="35">
        <f>_xlfn.XLOOKUP($B:$B,'Compilado 2023'!$B:$B,'Compilado 2023'!E:E)</f>
        <v>32.17</v>
      </c>
      <c r="F27" s="18">
        <f>_xlfn.XLOOKUP($B:$B,'Compilado 2023'!$B:$B,'Compilado 2023'!F:F)</f>
        <v>194</v>
      </c>
      <c r="G27" s="18">
        <f>_xlfn.XLOOKUP($B:$B,'Compilado 2023'!$B:$B,'Compilado 2023'!G:G)</f>
        <v>250</v>
      </c>
      <c r="H27" s="35">
        <f t="shared" si="4"/>
        <v>316.78582474226801</v>
      </c>
      <c r="I27" s="19">
        <f t="shared" si="5"/>
        <v>859.22285714285704</v>
      </c>
      <c r="J27" s="122">
        <f t="shared" si="1"/>
        <v>71.525622821952069</v>
      </c>
      <c r="K27" s="18">
        <f>_xlfn.XLOOKUP($B:$B,'Compilado 2023'!$B:$B,'Compilado 2023'!K:K)</f>
        <v>5857</v>
      </c>
      <c r="L27" s="54">
        <f t="shared" si="2"/>
        <v>3.3122759091685161E-2</v>
      </c>
      <c r="M27" s="38"/>
      <c r="N27" s="106">
        <f>_xlfn.XLOOKUP($B:$B,'Compilado 2023'!$B:$B,'Compilado 2023'!N:N)</f>
        <v>499.27</v>
      </c>
      <c r="O27" s="106">
        <f>_xlfn.XLOOKUP($B:$B,'Compilado 2023'!$B:$B,'Compilado 2023'!O:O)</f>
        <v>302.81</v>
      </c>
      <c r="P27" s="106">
        <f>_xlfn.XLOOKUP($B:$B,'Compilado 2023'!$B:$B,'Compilado 2023'!P:P)</f>
        <v>0</v>
      </c>
      <c r="Q27" s="106">
        <f>_xlfn.XLOOKUP($B:$B,'Compilado 2023'!$B:$B,'Compilado 2023'!Q:Q)</f>
        <v>57.142857142857146</v>
      </c>
      <c r="R27" s="106">
        <f>_xlfn.XLOOKUP($B:$B,'Compilado 2023'!$B:$B,'Compilado 2023'!R:R)</f>
        <v>0</v>
      </c>
      <c r="S27" s="106">
        <f>_xlfn.XLOOKUP($B:$B,'Compilado 2023'!$B:$B,'Compilado 2023'!S:S)</f>
        <v>0</v>
      </c>
      <c r="T27" s="106">
        <f>_xlfn.XLOOKUP($B:$B,'Compilado 2023'!$B:$B,'Compilado 2023'!U:U)</f>
        <v>0</v>
      </c>
      <c r="U27" s="106">
        <f>_xlfn.XLOOKUP($B:$B,'Compilado 2023'!$B:$B,'Compilado 2023'!V:V)</f>
        <v>0</v>
      </c>
      <c r="V27" s="57"/>
      <c r="W27" s="106">
        <f>_xlfn.XLOOKUP($B:$B,'Compilado 2023'!$B:$B,'Compilado 2023'!X:X)</f>
        <v>0</v>
      </c>
      <c r="X27" s="106">
        <f>_xlfn.XLOOKUP($B:$B,'Compilado 2023'!$B:$B,'Compilado 2023'!Y:Y)</f>
        <v>0</v>
      </c>
      <c r="Y27" s="106">
        <f>_xlfn.XLOOKUP($B:$B,'Compilado 2023'!$B:$B,'Compilado 2023'!Z:Z)</f>
        <v>0</v>
      </c>
      <c r="Z27" s="38"/>
      <c r="AA27" s="107">
        <f>_xlfn.XLOOKUP($B:$B,'Compilado 2023'!$B:$B,'Compilado 2023'!AA:AA)</f>
        <v>0</v>
      </c>
    </row>
    <row r="28" spans="1:27" x14ac:dyDescent="0.2">
      <c r="A28" s="16" t="str">
        <f t="shared" si="0"/>
        <v>sábado</v>
      </c>
      <c r="B28" s="17">
        <f t="shared" si="6"/>
        <v>44982</v>
      </c>
      <c r="C28" s="19">
        <f t="shared" si="3"/>
        <v>34613.06</v>
      </c>
      <c r="D28" s="35">
        <f>_xlfn.XLOOKUP($B:$B,'Compilado 2023'!$B:$B,'Compilado 2023'!D:D)</f>
        <v>34528.199999999997</v>
      </c>
      <c r="E28" s="35">
        <f>_xlfn.XLOOKUP($B:$B,'Compilado 2023'!$B:$B,'Compilado 2023'!E:E)</f>
        <v>84.86</v>
      </c>
      <c r="F28" s="18">
        <f>_xlfn.XLOOKUP($B:$B,'Compilado 2023'!$B:$B,'Compilado 2023'!F:F)</f>
        <v>123</v>
      </c>
      <c r="G28" s="18">
        <f>_xlfn.XLOOKUP($B:$B,'Compilado 2023'!$B:$B,'Compilado 2023'!G:G)</f>
        <v>152</v>
      </c>
      <c r="H28" s="35">
        <f t="shared" si="4"/>
        <v>281.40699186991867</v>
      </c>
      <c r="I28" s="19">
        <f t="shared" si="5"/>
        <v>746.18285714285707</v>
      </c>
      <c r="J28" s="122">
        <f t="shared" si="1"/>
        <v>46.38683356052136</v>
      </c>
      <c r="K28" s="18">
        <f>_xlfn.XLOOKUP($B:$B,'Compilado 2023'!$B:$B,'Compilado 2023'!K:K)</f>
        <v>4521</v>
      </c>
      <c r="L28" s="54">
        <f t="shared" si="2"/>
        <v>2.7206370272063702E-2</v>
      </c>
      <c r="M28" s="38"/>
      <c r="N28" s="106">
        <f>_xlfn.XLOOKUP($B:$B,'Compilado 2023'!$B:$B,'Compilado 2023'!N:N)</f>
        <v>380.31</v>
      </c>
      <c r="O28" s="106">
        <f>_xlfn.XLOOKUP($B:$B,'Compilado 2023'!$B:$B,'Compilado 2023'!O:O)</f>
        <v>308.73</v>
      </c>
      <c r="P28" s="106">
        <f>_xlfn.XLOOKUP($B:$B,'Compilado 2023'!$B:$B,'Compilado 2023'!P:P)</f>
        <v>0</v>
      </c>
      <c r="Q28" s="106">
        <f>_xlfn.XLOOKUP($B:$B,'Compilado 2023'!$B:$B,'Compilado 2023'!Q:Q)</f>
        <v>57.142857142857146</v>
      </c>
      <c r="R28" s="106">
        <f>_xlfn.XLOOKUP($B:$B,'Compilado 2023'!$B:$B,'Compilado 2023'!R:R)</f>
        <v>0</v>
      </c>
      <c r="S28" s="106">
        <f>_xlfn.XLOOKUP($B:$B,'Compilado 2023'!$B:$B,'Compilado 2023'!S:S)</f>
        <v>0</v>
      </c>
      <c r="T28" s="106">
        <f>_xlfn.XLOOKUP($B:$B,'Compilado 2023'!$B:$B,'Compilado 2023'!U:U)</f>
        <v>0</v>
      </c>
      <c r="U28" s="106">
        <f>_xlfn.XLOOKUP($B:$B,'Compilado 2023'!$B:$B,'Compilado 2023'!V:V)</f>
        <v>0</v>
      </c>
      <c r="V28" s="57"/>
      <c r="W28" s="106">
        <f>_xlfn.XLOOKUP($B:$B,'Compilado 2023'!$B:$B,'Compilado 2023'!X:X)</f>
        <v>0</v>
      </c>
      <c r="X28" s="106">
        <f>_xlfn.XLOOKUP($B:$B,'Compilado 2023'!$B:$B,'Compilado 2023'!Y:Y)</f>
        <v>0</v>
      </c>
      <c r="Y28" s="106">
        <f>_xlfn.XLOOKUP($B:$B,'Compilado 2023'!$B:$B,'Compilado 2023'!Z:Z)</f>
        <v>0</v>
      </c>
      <c r="Z28" s="38"/>
      <c r="AA28" s="107">
        <f>_xlfn.XLOOKUP($B:$B,'Compilado 2023'!$B:$B,'Compilado 2023'!AA:AA)</f>
        <v>0</v>
      </c>
    </row>
    <row r="29" spans="1:27" s="2" customFormat="1" x14ac:dyDescent="0.2">
      <c r="A29" s="16" t="str">
        <f t="shared" si="0"/>
        <v>domingo</v>
      </c>
      <c r="B29" s="17">
        <f t="shared" si="6"/>
        <v>44983</v>
      </c>
      <c r="C29" s="19">
        <f t="shared" si="3"/>
        <v>31566.06</v>
      </c>
      <c r="D29" s="35">
        <f>_xlfn.XLOOKUP($B:$B,'Compilado 2023'!$B:$B,'Compilado 2023'!D:D)</f>
        <v>31566.06</v>
      </c>
      <c r="E29" s="35">
        <f>_xlfn.XLOOKUP($B:$B,'Compilado 2023'!$B:$B,'Compilado 2023'!E:E)</f>
        <v>0</v>
      </c>
      <c r="F29" s="18">
        <f>_xlfn.XLOOKUP($B:$B,'Compilado 2023'!$B:$B,'Compilado 2023'!F:F)</f>
        <v>105</v>
      </c>
      <c r="G29" s="18">
        <f>_xlfn.XLOOKUP($B:$B,'Compilado 2023'!$B:$B,'Compilado 2023'!G:G)</f>
        <v>124</v>
      </c>
      <c r="H29" s="35">
        <f t="shared" si="4"/>
        <v>300.62914285714288</v>
      </c>
      <c r="I29" s="19">
        <f t="shared" si="5"/>
        <v>716.48285714285714</v>
      </c>
      <c r="J29" s="122">
        <f t="shared" si="1"/>
        <v>44.056964776347954</v>
      </c>
      <c r="K29" s="18">
        <f>_xlfn.XLOOKUP($B:$B,'Compilado 2023'!$B:$B,'Compilado 2023'!K:K)</f>
        <v>3595</v>
      </c>
      <c r="L29" s="54">
        <f t="shared" si="2"/>
        <v>2.9207232267037551E-2</v>
      </c>
      <c r="M29" s="38"/>
      <c r="N29" s="106">
        <f>_xlfn.XLOOKUP($B:$B,'Compilado 2023'!$B:$B,'Compilado 2023'!N:N)</f>
        <v>338.42</v>
      </c>
      <c r="O29" s="106">
        <f>_xlfn.XLOOKUP($B:$B,'Compilado 2023'!$B:$B,'Compilado 2023'!O:O)</f>
        <v>320.92</v>
      </c>
      <c r="P29" s="106">
        <f>_xlfn.XLOOKUP($B:$B,'Compilado 2023'!$B:$B,'Compilado 2023'!P:P)</f>
        <v>0</v>
      </c>
      <c r="Q29" s="106">
        <f>_xlfn.XLOOKUP($B:$B,'Compilado 2023'!$B:$B,'Compilado 2023'!Q:Q)</f>
        <v>57.142857142857146</v>
      </c>
      <c r="R29" s="106">
        <f>_xlfn.XLOOKUP($B:$B,'Compilado 2023'!$B:$B,'Compilado 2023'!R:R)</f>
        <v>0</v>
      </c>
      <c r="S29" s="106">
        <f>_xlfn.XLOOKUP($B:$B,'Compilado 2023'!$B:$B,'Compilado 2023'!S:S)</f>
        <v>0</v>
      </c>
      <c r="T29" s="106">
        <f>_xlfn.XLOOKUP($B:$B,'Compilado 2023'!$B:$B,'Compilado 2023'!U:U)</f>
        <v>0</v>
      </c>
      <c r="U29" s="106">
        <f>_xlfn.XLOOKUP($B:$B,'Compilado 2023'!$B:$B,'Compilado 2023'!V:V)</f>
        <v>0</v>
      </c>
      <c r="V29" s="57"/>
      <c r="W29" s="106">
        <f>_xlfn.XLOOKUP($B:$B,'Compilado 2023'!$B:$B,'Compilado 2023'!X:X)</f>
        <v>0</v>
      </c>
      <c r="X29" s="106">
        <f>_xlfn.XLOOKUP($B:$B,'Compilado 2023'!$B:$B,'Compilado 2023'!Y:Y)</f>
        <v>0</v>
      </c>
      <c r="Y29" s="106">
        <f>_xlfn.XLOOKUP($B:$B,'Compilado 2023'!$B:$B,'Compilado 2023'!Z:Z)</f>
        <v>0</v>
      </c>
      <c r="Z29" s="38"/>
      <c r="AA29" s="107">
        <f>_xlfn.XLOOKUP($B:$B,'Compilado 2023'!$B:$B,'Compilado 2023'!AA:AA)</f>
        <v>0</v>
      </c>
    </row>
    <row r="30" spans="1:27" s="2" customFormat="1" x14ac:dyDescent="0.2">
      <c r="A30" s="16" t="str">
        <f t="shared" si="0"/>
        <v>segunda-feira</v>
      </c>
      <c r="B30" s="17">
        <f t="shared" si="6"/>
        <v>44984</v>
      </c>
      <c r="C30" s="19">
        <f t="shared" si="3"/>
        <v>54049.19</v>
      </c>
      <c r="D30" s="35">
        <f>_xlfn.XLOOKUP($B:$B,'Compilado 2023'!$B:$B,'Compilado 2023'!D:D)</f>
        <v>54049.19</v>
      </c>
      <c r="E30" s="35">
        <f>_xlfn.XLOOKUP($B:$B,'Compilado 2023'!$B:$B,'Compilado 2023'!E:E)</f>
        <v>0</v>
      </c>
      <c r="F30" s="18">
        <f>_xlfn.XLOOKUP($B:$B,'Compilado 2023'!$B:$B,'Compilado 2023'!F:F)</f>
        <v>174</v>
      </c>
      <c r="G30" s="18">
        <f>_xlfn.XLOOKUP($B:$B,'Compilado 2023'!$B:$B,'Compilado 2023'!G:G)</f>
        <v>229</v>
      </c>
      <c r="H30" s="35">
        <f t="shared" si="4"/>
        <v>310.62752873563221</v>
      </c>
      <c r="I30" s="19">
        <f t="shared" si="5"/>
        <v>974.17285714285708</v>
      </c>
      <c r="J30" s="122">
        <f t="shared" si="1"/>
        <v>55.482135027371214</v>
      </c>
      <c r="K30" s="18">
        <f>_xlfn.XLOOKUP($B:$B,'Compilado 2023'!$B:$B,'Compilado 2023'!K:K)</f>
        <v>5470</v>
      </c>
      <c r="L30" s="54">
        <f t="shared" si="2"/>
        <v>3.1809872029250459E-2</v>
      </c>
      <c r="M30" s="38"/>
      <c r="N30" s="106">
        <f>_xlfn.XLOOKUP($B:$B,'Compilado 2023'!$B:$B,'Compilado 2023'!N:N)</f>
        <v>596.05999999999995</v>
      </c>
      <c r="O30" s="106">
        <f>_xlfn.XLOOKUP($B:$B,'Compilado 2023'!$B:$B,'Compilado 2023'!O:O)</f>
        <v>320.97000000000003</v>
      </c>
      <c r="P30" s="106">
        <f>_xlfn.XLOOKUP($B:$B,'Compilado 2023'!$B:$B,'Compilado 2023'!P:P)</f>
        <v>0</v>
      </c>
      <c r="Q30" s="106">
        <f>_xlfn.XLOOKUP($B:$B,'Compilado 2023'!$B:$B,'Compilado 2023'!Q:Q)</f>
        <v>57.142857142857146</v>
      </c>
      <c r="R30" s="106">
        <f>_xlfn.XLOOKUP($B:$B,'Compilado 2023'!$B:$B,'Compilado 2023'!R:R)</f>
        <v>0</v>
      </c>
      <c r="S30" s="106">
        <f>_xlfn.XLOOKUP($B:$B,'Compilado 2023'!$B:$B,'Compilado 2023'!S:S)</f>
        <v>0</v>
      </c>
      <c r="T30" s="106">
        <f>_xlfn.XLOOKUP($B:$B,'Compilado 2023'!$B:$B,'Compilado 2023'!U:U)</f>
        <v>0</v>
      </c>
      <c r="U30" s="106">
        <f>_xlfn.XLOOKUP($B:$B,'Compilado 2023'!$B:$B,'Compilado 2023'!V:V)</f>
        <v>0</v>
      </c>
      <c r="V30" s="57"/>
      <c r="W30" s="106">
        <f>_xlfn.XLOOKUP($B:$B,'Compilado 2023'!$B:$B,'Compilado 2023'!X:X)</f>
        <v>0</v>
      </c>
      <c r="X30" s="106">
        <f>_xlfn.XLOOKUP($B:$B,'Compilado 2023'!$B:$B,'Compilado 2023'!Y:Y)</f>
        <v>0</v>
      </c>
      <c r="Y30" s="106">
        <f>_xlfn.XLOOKUP($B:$B,'Compilado 2023'!$B:$B,'Compilado 2023'!Z:Z)</f>
        <v>0</v>
      </c>
      <c r="Z30" s="38"/>
      <c r="AA30" s="107">
        <f>_xlfn.XLOOKUP($B:$B,'Compilado 2023'!$B:$B,'Compilado 2023'!AA:AA)</f>
        <v>0</v>
      </c>
    </row>
    <row r="31" spans="1:27" s="2" customFormat="1" x14ac:dyDescent="0.2">
      <c r="A31" s="16" t="str">
        <f t="shared" si="0"/>
        <v>terça-feira</v>
      </c>
      <c r="B31" s="17">
        <f t="shared" si="6"/>
        <v>44985</v>
      </c>
      <c r="C31" s="19">
        <f t="shared" si="3"/>
        <v>63122.23</v>
      </c>
      <c r="D31" s="35">
        <f>_xlfn.XLOOKUP($B:$B,'Compilado 2023'!$B:$B,'Compilado 2023'!D:D)</f>
        <v>63122.23</v>
      </c>
      <c r="E31" s="35">
        <f>_xlfn.XLOOKUP($B:$B,'Compilado 2023'!$B:$B,'Compilado 2023'!E:E)</f>
        <v>0</v>
      </c>
      <c r="F31" s="18">
        <f>_xlfn.XLOOKUP($B:$B,'Compilado 2023'!$B:$B,'Compilado 2023'!F:F)</f>
        <v>200</v>
      </c>
      <c r="G31" s="18">
        <f>_xlfn.XLOOKUP($B:$B,'Compilado 2023'!$B:$B,'Compilado 2023'!G:G)</f>
        <v>258</v>
      </c>
      <c r="H31" s="35">
        <f t="shared" si="4"/>
        <v>315.61115000000001</v>
      </c>
      <c r="I31" s="19">
        <f t="shared" si="5"/>
        <v>930.72285714285704</v>
      </c>
      <c r="J31" s="122">
        <f t="shared" si="1"/>
        <v>67.820650922631572</v>
      </c>
      <c r="K31" s="18">
        <f>_xlfn.XLOOKUP($B:$B,'Compilado 2023'!$B:$B,'Compilado 2023'!K:K)</f>
        <v>5639</v>
      </c>
      <c r="L31" s="54">
        <f t="shared" si="2"/>
        <v>3.5467281432878167E-2</v>
      </c>
      <c r="M31" s="38"/>
      <c r="N31" s="106">
        <f>_xlfn.XLOOKUP($B:$B,'Compilado 2023'!$B:$B,'Compilado 2023'!N:N)</f>
        <v>489.19</v>
      </c>
      <c r="O31" s="106">
        <f>_xlfn.XLOOKUP($B:$B,'Compilado 2023'!$B:$B,'Compilado 2023'!O:O)</f>
        <v>384.39</v>
      </c>
      <c r="P31" s="106">
        <f>_xlfn.XLOOKUP($B:$B,'Compilado 2023'!$B:$B,'Compilado 2023'!P:P)</f>
        <v>0</v>
      </c>
      <c r="Q31" s="106">
        <f>_xlfn.XLOOKUP($B:$B,'Compilado 2023'!$B:$B,'Compilado 2023'!Q:Q)</f>
        <v>57.142857142857146</v>
      </c>
      <c r="R31" s="106">
        <f>_xlfn.XLOOKUP($B:$B,'Compilado 2023'!$B:$B,'Compilado 2023'!R:R)</f>
        <v>0</v>
      </c>
      <c r="S31" s="106">
        <f>_xlfn.XLOOKUP($B:$B,'Compilado 2023'!$B:$B,'Compilado 2023'!S:S)</f>
        <v>0</v>
      </c>
      <c r="T31" s="106">
        <f>_xlfn.XLOOKUP($B:$B,'Compilado 2023'!$B:$B,'Compilado 2023'!U:U)</f>
        <v>0</v>
      </c>
      <c r="U31" s="106">
        <f>_xlfn.XLOOKUP($B:$B,'Compilado 2023'!$B:$B,'Compilado 2023'!V:V)</f>
        <v>0</v>
      </c>
      <c r="V31" s="57"/>
      <c r="W31" s="106">
        <f>_xlfn.XLOOKUP($B:$B,'Compilado 2023'!$B:$B,'Compilado 2023'!X:X)</f>
        <v>0</v>
      </c>
      <c r="X31" s="106">
        <f>_xlfn.XLOOKUP($B:$B,'Compilado 2023'!$B:$B,'Compilado 2023'!Y:Y)</f>
        <v>0</v>
      </c>
      <c r="Y31" s="106">
        <f>_xlfn.XLOOKUP($B:$B,'Compilado 2023'!$B:$B,'Compilado 2023'!Z:Z)</f>
        <v>0</v>
      </c>
      <c r="Z31" s="38"/>
      <c r="AA31" s="107">
        <f>_xlfn.XLOOKUP($B:$B,'Compilado 2023'!$B:$B,'Compilado 2023'!AA:AA)</f>
        <v>0</v>
      </c>
    </row>
    <row r="32" spans="1:27" s="2" customFormat="1" hidden="1" x14ac:dyDescent="0.2">
      <c r="A32" s="16"/>
      <c r="B32" s="17"/>
      <c r="C32" s="19"/>
      <c r="D32" s="35"/>
      <c r="E32" s="35"/>
      <c r="F32" s="18"/>
      <c r="G32" s="18"/>
      <c r="H32" s="35"/>
      <c r="I32" s="19"/>
      <c r="J32" s="122"/>
      <c r="K32" s="18"/>
      <c r="L32" s="54"/>
      <c r="M32" s="38"/>
      <c r="N32" s="106"/>
      <c r="O32" s="106"/>
      <c r="P32" s="106"/>
      <c r="Q32" s="106"/>
      <c r="R32" s="106"/>
      <c r="S32" s="106"/>
      <c r="T32" s="106"/>
      <c r="U32" s="106"/>
      <c r="V32" s="57"/>
      <c r="W32" s="106"/>
      <c r="X32" s="106"/>
      <c r="Y32" s="106"/>
      <c r="Z32" s="38"/>
      <c r="AA32" s="107"/>
    </row>
    <row r="33" spans="1:27" s="2" customFormat="1" hidden="1" x14ac:dyDescent="0.2">
      <c r="A33" s="16"/>
      <c r="B33" s="17"/>
      <c r="C33" s="19"/>
      <c r="D33" s="35"/>
      <c r="E33" s="35"/>
      <c r="F33" s="18"/>
      <c r="G33" s="18"/>
      <c r="H33" s="35"/>
      <c r="I33" s="19"/>
      <c r="J33" s="122"/>
      <c r="K33" s="18"/>
      <c r="L33" s="54"/>
      <c r="M33" s="38"/>
      <c r="N33" s="106"/>
      <c r="O33" s="106"/>
      <c r="P33" s="106"/>
      <c r="Q33" s="106"/>
      <c r="R33" s="106"/>
      <c r="S33" s="106"/>
      <c r="T33" s="106"/>
      <c r="U33" s="106"/>
      <c r="V33" s="57"/>
      <c r="W33" s="106"/>
      <c r="X33" s="106"/>
      <c r="Y33" s="106"/>
      <c r="Z33" s="38"/>
      <c r="AA33" s="107"/>
    </row>
    <row r="34" spans="1:27" hidden="1" x14ac:dyDescent="0.2">
      <c r="A34" s="16"/>
      <c r="B34" s="17"/>
      <c r="C34" s="19"/>
      <c r="D34" s="35"/>
      <c r="E34" s="35"/>
      <c r="F34" s="18"/>
      <c r="G34" s="18"/>
      <c r="H34" s="35"/>
      <c r="I34" s="19"/>
      <c r="J34" s="122"/>
      <c r="K34" s="18"/>
      <c r="L34" s="54"/>
      <c r="M34" s="38"/>
      <c r="N34" s="106"/>
      <c r="O34" s="106"/>
      <c r="P34" s="106"/>
      <c r="Q34" s="106"/>
      <c r="R34" s="106"/>
      <c r="S34" s="106"/>
      <c r="T34" s="106"/>
      <c r="U34" s="106"/>
      <c r="V34" s="57"/>
      <c r="W34" s="106"/>
      <c r="X34" s="106"/>
      <c r="Y34" s="106"/>
      <c r="Z34" s="38"/>
      <c r="AA34" s="107"/>
    </row>
    <row r="35" spans="1:27" s="61" customFormat="1" ht="12" x14ac:dyDescent="0.2">
      <c r="A35" s="90" t="s">
        <v>186</v>
      </c>
      <c r="B35" s="91">
        <f>COUNTA(B4:B33)</f>
        <v>28</v>
      </c>
      <c r="C35" s="92">
        <f>SUM(C4:C34)</f>
        <v>1351868.6099999999</v>
      </c>
      <c r="D35" s="92">
        <f>SUM(D4:D34)</f>
        <v>1351463.69</v>
      </c>
      <c r="E35" s="92">
        <f>SUM(E4:E34)</f>
        <v>404.92</v>
      </c>
      <c r="F35" s="93">
        <f>SUM(F4:F34)</f>
        <v>4526</v>
      </c>
      <c r="G35" s="93">
        <f>SUM(G4:G34)</f>
        <v>5792</v>
      </c>
      <c r="H35" s="92">
        <f>C35/F35</f>
        <v>298.68948519664161</v>
      </c>
      <c r="I35" s="92">
        <f>SUM(I4:I34)</f>
        <v>28738.379999999997</v>
      </c>
      <c r="J35" s="123">
        <f>C35/I35</f>
        <v>47.040529424414316</v>
      </c>
      <c r="K35" s="93">
        <f>SUM(K4:K34)</f>
        <v>109352</v>
      </c>
      <c r="L35" s="94">
        <f>IFERROR(F35/K35,0)</f>
        <v>4.1389275001828957E-2</v>
      </c>
      <c r="M35" s="95"/>
      <c r="N35" s="92">
        <f t="shared" ref="N35:U35" si="7">SUM(N4:N34)</f>
        <v>17761.899999999998</v>
      </c>
      <c r="O35" s="92">
        <f t="shared" si="7"/>
        <v>9376.4799999999977</v>
      </c>
      <c r="P35" s="92">
        <f t="shared" si="7"/>
        <v>0</v>
      </c>
      <c r="Q35" s="92">
        <f t="shared" si="7"/>
        <v>1599.9999999999995</v>
      </c>
      <c r="R35" s="92">
        <f t="shared" si="7"/>
        <v>0</v>
      </c>
      <c r="S35" s="92">
        <f t="shared" si="7"/>
        <v>0</v>
      </c>
      <c r="T35" s="92">
        <f t="shared" si="7"/>
        <v>0</v>
      </c>
      <c r="U35" s="92">
        <f t="shared" si="7"/>
        <v>0</v>
      </c>
      <c r="V35" s="97">
        <f t="shared" ref="V35:Y35" si="8">SUM(V4:V33)</f>
        <v>0</v>
      </c>
      <c r="W35" s="96">
        <f t="shared" si="8"/>
        <v>0</v>
      </c>
      <c r="X35" s="92">
        <f t="shared" si="8"/>
        <v>0</v>
      </c>
      <c r="Y35" s="92">
        <f t="shared" si="8"/>
        <v>0</v>
      </c>
      <c r="Z35" s="95"/>
      <c r="AA35" s="98"/>
    </row>
    <row r="36" spans="1:27" ht="6.75" customHeight="1" x14ac:dyDescent="0.2">
      <c r="M36" s="21"/>
    </row>
    <row r="37" spans="1:27" s="34" customFormat="1" ht="15.75" x14ac:dyDescent="0.3">
      <c r="A37" s="99" t="str">
        <f>JAN!A38</f>
        <v>Média Janeiro 2023</v>
      </c>
      <c r="B37" s="100"/>
      <c r="C37" s="101">
        <f>JAN!C38</f>
        <v>40430.509677419359</v>
      </c>
      <c r="D37" s="101">
        <f>JAN!D38</f>
        <v>40420.041612903231</v>
      </c>
      <c r="E37" s="101">
        <f>JAN!E38</f>
        <v>10.468064516129035</v>
      </c>
      <c r="F37" s="102">
        <f>JAN!F38</f>
        <v>141.09677419354838</v>
      </c>
      <c r="G37" s="102">
        <f>JAN!G38</f>
        <v>175.16129032258064</v>
      </c>
      <c r="H37" s="103">
        <f>JAN!H38</f>
        <v>286.54453589391863</v>
      </c>
      <c r="I37" s="101">
        <f>JAN!I38</f>
        <v>874.09096774193551</v>
      </c>
      <c r="J37" s="124">
        <f>JAN!J38</f>
        <v>46.254350141455717</v>
      </c>
      <c r="K37" s="104">
        <f>JAN!K38</f>
        <v>1387.4333333333334</v>
      </c>
      <c r="L37" s="105">
        <f>JAN!L38</f>
        <v>0.10169625509469407</v>
      </c>
      <c r="M37" s="21"/>
      <c r="N37"/>
      <c r="O37"/>
      <c r="P37"/>
      <c r="Q37"/>
      <c r="R37"/>
      <c r="S37"/>
      <c r="T37"/>
      <c r="U37"/>
      <c r="V37"/>
      <c r="W37"/>
      <c r="X37"/>
      <c r="Y37"/>
      <c r="Z37"/>
      <c r="AA37"/>
    </row>
    <row r="38" spans="1:27" s="34" customFormat="1" ht="15.75" x14ac:dyDescent="0.3">
      <c r="A38" s="99" t="str">
        <f>_xlfn.CONCAT("Média ",B2)</f>
        <v>Média Fevereiro 2023</v>
      </c>
      <c r="B38" s="100"/>
      <c r="C38" s="101">
        <f>AVERAGE(C4:C34)</f>
        <v>48281.021785714278</v>
      </c>
      <c r="D38" s="101">
        <f>AVERAGE(D5:D34)</f>
        <v>48075.467777777776</v>
      </c>
      <c r="E38" s="101">
        <f>AVERAGE(E5:E34)</f>
        <v>14.173703703703703</v>
      </c>
      <c r="F38" s="102">
        <f>AVERAGE(F5:F34)</f>
        <v>161.40740740740742</v>
      </c>
      <c r="G38" s="102">
        <f>AVERAGE(G5:G34)</f>
        <v>207.03703703703704</v>
      </c>
      <c r="H38" s="103">
        <f>H35</f>
        <v>298.68948519664161</v>
      </c>
      <c r="I38" s="101">
        <f>AVERAGE(I5:I34)</f>
        <v>1035.1439682539681</v>
      </c>
      <c r="J38" s="124">
        <f>IFERROR(C38/I38,0)</f>
        <v>46.641842358558513</v>
      </c>
      <c r="K38" s="104">
        <f>AVERAGE(K5:K34)</f>
        <v>4049.962962962963</v>
      </c>
      <c r="L38" s="105">
        <f>IFERROR(F38/K38,0)</f>
        <v>3.9854045304483811E-2</v>
      </c>
      <c r="M38" s="21"/>
      <c r="N38"/>
      <c r="O38"/>
      <c r="P38"/>
      <c r="Q38"/>
      <c r="R38"/>
      <c r="S38"/>
      <c r="T38"/>
      <c r="U38"/>
      <c r="V38"/>
      <c r="W38"/>
      <c r="X38"/>
      <c r="Y38"/>
      <c r="Z38"/>
      <c r="AA38"/>
    </row>
    <row r="39" spans="1:27" ht="15.75" customHeight="1" x14ac:dyDescent="0.2">
      <c r="M39" s="21"/>
    </row>
    <row r="40" spans="1:27" ht="15.75" customHeight="1" x14ac:dyDescent="0.2">
      <c r="M40" s="21"/>
    </row>
    <row r="41" spans="1:27" ht="14.25" x14ac:dyDescent="0.2">
      <c r="B41" s="223" t="s">
        <v>188</v>
      </c>
      <c r="C41" s="223"/>
      <c r="D41" s="223"/>
      <c r="E41" s="76">
        <f>D5+E5</f>
        <v>50248.229999999996</v>
      </c>
      <c r="F41" s="76"/>
      <c r="G41" s="76"/>
      <c r="H41" s="76"/>
      <c r="I41" s="76"/>
      <c r="J41" s="76"/>
      <c r="K41" s="76"/>
      <c r="L41" s="76"/>
      <c r="M41" s="21"/>
    </row>
    <row r="42" spans="1:27" ht="15.75" customHeight="1" x14ac:dyDescent="0.2"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21"/>
    </row>
    <row r="43" spans="1:27" ht="15" customHeight="1" thickBot="1" x14ac:dyDescent="0.25">
      <c r="B43" s="77" t="s">
        <v>153</v>
      </c>
      <c r="C43" s="78" t="s">
        <v>75</v>
      </c>
      <c r="D43" s="78" t="s">
        <v>154</v>
      </c>
      <c r="E43" s="78" t="s">
        <v>77</v>
      </c>
      <c r="F43" s="78" t="s">
        <v>78</v>
      </c>
      <c r="G43" s="78" t="s">
        <v>79</v>
      </c>
      <c r="H43" s="78" t="s">
        <v>80</v>
      </c>
      <c r="I43" s="78" t="s">
        <v>81</v>
      </c>
      <c r="J43" s="78" t="s">
        <v>82</v>
      </c>
      <c r="K43" s="78" t="s">
        <v>40</v>
      </c>
      <c r="L43" s="78" t="s">
        <v>83</v>
      </c>
      <c r="M43" s="21"/>
      <c r="N43" s="78" t="s">
        <v>85</v>
      </c>
      <c r="O43" s="78" t="s">
        <v>155</v>
      </c>
      <c r="P43" s="78" t="s">
        <v>87</v>
      </c>
      <c r="Q43" s="78" t="s">
        <v>88</v>
      </c>
      <c r="R43" s="78" t="s">
        <v>89</v>
      </c>
      <c r="S43" s="78" t="s">
        <v>90</v>
      </c>
      <c r="T43" s="78" t="s">
        <v>91</v>
      </c>
      <c r="U43" s="78" t="s">
        <v>92</v>
      </c>
    </row>
    <row r="44" spans="1:27" s="20" customFormat="1" ht="14.25" x14ac:dyDescent="0.2">
      <c r="B44" s="79" t="str">
        <f>_xlfn.CONCAT(_xlfn.XLOOKUP(O1,Referencia!B1:B13,Referencia!C1:C13),"/",P1)</f>
        <v>FEV/2023</v>
      </c>
      <c r="C44" s="80">
        <f>C35</f>
        <v>1351868.6099999999</v>
      </c>
      <c r="D44" s="80">
        <f t="shared" ref="D44:K44" si="9">D35</f>
        <v>1351463.69</v>
      </c>
      <c r="E44" s="80">
        <f t="shared" si="9"/>
        <v>404.92</v>
      </c>
      <c r="F44" s="81">
        <f t="shared" si="9"/>
        <v>4526</v>
      </c>
      <c r="G44" s="81">
        <f t="shared" si="9"/>
        <v>5792</v>
      </c>
      <c r="H44" s="80">
        <f>C44/F44</f>
        <v>298.68948519664161</v>
      </c>
      <c r="I44" s="80">
        <f t="shared" si="9"/>
        <v>28738.379999999997</v>
      </c>
      <c r="J44" s="118">
        <f>C44/I44</f>
        <v>47.040529424414316</v>
      </c>
      <c r="K44" s="81">
        <f t="shared" si="9"/>
        <v>109352</v>
      </c>
      <c r="L44" s="82">
        <f>F44/K44</f>
        <v>4.1389275001828957E-2</v>
      </c>
      <c r="M44" s="150"/>
      <c r="N44" s="134">
        <f>N35</f>
        <v>17761.899999999998</v>
      </c>
      <c r="O44" s="134">
        <f>O35</f>
        <v>9376.4799999999977</v>
      </c>
      <c r="P44" s="134">
        <f t="shared" ref="P44:U44" si="10">P35</f>
        <v>0</v>
      </c>
      <c r="Q44" s="134">
        <f t="shared" si="10"/>
        <v>1599.9999999999995</v>
      </c>
      <c r="R44" s="134">
        <f t="shared" si="10"/>
        <v>0</v>
      </c>
      <c r="S44" s="134">
        <f t="shared" si="10"/>
        <v>0</v>
      </c>
      <c r="T44" s="134">
        <f t="shared" si="10"/>
        <v>0</v>
      </c>
      <c r="U44" s="134">
        <f t="shared" si="10"/>
        <v>0</v>
      </c>
      <c r="V44"/>
      <c r="W44"/>
      <c r="X44"/>
      <c r="Y44"/>
      <c r="Z44"/>
      <c r="AA44"/>
    </row>
    <row r="45" spans="1:27" s="206" customFormat="1" ht="14.25" x14ac:dyDescent="0.2">
      <c r="B45" s="138" t="str">
        <f>_xlfn.CONCAT(_xlfn.XLOOKUP(O1,Referencia!B1:B13,Referencia!C1:C13),"/",(P1-1))</f>
        <v>FEV/2022</v>
      </c>
      <c r="C45" s="134">
        <f>SUM(C64:C94)</f>
        <v>932931.16999999981</v>
      </c>
      <c r="D45" s="134">
        <f>SUM(D64:D94)</f>
        <v>932586.94999999984</v>
      </c>
      <c r="E45" s="134">
        <f>SUM(E64:E94)</f>
        <v>344.22</v>
      </c>
      <c r="F45" s="135">
        <f>SUM(F64:F94)</f>
        <v>3110</v>
      </c>
      <c r="G45" s="135">
        <f>SUM(G64:G94)</f>
        <v>3819</v>
      </c>
      <c r="H45" s="134">
        <f>C45/F45</f>
        <v>299.97786816720253</v>
      </c>
      <c r="I45" s="134">
        <f>SUM(I64:I94)</f>
        <v>26595.170000000002</v>
      </c>
      <c r="J45" s="136">
        <f>C45/I45</f>
        <v>35.078969978383284</v>
      </c>
      <c r="K45" s="135">
        <f>SUM(K64:K94)</f>
        <v>99193</v>
      </c>
      <c r="L45" s="137">
        <f>F45/K45</f>
        <v>3.1353018862218099E-2</v>
      </c>
      <c r="M45" s="207"/>
      <c r="N45" s="134">
        <f>SUM(N64:N94)</f>
        <v>13137.250000000002</v>
      </c>
      <c r="O45" s="134">
        <f t="shared" ref="O45:V45" si="11">SUM(O64:O94)</f>
        <v>11857.919999999996</v>
      </c>
      <c r="P45" s="134">
        <f t="shared" si="11"/>
        <v>0</v>
      </c>
      <c r="Q45" s="134">
        <f t="shared" si="11"/>
        <v>1599.9999999999995</v>
      </c>
      <c r="R45" s="134">
        <f t="shared" si="11"/>
        <v>0</v>
      </c>
      <c r="S45" s="134">
        <f t="shared" si="11"/>
        <v>0</v>
      </c>
      <c r="T45" s="134">
        <f t="shared" si="11"/>
        <v>0</v>
      </c>
      <c r="U45" s="134">
        <f t="shared" si="11"/>
        <v>0</v>
      </c>
      <c r="V45" s="134">
        <f t="shared" si="11"/>
        <v>0</v>
      </c>
      <c r="W45" s="204"/>
      <c r="X45" s="204"/>
      <c r="Y45" s="204"/>
      <c r="Z45" s="204"/>
      <c r="AA45" s="204"/>
    </row>
    <row r="46" spans="1:27" s="20" customFormat="1" ht="14.25" x14ac:dyDescent="0.2">
      <c r="B46" s="83"/>
      <c r="C46" s="87">
        <f>C44-C45</f>
        <v>418937.44000000006</v>
      </c>
      <c r="D46" s="87">
        <f t="shared" ref="D46:L46" si="12">D44-D45</f>
        <v>418876.74000000011</v>
      </c>
      <c r="E46" s="87">
        <f t="shared" si="12"/>
        <v>60.699999999999989</v>
      </c>
      <c r="F46" s="88">
        <f t="shared" si="12"/>
        <v>1416</v>
      </c>
      <c r="G46" s="88">
        <f t="shared" si="12"/>
        <v>1973</v>
      </c>
      <c r="H46" s="87">
        <f t="shared" si="12"/>
        <v>-1.2883829705609173</v>
      </c>
      <c r="I46" s="87">
        <f t="shared" si="12"/>
        <v>2143.2099999999955</v>
      </c>
      <c r="J46" s="125">
        <f t="shared" si="12"/>
        <v>11.961559446031032</v>
      </c>
      <c r="K46" s="88">
        <f t="shared" si="12"/>
        <v>10159</v>
      </c>
      <c r="L46" s="89">
        <f t="shared" si="12"/>
        <v>1.0036256139610858E-2</v>
      </c>
      <c r="M46" s="21"/>
      <c r="N46"/>
      <c r="O46"/>
      <c r="P46"/>
      <c r="Q46"/>
      <c r="R46"/>
      <c r="S46"/>
      <c r="T46"/>
      <c r="U46"/>
      <c r="V46"/>
      <c r="W46"/>
      <c r="X46"/>
      <c r="Y46"/>
      <c r="Z46"/>
      <c r="AA46"/>
    </row>
    <row r="47" spans="1:27" ht="14.25" x14ac:dyDescent="0.2">
      <c r="B47" s="84"/>
      <c r="C47" s="85">
        <f>IFERROR(1-(C45/C44),0)</f>
        <v>0.30989508662383991</v>
      </c>
      <c r="D47" s="85">
        <f t="shared" ref="D47:L47" si="13">IFERROR(1-(D45/D44),0)</f>
        <v>0.30994302185062783</v>
      </c>
      <c r="E47" s="85">
        <f t="shared" si="13"/>
        <v>0.14990615430208432</v>
      </c>
      <c r="F47" s="85">
        <f t="shared" si="13"/>
        <v>0.31285903667697745</v>
      </c>
      <c r="G47" s="85">
        <f t="shared" si="13"/>
        <v>0.34064226519337015</v>
      </c>
      <c r="H47" s="85">
        <f t="shared" si="13"/>
        <v>-4.3134527139871981E-3</v>
      </c>
      <c r="I47" s="85">
        <f t="shared" si="13"/>
        <v>7.4576576689430518E-2</v>
      </c>
      <c r="J47" s="85">
        <f t="shared" si="13"/>
        <v>0.25428199028353005</v>
      </c>
      <c r="K47" s="85">
        <f t="shared" si="13"/>
        <v>9.2901821640207771E-2</v>
      </c>
      <c r="L47" s="85">
        <f t="shared" si="13"/>
        <v>0.24248446340670049</v>
      </c>
      <c r="M47" s="21"/>
    </row>
    <row r="48" spans="1:27" ht="15.75" customHeight="1" x14ac:dyDescent="0.2"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</row>
    <row r="49" spans="1:27" ht="14.25" x14ac:dyDescent="0.2">
      <c r="B49" s="223" t="s">
        <v>189</v>
      </c>
      <c r="C49" s="223"/>
      <c r="D49" s="223"/>
      <c r="E49" s="84"/>
      <c r="F49" s="84"/>
      <c r="G49" s="84"/>
      <c r="H49" s="84"/>
      <c r="I49" s="84"/>
      <c r="J49" s="84"/>
      <c r="K49" s="84"/>
      <c r="L49" s="84"/>
      <c r="M49" s="21"/>
    </row>
    <row r="50" spans="1:27" ht="15" customHeight="1" thickBot="1" x14ac:dyDescent="0.25">
      <c r="B50" s="77" t="s">
        <v>153</v>
      </c>
      <c r="C50" s="78" t="s">
        <v>75</v>
      </c>
      <c r="D50" s="78" t="s">
        <v>154</v>
      </c>
      <c r="E50" s="78" t="s">
        <v>77</v>
      </c>
      <c r="F50" s="78" t="s">
        <v>78</v>
      </c>
      <c r="G50" s="78" t="s">
        <v>79</v>
      </c>
      <c r="H50" s="78" t="s">
        <v>80</v>
      </c>
      <c r="I50" s="78" t="s">
        <v>81</v>
      </c>
      <c r="J50" s="78" t="s">
        <v>82</v>
      </c>
      <c r="K50" s="78" t="s">
        <v>40</v>
      </c>
      <c r="L50" s="78" t="s">
        <v>83</v>
      </c>
      <c r="M50" s="21"/>
      <c r="N50" s="78" t="s">
        <v>85</v>
      </c>
      <c r="O50" s="78" t="s">
        <v>155</v>
      </c>
      <c r="P50" s="78" t="s">
        <v>87</v>
      </c>
      <c r="Q50" s="78" t="s">
        <v>88</v>
      </c>
      <c r="R50" s="78" t="s">
        <v>89</v>
      </c>
      <c r="S50" s="78" t="s">
        <v>90</v>
      </c>
      <c r="T50" s="78" t="s">
        <v>91</v>
      </c>
      <c r="U50" s="78" t="s">
        <v>92</v>
      </c>
    </row>
    <row r="51" spans="1:27" ht="14.25" x14ac:dyDescent="0.2">
      <c r="B51" s="79" t="str">
        <f>B44</f>
        <v>FEV/2023</v>
      </c>
      <c r="C51" s="80">
        <f>C44</f>
        <v>1351868.6099999999</v>
      </c>
      <c r="D51" s="80">
        <f t="shared" ref="D51:U51" si="14">D44</f>
        <v>1351463.69</v>
      </c>
      <c r="E51" s="80">
        <f t="shared" si="14"/>
        <v>404.92</v>
      </c>
      <c r="F51" s="81">
        <f t="shared" si="14"/>
        <v>4526</v>
      </c>
      <c r="G51" s="81">
        <f t="shared" si="14"/>
        <v>5792</v>
      </c>
      <c r="H51" s="80">
        <f t="shared" si="14"/>
        <v>298.68948519664161</v>
      </c>
      <c r="I51" s="80">
        <f t="shared" si="14"/>
        <v>28738.379999999997</v>
      </c>
      <c r="J51" s="118">
        <f t="shared" si="14"/>
        <v>47.040529424414316</v>
      </c>
      <c r="K51" s="81">
        <f t="shared" si="14"/>
        <v>109352</v>
      </c>
      <c r="L51" s="82">
        <f t="shared" si="14"/>
        <v>4.1389275001828957E-2</v>
      </c>
      <c r="M51" s="21"/>
      <c r="N51" s="80">
        <f t="shared" si="14"/>
        <v>17761.899999999998</v>
      </c>
      <c r="O51" s="80">
        <f t="shared" si="14"/>
        <v>9376.4799999999977</v>
      </c>
      <c r="P51" s="80">
        <f t="shared" si="14"/>
        <v>0</v>
      </c>
      <c r="Q51" s="80">
        <f t="shared" si="14"/>
        <v>1599.9999999999995</v>
      </c>
      <c r="R51" s="80">
        <f t="shared" si="14"/>
        <v>0</v>
      </c>
      <c r="S51" s="80">
        <f t="shared" si="14"/>
        <v>0</v>
      </c>
      <c r="T51" s="80">
        <f t="shared" si="14"/>
        <v>0</v>
      </c>
      <c r="U51" s="80">
        <f t="shared" si="14"/>
        <v>0</v>
      </c>
    </row>
    <row r="52" spans="1:27" s="204" customFormat="1" ht="14.25" x14ac:dyDescent="0.2">
      <c r="B52" s="138" t="str">
        <f>JAN!B51</f>
        <v>JAN/2023</v>
      </c>
      <c r="C52" s="134">
        <f>DEZ!C45</f>
        <v>3470256.77</v>
      </c>
      <c r="D52" s="134">
        <f>DEZ!D45</f>
        <v>3469620.04</v>
      </c>
      <c r="E52" s="134">
        <f>DEZ!E45</f>
        <v>636.73</v>
      </c>
      <c r="F52" s="135">
        <f>DEZ!F45</f>
        <v>10887</v>
      </c>
      <c r="G52" s="135">
        <f>DEZ!G45</f>
        <v>14826</v>
      </c>
      <c r="H52" s="134">
        <f>DEZ!H45</f>
        <v>318.75234408009555</v>
      </c>
      <c r="I52" s="134">
        <f>DEZ!I45</f>
        <v>37063.610000000008</v>
      </c>
      <c r="J52" s="136">
        <f>DEZ!J45</f>
        <v>93.629756248784162</v>
      </c>
      <c r="K52" s="135">
        <f>DEZ!K45</f>
        <v>169385</v>
      </c>
      <c r="L52" s="137">
        <f>DEZ!L45</f>
        <v>6.4273696017947274E-2</v>
      </c>
      <c r="M52" s="205">
        <f>DEZ!M45</f>
        <v>0</v>
      </c>
      <c r="N52" s="134">
        <f>DEZ!N45</f>
        <v>24316.789999999994</v>
      </c>
      <c r="O52" s="134">
        <f>DEZ!O45</f>
        <v>11146.819999999998</v>
      </c>
      <c r="P52" s="134">
        <f>DEZ!P45</f>
        <v>0</v>
      </c>
      <c r="Q52" s="134">
        <f>DEZ!Q45</f>
        <v>1599.9999999999989</v>
      </c>
      <c r="R52" s="134">
        <f>DEZ!R45</f>
        <v>0</v>
      </c>
      <c r="S52" s="134">
        <f>DEZ!S45</f>
        <v>0</v>
      </c>
      <c r="T52" s="134">
        <f>DEZ!T45</f>
        <v>0</v>
      </c>
      <c r="U52" s="134">
        <f>DEZ!U45</f>
        <v>0</v>
      </c>
    </row>
    <row r="53" spans="1:27" ht="14.25" x14ac:dyDescent="0.2">
      <c r="B53" s="83"/>
      <c r="C53" s="87">
        <f t="shared" ref="C53:L53" si="15">C51-C52</f>
        <v>-2118388.16</v>
      </c>
      <c r="D53" s="87">
        <f t="shared" si="15"/>
        <v>-2118156.35</v>
      </c>
      <c r="E53" s="87">
        <f t="shared" si="15"/>
        <v>-231.81</v>
      </c>
      <c r="F53" s="88">
        <f t="shared" si="15"/>
        <v>-6361</v>
      </c>
      <c r="G53" s="88">
        <f t="shared" si="15"/>
        <v>-9034</v>
      </c>
      <c r="H53" s="87">
        <f t="shared" si="15"/>
        <v>-20.062858883453941</v>
      </c>
      <c r="I53" s="87">
        <f t="shared" si="15"/>
        <v>-8325.2300000000105</v>
      </c>
      <c r="J53" s="125">
        <f t="shared" si="15"/>
        <v>-46.589226824369845</v>
      </c>
      <c r="K53" s="88">
        <f t="shared" si="15"/>
        <v>-60033</v>
      </c>
      <c r="L53" s="89">
        <f t="shared" si="15"/>
        <v>-2.2884421016118317E-2</v>
      </c>
      <c r="M53" s="21"/>
      <c r="N53" s="87">
        <f t="shared" ref="N53:U53" si="16">N51-N52</f>
        <v>-6554.8899999999958</v>
      </c>
      <c r="O53" s="87">
        <f t="shared" si="16"/>
        <v>-1770.3400000000001</v>
      </c>
      <c r="P53" s="87">
        <f t="shared" si="16"/>
        <v>0</v>
      </c>
      <c r="Q53" s="87">
        <f t="shared" si="16"/>
        <v>0</v>
      </c>
      <c r="R53" s="87">
        <f t="shared" si="16"/>
        <v>0</v>
      </c>
      <c r="S53" s="87">
        <f t="shared" si="16"/>
        <v>0</v>
      </c>
      <c r="T53" s="87">
        <f t="shared" si="16"/>
        <v>0</v>
      </c>
      <c r="U53" s="87">
        <f t="shared" si="16"/>
        <v>0</v>
      </c>
    </row>
    <row r="54" spans="1:27" ht="14.25" x14ac:dyDescent="0.2">
      <c r="B54" s="84"/>
      <c r="C54" s="85">
        <f>IFERROR(1-(C52/C51),0)</f>
        <v>-1.5670074327711481</v>
      </c>
      <c r="D54" s="85">
        <f t="shared" ref="D54:L54" si="17">IFERROR(1-(D52/D51),0)</f>
        <v>-1.5673054079610531</v>
      </c>
      <c r="E54" s="85">
        <f t="shared" si="17"/>
        <v>-0.57248345352168317</v>
      </c>
      <c r="F54" s="85">
        <f t="shared" si="17"/>
        <v>-1.4054352629253204</v>
      </c>
      <c r="G54" s="85">
        <f t="shared" si="17"/>
        <v>-1.5597375690607733</v>
      </c>
      <c r="H54" s="85">
        <f t="shared" si="17"/>
        <v>-6.7169618877763959E-2</v>
      </c>
      <c r="I54" s="85">
        <f t="shared" si="17"/>
        <v>-0.28969030265449947</v>
      </c>
      <c r="J54" s="85">
        <f t="shared" si="17"/>
        <v>-0.9904060901191678</v>
      </c>
      <c r="K54" s="85">
        <f t="shared" si="17"/>
        <v>-0.54898858731436095</v>
      </c>
      <c r="L54" s="85">
        <f t="shared" si="17"/>
        <v>-0.55290702760816846</v>
      </c>
      <c r="M54" s="21"/>
      <c r="N54" s="85">
        <f t="shared" ref="N54:U54" si="18">IFERROR(1-(N52/N51),0)</f>
        <v>-0.36904216328208106</v>
      </c>
      <c r="O54" s="85">
        <f t="shared" si="18"/>
        <v>-0.18880646042011517</v>
      </c>
      <c r="P54" s="85">
        <f t="shared" si="18"/>
        <v>0</v>
      </c>
      <c r="Q54" s="85">
        <f t="shared" si="18"/>
        <v>4.4408920985006262E-16</v>
      </c>
      <c r="R54" s="85">
        <f t="shared" si="18"/>
        <v>0</v>
      </c>
      <c r="S54" s="85">
        <f t="shared" si="18"/>
        <v>0</v>
      </c>
      <c r="T54" s="85">
        <f t="shared" si="18"/>
        <v>0</v>
      </c>
      <c r="U54" s="85">
        <f t="shared" si="18"/>
        <v>0</v>
      </c>
    </row>
    <row r="55" spans="1:27" ht="14.25" x14ac:dyDescent="0.2">
      <c r="M55" s="21"/>
    </row>
    <row r="56" spans="1:27" x14ac:dyDescent="0.2">
      <c r="M56" s="39"/>
      <c r="V56" s="59"/>
      <c r="Z56" s="39"/>
    </row>
    <row r="57" spans="1:27" x14ac:dyDescent="0.2">
      <c r="B57" s="223" t="s">
        <v>191</v>
      </c>
      <c r="C57" s="223"/>
      <c r="D57" s="223"/>
      <c r="E57" s="84"/>
      <c r="F57" s="84"/>
      <c r="G57" s="84"/>
      <c r="H57" s="84"/>
      <c r="I57" s="84"/>
      <c r="J57" s="84"/>
      <c r="K57" s="84"/>
      <c r="L57" s="84"/>
      <c r="M57" s="150"/>
    </row>
    <row r="58" spans="1:27" ht="13.5" thickBot="1" x14ac:dyDescent="0.25">
      <c r="B58" s="77" t="s">
        <v>153</v>
      </c>
      <c r="C58" s="78" t="s">
        <v>75</v>
      </c>
      <c r="D58" s="78" t="s">
        <v>154</v>
      </c>
      <c r="E58" s="78" t="s">
        <v>77</v>
      </c>
      <c r="F58" s="78" t="s">
        <v>78</v>
      </c>
      <c r="G58" s="78" t="s">
        <v>79</v>
      </c>
      <c r="H58" s="78" t="s">
        <v>80</v>
      </c>
      <c r="I58" s="78" t="s">
        <v>81</v>
      </c>
      <c r="J58" s="78" t="s">
        <v>82</v>
      </c>
      <c r="K58" s="78" t="s">
        <v>40</v>
      </c>
      <c r="L58" s="78" t="s">
        <v>83</v>
      </c>
      <c r="M58" s="150"/>
      <c r="N58" s="78" t="s">
        <v>85</v>
      </c>
      <c r="O58" s="78" t="s">
        <v>155</v>
      </c>
      <c r="P58" s="78" t="s">
        <v>87</v>
      </c>
      <c r="Q58" s="78" t="s">
        <v>88</v>
      </c>
      <c r="R58" s="78" t="s">
        <v>89</v>
      </c>
      <c r="S58" s="78" t="s">
        <v>90</v>
      </c>
      <c r="T58" s="78" t="s">
        <v>91</v>
      </c>
      <c r="U58" s="78" t="s">
        <v>92</v>
      </c>
    </row>
    <row r="59" spans="1:27" x14ac:dyDescent="0.2">
      <c r="B59" s="79" t="str">
        <f>B52</f>
        <v>JAN/2023</v>
      </c>
      <c r="C59" s="80">
        <f>C44</f>
        <v>1351868.6099999999</v>
      </c>
      <c r="D59" s="80">
        <f t="shared" ref="D59:L59" si="19">D51</f>
        <v>1351463.69</v>
      </c>
      <c r="E59" s="80">
        <f t="shared" si="19"/>
        <v>404.92</v>
      </c>
      <c r="F59" s="81">
        <f t="shared" si="19"/>
        <v>4526</v>
      </c>
      <c r="G59" s="81">
        <f t="shared" si="19"/>
        <v>5792</v>
      </c>
      <c r="H59" s="80">
        <f t="shared" si="19"/>
        <v>298.68948519664161</v>
      </c>
      <c r="I59" s="80">
        <f t="shared" si="19"/>
        <v>28738.379999999997</v>
      </c>
      <c r="J59" s="118">
        <f t="shared" si="19"/>
        <v>47.040529424414316</v>
      </c>
      <c r="K59" s="81">
        <f t="shared" si="19"/>
        <v>109352</v>
      </c>
      <c r="L59" s="82">
        <f t="shared" si="19"/>
        <v>4.1389275001828957E-2</v>
      </c>
      <c r="M59" s="150"/>
      <c r="N59" s="80">
        <f t="shared" ref="N59:U59" si="20">N51</f>
        <v>17761.899999999998</v>
      </c>
      <c r="O59" s="80">
        <f t="shared" si="20"/>
        <v>9376.4799999999977</v>
      </c>
      <c r="P59" s="80">
        <f t="shared" si="20"/>
        <v>0</v>
      </c>
      <c r="Q59" s="80">
        <f t="shared" si="20"/>
        <v>1599.9999999999995</v>
      </c>
      <c r="R59" s="80">
        <f t="shared" si="20"/>
        <v>0</v>
      </c>
      <c r="S59" s="80">
        <f t="shared" si="20"/>
        <v>0</v>
      </c>
      <c r="T59" s="80">
        <f t="shared" si="20"/>
        <v>0</v>
      </c>
      <c r="U59" s="80">
        <f t="shared" si="20"/>
        <v>0</v>
      </c>
    </row>
    <row r="60" spans="1:27" ht="14.25" x14ac:dyDescent="0.2">
      <c r="A60" s="128">
        <f ca="1">TODAY()</f>
        <v>45834</v>
      </c>
      <c r="B60" s="138" t="str">
        <f>B45</f>
        <v>FEV/2022</v>
      </c>
      <c r="C60" s="134">
        <f t="shared" ref="C60:K60" ca="1" si="21">SUMIF($A$64:$A$94,"Realizado",C64:C94)</f>
        <v>932931.16999999981</v>
      </c>
      <c r="D60" s="134">
        <f t="shared" ca="1" si="21"/>
        <v>932586.94999999984</v>
      </c>
      <c r="E60" s="134">
        <f t="shared" ca="1" si="21"/>
        <v>344.22</v>
      </c>
      <c r="F60" s="135">
        <f t="shared" ca="1" si="21"/>
        <v>3110</v>
      </c>
      <c r="G60" s="135">
        <f t="shared" ca="1" si="21"/>
        <v>3819</v>
      </c>
      <c r="H60" s="134">
        <f ca="1">C60/F60</f>
        <v>299.97786816720253</v>
      </c>
      <c r="I60" s="134">
        <f t="shared" ca="1" si="21"/>
        <v>26595.170000000002</v>
      </c>
      <c r="J60" s="136">
        <f ca="1">C60/I60</f>
        <v>35.078969978383284</v>
      </c>
      <c r="K60" s="135">
        <f t="shared" ca="1" si="21"/>
        <v>99193</v>
      </c>
      <c r="L60" s="137">
        <f ca="1">F60/K60</f>
        <v>3.1353018862218099E-2</v>
      </c>
      <c r="M60" s="21"/>
      <c r="N60" s="134">
        <f t="shared" ref="N60:U60" ca="1" si="22">SUMIF($A$64:$A$94,"Realizado",N64:N94)</f>
        <v>13137.250000000002</v>
      </c>
      <c r="O60" s="134">
        <f t="shared" ca="1" si="22"/>
        <v>11857.919999999996</v>
      </c>
      <c r="P60" s="134">
        <f t="shared" ca="1" si="22"/>
        <v>0</v>
      </c>
      <c r="Q60" s="134">
        <f t="shared" ca="1" si="22"/>
        <v>1599.9999999999995</v>
      </c>
      <c r="R60" s="134">
        <f t="shared" ca="1" si="22"/>
        <v>0</v>
      </c>
      <c r="S60" s="134">
        <f t="shared" ca="1" si="22"/>
        <v>0</v>
      </c>
      <c r="T60" s="134">
        <f t="shared" ca="1" si="22"/>
        <v>0</v>
      </c>
      <c r="U60" s="134">
        <f t="shared" ca="1" si="22"/>
        <v>0</v>
      </c>
    </row>
    <row r="61" spans="1:27" x14ac:dyDescent="0.2">
      <c r="B61" s="83"/>
      <c r="C61" s="87">
        <f t="shared" ref="C61:L61" ca="1" si="23">C59-C60</f>
        <v>418937.44000000006</v>
      </c>
      <c r="D61" s="87">
        <f t="shared" ca="1" si="23"/>
        <v>418876.74000000011</v>
      </c>
      <c r="E61" s="87">
        <f t="shared" ca="1" si="23"/>
        <v>60.699999999999989</v>
      </c>
      <c r="F61" s="88">
        <f t="shared" ca="1" si="23"/>
        <v>1416</v>
      </c>
      <c r="G61" s="88">
        <f t="shared" ca="1" si="23"/>
        <v>1973</v>
      </c>
      <c r="H61" s="87">
        <f t="shared" ca="1" si="23"/>
        <v>-1.2883829705609173</v>
      </c>
      <c r="I61" s="87">
        <f t="shared" ca="1" si="23"/>
        <v>2143.2099999999955</v>
      </c>
      <c r="J61" s="125">
        <f t="shared" ca="1" si="23"/>
        <v>11.961559446031032</v>
      </c>
      <c r="K61" s="88">
        <f t="shared" ca="1" si="23"/>
        <v>10159</v>
      </c>
      <c r="L61" s="89">
        <f t="shared" ca="1" si="23"/>
        <v>1.0036256139610858E-2</v>
      </c>
      <c r="M61" s="150"/>
      <c r="N61" s="87">
        <f t="shared" ref="N61:U61" ca="1" si="24">N59-N60</f>
        <v>4624.649999999996</v>
      </c>
      <c r="O61" s="87">
        <f t="shared" ca="1" si="24"/>
        <v>-2481.4399999999987</v>
      </c>
      <c r="P61" s="87">
        <f t="shared" ca="1" si="24"/>
        <v>0</v>
      </c>
      <c r="Q61" s="87">
        <f t="shared" ca="1" si="24"/>
        <v>0</v>
      </c>
      <c r="R61" s="87">
        <f t="shared" ca="1" si="24"/>
        <v>0</v>
      </c>
      <c r="S61" s="87">
        <f t="shared" ca="1" si="24"/>
        <v>0</v>
      </c>
      <c r="T61" s="87">
        <f t="shared" ca="1" si="24"/>
        <v>0</v>
      </c>
      <c r="U61" s="87">
        <f t="shared" ca="1" si="24"/>
        <v>0</v>
      </c>
    </row>
    <row r="62" spans="1:27" x14ac:dyDescent="0.2">
      <c r="B62" s="84"/>
      <c r="C62" s="85">
        <f ca="1">IFERROR(1-(C60/C59),0)</f>
        <v>0.30989508662383991</v>
      </c>
      <c r="D62" s="85">
        <f t="shared" ref="D62:L62" ca="1" si="25">IFERROR(1-(D60/D59),0)</f>
        <v>0.30994302185062783</v>
      </c>
      <c r="E62" s="85">
        <f t="shared" ca="1" si="25"/>
        <v>0.14990615430208432</v>
      </c>
      <c r="F62" s="85">
        <f t="shared" ca="1" si="25"/>
        <v>0.31285903667697745</v>
      </c>
      <c r="G62" s="85">
        <f t="shared" ca="1" si="25"/>
        <v>0.34064226519337015</v>
      </c>
      <c r="H62" s="85">
        <f t="shared" ca="1" si="25"/>
        <v>-4.3134527139871981E-3</v>
      </c>
      <c r="I62" s="85">
        <f t="shared" ca="1" si="25"/>
        <v>7.4576576689430518E-2</v>
      </c>
      <c r="J62" s="85">
        <f t="shared" ca="1" si="25"/>
        <v>0.25428199028353005</v>
      </c>
      <c r="K62" s="85">
        <f t="shared" ca="1" si="25"/>
        <v>9.2901821640207771E-2</v>
      </c>
      <c r="L62" s="85">
        <f t="shared" ca="1" si="25"/>
        <v>0.24248446340670049</v>
      </c>
      <c r="M62" s="150"/>
      <c r="N62" s="85">
        <f t="shared" ref="N62:U62" ca="1" si="26">IFERROR(1-(N60/N59),0)</f>
        <v>0.26036910465659624</v>
      </c>
      <c r="O62" s="85">
        <f t="shared" ca="1" si="26"/>
        <v>-0.26464515468491356</v>
      </c>
      <c r="P62" s="85">
        <f t="shared" ca="1" si="26"/>
        <v>0</v>
      </c>
      <c r="Q62" s="85">
        <f t="shared" ca="1" si="26"/>
        <v>0</v>
      </c>
      <c r="R62" s="85">
        <f t="shared" ca="1" si="26"/>
        <v>0</v>
      </c>
      <c r="S62" s="85">
        <f t="shared" ca="1" si="26"/>
        <v>0</v>
      </c>
      <c r="T62" s="85">
        <f t="shared" ca="1" si="26"/>
        <v>0</v>
      </c>
      <c r="U62" s="85">
        <f t="shared" ca="1" si="26"/>
        <v>0</v>
      </c>
    </row>
    <row r="63" spans="1:27" x14ac:dyDescent="0.2">
      <c r="A63" s="128">
        <f ca="1">TODAY()</f>
        <v>45834</v>
      </c>
      <c r="M63" s="148"/>
      <c r="V63" s="59"/>
      <c r="Z63" s="39"/>
    </row>
    <row r="64" spans="1:27" hidden="1" x14ac:dyDescent="0.2">
      <c r="A64" s="17" t="str">
        <f t="shared" ref="A64:A68" ca="1" si="27">IF($A$63&lt;=AA64,"Previsto","Realizado")</f>
        <v>Realizado</v>
      </c>
      <c r="B64" s="17">
        <v>44593</v>
      </c>
      <c r="C64" s="19">
        <f t="shared" ref="C64:C94" si="28">D64+E64</f>
        <v>34727.58</v>
      </c>
      <c r="D64" s="35">
        <f>_xlfn.XLOOKUP($B:$B,'Compilado 2023'!$B:$B,'Compilado 2023'!D:D)</f>
        <v>34692.58</v>
      </c>
      <c r="E64" s="35">
        <f>_xlfn.XLOOKUP($B:$B,'Compilado 2023'!$B:$B,'Compilado 2023'!E:E)</f>
        <v>35</v>
      </c>
      <c r="F64" s="18">
        <f>_xlfn.XLOOKUP($B:$B,'Compilado 2023'!$B:$B,'Compilado 2023'!F:F)</f>
        <v>120</v>
      </c>
      <c r="G64" s="18">
        <f>_xlfn.XLOOKUP($B:$B,'Compilado 2023'!$B:$B,'Compilado 2023'!G:G)</f>
        <v>150</v>
      </c>
      <c r="H64" s="35">
        <f t="shared" ref="H64:H94" si="29">IFERROR(C64/F64,0)</f>
        <v>289.3965</v>
      </c>
      <c r="I64" s="19">
        <f t="shared" ref="I64:I94" si="30">SUM(N64:U64)</f>
        <v>1063.752857142857</v>
      </c>
      <c r="J64" s="122">
        <f t="shared" ref="J64:J94" si="31">IF(I64&gt;0,C64/I64,0)</f>
        <v>32.646285992852803</v>
      </c>
      <c r="K64" s="18">
        <f>_xlfn.XLOOKUP($B:$B,'Compilado 2023'!$B:$B,'Compilado 2023'!K:K)</f>
        <v>4432</v>
      </c>
      <c r="L64" s="54">
        <f t="shared" ref="L64:L94" si="32">IFERROR(F64/K64,0)</f>
        <v>2.7075812274368231E-2</v>
      </c>
      <c r="M64" s="149"/>
      <c r="N64" s="106">
        <f>_xlfn.XLOOKUP($B:$B,'Compilado 2023'!$B:$B,'Compilado 2023'!N:N)</f>
        <v>588.03</v>
      </c>
      <c r="O64" s="106">
        <f>_xlfn.XLOOKUP($B:$B,'Compilado 2023'!$B:$B,'Compilado 2023'!O:O)</f>
        <v>418.58</v>
      </c>
      <c r="P64" s="106">
        <f>_xlfn.XLOOKUP($B:$B,'Compilado 2023'!$B:$B,'Compilado 2023'!P:P)</f>
        <v>0</v>
      </c>
      <c r="Q64" s="106">
        <f>_xlfn.XLOOKUP($B:$B,'Compilado 2023'!$B:$B,'Compilado 2023'!Q:Q)</f>
        <v>57.142857142857146</v>
      </c>
      <c r="R64" s="106">
        <f>_xlfn.XLOOKUP($B:$B,'Compilado 2023'!$B:$B,'Compilado 2023'!R:R)</f>
        <v>0</v>
      </c>
      <c r="S64" s="106">
        <f>_xlfn.XLOOKUP($B:$B,'Compilado 2023'!$B:$B,'Compilado 2023'!T:T)</f>
        <v>0</v>
      </c>
      <c r="T64" s="106">
        <f>_xlfn.XLOOKUP($B:$B,'Compilado 2023'!$B:$B,'Compilado 2023'!U:U)</f>
        <v>0</v>
      </c>
      <c r="U64" s="106">
        <f>_xlfn.XLOOKUP($B:$B,'Compilado 2023'!$B:$B,'Compilado 2023'!V:V)</f>
        <v>0</v>
      </c>
      <c r="V64" s="57"/>
      <c r="W64" s="106">
        <f>_xlfn.XLOOKUP($B:$B,'Compilado 2023'!$B:$B,'Compilado 2023'!X:X)</f>
        <v>0</v>
      </c>
      <c r="X64" s="106">
        <f>_xlfn.XLOOKUP($B:$B,'Compilado 2023'!$B:$B,'Compilado 2023'!Y:Y)</f>
        <v>0</v>
      </c>
      <c r="Y64" s="106">
        <f>_xlfn.XLOOKUP($B:$B,'Compilado 2023'!$B:$B,'Compilado 2023'!Z:Z)</f>
        <v>0</v>
      </c>
      <c r="AA64" s="208">
        <v>45108</v>
      </c>
    </row>
    <row r="65" spans="1:27" hidden="1" x14ac:dyDescent="0.2">
      <c r="A65" s="17" t="str">
        <f t="shared" ca="1" si="27"/>
        <v>Realizado</v>
      </c>
      <c r="B65" s="17">
        <v>44594</v>
      </c>
      <c r="C65" s="19">
        <f t="shared" si="28"/>
        <v>34513.9</v>
      </c>
      <c r="D65" s="35">
        <f>_xlfn.XLOOKUP($B:$B,'Compilado 2023'!$B:$B,'Compilado 2023'!D:D)</f>
        <v>34513.9</v>
      </c>
      <c r="E65" s="35">
        <f>_xlfn.XLOOKUP($B:$B,'Compilado 2023'!$B:$B,'Compilado 2023'!E:E)</f>
        <v>0</v>
      </c>
      <c r="F65" s="18">
        <f>_xlfn.XLOOKUP($B:$B,'Compilado 2023'!$B:$B,'Compilado 2023'!F:F)</f>
        <v>114</v>
      </c>
      <c r="G65" s="18">
        <f>_xlfn.XLOOKUP($B:$B,'Compilado 2023'!$B:$B,'Compilado 2023'!G:G)</f>
        <v>130</v>
      </c>
      <c r="H65" s="35">
        <f t="shared" si="29"/>
        <v>302.75350877192983</v>
      </c>
      <c r="I65" s="19">
        <f t="shared" si="30"/>
        <v>945.37285714285713</v>
      </c>
      <c r="J65" s="122">
        <f t="shared" si="31"/>
        <v>36.508240890593434</v>
      </c>
      <c r="K65" s="18">
        <f>_xlfn.XLOOKUP($B:$B,'Compilado 2023'!$B:$B,'Compilado 2023'!K:K)</f>
        <v>4313</v>
      </c>
      <c r="L65" s="54">
        <f t="shared" si="32"/>
        <v>2.643171806167401E-2</v>
      </c>
      <c r="M65" s="149"/>
      <c r="N65" s="106">
        <f>_xlfn.XLOOKUP($B:$B,'Compilado 2023'!$B:$B,'Compilado 2023'!N:N)</f>
        <v>566.9</v>
      </c>
      <c r="O65" s="106">
        <f>_xlfn.XLOOKUP($B:$B,'Compilado 2023'!$B:$B,'Compilado 2023'!O:O)</f>
        <v>321.33</v>
      </c>
      <c r="P65" s="106">
        <f>_xlfn.XLOOKUP($B:$B,'Compilado 2023'!$B:$B,'Compilado 2023'!P:P)</f>
        <v>0</v>
      </c>
      <c r="Q65" s="106">
        <f>_xlfn.XLOOKUP($B:$B,'Compilado 2023'!$B:$B,'Compilado 2023'!Q:Q)</f>
        <v>57.142857142857146</v>
      </c>
      <c r="R65" s="106">
        <f>_xlfn.XLOOKUP($B:$B,'Compilado 2023'!$B:$B,'Compilado 2023'!R:R)</f>
        <v>0</v>
      </c>
      <c r="S65" s="106">
        <f>_xlfn.XLOOKUP($B:$B,'Compilado 2023'!$B:$B,'Compilado 2023'!T:T)</f>
        <v>0</v>
      </c>
      <c r="T65" s="106">
        <f>_xlfn.XLOOKUP($B:$B,'Compilado 2023'!$B:$B,'Compilado 2023'!U:U)</f>
        <v>0</v>
      </c>
      <c r="U65" s="106">
        <f>_xlfn.XLOOKUP($B:$B,'Compilado 2023'!$B:$B,'Compilado 2023'!V:V)</f>
        <v>0</v>
      </c>
      <c r="V65" s="57"/>
      <c r="W65" s="106">
        <f>_xlfn.XLOOKUP($B:$B,'Compilado 2023'!$B:$B,'Compilado 2023'!X:X)</f>
        <v>0</v>
      </c>
      <c r="X65" s="106">
        <f>_xlfn.XLOOKUP($B:$B,'Compilado 2023'!$B:$B,'Compilado 2023'!Y:Y)</f>
        <v>0</v>
      </c>
      <c r="Y65" s="106">
        <f>_xlfn.XLOOKUP($B:$B,'Compilado 2023'!$B:$B,'Compilado 2023'!Z:Z)</f>
        <v>0</v>
      </c>
      <c r="AA65" s="208">
        <v>45109</v>
      </c>
    </row>
    <row r="66" spans="1:27" hidden="1" x14ac:dyDescent="0.2">
      <c r="A66" s="17" t="str">
        <f t="shared" ca="1" si="27"/>
        <v>Realizado</v>
      </c>
      <c r="B66" s="17">
        <v>44595</v>
      </c>
      <c r="C66" s="19">
        <f t="shared" si="28"/>
        <v>34177.800000000003</v>
      </c>
      <c r="D66" s="35">
        <f>_xlfn.XLOOKUP($B:$B,'Compilado 2023'!$B:$B,'Compilado 2023'!D:D)</f>
        <v>34177.800000000003</v>
      </c>
      <c r="E66" s="35">
        <f>_xlfn.XLOOKUP($B:$B,'Compilado 2023'!$B:$B,'Compilado 2023'!E:E)</f>
        <v>0</v>
      </c>
      <c r="F66" s="18">
        <f>_xlfn.XLOOKUP($B:$B,'Compilado 2023'!$B:$B,'Compilado 2023'!F:F)</f>
        <v>113</v>
      </c>
      <c r="G66" s="18">
        <f>_xlfn.XLOOKUP($B:$B,'Compilado 2023'!$B:$B,'Compilado 2023'!G:G)</f>
        <v>144</v>
      </c>
      <c r="H66" s="35">
        <f t="shared" si="29"/>
        <v>302.45840707964607</v>
      </c>
      <c r="I66" s="19">
        <f t="shared" si="30"/>
        <v>857.88285714285712</v>
      </c>
      <c r="J66" s="122">
        <f t="shared" si="31"/>
        <v>39.83970505463617</v>
      </c>
      <c r="K66" s="18">
        <f>_xlfn.XLOOKUP($B:$B,'Compilado 2023'!$B:$B,'Compilado 2023'!K:K)</f>
        <v>3709</v>
      </c>
      <c r="L66" s="54">
        <f t="shared" si="32"/>
        <v>3.0466433000808844E-2</v>
      </c>
      <c r="M66" s="149"/>
      <c r="N66" s="106">
        <f>_xlfn.XLOOKUP($B:$B,'Compilado 2023'!$B:$B,'Compilado 2023'!N:N)</f>
        <v>568.38</v>
      </c>
      <c r="O66" s="106">
        <f>_xlfn.XLOOKUP($B:$B,'Compilado 2023'!$B:$B,'Compilado 2023'!O:O)</f>
        <v>232.36</v>
      </c>
      <c r="P66" s="106">
        <f>_xlfn.XLOOKUP($B:$B,'Compilado 2023'!$B:$B,'Compilado 2023'!P:P)</f>
        <v>0</v>
      </c>
      <c r="Q66" s="106">
        <f>_xlfn.XLOOKUP($B:$B,'Compilado 2023'!$B:$B,'Compilado 2023'!Q:Q)</f>
        <v>57.142857142857146</v>
      </c>
      <c r="R66" s="106">
        <f>_xlfn.XLOOKUP($B:$B,'Compilado 2023'!$B:$B,'Compilado 2023'!R:R)</f>
        <v>0</v>
      </c>
      <c r="S66" s="106">
        <f>_xlfn.XLOOKUP($B:$B,'Compilado 2023'!$B:$B,'Compilado 2023'!T:T)</f>
        <v>0</v>
      </c>
      <c r="T66" s="106">
        <f>_xlfn.XLOOKUP($B:$B,'Compilado 2023'!$B:$B,'Compilado 2023'!U:U)</f>
        <v>0</v>
      </c>
      <c r="U66" s="106">
        <f>_xlfn.XLOOKUP($B:$B,'Compilado 2023'!$B:$B,'Compilado 2023'!V:V)</f>
        <v>0</v>
      </c>
      <c r="V66" s="57"/>
      <c r="W66" s="106">
        <f>_xlfn.XLOOKUP($B:$B,'Compilado 2023'!$B:$B,'Compilado 2023'!X:X)</f>
        <v>0</v>
      </c>
      <c r="X66" s="106">
        <f>_xlfn.XLOOKUP($B:$B,'Compilado 2023'!$B:$B,'Compilado 2023'!Y:Y)</f>
        <v>0</v>
      </c>
      <c r="Y66" s="106">
        <f>_xlfn.XLOOKUP($B:$B,'Compilado 2023'!$B:$B,'Compilado 2023'!Z:Z)</f>
        <v>0</v>
      </c>
      <c r="AA66" s="208">
        <v>45110</v>
      </c>
    </row>
    <row r="67" spans="1:27" hidden="1" x14ac:dyDescent="0.2">
      <c r="A67" s="17" t="str">
        <f t="shared" ca="1" si="27"/>
        <v>Realizado</v>
      </c>
      <c r="B67" s="17">
        <v>44596</v>
      </c>
      <c r="C67" s="19">
        <f t="shared" si="28"/>
        <v>43437.4</v>
      </c>
      <c r="D67" s="35">
        <f>_xlfn.XLOOKUP($B:$B,'Compilado 2023'!$B:$B,'Compilado 2023'!D:D)</f>
        <v>43437.4</v>
      </c>
      <c r="E67" s="35">
        <f>_xlfn.XLOOKUP($B:$B,'Compilado 2023'!$B:$B,'Compilado 2023'!E:E)</f>
        <v>0</v>
      </c>
      <c r="F67" s="18">
        <f>_xlfn.XLOOKUP($B:$B,'Compilado 2023'!$B:$B,'Compilado 2023'!F:F)</f>
        <v>137</v>
      </c>
      <c r="G67" s="18">
        <f>_xlfn.XLOOKUP($B:$B,'Compilado 2023'!$B:$B,'Compilado 2023'!G:G)</f>
        <v>200</v>
      </c>
      <c r="H67" s="35">
        <f t="shared" si="29"/>
        <v>317.06131386861313</v>
      </c>
      <c r="I67" s="19">
        <f t="shared" si="30"/>
        <v>783.39285714285711</v>
      </c>
      <c r="J67" s="122">
        <f t="shared" si="31"/>
        <v>55.447786642352412</v>
      </c>
      <c r="K67" s="18">
        <f>_xlfn.XLOOKUP($B:$B,'Compilado 2023'!$B:$B,'Compilado 2023'!K:K)</f>
        <v>3739</v>
      </c>
      <c r="L67" s="54">
        <f t="shared" si="32"/>
        <v>3.6640813051618079E-2</v>
      </c>
      <c r="M67" s="149"/>
      <c r="N67" s="106">
        <f>_xlfn.XLOOKUP($B:$B,'Compilado 2023'!$B:$B,'Compilado 2023'!N:N)</f>
        <v>469.63</v>
      </c>
      <c r="O67" s="106">
        <f>_xlfn.XLOOKUP($B:$B,'Compilado 2023'!$B:$B,'Compilado 2023'!O:O)</f>
        <v>256.62</v>
      </c>
      <c r="P67" s="106">
        <f>_xlfn.XLOOKUP($B:$B,'Compilado 2023'!$B:$B,'Compilado 2023'!P:P)</f>
        <v>0</v>
      </c>
      <c r="Q67" s="106">
        <f>_xlfn.XLOOKUP($B:$B,'Compilado 2023'!$B:$B,'Compilado 2023'!Q:Q)</f>
        <v>57.142857142857146</v>
      </c>
      <c r="R67" s="106">
        <f>_xlfn.XLOOKUP($B:$B,'Compilado 2023'!$B:$B,'Compilado 2023'!R:R)</f>
        <v>0</v>
      </c>
      <c r="S67" s="106">
        <f>_xlfn.XLOOKUP($B:$B,'Compilado 2023'!$B:$B,'Compilado 2023'!T:T)</f>
        <v>0</v>
      </c>
      <c r="T67" s="106">
        <f>_xlfn.XLOOKUP($B:$B,'Compilado 2023'!$B:$B,'Compilado 2023'!U:U)</f>
        <v>0</v>
      </c>
      <c r="U67" s="106">
        <f>_xlfn.XLOOKUP($B:$B,'Compilado 2023'!$B:$B,'Compilado 2023'!V:V)</f>
        <v>0</v>
      </c>
      <c r="V67" s="57"/>
      <c r="W67" s="106">
        <f>_xlfn.XLOOKUP($B:$B,'Compilado 2023'!$B:$B,'Compilado 2023'!X:X)</f>
        <v>0</v>
      </c>
      <c r="X67" s="106">
        <f>_xlfn.XLOOKUP($B:$B,'Compilado 2023'!$B:$B,'Compilado 2023'!Y:Y)</f>
        <v>0</v>
      </c>
      <c r="Y67" s="106">
        <f>_xlfn.XLOOKUP($B:$B,'Compilado 2023'!$B:$B,'Compilado 2023'!Z:Z)</f>
        <v>0</v>
      </c>
      <c r="AA67" s="208">
        <v>45111</v>
      </c>
    </row>
    <row r="68" spans="1:27" hidden="1" x14ac:dyDescent="0.2">
      <c r="A68" s="17" t="str">
        <f t="shared" ca="1" si="27"/>
        <v>Realizado</v>
      </c>
      <c r="B68" s="17">
        <v>44597</v>
      </c>
      <c r="C68" s="19">
        <f t="shared" si="28"/>
        <v>19563.78</v>
      </c>
      <c r="D68" s="35">
        <f>_xlfn.XLOOKUP($B:$B,'Compilado 2023'!$B:$B,'Compilado 2023'!D:D)</f>
        <v>19563.78</v>
      </c>
      <c r="E68" s="35">
        <f>_xlfn.XLOOKUP($B:$B,'Compilado 2023'!$B:$B,'Compilado 2023'!E:E)</f>
        <v>0</v>
      </c>
      <c r="F68" s="18">
        <f>_xlfn.XLOOKUP($B:$B,'Compilado 2023'!$B:$B,'Compilado 2023'!F:F)</f>
        <v>74</v>
      </c>
      <c r="G68" s="18">
        <f>_xlfn.XLOOKUP($B:$B,'Compilado 2023'!$B:$B,'Compilado 2023'!G:G)</f>
        <v>82</v>
      </c>
      <c r="H68" s="35">
        <f t="shared" si="29"/>
        <v>264.37540540540539</v>
      </c>
      <c r="I68" s="19">
        <f t="shared" si="30"/>
        <v>711.23285714285703</v>
      </c>
      <c r="J68" s="122">
        <f t="shared" si="31"/>
        <v>27.506856303842625</v>
      </c>
      <c r="K68" s="18">
        <f>_xlfn.XLOOKUP($B:$B,'Compilado 2023'!$B:$B,'Compilado 2023'!K:K)</f>
        <v>2990</v>
      </c>
      <c r="L68" s="54">
        <f t="shared" si="32"/>
        <v>2.4749163879598662E-2</v>
      </c>
      <c r="M68" s="149"/>
      <c r="N68" s="106">
        <f>_xlfn.XLOOKUP($B:$B,'Compilado 2023'!$B:$B,'Compilado 2023'!N:N)</f>
        <v>384.26</v>
      </c>
      <c r="O68" s="106">
        <f>_xlfn.XLOOKUP($B:$B,'Compilado 2023'!$B:$B,'Compilado 2023'!O:O)</f>
        <v>269.83</v>
      </c>
      <c r="P68" s="106">
        <f>_xlfn.XLOOKUP($B:$B,'Compilado 2023'!$B:$B,'Compilado 2023'!P:P)</f>
        <v>0</v>
      </c>
      <c r="Q68" s="106">
        <f>_xlfn.XLOOKUP($B:$B,'Compilado 2023'!$B:$B,'Compilado 2023'!Q:Q)</f>
        <v>57.142857142857146</v>
      </c>
      <c r="R68" s="106">
        <f>_xlfn.XLOOKUP($B:$B,'Compilado 2023'!$B:$B,'Compilado 2023'!R:R)</f>
        <v>0</v>
      </c>
      <c r="S68" s="106">
        <f>_xlfn.XLOOKUP($B:$B,'Compilado 2023'!$B:$B,'Compilado 2023'!T:T)</f>
        <v>0</v>
      </c>
      <c r="T68" s="106">
        <f>_xlfn.XLOOKUP($B:$B,'Compilado 2023'!$B:$B,'Compilado 2023'!U:U)</f>
        <v>0</v>
      </c>
      <c r="U68" s="106">
        <f>_xlfn.XLOOKUP($B:$B,'Compilado 2023'!$B:$B,'Compilado 2023'!V:V)</f>
        <v>0</v>
      </c>
      <c r="V68" s="57"/>
      <c r="W68" s="106">
        <f>_xlfn.XLOOKUP($B:$B,'Compilado 2023'!$B:$B,'Compilado 2023'!X:X)</f>
        <v>0</v>
      </c>
      <c r="X68" s="106">
        <f>_xlfn.XLOOKUP($B:$B,'Compilado 2023'!$B:$B,'Compilado 2023'!Y:Y)</f>
        <v>0</v>
      </c>
      <c r="Y68" s="106">
        <f>_xlfn.XLOOKUP($B:$B,'Compilado 2023'!$B:$B,'Compilado 2023'!Z:Z)</f>
        <v>0</v>
      </c>
      <c r="AA68" s="208">
        <v>45112</v>
      </c>
    </row>
    <row r="69" spans="1:27" hidden="1" x14ac:dyDescent="0.2">
      <c r="A69" s="17" t="str">
        <f ca="1">IF($A$63&lt;=AA69,"Previsto","Realizado")</f>
        <v>Realizado</v>
      </c>
      <c r="B69" s="17">
        <v>44598</v>
      </c>
      <c r="C69" s="19">
        <f t="shared" si="28"/>
        <v>16604.64</v>
      </c>
      <c r="D69" s="35">
        <f>_xlfn.XLOOKUP($B:$B,'Compilado 2023'!$B:$B,'Compilado 2023'!D:D)</f>
        <v>16604.64</v>
      </c>
      <c r="E69" s="35">
        <f>_xlfn.XLOOKUP($B:$B,'Compilado 2023'!$B:$B,'Compilado 2023'!E:E)</f>
        <v>0</v>
      </c>
      <c r="F69" s="18">
        <f>_xlfn.XLOOKUP($B:$B,'Compilado 2023'!$B:$B,'Compilado 2023'!F:F)</f>
        <v>67</v>
      </c>
      <c r="G69" s="18">
        <f>_xlfn.XLOOKUP($B:$B,'Compilado 2023'!$B:$B,'Compilado 2023'!G:G)</f>
        <v>73</v>
      </c>
      <c r="H69" s="35">
        <f t="shared" si="29"/>
        <v>247.83044776119402</v>
      </c>
      <c r="I69" s="19">
        <f t="shared" si="30"/>
        <v>648.96285714285705</v>
      </c>
      <c r="J69" s="122">
        <f t="shared" si="31"/>
        <v>25.586425813495822</v>
      </c>
      <c r="K69" s="18">
        <f>_xlfn.XLOOKUP($B:$B,'Compilado 2023'!$B:$B,'Compilado 2023'!K:K)</f>
        <v>2653</v>
      </c>
      <c r="L69" s="54">
        <f t="shared" si="32"/>
        <v>2.5254428948360347E-2</v>
      </c>
      <c r="M69" s="149"/>
      <c r="N69" s="106">
        <f>_xlfn.XLOOKUP($B:$B,'Compilado 2023'!$B:$B,'Compilado 2023'!N:N)</f>
        <v>325.14999999999998</v>
      </c>
      <c r="O69" s="106">
        <f>_xlfn.XLOOKUP($B:$B,'Compilado 2023'!$B:$B,'Compilado 2023'!O:O)</f>
        <v>266.67</v>
      </c>
      <c r="P69" s="106">
        <f>_xlfn.XLOOKUP($B:$B,'Compilado 2023'!$B:$B,'Compilado 2023'!P:P)</f>
        <v>0</v>
      </c>
      <c r="Q69" s="106">
        <f>_xlfn.XLOOKUP($B:$B,'Compilado 2023'!$B:$B,'Compilado 2023'!Q:Q)</f>
        <v>57.142857142857146</v>
      </c>
      <c r="R69" s="106">
        <f>_xlfn.XLOOKUP($B:$B,'Compilado 2023'!$B:$B,'Compilado 2023'!R:R)</f>
        <v>0</v>
      </c>
      <c r="S69" s="106">
        <f>_xlfn.XLOOKUP($B:$B,'Compilado 2023'!$B:$B,'Compilado 2023'!T:T)</f>
        <v>0</v>
      </c>
      <c r="T69" s="106">
        <f>_xlfn.XLOOKUP($B:$B,'Compilado 2023'!$B:$B,'Compilado 2023'!U:U)</f>
        <v>0</v>
      </c>
      <c r="U69" s="106">
        <f>_xlfn.XLOOKUP($B:$B,'Compilado 2023'!$B:$B,'Compilado 2023'!V:V)</f>
        <v>0</v>
      </c>
      <c r="V69" s="57"/>
      <c r="W69" s="106">
        <f>_xlfn.XLOOKUP($B:$B,'Compilado 2023'!$B:$B,'Compilado 2023'!X:X)</f>
        <v>0</v>
      </c>
      <c r="X69" s="106">
        <f>_xlfn.XLOOKUP($B:$B,'Compilado 2023'!$B:$B,'Compilado 2023'!Y:Y)</f>
        <v>0</v>
      </c>
      <c r="Y69" s="106">
        <f>_xlfn.XLOOKUP($B:$B,'Compilado 2023'!$B:$B,'Compilado 2023'!Z:Z)</f>
        <v>0</v>
      </c>
      <c r="AA69" s="208">
        <v>45113</v>
      </c>
    </row>
    <row r="70" spans="1:27" hidden="1" x14ac:dyDescent="0.2">
      <c r="A70" s="17" t="str">
        <f t="shared" ref="A70:A94" ca="1" si="33">IF($A$63&lt;=AA70,"Previsto","Realizado")</f>
        <v>Realizado</v>
      </c>
      <c r="B70" s="17">
        <v>44599</v>
      </c>
      <c r="C70" s="19">
        <f t="shared" si="28"/>
        <v>33095.360000000001</v>
      </c>
      <c r="D70" s="35">
        <f>_xlfn.XLOOKUP($B:$B,'Compilado 2023'!$B:$B,'Compilado 2023'!D:D)</f>
        <v>33000.32</v>
      </c>
      <c r="E70" s="35">
        <f>_xlfn.XLOOKUP($B:$B,'Compilado 2023'!$B:$B,'Compilado 2023'!E:E)</f>
        <v>95.04</v>
      </c>
      <c r="F70" s="18">
        <f>_xlfn.XLOOKUP($B:$B,'Compilado 2023'!$B:$B,'Compilado 2023'!F:F)</f>
        <v>133</v>
      </c>
      <c r="G70" s="18">
        <f>_xlfn.XLOOKUP($B:$B,'Compilado 2023'!$B:$B,'Compilado 2023'!G:G)</f>
        <v>141</v>
      </c>
      <c r="H70" s="35">
        <f t="shared" si="29"/>
        <v>248.8372932330827</v>
      </c>
      <c r="I70" s="19">
        <f t="shared" si="30"/>
        <v>949.45285714285706</v>
      </c>
      <c r="J70" s="122">
        <f t="shared" si="31"/>
        <v>34.857296758885198</v>
      </c>
      <c r="K70" s="18">
        <f>_xlfn.XLOOKUP($B:$B,'Compilado 2023'!$B:$B,'Compilado 2023'!K:K)</f>
        <v>3855</v>
      </c>
      <c r="L70" s="54">
        <f t="shared" si="32"/>
        <v>3.4500648508430612E-2</v>
      </c>
      <c r="M70" s="149"/>
      <c r="N70" s="106">
        <f>_xlfn.XLOOKUP($B:$B,'Compilado 2023'!$B:$B,'Compilado 2023'!N:N)</f>
        <v>629.72</v>
      </c>
      <c r="O70" s="106">
        <f>_xlfn.XLOOKUP($B:$B,'Compilado 2023'!$B:$B,'Compilado 2023'!O:O)</f>
        <v>262.58999999999997</v>
      </c>
      <c r="P70" s="106">
        <f>_xlfn.XLOOKUP($B:$B,'Compilado 2023'!$B:$B,'Compilado 2023'!P:P)</f>
        <v>0</v>
      </c>
      <c r="Q70" s="106">
        <f>_xlfn.XLOOKUP($B:$B,'Compilado 2023'!$B:$B,'Compilado 2023'!Q:Q)</f>
        <v>57.142857142857146</v>
      </c>
      <c r="R70" s="106">
        <f>_xlfn.XLOOKUP($B:$B,'Compilado 2023'!$B:$B,'Compilado 2023'!R:R)</f>
        <v>0</v>
      </c>
      <c r="S70" s="106">
        <f>_xlfn.XLOOKUP($B:$B,'Compilado 2023'!$B:$B,'Compilado 2023'!T:T)</f>
        <v>0</v>
      </c>
      <c r="T70" s="106">
        <f>_xlfn.XLOOKUP($B:$B,'Compilado 2023'!$B:$B,'Compilado 2023'!U:U)</f>
        <v>0</v>
      </c>
      <c r="U70" s="106">
        <f>_xlfn.XLOOKUP($B:$B,'Compilado 2023'!$B:$B,'Compilado 2023'!V:V)</f>
        <v>0</v>
      </c>
      <c r="V70" s="57"/>
      <c r="W70" s="106">
        <f>_xlfn.XLOOKUP($B:$B,'Compilado 2023'!$B:$B,'Compilado 2023'!X:X)</f>
        <v>0</v>
      </c>
      <c r="X70" s="106">
        <f>_xlfn.XLOOKUP($B:$B,'Compilado 2023'!$B:$B,'Compilado 2023'!Y:Y)</f>
        <v>0</v>
      </c>
      <c r="Y70" s="106">
        <f>_xlfn.XLOOKUP($B:$B,'Compilado 2023'!$B:$B,'Compilado 2023'!Z:Z)</f>
        <v>0</v>
      </c>
      <c r="AA70" s="208">
        <v>45114</v>
      </c>
    </row>
    <row r="71" spans="1:27" hidden="1" x14ac:dyDescent="0.2">
      <c r="A71" s="17" t="str">
        <f t="shared" ca="1" si="33"/>
        <v>Realizado</v>
      </c>
      <c r="B71" s="17">
        <v>44600</v>
      </c>
      <c r="C71" s="19">
        <f t="shared" si="28"/>
        <v>44882.03</v>
      </c>
      <c r="D71" s="35">
        <f>_xlfn.XLOOKUP($B:$B,'Compilado 2023'!$B:$B,'Compilado 2023'!D:D)</f>
        <v>44882.03</v>
      </c>
      <c r="E71" s="35">
        <f>_xlfn.XLOOKUP($B:$B,'Compilado 2023'!$B:$B,'Compilado 2023'!E:E)</f>
        <v>0</v>
      </c>
      <c r="F71" s="18">
        <f>_xlfn.XLOOKUP($B:$B,'Compilado 2023'!$B:$B,'Compilado 2023'!F:F)</f>
        <v>141</v>
      </c>
      <c r="G71" s="18">
        <f>_xlfn.XLOOKUP($B:$B,'Compilado 2023'!$B:$B,'Compilado 2023'!G:G)</f>
        <v>163</v>
      </c>
      <c r="H71" s="35">
        <f t="shared" si="29"/>
        <v>318.31226950354608</v>
      </c>
      <c r="I71" s="19">
        <f t="shared" si="30"/>
        <v>900.10285714285715</v>
      </c>
      <c r="J71" s="122">
        <f t="shared" si="31"/>
        <v>49.863223568100153</v>
      </c>
      <c r="K71" s="18">
        <f>_xlfn.XLOOKUP($B:$B,'Compilado 2023'!$B:$B,'Compilado 2023'!K:K)</f>
        <v>3847</v>
      </c>
      <c r="L71" s="54">
        <f t="shared" si="32"/>
        <v>3.6651936573953728E-2</v>
      </c>
      <c r="M71" s="149"/>
      <c r="N71" s="106">
        <f>_xlfn.XLOOKUP($B:$B,'Compilado 2023'!$B:$B,'Compilado 2023'!N:N)</f>
        <v>571.84</v>
      </c>
      <c r="O71" s="106">
        <f>_xlfn.XLOOKUP($B:$B,'Compilado 2023'!$B:$B,'Compilado 2023'!O:O)</f>
        <v>271.12</v>
      </c>
      <c r="P71" s="106">
        <f>_xlfn.XLOOKUP($B:$B,'Compilado 2023'!$B:$B,'Compilado 2023'!P:P)</f>
        <v>0</v>
      </c>
      <c r="Q71" s="106">
        <f>_xlfn.XLOOKUP($B:$B,'Compilado 2023'!$B:$B,'Compilado 2023'!Q:Q)</f>
        <v>57.142857142857146</v>
      </c>
      <c r="R71" s="106">
        <f>_xlfn.XLOOKUP($B:$B,'Compilado 2023'!$B:$B,'Compilado 2023'!R:R)</f>
        <v>0</v>
      </c>
      <c r="S71" s="106">
        <f>_xlfn.XLOOKUP($B:$B,'Compilado 2023'!$B:$B,'Compilado 2023'!T:T)</f>
        <v>0</v>
      </c>
      <c r="T71" s="106">
        <f>_xlfn.XLOOKUP($B:$B,'Compilado 2023'!$B:$B,'Compilado 2023'!U:U)</f>
        <v>0</v>
      </c>
      <c r="U71" s="106">
        <f>_xlfn.XLOOKUP($B:$B,'Compilado 2023'!$B:$B,'Compilado 2023'!V:V)</f>
        <v>0</v>
      </c>
      <c r="V71" s="57"/>
      <c r="W71" s="106">
        <f>_xlfn.XLOOKUP($B:$B,'Compilado 2023'!$B:$B,'Compilado 2023'!X:X)</f>
        <v>0</v>
      </c>
      <c r="X71" s="106">
        <f>_xlfn.XLOOKUP($B:$B,'Compilado 2023'!$B:$B,'Compilado 2023'!Y:Y)</f>
        <v>0</v>
      </c>
      <c r="Y71" s="106">
        <f>_xlfn.XLOOKUP($B:$B,'Compilado 2023'!$B:$B,'Compilado 2023'!Z:Z)</f>
        <v>0</v>
      </c>
      <c r="AA71" s="208">
        <v>45115</v>
      </c>
    </row>
    <row r="72" spans="1:27" hidden="1" x14ac:dyDescent="0.2">
      <c r="A72" s="17" t="str">
        <f t="shared" ca="1" si="33"/>
        <v>Realizado</v>
      </c>
      <c r="B72" s="17">
        <v>44601</v>
      </c>
      <c r="C72" s="19">
        <f t="shared" si="28"/>
        <v>35537.760000000002</v>
      </c>
      <c r="D72" s="35">
        <f>_xlfn.XLOOKUP($B:$B,'Compilado 2023'!$B:$B,'Compilado 2023'!D:D)</f>
        <v>35475.599999999999</v>
      </c>
      <c r="E72" s="35">
        <f>_xlfn.XLOOKUP($B:$B,'Compilado 2023'!$B:$B,'Compilado 2023'!E:E)</f>
        <v>62.16</v>
      </c>
      <c r="F72" s="18">
        <f>_xlfn.XLOOKUP($B:$B,'Compilado 2023'!$B:$B,'Compilado 2023'!F:F)</f>
        <v>122</v>
      </c>
      <c r="G72" s="18">
        <f>_xlfn.XLOOKUP($B:$B,'Compilado 2023'!$B:$B,'Compilado 2023'!G:G)</f>
        <v>149</v>
      </c>
      <c r="H72" s="35">
        <f t="shared" si="29"/>
        <v>291.29311475409838</v>
      </c>
      <c r="I72" s="19">
        <f t="shared" si="30"/>
        <v>1325.7028571428571</v>
      </c>
      <c r="J72" s="122">
        <f t="shared" si="31"/>
        <v>26.80673109250942</v>
      </c>
      <c r="K72" s="18">
        <f>_xlfn.XLOOKUP($B:$B,'Compilado 2023'!$B:$B,'Compilado 2023'!K:K)</f>
        <v>3829</v>
      </c>
      <c r="L72" s="54">
        <f t="shared" si="32"/>
        <v>3.1862104988247583E-2</v>
      </c>
      <c r="M72" s="149"/>
      <c r="N72" s="106">
        <f>_xlfn.XLOOKUP($B:$B,'Compilado 2023'!$B:$B,'Compilado 2023'!N:N)</f>
        <v>566.54</v>
      </c>
      <c r="O72" s="106">
        <f>_xlfn.XLOOKUP($B:$B,'Compilado 2023'!$B:$B,'Compilado 2023'!O:O)</f>
        <v>702.02</v>
      </c>
      <c r="P72" s="106">
        <f>_xlfn.XLOOKUP($B:$B,'Compilado 2023'!$B:$B,'Compilado 2023'!P:P)</f>
        <v>0</v>
      </c>
      <c r="Q72" s="106">
        <f>_xlfn.XLOOKUP($B:$B,'Compilado 2023'!$B:$B,'Compilado 2023'!Q:Q)</f>
        <v>57.142857142857146</v>
      </c>
      <c r="R72" s="106">
        <f>_xlfn.XLOOKUP($B:$B,'Compilado 2023'!$B:$B,'Compilado 2023'!R:R)</f>
        <v>0</v>
      </c>
      <c r="S72" s="106">
        <f>_xlfn.XLOOKUP($B:$B,'Compilado 2023'!$B:$B,'Compilado 2023'!T:T)</f>
        <v>0</v>
      </c>
      <c r="T72" s="106">
        <f>_xlfn.XLOOKUP($B:$B,'Compilado 2023'!$B:$B,'Compilado 2023'!U:U)</f>
        <v>0</v>
      </c>
      <c r="U72" s="106">
        <f>_xlfn.XLOOKUP($B:$B,'Compilado 2023'!$B:$B,'Compilado 2023'!V:V)</f>
        <v>0</v>
      </c>
      <c r="V72" s="57"/>
      <c r="W72" s="106">
        <f>_xlfn.XLOOKUP($B:$B,'Compilado 2023'!$B:$B,'Compilado 2023'!X:X)</f>
        <v>0</v>
      </c>
      <c r="X72" s="106">
        <f>_xlfn.XLOOKUP($B:$B,'Compilado 2023'!$B:$B,'Compilado 2023'!Y:Y)</f>
        <v>0</v>
      </c>
      <c r="Y72" s="106">
        <f>_xlfn.XLOOKUP($B:$B,'Compilado 2023'!$B:$B,'Compilado 2023'!Z:Z)</f>
        <v>0</v>
      </c>
      <c r="AA72" s="208">
        <v>45116</v>
      </c>
    </row>
    <row r="73" spans="1:27" hidden="1" x14ac:dyDescent="0.2">
      <c r="A73" s="17" t="str">
        <f t="shared" ca="1" si="33"/>
        <v>Realizado</v>
      </c>
      <c r="B73" s="17">
        <v>44602</v>
      </c>
      <c r="C73" s="19">
        <f t="shared" si="28"/>
        <v>32915.71</v>
      </c>
      <c r="D73" s="35">
        <f>_xlfn.XLOOKUP($B:$B,'Compilado 2023'!$B:$B,'Compilado 2023'!D:D)</f>
        <v>32915.71</v>
      </c>
      <c r="E73" s="35">
        <f>_xlfn.XLOOKUP($B:$B,'Compilado 2023'!$B:$B,'Compilado 2023'!E:E)</f>
        <v>0</v>
      </c>
      <c r="F73" s="18">
        <f>_xlfn.XLOOKUP($B:$B,'Compilado 2023'!$B:$B,'Compilado 2023'!F:F)</f>
        <v>111</v>
      </c>
      <c r="G73" s="18">
        <f>_xlfn.XLOOKUP($B:$B,'Compilado 2023'!$B:$B,'Compilado 2023'!G:G)</f>
        <v>127</v>
      </c>
      <c r="H73" s="35">
        <f t="shared" si="29"/>
        <v>296.53792792792791</v>
      </c>
      <c r="I73" s="19">
        <f t="shared" si="30"/>
        <v>1071.2028571428573</v>
      </c>
      <c r="J73" s="122">
        <f t="shared" si="31"/>
        <v>30.72780265709309</v>
      </c>
      <c r="K73" s="18">
        <f>_xlfn.XLOOKUP($B:$B,'Compilado 2023'!$B:$B,'Compilado 2023'!K:K)</f>
        <v>3713</v>
      </c>
      <c r="L73" s="54">
        <f t="shared" si="32"/>
        <v>2.9894963641260437E-2</v>
      </c>
      <c r="M73" s="149"/>
      <c r="N73" s="106">
        <f>_xlfn.XLOOKUP($B:$B,'Compilado 2023'!$B:$B,'Compilado 2023'!N:N)</f>
        <v>588.33000000000004</v>
      </c>
      <c r="O73" s="106">
        <f>_xlfn.XLOOKUP($B:$B,'Compilado 2023'!$B:$B,'Compilado 2023'!O:O)</f>
        <v>425.73</v>
      </c>
      <c r="P73" s="106">
        <f>_xlfn.XLOOKUP($B:$B,'Compilado 2023'!$B:$B,'Compilado 2023'!P:P)</f>
        <v>0</v>
      </c>
      <c r="Q73" s="106">
        <f>_xlfn.XLOOKUP($B:$B,'Compilado 2023'!$B:$B,'Compilado 2023'!Q:Q)</f>
        <v>57.142857142857146</v>
      </c>
      <c r="R73" s="106">
        <f>_xlfn.XLOOKUP($B:$B,'Compilado 2023'!$B:$B,'Compilado 2023'!R:R)</f>
        <v>0</v>
      </c>
      <c r="S73" s="106">
        <f>_xlfn.XLOOKUP($B:$B,'Compilado 2023'!$B:$B,'Compilado 2023'!T:T)</f>
        <v>0</v>
      </c>
      <c r="T73" s="106">
        <f>_xlfn.XLOOKUP($B:$B,'Compilado 2023'!$B:$B,'Compilado 2023'!U:U)</f>
        <v>0</v>
      </c>
      <c r="U73" s="106">
        <f>_xlfn.XLOOKUP($B:$B,'Compilado 2023'!$B:$B,'Compilado 2023'!V:V)</f>
        <v>0</v>
      </c>
      <c r="V73" s="57"/>
      <c r="W73" s="106">
        <f>_xlfn.XLOOKUP($B:$B,'Compilado 2023'!$B:$B,'Compilado 2023'!X:X)</f>
        <v>0</v>
      </c>
      <c r="X73" s="106">
        <f>_xlfn.XLOOKUP($B:$B,'Compilado 2023'!$B:$B,'Compilado 2023'!Y:Y)</f>
        <v>0</v>
      </c>
      <c r="Y73" s="106">
        <f>_xlfn.XLOOKUP($B:$B,'Compilado 2023'!$B:$B,'Compilado 2023'!Z:Z)</f>
        <v>0</v>
      </c>
      <c r="AA73" s="208">
        <v>45117</v>
      </c>
    </row>
    <row r="74" spans="1:27" hidden="1" x14ac:dyDescent="0.2">
      <c r="A74" s="17" t="str">
        <f t="shared" ca="1" si="33"/>
        <v>Realizado</v>
      </c>
      <c r="B74" s="17">
        <v>44603</v>
      </c>
      <c r="C74" s="19">
        <f t="shared" si="28"/>
        <v>35620.560000000005</v>
      </c>
      <c r="D74" s="35">
        <f>_xlfn.XLOOKUP($B:$B,'Compilado 2023'!$B:$B,'Compilado 2023'!D:D)</f>
        <v>35576.080000000002</v>
      </c>
      <c r="E74" s="35">
        <f>_xlfn.XLOOKUP($B:$B,'Compilado 2023'!$B:$B,'Compilado 2023'!E:E)</f>
        <v>44.48</v>
      </c>
      <c r="F74" s="18">
        <f>_xlfn.XLOOKUP($B:$B,'Compilado 2023'!$B:$B,'Compilado 2023'!F:F)</f>
        <v>128</v>
      </c>
      <c r="G74" s="18">
        <f>_xlfn.XLOOKUP($B:$B,'Compilado 2023'!$B:$B,'Compilado 2023'!G:G)</f>
        <v>149</v>
      </c>
      <c r="H74" s="35">
        <f t="shared" si="29"/>
        <v>278.28562500000004</v>
      </c>
      <c r="I74" s="19">
        <f t="shared" si="30"/>
        <v>871.88285714285712</v>
      </c>
      <c r="J74" s="122">
        <f t="shared" si="31"/>
        <v>40.854754406719124</v>
      </c>
      <c r="K74" s="18">
        <f>_xlfn.XLOOKUP($B:$B,'Compilado 2023'!$B:$B,'Compilado 2023'!K:K)</f>
        <v>3532</v>
      </c>
      <c r="L74" s="54">
        <f t="shared" si="32"/>
        <v>3.6240090600226503E-2</v>
      </c>
      <c r="M74" s="149"/>
      <c r="N74" s="106">
        <f>_xlfn.XLOOKUP($B:$B,'Compilado 2023'!$B:$B,'Compilado 2023'!N:N)</f>
        <v>437.91</v>
      </c>
      <c r="O74" s="106">
        <f>_xlfn.XLOOKUP($B:$B,'Compilado 2023'!$B:$B,'Compilado 2023'!O:O)</f>
        <v>376.83</v>
      </c>
      <c r="P74" s="106">
        <f>_xlfn.XLOOKUP($B:$B,'Compilado 2023'!$B:$B,'Compilado 2023'!P:P)</f>
        <v>0</v>
      </c>
      <c r="Q74" s="106">
        <f>_xlfn.XLOOKUP($B:$B,'Compilado 2023'!$B:$B,'Compilado 2023'!Q:Q)</f>
        <v>57.142857142857146</v>
      </c>
      <c r="R74" s="106">
        <f>_xlfn.XLOOKUP($B:$B,'Compilado 2023'!$B:$B,'Compilado 2023'!R:R)</f>
        <v>0</v>
      </c>
      <c r="S74" s="106">
        <f>_xlfn.XLOOKUP($B:$B,'Compilado 2023'!$B:$B,'Compilado 2023'!T:T)</f>
        <v>0</v>
      </c>
      <c r="T74" s="106">
        <f>_xlfn.XLOOKUP($B:$B,'Compilado 2023'!$B:$B,'Compilado 2023'!U:U)</f>
        <v>0</v>
      </c>
      <c r="U74" s="106">
        <f>_xlfn.XLOOKUP($B:$B,'Compilado 2023'!$B:$B,'Compilado 2023'!V:V)</f>
        <v>0</v>
      </c>
      <c r="V74" s="57"/>
      <c r="W74" s="106">
        <f>_xlfn.XLOOKUP($B:$B,'Compilado 2023'!$B:$B,'Compilado 2023'!X:X)</f>
        <v>0</v>
      </c>
      <c r="X74" s="106">
        <f>_xlfn.XLOOKUP($B:$B,'Compilado 2023'!$B:$B,'Compilado 2023'!Y:Y)</f>
        <v>0</v>
      </c>
      <c r="Y74" s="106">
        <f>_xlfn.XLOOKUP($B:$B,'Compilado 2023'!$B:$B,'Compilado 2023'!Z:Z)</f>
        <v>0</v>
      </c>
      <c r="AA74" s="208">
        <v>45118</v>
      </c>
    </row>
    <row r="75" spans="1:27" hidden="1" x14ac:dyDescent="0.2">
      <c r="A75" s="17" t="str">
        <f t="shared" ca="1" si="33"/>
        <v>Realizado</v>
      </c>
      <c r="B75" s="17">
        <v>44604</v>
      </c>
      <c r="C75" s="19">
        <f t="shared" si="28"/>
        <v>24216.17</v>
      </c>
      <c r="D75" s="35">
        <f>_xlfn.XLOOKUP($B:$B,'Compilado 2023'!$B:$B,'Compilado 2023'!D:D)</f>
        <v>24216.17</v>
      </c>
      <c r="E75" s="35">
        <f>_xlfn.XLOOKUP($B:$B,'Compilado 2023'!$B:$B,'Compilado 2023'!E:E)</f>
        <v>0</v>
      </c>
      <c r="F75" s="18">
        <f>_xlfn.XLOOKUP($B:$B,'Compilado 2023'!$B:$B,'Compilado 2023'!F:F)</f>
        <v>86</v>
      </c>
      <c r="G75" s="18">
        <f>_xlfn.XLOOKUP($B:$B,'Compilado 2023'!$B:$B,'Compilado 2023'!G:G)</f>
        <v>94</v>
      </c>
      <c r="H75" s="35">
        <f t="shared" si="29"/>
        <v>281.58337209302323</v>
      </c>
      <c r="I75" s="19">
        <f t="shared" si="30"/>
        <v>810.74285714285713</v>
      </c>
      <c r="J75" s="122">
        <f t="shared" si="31"/>
        <v>29.869112982802367</v>
      </c>
      <c r="K75" s="18">
        <f>_xlfn.XLOOKUP($B:$B,'Compilado 2023'!$B:$B,'Compilado 2023'!K:K)</f>
        <v>2792</v>
      </c>
      <c r="L75" s="54">
        <f t="shared" si="32"/>
        <v>3.0802292263610316E-2</v>
      </c>
      <c r="M75" s="149"/>
      <c r="N75" s="106">
        <f>_xlfn.XLOOKUP($B:$B,'Compilado 2023'!$B:$B,'Compilado 2023'!N:N)</f>
        <v>362.67</v>
      </c>
      <c r="O75" s="106">
        <f>_xlfn.XLOOKUP($B:$B,'Compilado 2023'!$B:$B,'Compilado 2023'!O:O)</f>
        <v>390.93</v>
      </c>
      <c r="P75" s="106">
        <f>_xlfn.XLOOKUP($B:$B,'Compilado 2023'!$B:$B,'Compilado 2023'!P:P)</f>
        <v>0</v>
      </c>
      <c r="Q75" s="106">
        <f>_xlfn.XLOOKUP($B:$B,'Compilado 2023'!$B:$B,'Compilado 2023'!Q:Q)</f>
        <v>57.142857142857146</v>
      </c>
      <c r="R75" s="106">
        <f>_xlfn.XLOOKUP($B:$B,'Compilado 2023'!$B:$B,'Compilado 2023'!R:R)</f>
        <v>0</v>
      </c>
      <c r="S75" s="106">
        <f>_xlfn.XLOOKUP($B:$B,'Compilado 2023'!$B:$B,'Compilado 2023'!T:T)</f>
        <v>0</v>
      </c>
      <c r="T75" s="106">
        <f>_xlfn.XLOOKUP($B:$B,'Compilado 2023'!$B:$B,'Compilado 2023'!U:U)</f>
        <v>0</v>
      </c>
      <c r="U75" s="106">
        <f>_xlfn.XLOOKUP($B:$B,'Compilado 2023'!$B:$B,'Compilado 2023'!V:V)</f>
        <v>0</v>
      </c>
      <c r="V75" s="57"/>
      <c r="W75" s="106">
        <f>_xlfn.XLOOKUP($B:$B,'Compilado 2023'!$B:$B,'Compilado 2023'!X:X)</f>
        <v>0</v>
      </c>
      <c r="X75" s="106">
        <f>_xlfn.XLOOKUP($B:$B,'Compilado 2023'!$B:$B,'Compilado 2023'!Y:Y)</f>
        <v>0</v>
      </c>
      <c r="Y75" s="106">
        <f>_xlfn.XLOOKUP($B:$B,'Compilado 2023'!$B:$B,'Compilado 2023'!Z:Z)</f>
        <v>0</v>
      </c>
      <c r="AA75" s="208">
        <v>45119</v>
      </c>
    </row>
    <row r="76" spans="1:27" hidden="1" x14ac:dyDescent="0.2">
      <c r="A76" s="17" t="str">
        <f t="shared" ca="1" si="33"/>
        <v>Realizado</v>
      </c>
      <c r="B76" s="17">
        <v>44605</v>
      </c>
      <c r="C76" s="19">
        <f t="shared" si="28"/>
        <v>17251.7</v>
      </c>
      <c r="D76" s="35">
        <f>_xlfn.XLOOKUP($B:$B,'Compilado 2023'!$B:$B,'Compilado 2023'!D:D)</f>
        <v>17251.7</v>
      </c>
      <c r="E76" s="35">
        <f>_xlfn.XLOOKUP($B:$B,'Compilado 2023'!$B:$B,'Compilado 2023'!E:E)</f>
        <v>0</v>
      </c>
      <c r="F76" s="18">
        <f>_xlfn.XLOOKUP($B:$B,'Compilado 2023'!$B:$B,'Compilado 2023'!F:F)</f>
        <v>56</v>
      </c>
      <c r="G76" s="18">
        <f>_xlfn.XLOOKUP($B:$B,'Compilado 2023'!$B:$B,'Compilado 2023'!G:G)</f>
        <v>71</v>
      </c>
      <c r="H76" s="35">
        <f t="shared" si="29"/>
        <v>308.06607142857143</v>
      </c>
      <c r="I76" s="19">
        <f t="shared" si="30"/>
        <v>837.42285714285708</v>
      </c>
      <c r="J76" s="122">
        <f t="shared" si="31"/>
        <v>20.600942346928335</v>
      </c>
      <c r="K76" s="18">
        <f>_xlfn.XLOOKUP($B:$B,'Compilado 2023'!$B:$B,'Compilado 2023'!K:K)</f>
        <v>2610</v>
      </c>
      <c r="L76" s="54">
        <f t="shared" si="32"/>
        <v>2.1455938697318006E-2</v>
      </c>
      <c r="M76" s="149"/>
      <c r="N76" s="106">
        <f>_xlfn.XLOOKUP($B:$B,'Compilado 2023'!$B:$B,'Compilado 2023'!N:N)</f>
        <v>394.01</v>
      </c>
      <c r="O76" s="106">
        <f>_xlfn.XLOOKUP($B:$B,'Compilado 2023'!$B:$B,'Compilado 2023'!O:O)</f>
        <v>386.27</v>
      </c>
      <c r="P76" s="106">
        <f>_xlfn.XLOOKUP($B:$B,'Compilado 2023'!$B:$B,'Compilado 2023'!P:P)</f>
        <v>0</v>
      </c>
      <c r="Q76" s="106">
        <f>_xlfn.XLOOKUP($B:$B,'Compilado 2023'!$B:$B,'Compilado 2023'!Q:Q)</f>
        <v>57.142857142857146</v>
      </c>
      <c r="R76" s="106">
        <f>_xlfn.XLOOKUP($B:$B,'Compilado 2023'!$B:$B,'Compilado 2023'!R:R)</f>
        <v>0</v>
      </c>
      <c r="S76" s="106">
        <f>_xlfn.XLOOKUP($B:$B,'Compilado 2023'!$B:$B,'Compilado 2023'!T:T)</f>
        <v>0</v>
      </c>
      <c r="T76" s="106">
        <f>_xlfn.XLOOKUP($B:$B,'Compilado 2023'!$B:$B,'Compilado 2023'!U:U)</f>
        <v>0</v>
      </c>
      <c r="U76" s="106">
        <f>_xlfn.XLOOKUP($B:$B,'Compilado 2023'!$B:$B,'Compilado 2023'!V:V)</f>
        <v>0</v>
      </c>
      <c r="V76" s="57"/>
      <c r="W76" s="106">
        <f>_xlfn.XLOOKUP($B:$B,'Compilado 2023'!$B:$B,'Compilado 2023'!X:X)</f>
        <v>0</v>
      </c>
      <c r="X76" s="106">
        <f>_xlfn.XLOOKUP($B:$B,'Compilado 2023'!$B:$B,'Compilado 2023'!Y:Y)</f>
        <v>0</v>
      </c>
      <c r="Y76" s="106">
        <f>_xlfn.XLOOKUP($B:$B,'Compilado 2023'!$B:$B,'Compilado 2023'!Z:Z)</f>
        <v>0</v>
      </c>
      <c r="AA76" s="208">
        <v>45120</v>
      </c>
    </row>
    <row r="77" spans="1:27" hidden="1" x14ac:dyDescent="0.2">
      <c r="A77" s="17" t="str">
        <f t="shared" ca="1" si="33"/>
        <v>Realizado</v>
      </c>
      <c r="B77" s="17">
        <v>44606</v>
      </c>
      <c r="C77" s="19">
        <f t="shared" si="28"/>
        <v>49152.92</v>
      </c>
      <c r="D77" s="35">
        <f>_xlfn.XLOOKUP($B:$B,'Compilado 2023'!$B:$B,'Compilado 2023'!D:D)</f>
        <v>49152.92</v>
      </c>
      <c r="E77" s="35">
        <f>_xlfn.XLOOKUP($B:$B,'Compilado 2023'!$B:$B,'Compilado 2023'!E:E)</f>
        <v>0</v>
      </c>
      <c r="F77" s="18">
        <f>_xlfn.XLOOKUP($B:$B,'Compilado 2023'!$B:$B,'Compilado 2023'!F:F)</f>
        <v>161</v>
      </c>
      <c r="G77" s="18">
        <f>_xlfn.XLOOKUP($B:$B,'Compilado 2023'!$B:$B,'Compilado 2023'!G:G)</f>
        <v>195</v>
      </c>
      <c r="H77" s="35">
        <f t="shared" si="29"/>
        <v>305.29763975155277</v>
      </c>
      <c r="I77" s="19">
        <f t="shared" si="30"/>
        <v>742.71285714285705</v>
      </c>
      <c r="J77" s="122">
        <f t="shared" si="31"/>
        <v>66.180246547887194</v>
      </c>
      <c r="K77" s="18">
        <f>_xlfn.XLOOKUP($B:$B,'Compilado 2023'!$B:$B,'Compilado 2023'!K:K)</f>
        <v>3802</v>
      </c>
      <c r="L77" s="54">
        <f t="shared" si="32"/>
        <v>4.2346133613887428E-2</v>
      </c>
      <c r="M77" s="149"/>
      <c r="N77" s="106">
        <f>_xlfn.XLOOKUP($B:$B,'Compilado 2023'!$B:$B,'Compilado 2023'!N:N)</f>
        <v>206.89</v>
      </c>
      <c r="O77" s="106">
        <f>_xlfn.XLOOKUP($B:$B,'Compilado 2023'!$B:$B,'Compilado 2023'!O:O)</f>
        <v>478.68</v>
      </c>
      <c r="P77" s="106">
        <f>_xlfn.XLOOKUP($B:$B,'Compilado 2023'!$B:$B,'Compilado 2023'!P:P)</f>
        <v>0</v>
      </c>
      <c r="Q77" s="106">
        <f>_xlfn.XLOOKUP($B:$B,'Compilado 2023'!$B:$B,'Compilado 2023'!Q:Q)</f>
        <v>57.142857142857146</v>
      </c>
      <c r="R77" s="106">
        <f>_xlfn.XLOOKUP($B:$B,'Compilado 2023'!$B:$B,'Compilado 2023'!R:R)</f>
        <v>0</v>
      </c>
      <c r="S77" s="106">
        <f>_xlfn.XLOOKUP($B:$B,'Compilado 2023'!$B:$B,'Compilado 2023'!T:T)</f>
        <v>0</v>
      </c>
      <c r="T77" s="106">
        <f>_xlfn.XLOOKUP($B:$B,'Compilado 2023'!$B:$B,'Compilado 2023'!U:U)</f>
        <v>0</v>
      </c>
      <c r="U77" s="106">
        <f>_xlfn.XLOOKUP($B:$B,'Compilado 2023'!$B:$B,'Compilado 2023'!V:V)</f>
        <v>0</v>
      </c>
      <c r="V77" s="57"/>
      <c r="W77" s="106">
        <f>_xlfn.XLOOKUP($B:$B,'Compilado 2023'!$B:$B,'Compilado 2023'!X:X)</f>
        <v>0</v>
      </c>
      <c r="X77" s="106">
        <f>_xlfn.XLOOKUP($B:$B,'Compilado 2023'!$B:$B,'Compilado 2023'!Y:Y)</f>
        <v>0</v>
      </c>
      <c r="Y77" s="106">
        <f>_xlfn.XLOOKUP($B:$B,'Compilado 2023'!$B:$B,'Compilado 2023'!Z:Z)</f>
        <v>0</v>
      </c>
      <c r="AA77" s="208">
        <v>45121</v>
      </c>
    </row>
    <row r="78" spans="1:27" hidden="1" x14ac:dyDescent="0.2">
      <c r="A78" s="17" t="str">
        <f t="shared" ca="1" si="33"/>
        <v>Realizado</v>
      </c>
      <c r="B78" s="17">
        <v>44607</v>
      </c>
      <c r="C78" s="19">
        <f t="shared" si="28"/>
        <v>37487.620000000003</v>
      </c>
      <c r="D78" s="35">
        <f>_xlfn.XLOOKUP($B:$B,'Compilado 2023'!$B:$B,'Compilado 2023'!D:D)</f>
        <v>37487.620000000003</v>
      </c>
      <c r="E78" s="35">
        <f>_xlfn.XLOOKUP($B:$B,'Compilado 2023'!$B:$B,'Compilado 2023'!E:E)</f>
        <v>0</v>
      </c>
      <c r="F78" s="18">
        <f>_xlfn.XLOOKUP($B:$B,'Compilado 2023'!$B:$B,'Compilado 2023'!F:F)</f>
        <v>118</v>
      </c>
      <c r="G78" s="18">
        <f>_xlfn.XLOOKUP($B:$B,'Compilado 2023'!$B:$B,'Compilado 2023'!G:G)</f>
        <v>150</v>
      </c>
      <c r="H78" s="35">
        <f t="shared" si="29"/>
        <v>317.69169491525423</v>
      </c>
      <c r="I78" s="19">
        <f t="shared" si="30"/>
        <v>536.46285714285716</v>
      </c>
      <c r="J78" s="122">
        <f t="shared" si="31"/>
        <v>69.879246066829282</v>
      </c>
      <c r="K78" s="18">
        <f>_xlfn.XLOOKUP($B:$B,'Compilado 2023'!$B:$B,'Compilado 2023'!K:K)</f>
        <v>3685</v>
      </c>
      <c r="L78" s="54">
        <f t="shared" si="32"/>
        <v>3.2021709633649934E-2</v>
      </c>
      <c r="M78" s="149"/>
      <c r="N78" s="106">
        <f>_xlfn.XLOOKUP($B:$B,'Compilado 2023'!$B:$B,'Compilado 2023'!N:N)</f>
        <v>0</v>
      </c>
      <c r="O78" s="106">
        <f>_xlfn.XLOOKUP($B:$B,'Compilado 2023'!$B:$B,'Compilado 2023'!O:O)</f>
        <v>479.32</v>
      </c>
      <c r="P78" s="106">
        <f>_xlfn.XLOOKUP($B:$B,'Compilado 2023'!$B:$B,'Compilado 2023'!P:P)</f>
        <v>0</v>
      </c>
      <c r="Q78" s="106">
        <f>_xlfn.XLOOKUP($B:$B,'Compilado 2023'!$B:$B,'Compilado 2023'!Q:Q)</f>
        <v>57.142857142857146</v>
      </c>
      <c r="R78" s="106">
        <f>_xlfn.XLOOKUP($B:$B,'Compilado 2023'!$B:$B,'Compilado 2023'!R:R)</f>
        <v>0</v>
      </c>
      <c r="S78" s="106">
        <f>_xlfn.XLOOKUP($B:$B,'Compilado 2023'!$B:$B,'Compilado 2023'!T:T)</f>
        <v>0</v>
      </c>
      <c r="T78" s="106">
        <f>_xlfn.XLOOKUP($B:$B,'Compilado 2023'!$B:$B,'Compilado 2023'!U:U)</f>
        <v>0</v>
      </c>
      <c r="U78" s="106">
        <f>_xlfn.XLOOKUP($B:$B,'Compilado 2023'!$B:$B,'Compilado 2023'!V:V)</f>
        <v>0</v>
      </c>
      <c r="V78" s="57"/>
      <c r="W78" s="106">
        <f>_xlfn.XLOOKUP($B:$B,'Compilado 2023'!$B:$B,'Compilado 2023'!X:X)</f>
        <v>0</v>
      </c>
      <c r="X78" s="106">
        <f>_xlfn.XLOOKUP($B:$B,'Compilado 2023'!$B:$B,'Compilado 2023'!Y:Y)</f>
        <v>0</v>
      </c>
      <c r="Y78" s="106">
        <f>_xlfn.XLOOKUP($B:$B,'Compilado 2023'!$B:$B,'Compilado 2023'!Z:Z)</f>
        <v>0</v>
      </c>
      <c r="AA78" s="208">
        <v>45122</v>
      </c>
    </row>
    <row r="79" spans="1:27" hidden="1" x14ac:dyDescent="0.2">
      <c r="A79" s="17" t="str">
        <f t="shared" ca="1" si="33"/>
        <v>Realizado</v>
      </c>
      <c r="B79" s="17">
        <v>44608</v>
      </c>
      <c r="C79" s="19">
        <f t="shared" si="28"/>
        <v>34466.01</v>
      </c>
      <c r="D79" s="35">
        <f>_xlfn.XLOOKUP($B:$B,'Compilado 2023'!$B:$B,'Compilado 2023'!D:D)</f>
        <v>34466.01</v>
      </c>
      <c r="E79" s="35">
        <f>_xlfn.XLOOKUP($B:$B,'Compilado 2023'!$B:$B,'Compilado 2023'!E:E)</f>
        <v>0</v>
      </c>
      <c r="F79" s="18">
        <f>_xlfn.XLOOKUP($B:$B,'Compilado 2023'!$B:$B,'Compilado 2023'!F:F)</f>
        <v>119</v>
      </c>
      <c r="G79" s="18">
        <f>_xlfn.XLOOKUP($B:$B,'Compilado 2023'!$B:$B,'Compilado 2023'!G:G)</f>
        <v>131</v>
      </c>
      <c r="H79" s="35">
        <f t="shared" si="29"/>
        <v>289.63033613445378</v>
      </c>
      <c r="I79" s="19">
        <f t="shared" si="30"/>
        <v>1021.7628571428571</v>
      </c>
      <c r="J79" s="122">
        <f t="shared" si="31"/>
        <v>33.731907319842179</v>
      </c>
      <c r="K79" s="18">
        <f>_xlfn.XLOOKUP($B:$B,'Compilado 2023'!$B:$B,'Compilado 2023'!K:K)</f>
        <v>3950</v>
      </c>
      <c r="L79" s="54">
        <f t="shared" si="32"/>
        <v>3.0126582278481012E-2</v>
      </c>
      <c r="M79" s="149"/>
      <c r="N79" s="106">
        <f>_xlfn.XLOOKUP($B:$B,'Compilado 2023'!$B:$B,'Compilado 2023'!N:N)</f>
        <v>462.14</v>
      </c>
      <c r="O79" s="106">
        <f>_xlfn.XLOOKUP($B:$B,'Compilado 2023'!$B:$B,'Compilado 2023'!O:O)</f>
        <v>502.48</v>
      </c>
      <c r="P79" s="106">
        <f>_xlfn.XLOOKUP($B:$B,'Compilado 2023'!$B:$B,'Compilado 2023'!P:P)</f>
        <v>0</v>
      </c>
      <c r="Q79" s="106">
        <f>_xlfn.XLOOKUP($B:$B,'Compilado 2023'!$B:$B,'Compilado 2023'!Q:Q)</f>
        <v>57.142857142857146</v>
      </c>
      <c r="R79" s="106">
        <f>_xlfn.XLOOKUP($B:$B,'Compilado 2023'!$B:$B,'Compilado 2023'!R:R)</f>
        <v>0</v>
      </c>
      <c r="S79" s="106">
        <f>_xlfn.XLOOKUP($B:$B,'Compilado 2023'!$B:$B,'Compilado 2023'!T:T)</f>
        <v>0</v>
      </c>
      <c r="T79" s="106">
        <f>_xlfn.XLOOKUP($B:$B,'Compilado 2023'!$B:$B,'Compilado 2023'!U:U)</f>
        <v>0</v>
      </c>
      <c r="U79" s="106">
        <f>_xlfn.XLOOKUP($B:$B,'Compilado 2023'!$B:$B,'Compilado 2023'!V:V)</f>
        <v>0</v>
      </c>
      <c r="V79" s="57"/>
      <c r="W79" s="106">
        <f>_xlfn.XLOOKUP($B:$B,'Compilado 2023'!$B:$B,'Compilado 2023'!X:X)</f>
        <v>0</v>
      </c>
      <c r="X79" s="106">
        <f>_xlfn.XLOOKUP($B:$B,'Compilado 2023'!$B:$B,'Compilado 2023'!Y:Y)</f>
        <v>0</v>
      </c>
      <c r="Y79" s="106">
        <f>_xlfn.XLOOKUP($B:$B,'Compilado 2023'!$B:$B,'Compilado 2023'!Z:Z)</f>
        <v>0</v>
      </c>
      <c r="AA79" s="208">
        <v>45123</v>
      </c>
    </row>
    <row r="80" spans="1:27" hidden="1" x14ac:dyDescent="0.2">
      <c r="A80" s="17" t="str">
        <f t="shared" ca="1" si="33"/>
        <v>Realizado</v>
      </c>
      <c r="B80" s="17">
        <v>44609</v>
      </c>
      <c r="C80" s="19">
        <f t="shared" si="28"/>
        <v>48035.64</v>
      </c>
      <c r="D80" s="35">
        <f>_xlfn.XLOOKUP($B:$B,'Compilado 2023'!$B:$B,'Compilado 2023'!D:D)</f>
        <v>48035.64</v>
      </c>
      <c r="E80" s="35">
        <f>_xlfn.XLOOKUP($B:$B,'Compilado 2023'!$B:$B,'Compilado 2023'!E:E)</f>
        <v>0</v>
      </c>
      <c r="F80" s="18">
        <f>_xlfn.XLOOKUP($B:$B,'Compilado 2023'!$B:$B,'Compilado 2023'!F:F)</f>
        <v>146</v>
      </c>
      <c r="G80" s="18">
        <f>_xlfn.XLOOKUP($B:$B,'Compilado 2023'!$B:$B,'Compilado 2023'!G:G)</f>
        <v>200</v>
      </c>
      <c r="H80" s="35">
        <f t="shared" si="29"/>
        <v>329.01123287671231</v>
      </c>
      <c r="I80" s="19">
        <f t="shared" si="30"/>
        <v>1322.972857142857</v>
      </c>
      <c r="J80" s="122">
        <f t="shared" si="31"/>
        <v>36.308862831652959</v>
      </c>
      <c r="K80" s="18">
        <f>_xlfn.XLOOKUP($B:$B,'Compilado 2023'!$B:$B,'Compilado 2023'!K:K)</f>
        <v>3982</v>
      </c>
      <c r="L80" s="54">
        <f t="shared" si="32"/>
        <v>3.6664992466097439E-2</v>
      </c>
      <c r="M80" s="149"/>
      <c r="N80" s="106">
        <f>_xlfn.XLOOKUP($B:$B,'Compilado 2023'!$B:$B,'Compilado 2023'!N:N)</f>
        <v>757.83</v>
      </c>
      <c r="O80" s="106">
        <f>_xlfn.XLOOKUP($B:$B,'Compilado 2023'!$B:$B,'Compilado 2023'!O:O)</f>
        <v>508</v>
      </c>
      <c r="P80" s="106">
        <f>_xlfn.XLOOKUP($B:$B,'Compilado 2023'!$B:$B,'Compilado 2023'!P:P)</f>
        <v>0</v>
      </c>
      <c r="Q80" s="106">
        <f>_xlfn.XLOOKUP($B:$B,'Compilado 2023'!$B:$B,'Compilado 2023'!Q:Q)</f>
        <v>57.142857142857146</v>
      </c>
      <c r="R80" s="106">
        <f>_xlfn.XLOOKUP($B:$B,'Compilado 2023'!$B:$B,'Compilado 2023'!R:R)</f>
        <v>0</v>
      </c>
      <c r="S80" s="106">
        <f>_xlfn.XLOOKUP($B:$B,'Compilado 2023'!$B:$B,'Compilado 2023'!T:T)</f>
        <v>0</v>
      </c>
      <c r="T80" s="106">
        <f>_xlfn.XLOOKUP($B:$B,'Compilado 2023'!$B:$B,'Compilado 2023'!U:U)</f>
        <v>0</v>
      </c>
      <c r="U80" s="106">
        <f>_xlfn.XLOOKUP($B:$B,'Compilado 2023'!$B:$B,'Compilado 2023'!V:V)</f>
        <v>0</v>
      </c>
      <c r="V80" s="57"/>
      <c r="W80" s="106">
        <f>_xlfn.XLOOKUP($B:$B,'Compilado 2023'!$B:$B,'Compilado 2023'!X:X)</f>
        <v>0</v>
      </c>
      <c r="X80" s="106">
        <f>_xlfn.XLOOKUP($B:$B,'Compilado 2023'!$B:$B,'Compilado 2023'!Y:Y)</f>
        <v>0</v>
      </c>
      <c r="Y80" s="106">
        <f>_xlfn.XLOOKUP($B:$B,'Compilado 2023'!$B:$B,'Compilado 2023'!Z:Z)</f>
        <v>0</v>
      </c>
      <c r="AA80" s="208">
        <v>45124</v>
      </c>
    </row>
    <row r="81" spans="1:27" hidden="1" x14ac:dyDescent="0.2">
      <c r="A81" s="17" t="str">
        <f t="shared" ca="1" si="33"/>
        <v>Realizado</v>
      </c>
      <c r="B81" s="17">
        <v>44610</v>
      </c>
      <c r="C81" s="19">
        <f t="shared" si="28"/>
        <v>48224.450000000004</v>
      </c>
      <c r="D81" s="35">
        <f>_xlfn.XLOOKUP($B:$B,'Compilado 2023'!$B:$B,'Compilado 2023'!D:D)</f>
        <v>48202.37</v>
      </c>
      <c r="E81" s="35">
        <f>_xlfn.XLOOKUP($B:$B,'Compilado 2023'!$B:$B,'Compilado 2023'!E:E)</f>
        <v>22.08</v>
      </c>
      <c r="F81" s="18">
        <f>_xlfn.XLOOKUP($B:$B,'Compilado 2023'!$B:$B,'Compilado 2023'!F:F)</f>
        <v>163</v>
      </c>
      <c r="G81" s="18">
        <f>_xlfn.XLOOKUP($B:$B,'Compilado 2023'!$B:$B,'Compilado 2023'!G:G)</f>
        <v>194</v>
      </c>
      <c r="H81" s="35">
        <f t="shared" si="29"/>
        <v>295.85552147239264</v>
      </c>
      <c r="I81" s="19">
        <f t="shared" si="30"/>
        <v>1087.972857142857</v>
      </c>
      <c r="J81" s="122">
        <f t="shared" si="31"/>
        <v>44.32504881292995</v>
      </c>
      <c r="K81" s="18">
        <f>_xlfn.XLOOKUP($B:$B,'Compilado 2023'!$B:$B,'Compilado 2023'!K:K)</f>
        <v>3717</v>
      </c>
      <c r="L81" s="54">
        <f t="shared" si="32"/>
        <v>4.385256927629809E-2</v>
      </c>
      <c r="M81" s="149"/>
      <c r="N81" s="106">
        <f>_xlfn.XLOOKUP($B:$B,'Compilado 2023'!$B:$B,'Compilado 2023'!N:N)</f>
        <v>606.80999999999995</v>
      </c>
      <c r="O81" s="106">
        <f>_xlfn.XLOOKUP($B:$B,'Compilado 2023'!$B:$B,'Compilado 2023'!O:O)</f>
        <v>424.02</v>
      </c>
      <c r="P81" s="106">
        <f>_xlfn.XLOOKUP($B:$B,'Compilado 2023'!$B:$B,'Compilado 2023'!P:P)</f>
        <v>0</v>
      </c>
      <c r="Q81" s="106">
        <f>_xlfn.XLOOKUP($B:$B,'Compilado 2023'!$B:$B,'Compilado 2023'!Q:Q)</f>
        <v>57.142857142857146</v>
      </c>
      <c r="R81" s="106">
        <f>_xlfn.XLOOKUP($B:$B,'Compilado 2023'!$B:$B,'Compilado 2023'!R:R)</f>
        <v>0</v>
      </c>
      <c r="S81" s="106">
        <f>_xlfn.XLOOKUP($B:$B,'Compilado 2023'!$B:$B,'Compilado 2023'!T:T)</f>
        <v>0</v>
      </c>
      <c r="T81" s="106">
        <f>_xlfn.XLOOKUP($B:$B,'Compilado 2023'!$B:$B,'Compilado 2023'!U:U)</f>
        <v>0</v>
      </c>
      <c r="U81" s="106">
        <f>_xlfn.XLOOKUP($B:$B,'Compilado 2023'!$B:$B,'Compilado 2023'!V:V)</f>
        <v>0</v>
      </c>
      <c r="V81" s="57"/>
      <c r="W81" s="106">
        <f>_xlfn.XLOOKUP($B:$B,'Compilado 2023'!$B:$B,'Compilado 2023'!X:X)</f>
        <v>0</v>
      </c>
      <c r="X81" s="106">
        <f>_xlfn.XLOOKUP($B:$B,'Compilado 2023'!$B:$B,'Compilado 2023'!Y:Y)</f>
        <v>0</v>
      </c>
      <c r="Y81" s="106">
        <f>_xlfn.XLOOKUP($B:$B,'Compilado 2023'!$B:$B,'Compilado 2023'!Z:Z)</f>
        <v>0</v>
      </c>
      <c r="AA81" s="208">
        <v>45125</v>
      </c>
    </row>
    <row r="82" spans="1:27" hidden="1" x14ac:dyDescent="0.2">
      <c r="A82" s="17" t="str">
        <f t="shared" ca="1" si="33"/>
        <v>Realizado</v>
      </c>
      <c r="B82" s="17">
        <v>44611</v>
      </c>
      <c r="C82" s="19">
        <f t="shared" si="28"/>
        <v>22149.7</v>
      </c>
      <c r="D82" s="35">
        <f>_xlfn.XLOOKUP($B:$B,'Compilado 2023'!$B:$B,'Compilado 2023'!D:D)</f>
        <v>22149.7</v>
      </c>
      <c r="E82" s="35">
        <f>_xlfn.XLOOKUP($B:$B,'Compilado 2023'!$B:$B,'Compilado 2023'!E:E)</f>
        <v>0</v>
      </c>
      <c r="F82" s="18">
        <f>_xlfn.XLOOKUP($B:$B,'Compilado 2023'!$B:$B,'Compilado 2023'!F:F)</f>
        <v>77</v>
      </c>
      <c r="G82" s="18">
        <f>_xlfn.XLOOKUP($B:$B,'Compilado 2023'!$B:$B,'Compilado 2023'!G:G)</f>
        <v>93</v>
      </c>
      <c r="H82" s="35">
        <f t="shared" si="29"/>
        <v>287.65844155844155</v>
      </c>
      <c r="I82" s="19">
        <f t="shared" si="30"/>
        <v>935.07285714285717</v>
      </c>
      <c r="J82" s="122">
        <f t="shared" si="31"/>
        <v>23.687672923882172</v>
      </c>
      <c r="K82" s="18">
        <f>_xlfn.XLOOKUP($B:$B,'Compilado 2023'!$B:$B,'Compilado 2023'!K:K)</f>
        <v>2874</v>
      </c>
      <c r="L82" s="54">
        <f t="shared" si="32"/>
        <v>2.6791927627000695E-2</v>
      </c>
      <c r="M82" s="149"/>
      <c r="N82" s="106">
        <f>_xlfn.XLOOKUP($B:$B,'Compilado 2023'!$B:$B,'Compilado 2023'!N:N)</f>
        <v>444.23</v>
      </c>
      <c r="O82" s="106">
        <f>_xlfn.XLOOKUP($B:$B,'Compilado 2023'!$B:$B,'Compilado 2023'!O:O)</f>
        <v>433.7</v>
      </c>
      <c r="P82" s="106">
        <f>_xlfn.XLOOKUP($B:$B,'Compilado 2023'!$B:$B,'Compilado 2023'!P:P)</f>
        <v>0</v>
      </c>
      <c r="Q82" s="106">
        <f>_xlfn.XLOOKUP($B:$B,'Compilado 2023'!$B:$B,'Compilado 2023'!Q:Q)</f>
        <v>57.142857142857146</v>
      </c>
      <c r="R82" s="106">
        <f>_xlfn.XLOOKUP($B:$B,'Compilado 2023'!$B:$B,'Compilado 2023'!R:R)</f>
        <v>0</v>
      </c>
      <c r="S82" s="106">
        <f>_xlfn.XLOOKUP($B:$B,'Compilado 2023'!$B:$B,'Compilado 2023'!T:T)</f>
        <v>0</v>
      </c>
      <c r="T82" s="106">
        <f>_xlfn.XLOOKUP($B:$B,'Compilado 2023'!$B:$B,'Compilado 2023'!U:U)</f>
        <v>0</v>
      </c>
      <c r="U82" s="106">
        <f>_xlfn.XLOOKUP($B:$B,'Compilado 2023'!$B:$B,'Compilado 2023'!V:V)</f>
        <v>0</v>
      </c>
      <c r="V82" s="57"/>
      <c r="W82" s="106">
        <f>_xlfn.XLOOKUP($B:$B,'Compilado 2023'!$B:$B,'Compilado 2023'!X:X)</f>
        <v>0</v>
      </c>
      <c r="X82" s="106">
        <f>_xlfn.XLOOKUP($B:$B,'Compilado 2023'!$B:$B,'Compilado 2023'!Y:Y)</f>
        <v>0</v>
      </c>
      <c r="Y82" s="106">
        <f>_xlfn.XLOOKUP($B:$B,'Compilado 2023'!$B:$B,'Compilado 2023'!Z:Z)</f>
        <v>0</v>
      </c>
      <c r="AA82" s="208">
        <v>45126</v>
      </c>
    </row>
    <row r="83" spans="1:27" hidden="1" x14ac:dyDescent="0.2">
      <c r="A83" s="17" t="str">
        <f t="shared" ca="1" si="33"/>
        <v>Realizado</v>
      </c>
      <c r="B83" s="17">
        <v>44612</v>
      </c>
      <c r="C83" s="19">
        <f t="shared" si="28"/>
        <v>18486.900000000001</v>
      </c>
      <c r="D83" s="35">
        <f>_xlfn.XLOOKUP($B:$B,'Compilado 2023'!$B:$B,'Compilado 2023'!D:D)</f>
        <v>18486.900000000001</v>
      </c>
      <c r="E83" s="35">
        <f>_xlfn.XLOOKUP($B:$B,'Compilado 2023'!$B:$B,'Compilado 2023'!E:E)</f>
        <v>0</v>
      </c>
      <c r="F83" s="18">
        <f>_xlfn.XLOOKUP($B:$B,'Compilado 2023'!$B:$B,'Compilado 2023'!F:F)</f>
        <v>67</v>
      </c>
      <c r="G83" s="18">
        <f>_xlfn.XLOOKUP($B:$B,'Compilado 2023'!$B:$B,'Compilado 2023'!G:G)</f>
        <v>76</v>
      </c>
      <c r="H83" s="35">
        <f t="shared" si="29"/>
        <v>275.92388059701494</v>
      </c>
      <c r="I83" s="19">
        <f t="shared" si="30"/>
        <v>954.74285714285702</v>
      </c>
      <c r="J83" s="122">
        <f t="shared" si="31"/>
        <v>19.363224203974148</v>
      </c>
      <c r="K83" s="18">
        <f>_xlfn.XLOOKUP($B:$B,'Compilado 2023'!$B:$B,'Compilado 2023'!K:K)</f>
        <v>2702</v>
      </c>
      <c r="L83" s="54">
        <f t="shared" si="32"/>
        <v>2.4796447076239823E-2</v>
      </c>
      <c r="M83" s="149"/>
      <c r="N83" s="106">
        <f>_xlfn.XLOOKUP($B:$B,'Compilado 2023'!$B:$B,'Compilado 2023'!N:N)</f>
        <v>458.07</v>
      </c>
      <c r="O83" s="106">
        <f>_xlfn.XLOOKUP($B:$B,'Compilado 2023'!$B:$B,'Compilado 2023'!O:O)</f>
        <v>439.53</v>
      </c>
      <c r="P83" s="106">
        <f>_xlfn.XLOOKUP($B:$B,'Compilado 2023'!$B:$B,'Compilado 2023'!P:P)</f>
        <v>0</v>
      </c>
      <c r="Q83" s="106">
        <f>_xlfn.XLOOKUP($B:$B,'Compilado 2023'!$B:$B,'Compilado 2023'!Q:Q)</f>
        <v>57.142857142857146</v>
      </c>
      <c r="R83" s="106">
        <f>_xlfn.XLOOKUP($B:$B,'Compilado 2023'!$B:$B,'Compilado 2023'!R:R)</f>
        <v>0</v>
      </c>
      <c r="S83" s="106">
        <f>_xlfn.XLOOKUP($B:$B,'Compilado 2023'!$B:$B,'Compilado 2023'!T:T)</f>
        <v>0</v>
      </c>
      <c r="T83" s="106">
        <f>_xlfn.XLOOKUP($B:$B,'Compilado 2023'!$B:$B,'Compilado 2023'!U:U)</f>
        <v>0</v>
      </c>
      <c r="U83" s="106">
        <f>_xlfn.XLOOKUP($B:$B,'Compilado 2023'!$B:$B,'Compilado 2023'!V:V)</f>
        <v>0</v>
      </c>
      <c r="V83" s="57"/>
      <c r="W83" s="106">
        <f>_xlfn.XLOOKUP($B:$B,'Compilado 2023'!$B:$B,'Compilado 2023'!X:X)</f>
        <v>0</v>
      </c>
      <c r="X83" s="106">
        <f>_xlfn.XLOOKUP($B:$B,'Compilado 2023'!$B:$B,'Compilado 2023'!Y:Y)</f>
        <v>0</v>
      </c>
      <c r="Y83" s="106">
        <f>_xlfn.XLOOKUP($B:$B,'Compilado 2023'!$B:$B,'Compilado 2023'!Z:Z)</f>
        <v>0</v>
      </c>
      <c r="AA83" s="208">
        <v>45127</v>
      </c>
    </row>
    <row r="84" spans="1:27" hidden="1" x14ac:dyDescent="0.2">
      <c r="A84" s="17" t="str">
        <f t="shared" ca="1" si="33"/>
        <v>Realizado</v>
      </c>
      <c r="B84" s="17">
        <v>44613</v>
      </c>
      <c r="C84" s="19">
        <f t="shared" si="28"/>
        <v>29771.11</v>
      </c>
      <c r="D84" s="35">
        <f>_xlfn.XLOOKUP($B:$B,'Compilado 2023'!$B:$B,'Compilado 2023'!D:D)</f>
        <v>29736.11</v>
      </c>
      <c r="E84" s="35">
        <f>_xlfn.XLOOKUP($B:$B,'Compilado 2023'!$B:$B,'Compilado 2023'!E:E)</f>
        <v>35</v>
      </c>
      <c r="F84" s="18">
        <f>_xlfn.XLOOKUP($B:$B,'Compilado 2023'!$B:$B,'Compilado 2023'!F:F)</f>
        <v>115</v>
      </c>
      <c r="G84" s="18">
        <f>_xlfn.XLOOKUP($B:$B,'Compilado 2023'!$B:$B,'Compilado 2023'!G:G)</f>
        <v>130</v>
      </c>
      <c r="H84" s="35">
        <f t="shared" si="29"/>
        <v>258.87921739130434</v>
      </c>
      <c r="I84" s="19">
        <f t="shared" si="30"/>
        <v>1146.6828571428571</v>
      </c>
      <c r="J84" s="122">
        <f t="shared" si="31"/>
        <v>25.962810741044358</v>
      </c>
      <c r="K84" s="18">
        <f>_xlfn.XLOOKUP($B:$B,'Compilado 2023'!$B:$B,'Compilado 2023'!K:K)</f>
        <v>3943</v>
      </c>
      <c r="L84" s="54">
        <f t="shared" si="32"/>
        <v>2.916560994166878E-2</v>
      </c>
      <c r="M84" s="149"/>
      <c r="N84" s="106">
        <f>_xlfn.XLOOKUP($B:$B,'Compilado 2023'!$B:$B,'Compilado 2023'!N:N)</f>
        <v>616.54</v>
      </c>
      <c r="O84" s="106">
        <f>_xlfn.XLOOKUP($B:$B,'Compilado 2023'!$B:$B,'Compilado 2023'!O:O)</f>
        <v>473</v>
      </c>
      <c r="P84" s="106">
        <f>_xlfn.XLOOKUP($B:$B,'Compilado 2023'!$B:$B,'Compilado 2023'!P:P)</f>
        <v>0</v>
      </c>
      <c r="Q84" s="106">
        <f>_xlfn.XLOOKUP($B:$B,'Compilado 2023'!$B:$B,'Compilado 2023'!Q:Q)</f>
        <v>57.142857142857146</v>
      </c>
      <c r="R84" s="106">
        <f>_xlfn.XLOOKUP($B:$B,'Compilado 2023'!$B:$B,'Compilado 2023'!R:R)</f>
        <v>0</v>
      </c>
      <c r="S84" s="106">
        <f>_xlfn.XLOOKUP($B:$B,'Compilado 2023'!$B:$B,'Compilado 2023'!T:T)</f>
        <v>0</v>
      </c>
      <c r="T84" s="106">
        <f>_xlfn.XLOOKUP($B:$B,'Compilado 2023'!$B:$B,'Compilado 2023'!U:U)</f>
        <v>0</v>
      </c>
      <c r="U84" s="106">
        <f>_xlfn.XLOOKUP($B:$B,'Compilado 2023'!$B:$B,'Compilado 2023'!V:V)</f>
        <v>0</v>
      </c>
      <c r="V84" s="57"/>
      <c r="W84" s="106">
        <f>_xlfn.XLOOKUP($B:$B,'Compilado 2023'!$B:$B,'Compilado 2023'!X:X)</f>
        <v>0</v>
      </c>
      <c r="X84" s="106">
        <f>_xlfn.XLOOKUP($B:$B,'Compilado 2023'!$B:$B,'Compilado 2023'!Y:Y)</f>
        <v>0</v>
      </c>
      <c r="Y84" s="106">
        <f>_xlfn.XLOOKUP($B:$B,'Compilado 2023'!$B:$B,'Compilado 2023'!Z:Z)</f>
        <v>0</v>
      </c>
      <c r="AA84" s="208">
        <v>45128</v>
      </c>
    </row>
    <row r="85" spans="1:27" hidden="1" x14ac:dyDescent="0.2">
      <c r="A85" s="17" t="str">
        <f t="shared" ca="1" si="33"/>
        <v>Realizado</v>
      </c>
      <c r="B85" s="17">
        <v>44614</v>
      </c>
      <c r="C85" s="19">
        <f t="shared" si="28"/>
        <v>41774.85</v>
      </c>
      <c r="D85" s="35">
        <f>_xlfn.XLOOKUP($B:$B,'Compilado 2023'!$B:$B,'Compilado 2023'!D:D)</f>
        <v>41774.85</v>
      </c>
      <c r="E85" s="35">
        <f>_xlfn.XLOOKUP($B:$B,'Compilado 2023'!$B:$B,'Compilado 2023'!E:E)</f>
        <v>0</v>
      </c>
      <c r="F85" s="18">
        <f>_xlfn.XLOOKUP($B:$B,'Compilado 2023'!$B:$B,'Compilado 2023'!F:F)</f>
        <v>135</v>
      </c>
      <c r="G85" s="18">
        <f>_xlfn.XLOOKUP($B:$B,'Compilado 2023'!$B:$B,'Compilado 2023'!G:G)</f>
        <v>153</v>
      </c>
      <c r="H85" s="35">
        <f t="shared" si="29"/>
        <v>309.44333333333333</v>
      </c>
      <c r="I85" s="19">
        <f t="shared" si="30"/>
        <v>1165.1928571428571</v>
      </c>
      <c r="J85" s="122">
        <f t="shared" si="31"/>
        <v>35.85230525909261</v>
      </c>
      <c r="K85" s="18">
        <f>_xlfn.XLOOKUP($B:$B,'Compilado 2023'!$B:$B,'Compilado 2023'!K:K)</f>
        <v>4392</v>
      </c>
      <c r="L85" s="54">
        <f t="shared" si="32"/>
        <v>3.0737704918032786E-2</v>
      </c>
      <c r="M85" s="149"/>
      <c r="N85" s="106">
        <f>_xlfn.XLOOKUP($B:$B,'Compilado 2023'!$B:$B,'Compilado 2023'!N:N)</f>
        <v>563.65</v>
      </c>
      <c r="O85" s="106">
        <f>_xlfn.XLOOKUP($B:$B,'Compilado 2023'!$B:$B,'Compilado 2023'!O:O)</f>
        <v>544.4</v>
      </c>
      <c r="P85" s="106">
        <f>_xlfn.XLOOKUP($B:$B,'Compilado 2023'!$B:$B,'Compilado 2023'!P:P)</f>
        <v>0</v>
      </c>
      <c r="Q85" s="106">
        <f>_xlfn.XLOOKUP($B:$B,'Compilado 2023'!$B:$B,'Compilado 2023'!Q:Q)</f>
        <v>57.142857142857146</v>
      </c>
      <c r="R85" s="106">
        <f>_xlfn.XLOOKUP($B:$B,'Compilado 2023'!$B:$B,'Compilado 2023'!R:R)</f>
        <v>0</v>
      </c>
      <c r="S85" s="106">
        <f>_xlfn.XLOOKUP($B:$B,'Compilado 2023'!$B:$B,'Compilado 2023'!T:T)</f>
        <v>0</v>
      </c>
      <c r="T85" s="106">
        <f>_xlfn.XLOOKUP($B:$B,'Compilado 2023'!$B:$B,'Compilado 2023'!U:U)</f>
        <v>0</v>
      </c>
      <c r="U85" s="106">
        <f>_xlfn.XLOOKUP($B:$B,'Compilado 2023'!$B:$B,'Compilado 2023'!V:V)</f>
        <v>0</v>
      </c>
      <c r="V85" s="57"/>
      <c r="W85" s="106">
        <f>_xlfn.XLOOKUP($B:$B,'Compilado 2023'!$B:$B,'Compilado 2023'!X:X)</f>
        <v>0</v>
      </c>
      <c r="X85" s="106">
        <f>_xlfn.XLOOKUP($B:$B,'Compilado 2023'!$B:$B,'Compilado 2023'!Y:Y)</f>
        <v>0</v>
      </c>
      <c r="Y85" s="106">
        <f>_xlfn.XLOOKUP($B:$B,'Compilado 2023'!$B:$B,'Compilado 2023'!Z:Z)</f>
        <v>0</v>
      </c>
      <c r="AA85" s="208">
        <v>45129</v>
      </c>
    </row>
    <row r="86" spans="1:27" hidden="1" x14ac:dyDescent="0.2">
      <c r="A86" s="17" t="str">
        <f t="shared" ca="1" si="33"/>
        <v>Realizado</v>
      </c>
      <c r="B86" s="17">
        <v>44615</v>
      </c>
      <c r="C86" s="19">
        <f t="shared" si="28"/>
        <v>36378.120000000003</v>
      </c>
      <c r="D86" s="35">
        <f>_xlfn.XLOOKUP($B:$B,'Compilado 2023'!$B:$B,'Compilado 2023'!D:D)</f>
        <v>36378.120000000003</v>
      </c>
      <c r="E86" s="35">
        <f>_xlfn.XLOOKUP($B:$B,'Compilado 2023'!$B:$B,'Compilado 2023'!E:E)</f>
        <v>0</v>
      </c>
      <c r="F86" s="18">
        <f>_xlfn.XLOOKUP($B:$B,'Compilado 2023'!$B:$B,'Compilado 2023'!F:F)</f>
        <v>133</v>
      </c>
      <c r="G86" s="18">
        <f>_xlfn.XLOOKUP($B:$B,'Compilado 2023'!$B:$B,'Compilado 2023'!G:G)</f>
        <v>156</v>
      </c>
      <c r="H86" s="35">
        <f t="shared" si="29"/>
        <v>273.51969924812033</v>
      </c>
      <c r="I86" s="19">
        <f t="shared" si="30"/>
        <v>1062.6828571428571</v>
      </c>
      <c r="J86" s="122">
        <f t="shared" si="31"/>
        <v>34.232339173896797</v>
      </c>
      <c r="K86" s="18">
        <f>_xlfn.XLOOKUP($B:$B,'Compilado 2023'!$B:$B,'Compilado 2023'!K:K)</f>
        <v>4046</v>
      </c>
      <c r="L86" s="54">
        <f t="shared" si="32"/>
        <v>3.2871972318339097E-2</v>
      </c>
      <c r="M86" s="149"/>
      <c r="N86" s="106">
        <f>_xlfn.XLOOKUP($B:$B,'Compilado 2023'!$B:$B,'Compilado 2023'!N:N)</f>
        <v>500.55</v>
      </c>
      <c r="O86" s="106">
        <f>_xlfn.XLOOKUP($B:$B,'Compilado 2023'!$B:$B,'Compilado 2023'!O:O)</f>
        <v>504.99</v>
      </c>
      <c r="P86" s="106">
        <f>_xlfn.XLOOKUP($B:$B,'Compilado 2023'!$B:$B,'Compilado 2023'!P:P)</f>
        <v>0</v>
      </c>
      <c r="Q86" s="106">
        <f>_xlfn.XLOOKUP($B:$B,'Compilado 2023'!$B:$B,'Compilado 2023'!Q:Q)</f>
        <v>57.142857142857146</v>
      </c>
      <c r="R86" s="106">
        <f>_xlfn.XLOOKUP($B:$B,'Compilado 2023'!$B:$B,'Compilado 2023'!R:R)</f>
        <v>0</v>
      </c>
      <c r="S86" s="106">
        <f>_xlfn.XLOOKUP($B:$B,'Compilado 2023'!$B:$B,'Compilado 2023'!T:T)</f>
        <v>0</v>
      </c>
      <c r="T86" s="106">
        <f>_xlfn.XLOOKUP($B:$B,'Compilado 2023'!$B:$B,'Compilado 2023'!U:U)</f>
        <v>0</v>
      </c>
      <c r="U86" s="106">
        <f>_xlfn.XLOOKUP($B:$B,'Compilado 2023'!$B:$B,'Compilado 2023'!V:V)</f>
        <v>0</v>
      </c>
      <c r="V86" s="57"/>
      <c r="W86" s="106">
        <f>_xlfn.XLOOKUP($B:$B,'Compilado 2023'!$B:$B,'Compilado 2023'!X:X)</f>
        <v>0</v>
      </c>
      <c r="X86" s="106">
        <f>_xlfn.XLOOKUP($B:$B,'Compilado 2023'!$B:$B,'Compilado 2023'!Y:Y)</f>
        <v>0</v>
      </c>
      <c r="Y86" s="106">
        <f>_xlfn.XLOOKUP($B:$B,'Compilado 2023'!$B:$B,'Compilado 2023'!Z:Z)</f>
        <v>0</v>
      </c>
      <c r="AA86" s="208">
        <v>45130</v>
      </c>
    </row>
    <row r="87" spans="1:27" hidden="1" x14ac:dyDescent="0.2">
      <c r="A87" s="17" t="str">
        <f t="shared" ca="1" si="33"/>
        <v>Realizado</v>
      </c>
      <c r="B87" s="17">
        <v>44616</v>
      </c>
      <c r="C87" s="19">
        <f t="shared" si="28"/>
        <v>47748.09</v>
      </c>
      <c r="D87" s="35">
        <f>_xlfn.XLOOKUP($B:$B,'Compilado 2023'!$B:$B,'Compilado 2023'!D:D)</f>
        <v>47748.09</v>
      </c>
      <c r="E87" s="35">
        <f>_xlfn.XLOOKUP($B:$B,'Compilado 2023'!$B:$B,'Compilado 2023'!E:E)</f>
        <v>0</v>
      </c>
      <c r="F87" s="18">
        <f>_xlfn.XLOOKUP($B:$B,'Compilado 2023'!$B:$B,'Compilado 2023'!F:F)</f>
        <v>135</v>
      </c>
      <c r="G87" s="18">
        <f>_xlfn.XLOOKUP($B:$B,'Compilado 2023'!$B:$B,'Compilado 2023'!G:G)</f>
        <v>253</v>
      </c>
      <c r="H87" s="35">
        <f t="shared" si="29"/>
        <v>353.68955555555556</v>
      </c>
      <c r="I87" s="19">
        <f t="shared" si="30"/>
        <v>1168.4028571428571</v>
      </c>
      <c r="J87" s="122">
        <f t="shared" si="31"/>
        <v>40.866118828877511</v>
      </c>
      <c r="K87" s="18">
        <f>_xlfn.XLOOKUP($B:$B,'Compilado 2023'!$B:$B,'Compilado 2023'!K:K)</f>
        <v>3927</v>
      </c>
      <c r="L87" s="54">
        <f t="shared" si="32"/>
        <v>3.4377387318563789E-2</v>
      </c>
      <c r="M87" s="149"/>
      <c r="N87" s="106">
        <f>_xlfn.XLOOKUP($B:$B,'Compilado 2023'!$B:$B,'Compilado 2023'!N:N)</f>
        <v>547.71</v>
      </c>
      <c r="O87" s="106">
        <f>_xlfn.XLOOKUP($B:$B,'Compilado 2023'!$B:$B,'Compilado 2023'!O:O)</f>
        <v>563.54999999999995</v>
      </c>
      <c r="P87" s="106">
        <f>_xlfn.XLOOKUP($B:$B,'Compilado 2023'!$B:$B,'Compilado 2023'!P:P)</f>
        <v>0</v>
      </c>
      <c r="Q87" s="106">
        <f>_xlfn.XLOOKUP($B:$B,'Compilado 2023'!$B:$B,'Compilado 2023'!Q:Q)</f>
        <v>57.142857142857146</v>
      </c>
      <c r="R87" s="106">
        <f>_xlfn.XLOOKUP($B:$B,'Compilado 2023'!$B:$B,'Compilado 2023'!R:R)</f>
        <v>0</v>
      </c>
      <c r="S87" s="106">
        <f>_xlfn.XLOOKUP($B:$B,'Compilado 2023'!$B:$B,'Compilado 2023'!T:T)</f>
        <v>0</v>
      </c>
      <c r="T87" s="106">
        <f>_xlfn.XLOOKUP($B:$B,'Compilado 2023'!$B:$B,'Compilado 2023'!U:U)</f>
        <v>0</v>
      </c>
      <c r="U87" s="106">
        <f>_xlfn.XLOOKUP($B:$B,'Compilado 2023'!$B:$B,'Compilado 2023'!V:V)</f>
        <v>0</v>
      </c>
      <c r="V87" s="57"/>
      <c r="W87" s="106">
        <f>_xlfn.XLOOKUP($B:$B,'Compilado 2023'!$B:$B,'Compilado 2023'!X:X)</f>
        <v>0</v>
      </c>
      <c r="X87" s="106">
        <f>_xlfn.XLOOKUP($B:$B,'Compilado 2023'!$B:$B,'Compilado 2023'!Y:Y)</f>
        <v>0</v>
      </c>
      <c r="Y87" s="106">
        <f>_xlfn.XLOOKUP($B:$B,'Compilado 2023'!$B:$B,'Compilado 2023'!Z:Z)</f>
        <v>0</v>
      </c>
      <c r="AA87" s="208">
        <v>45131</v>
      </c>
    </row>
    <row r="88" spans="1:27" hidden="1" x14ac:dyDescent="0.2">
      <c r="A88" s="17" t="str">
        <f t="shared" ca="1" si="33"/>
        <v>Realizado</v>
      </c>
      <c r="B88" s="17">
        <v>44617</v>
      </c>
      <c r="C88" s="19">
        <f t="shared" si="28"/>
        <v>52562</v>
      </c>
      <c r="D88" s="35">
        <f>_xlfn.XLOOKUP($B:$B,'Compilado 2023'!$B:$B,'Compilado 2023'!D:D)</f>
        <v>52533.82</v>
      </c>
      <c r="E88" s="35">
        <f>_xlfn.XLOOKUP($B:$B,'Compilado 2023'!$B:$B,'Compilado 2023'!E:E)</f>
        <v>28.18</v>
      </c>
      <c r="F88" s="18">
        <f>_xlfn.XLOOKUP($B:$B,'Compilado 2023'!$B:$B,'Compilado 2023'!F:F)</f>
        <v>147</v>
      </c>
      <c r="G88" s="18">
        <f>_xlfn.XLOOKUP($B:$B,'Compilado 2023'!$B:$B,'Compilado 2023'!G:G)</f>
        <v>192</v>
      </c>
      <c r="H88" s="35">
        <f t="shared" si="29"/>
        <v>357.56462585034012</v>
      </c>
      <c r="I88" s="19">
        <f t="shared" si="30"/>
        <v>1055.8528571428571</v>
      </c>
      <c r="J88" s="122">
        <f t="shared" si="31"/>
        <v>49.781557765760112</v>
      </c>
      <c r="K88" s="18">
        <f>_xlfn.XLOOKUP($B:$B,'Compilado 2023'!$B:$B,'Compilado 2023'!K:K)</f>
        <v>3688</v>
      </c>
      <c r="L88" s="54">
        <f t="shared" si="32"/>
        <v>3.9859002169197397E-2</v>
      </c>
      <c r="M88" s="149"/>
      <c r="N88" s="106">
        <f>_xlfn.XLOOKUP($B:$B,'Compilado 2023'!$B:$B,'Compilado 2023'!N:N)</f>
        <v>407.17</v>
      </c>
      <c r="O88" s="106">
        <f>_xlfn.XLOOKUP($B:$B,'Compilado 2023'!$B:$B,'Compilado 2023'!O:O)</f>
        <v>591.54</v>
      </c>
      <c r="P88" s="106">
        <f>_xlfn.XLOOKUP($B:$B,'Compilado 2023'!$B:$B,'Compilado 2023'!P:P)</f>
        <v>0</v>
      </c>
      <c r="Q88" s="106">
        <f>_xlfn.XLOOKUP($B:$B,'Compilado 2023'!$B:$B,'Compilado 2023'!Q:Q)</f>
        <v>57.142857142857146</v>
      </c>
      <c r="R88" s="106">
        <f>_xlfn.XLOOKUP($B:$B,'Compilado 2023'!$B:$B,'Compilado 2023'!R:R)</f>
        <v>0</v>
      </c>
      <c r="S88" s="106">
        <f>_xlfn.XLOOKUP($B:$B,'Compilado 2023'!$B:$B,'Compilado 2023'!T:T)</f>
        <v>0</v>
      </c>
      <c r="T88" s="106">
        <f>_xlfn.XLOOKUP($B:$B,'Compilado 2023'!$B:$B,'Compilado 2023'!U:U)</f>
        <v>0</v>
      </c>
      <c r="U88" s="106">
        <f>_xlfn.XLOOKUP($B:$B,'Compilado 2023'!$B:$B,'Compilado 2023'!V:V)</f>
        <v>0</v>
      </c>
      <c r="V88" s="57"/>
      <c r="W88" s="106">
        <f>_xlfn.XLOOKUP($B:$B,'Compilado 2023'!$B:$B,'Compilado 2023'!X:X)</f>
        <v>0</v>
      </c>
      <c r="X88" s="106">
        <f>_xlfn.XLOOKUP($B:$B,'Compilado 2023'!$B:$B,'Compilado 2023'!Y:Y)</f>
        <v>0</v>
      </c>
      <c r="Y88" s="106">
        <f>_xlfn.XLOOKUP($B:$B,'Compilado 2023'!$B:$B,'Compilado 2023'!Z:Z)</f>
        <v>0</v>
      </c>
      <c r="AA88" s="208">
        <v>45132</v>
      </c>
    </row>
    <row r="89" spans="1:27" hidden="1" x14ac:dyDescent="0.2">
      <c r="A89" s="17" t="str">
        <f t="shared" ca="1" si="33"/>
        <v>Realizado</v>
      </c>
      <c r="B89" s="17">
        <v>44618</v>
      </c>
      <c r="C89" s="19">
        <f t="shared" si="28"/>
        <v>24624.39</v>
      </c>
      <c r="D89" s="35">
        <f>_xlfn.XLOOKUP($B:$B,'Compilado 2023'!$B:$B,'Compilado 2023'!D:D)</f>
        <v>24602.11</v>
      </c>
      <c r="E89" s="35">
        <f>_xlfn.XLOOKUP($B:$B,'Compilado 2023'!$B:$B,'Compilado 2023'!E:E)</f>
        <v>22.28</v>
      </c>
      <c r="F89" s="18">
        <f>_xlfn.XLOOKUP($B:$B,'Compilado 2023'!$B:$B,'Compilado 2023'!F:F)</f>
        <v>75</v>
      </c>
      <c r="G89" s="18">
        <f>_xlfn.XLOOKUP($B:$B,'Compilado 2023'!$B:$B,'Compilado 2023'!G:G)</f>
        <v>86</v>
      </c>
      <c r="H89" s="35">
        <f t="shared" si="29"/>
        <v>328.3252</v>
      </c>
      <c r="I89" s="19">
        <f t="shared" si="30"/>
        <v>984.94285714285706</v>
      </c>
      <c r="J89" s="122">
        <f t="shared" si="31"/>
        <v>25.000831085197113</v>
      </c>
      <c r="K89" s="18">
        <f>_xlfn.XLOOKUP($B:$B,'Compilado 2023'!$B:$B,'Compilado 2023'!K:K)</f>
        <v>2721</v>
      </c>
      <c r="L89" s="54">
        <f t="shared" si="32"/>
        <v>2.7563395810363836E-2</v>
      </c>
      <c r="M89" s="149"/>
      <c r="N89" s="106">
        <f>_xlfn.XLOOKUP($B:$B,'Compilado 2023'!$B:$B,'Compilado 2023'!N:N)</f>
        <v>391.77</v>
      </c>
      <c r="O89" s="106">
        <f>_xlfn.XLOOKUP($B:$B,'Compilado 2023'!$B:$B,'Compilado 2023'!O:O)</f>
        <v>536.03</v>
      </c>
      <c r="P89" s="106">
        <f>_xlfn.XLOOKUP($B:$B,'Compilado 2023'!$B:$B,'Compilado 2023'!P:P)</f>
        <v>0</v>
      </c>
      <c r="Q89" s="106">
        <f>_xlfn.XLOOKUP($B:$B,'Compilado 2023'!$B:$B,'Compilado 2023'!Q:Q)</f>
        <v>57.142857142857146</v>
      </c>
      <c r="R89" s="106">
        <f>_xlfn.XLOOKUP($B:$B,'Compilado 2023'!$B:$B,'Compilado 2023'!R:R)</f>
        <v>0</v>
      </c>
      <c r="S89" s="106">
        <f>_xlfn.XLOOKUP($B:$B,'Compilado 2023'!$B:$B,'Compilado 2023'!T:T)</f>
        <v>0</v>
      </c>
      <c r="T89" s="106">
        <f>_xlfn.XLOOKUP($B:$B,'Compilado 2023'!$B:$B,'Compilado 2023'!U:U)</f>
        <v>0</v>
      </c>
      <c r="U89" s="106">
        <f>_xlfn.XLOOKUP($B:$B,'Compilado 2023'!$B:$B,'Compilado 2023'!V:V)</f>
        <v>0</v>
      </c>
      <c r="V89" s="57"/>
      <c r="W89" s="106">
        <f>_xlfn.XLOOKUP($B:$B,'Compilado 2023'!$B:$B,'Compilado 2023'!X:X)</f>
        <v>0</v>
      </c>
      <c r="X89" s="106">
        <f>_xlfn.XLOOKUP($B:$B,'Compilado 2023'!$B:$B,'Compilado 2023'!Y:Y)</f>
        <v>0</v>
      </c>
      <c r="Y89" s="106">
        <f>_xlfn.XLOOKUP($B:$B,'Compilado 2023'!$B:$B,'Compilado 2023'!Z:Z)</f>
        <v>0</v>
      </c>
      <c r="AA89" s="208">
        <v>45133</v>
      </c>
    </row>
    <row r="90" spans="1:27" hidden="1" x14ac:dyDescent="0.2">
      <c r="A90" s="17" t="str">
        <f t="shared" ca="1" si="33"/>
        <v>Realizado</v>
      </c>
      <c r="B90" s="17">
        <v>44619</v>
      </c>
      <c r="C90" s="19">
        <f t="shared" si="28"/>
        <v>14697.45</v>
      </c>
      <c r="D90" s="35">
        <f>_xlfn.XLOOKUP($B:$B,'Compilado 2023'!$B:$B,'Compilado 2023'!D:D)</f>
        <v>14697.45</v>
      </c>
      <c r="E90" s="35">
        <f>_xlfn.XLOOKUP($B:$B,'Compilado 2023'!$B:$B,'Compilado 2023'!E:E)</f>
        <v>0</v>
      </c>
      <c r="F90" s="18">
        <f>_xlfn.XLOOKUP($B:$B,'Compilado 2023'!$B:$B,'Compilado 2023'!F:F)</f>
        <v>50</v>
      </c>
      <c r="G90" s="18">
        <f>_xlfn.XLOOKUP($B:$B,'Compilado 2023'!$B:$B,'Compilado 2023'!G:G)</f>
        <v>55</v>
      </c>
      <c r="H90" s="35">
        <f t="shared" si="29"/>
        <v>293.94900000000001</v>
      </c>
      <c r="I90" s="19">
        <f t="shared" si="30"/>
        <v>836.58285714285716</v>
      </c>
      <c r="J90" s="122">
        <f t="shared" si="31"/>
        <v>17.568433149820358</v>
      </c>
      <c r="K90" s="18">
        <f>_xlfn.XLOOKUP($B:$B,'Compilado 2023'!$B:$B,'Compilado 2023'!K:K)</f>
        <v>2157</v>
      </c>
      <c r="L90" s="54">
        <f t="shared" si="32"/>
        <v>2.3180343069077423E-2</v>
      </c>
      <c r="M90" s="149"/>
      <c r="N90" s="106">
        <f>_xlfn.XLOOKUP($B:$B,'Compilado 2023'!$B:$B,'Compilado 2023'!N:N)</f>
        <v>308.87</v>
      </c>
      <c r="O90" s="106">
        <f>_xlfn.XLOOKUP($B:$B,'Compilado 2023'!$B:$B,'Compilado 2023'!O:O)</f>
        <v>470.57</v>
      </c>
      <c r="P90" s="106">
        <f>_xlfn.XLOOKUP($B:$B,'Compilado 2023'!$B:$B,'Compilado 2023'!P:P)</f>
        <v>0</v>
      </c>
      <c r="Q90" s="106">
        <f>_xlfn.XLOOKUP($B:$B,'Compilado 2023'!$B:$B,'Compilado 2023'!Q:Q)</f>
        <v>57.142857142857146</v>
      </c>
      <c r="R90" s="106">
        <f>_xlfn.XLOOKUP($B:$B,'Compilado 2023'!$B:$B,'Compilado 2023'!R:R)</f>
        <v>0</v>
      </c>
      <c r="S90" s="106">
        <f>_xlfn.XLOOKUP($B:$B,'Compilado 2023'!$B:$B,'Compilado 2023'!T:T)</f>
        <v>0</v>
      </c>
      <c r="T90" s="106">
        <f>_xlfn.XLOOKUP($B:$B,'Compilado 2023'!$B:$B,'Compilado 2023'!U:U)</f>
        <v>0</v>
      </c>
      <c r="U90" s="106">
        <f>_xlfn.XLOOKUP($B:$B,'Compilado 2023'!$B:$B,'Compilado 2023'!V:V)</f>
        <v>0</v>
      </c>
      <c r="V90" s="57"/>
      <c r="W90" s="106">
        <f>_xlfn.XLOOKUP($B:$B,'Compilado 2023'!$B:$B,'Compilado 2023'!X:X)</f>
        <v>0</v>
      </c>
      <c r="X90" s="106">
        <f>_xlfn.XLOOKUP($B:$B,'Compilado 2023'!$B:$B,'Compilado 2023'!Y:Y)</f>
        <v>0</v>
      </c>
      <c r="Y90" s="106">
        <f>_xlfn.XLOOKUP($B:$B,'Compilado 2023'!$B:$B,'Compilado 2023'!Z:Z)</f>
        <v>0</v>
      </c>
      <c r="AA90" s="208">
        <v>45134</v>
      </c>
    </row>
    <row r="91" spans="1:27" hidden="1" x14ac:dyDescent="0.2">
      <c r="A91" s="17" t="str">
        <f t="shared" ca="1" si="33"/>
        <v>Realizado</v>
      </c>
      <c r="B91" s="17">
        <v>44620</v>
      </c>
      <c r="C91" s="19">
        <f t="shared" si="28"/>
        <v>20827.53</v>
      </c>
      <c r="D91" s="35">
        <f>_xlfn.XLOOKUP($B:$B,'Compilado 2023'!$B:$B,'Compilado 2023'!D:D)</f>
        <v>20827.53</v>
      </c>
      <c r="E91" s="35">
        <f>_xlfn.XLOOKUP($B:$B,'Compilado 2023'!$B:$B,'Compilado 2023'!E:E)</f>
        <v>0</v>
      </c>
      <c r="F91" s="18">
        <f>_xlfn.XLOOKUP($B:$B,'Compilado 2023'!$B:$B,'Compilado 2023'!F:F)</f>
        <v>67</v>
      </c>
      <c r="G91" s="18">
        <f>_xlfn.XLOOKUP($B:$B,'Compilado 2023'!$B:$B,'Compilado 2023'!G:G)</f>
        <v>82</v>
      </c>
      <c r="H91" s="35">
        <f t="shared" si="29"/>
        <v>310.8586567164179</v>
      </c>
      <c r="I91" s="19">
        <f t="shared" si="30"/>
        <v>796.02285714285711</v>
      </c>
      <c r="J91" s="122">
        <f t="shared" si="31"/>
        <v>26.164487380118302</v>
      </c>
      <c r="K91" s="18">
        <f>_xlfn.XLOOKUP($B:$B,'Compilado 2023'!$B:$B,'Compilado 2023'!K:K)</f>
        <v>3593</v>
      </c>
      <c r="L91" s="54">
        <f t="shared" si="32"/>
        <v>1.864736988588923E-2</v>
      </c>
      <c r="M91" s="149"/>
      <c r="N91" s="106">
        <f>_xlfn.XLOOKUP($B:$B,'Compilado 2023'!$B:$B,'Compilado 2023'!N:N)</f>
        <v>411.65</v>
      </c>
      <c r="O91" s="106">
        <f>_xlfn.XLOOKUP($B:$B,'Compilado 2023'!$B:$B,'Compilado 2023'!O:O)</f>
        <v>327.23</v>
      </c>
      <c r="P91" s="106">
        <f>_xlfn.XLOOKUP($B:$B,'Compilado 2023'!$B:$B,'Compilado 2023'!P:P)</f>
        <v>0</v>
      </c>
      <c r="Q91" s="106">
        <f>_xlfn.XLOOKUP($B:$B,'Compilado 2023'!$B:$B,'Compilado 2023'!Q:Q)</f>
        <v>57.142857142857146</v>
      </c>
      <c r="R91" s="106">
        <f>_xlfn.XLOOKUP($B:$B,'Compilado 2023'!$B:$B,'Compilado 2023'!R:R)</f>
        <v>0</v>
      </c>
      <c r="S91" s="106">
        <f>_xlfn.XLOOKUP($B:$B,'Compilado 2023'!$B:$B,'Compilado 2023'!T:T)</f>
        <v>0</v>
      </c>
      <c r="T91" s="106">
        <f>_xlfn.XLOOKUP($B:$B,'Compilado 2023'!$B:$B,'Compilado 2023'!U:U)</f>
        <v>0</v>
      </c>
      <c r="U91" s="106">
        <f>_xlfn.XLOOKUP($B:$B,'Compilado 2023'!$B:$B,'Compilado 2023'!V:V)</f>
        <v>0</v>
      </c>
      <c r="V91" s="57"/>
      <c r="W91" s="106">
        <f>_xlfn.XLOOKUP($B:$B,'Compilado 2023'!$B:$B,'Compilado 2023'!X:X)</f>
        <v>0</v>
      </c>
      <c r="X91" s="106">
        <f>_xlfn.XLOOKUP($B:$B,'Compilado 2023'!$B:$B,'Compilado 2023'!Y:Y)</f>
        <v>0</v>
      </c>
      <c r="Y91" s="106">
        <f>_xlfn.XLOOKUP($B:$B,'Compilado 2023'!$B:$B,'Compilado 2023'!Z:Z)</f>
        <v>0</v>
      </c>
      <c r="AA91" s="208">
        <v>45135</v>
      </c>
    </row>
    <row r="92" spans="1:27" hidden="1" x14ac:dyDescent="0.2">
      <c r="A92" s="17" t="str">
        <f t="shared" ca="1" si="33"/>
        <v>Realizado</v>
      </c>
      <c r="C92" s="19">
        <f t="shared" si="28"/>
        <v>0</v>
      </c>
      <c r="D92" s="35">
        <f>_xlfn.XLOOKUP($B:$B,'Compilado 2023'!$B:$B,'Compilado 2023'!D:D)</f>
        <v>0</v>
      </c>
      <c r="E92" s="35">
        <f>_xlfn.XLOOKUP($B:$B,'Compilado 2023'!$B:$B,'Compilado 2023'!E:E)</f>
        <v>0</v>
      </c>
      <c r="F92" s="18">
        <f>_xlfn.XLOOKUP($B:$B,'Compilado 2023'!$B:$B,'Compilado 2023'!F:F)</f>
        <v>0</v>
      </c>
      <c r="G92" s="18">
        <f>_xlfn.XLOOKUP($B:$B,'Compilado 2023'!$B:$B,'Compilado 2023'!G:G)</f>
        <v>0</v>
      </c>
      <c r="H92" s="35">
        <f t="shared" si="29"/>
        <v>0</v>
      </c>
      <c r="I92" s="19">
        <f t="shared" si="30"/>
        <v>0</v>
      </c>
      <c r="J92" s="122">
        <f t="shared" si="31"/>
        <v>0</v>
      </c>
      <c r="K92" s="18">
        <f>_xlfn.XLOOKUP($B:$B,'Compilado 2023'!$B:$B,'Compilado 2023'!K:K)</f>
        <v>0</v>
      </c>
      <c r="L92" s="54">
        <f t="shared" si="32"/>
        <v>0</v>
      </c>
      <c r="M92" s="149"/>
      <c r="N92" s="106" t="str">
        <f>_xlfn.XLOOKUP($B:$B,'Compilado 2023'!$B:$B,'Compilado 2023'!N:N)</f>
        <v>Investimento Digital</v>
      </c>
      <c r="O92" s="106">
        <f>_xlfn.XLOOKUP($B:$B,'Compilado 2023'!$B:$B,'Compilado 2023'!O:O)</f>
        <v>0</v>
      </c>
      <c r="P92" s="106">
        <f>_xlfn.XLOOKUP($B:$B,'Compilado 2023'!$B:$B,'Compilado 2023'!P:P)</f>
        <v>0</v>
      </c>
      <c r="Q92" s="106">
        <f>_xlfn.XLOOKUP($B:$B,'Compilado 2023'!$B:$B,'Compilado 2023'!Q:Q)</f>
        <v>0</v>
      </c>
      <c r="R92" s="106">
        <f>_xlfn.XLOOKUP($B:$B,'Compilado 2023'!$B:$B,'Compilado 2023'!R:R)</f>
        <v>0</v>
      </c>
      <c r="S92" s="106">
        <f>_xlfn.XLOOKUP($B:$B,'Compilado 2023'!$B:$B,'Compilado 2023'!T:T)</f>
        <v>0</v>
      </c>
      <c r="T92" s="106">
        <f>_xlfn.XLOOKUP($B:$B,'Compilado 2023'!$B:$B,'Compilado 2023'!U:U)</f>
        <v>0</v>
      </c>
      <c r="U92" s="106">
        <f>_xlfn.XLOOKUP($B:$B,'Compilado 2023'!$B:$B,'Compilado 2023'!V:V)</f>
        <v>0</v>
      </c>
      <c r="V92" s="57"/>
      <c r="W92" s="106">
        <f>_xlfn.XLOOKUP($B:$B,'Compilado 2023'!$B:$B,'Compilado 2023'!X:X)</f>
        <v>0</v>
      </c>
      <c r="X92" s="106">
        <f>_xlfn.XLOOKUP($B:$B,'Compilado 2023'!$B:$B,'Compilado 2023'!Y:Y)</f>
        <v>0</v>
      </c>
      <c r="Y92" s="106">
        <f>_xlfn.XLOOKUP($B:$B,'Compilado 2023'!$B:$B,'Compilado 2023'!Z:Z)</f>
        <v>0</v>
      </c>
      <c r="AA92" s="208">
        <v>45136</v>
      </c>
    </row>
    <row r="93" spans="1:27" hidden="1" x14ac:dyDescent="0.2">
      <c r="A93" s="17" t="str">
        <f t="shared" ca="1" si="33"/>
        <v>Realizado</v>
      </c>
      <c r="C93" s="19">
        <f t="shared" si="28"/>
        <v>0</v>
      </c>
      <c r="D93" s="35">
        <f>_xlfn.XLOOKUP($B:$B,'Compilado 2023'!$B:$B,'Compilado 2023'!D:D)</f>
        <v>0</v>
      </c>
      <c r="E93" s="35">
        <f>_xlfn.XLOOKUP($B:$B,'Compilado 2023'!$B:$B,'Compilado 2023'!E:E)</f>
        <v>0</v>
      </c>
      <c r="F93" s="18">
        <f>_xlfn.XLOOKUP($B:$B,'Compilado 2023'!$B:$B,'Compilado 2023'!F:F)</f>
        <v>0</v>
      </c>
      <c r="G93" s="18">
        <f>_xlfn.XLOOKUP($B:$B,'Compilado 2023'!$B:$B,'Compilado 2023'!G:G)</f>
        <v>0</v>
      </c>
      <c r="H93" s="35">
        <f t="shared" si="29"/>
        <v>0</v>
      </c>
      <c r="I93" s="19">
        <f t="shared" si="30"/>
        <v>0</v>
      </c>
      <c r="J93" s="122">
        <f t="shared" si="31"/>
        <v>0</v>
      </c>
      <c r="K93" s="18">
        <f>_xlfn.XLOOKUP($B:$B,'Compilado 2023'!$B:$B,'Compilado 2023'!K:K)</f>
        <v>0</v>
      </c>
      <c r="L93" s="54">
        <f t="shared" si="32"/>
        <v>0</v>
      </c>
      <c r="M93" s="149"/>
      <c r="N93" s="106" t="str">
        <f>_xlfn.XLOOKUP($B:$B,'Compilado 2023'!$B:$B,'Compilado 2023'!N:N)</f>
        <v>Investimento Digital</v>
      </c>
      <c r="O93" s="106">
        <f>_xlfn.XLOOKUP($B:$B,'Compilado 2023'!$B:$B,'Compilado 2023'!O:O)</f>
        <v>0</v>
      </c>
      <c r="P93" s="106">
        <f>_xlfn.XLOOKUP($B:$B,'Compilado 2023'!$B:$B,'Compilado 2023'!P:P)</f>
        <v>0</v>
      </c>
      <c r="Q93" s="106">
        <f>_xlfn.XLOOKUP($B:$B,'Compilado 2023'!$B:$B,'Compilado 2023'!Q:Q)</f>
        <v>0</v>
      </c>
      <c r="R93" s="106">
        <f>_xlfn.XLOOKUP($B:$B,'Compilado 2023'!$B:$B,'Compilado 2023'!R:R)</f>
        <v>0</v>
      </c>
      <c r="S93" s="106">
        <f>_xlfn.XLOOKUP($B:$B,'Compilado 2023'!$B:$B,'Compilado 2023'!T:T)</f>
        <v>0</v>
      </c>
      <c r="T93" s="106">
        <f>_xlfn.XLOOKUP($B:$B,'Compilado 2023'!$B:$B,'Compilado 2023'!U:U)</f>
        <v>0</v>
      </c>
      <c r="U93" s="106">
        <f>_xlfn.XLOOKUP($B:$B,'Compilado 2023'!$B:$B,'Compilado 2023'!V:V)</f>
        <v>0</v>
      </c>
      <c r="V93" s="57"/>
      <c r="W93" s="106">
        <f>_xlfn.XLOOKUP($B:$B,'Compilado 2023'!$B:$B,'Compilado 2023'!X:X)</f>
        <v>0</v>
      </c>
      <c r="X93" s="106">
        <f>_xlfn.XLOOKUP($B:$B,'Compilado 2023'!$B:$B,'Compilado 2023'!Y:Y)</f>
        <v>0</v>
      </c>
      <c r="Y93" s="106">
        <f>_xlfn.XLOOKUP($B:$B,'Compilado 2023'!$B:$B,'Compilado 2023'!Z:Z)</f>
        <v>0</v>
      </c>
      <c r="AA93" s="208">
        <v>45137</v>
      </c>
    </row>
    <row r="94" spans="1:27" hidden="1" x14ac:dyDescent="0.2">
      <c r="A94" s="17" t="str">
        <f t="shared" ca="1" si="33"/>
        <v>Realizado</v>
      </c>
      <c r="C94" s="19">
        <f t="shared" si="28"/>
        <v>0</v>
      </c>
      <c r="D94" s="35">
        <f>_xlfn.XLOOKUP($B:$B,'Compilado 2023'!$B:$B,'Compilado 2023'!D:D)</f>
        <v>0</v>
      </c>
      <c r="E94" s="35">
        <f>_xlfn.XLOOKUP($B:$B,'Compilado 2023'!$B:$B,'Compilado 2023'!E:E)</f>
        <v>0</v>
      </c>
      <c r="F94" s="18">
        <f>_xlfn.XLOOKUP($B:$B,'Compilado 2023'!$B:$B,'Compilado 2023'!F:F)</f>
        <v>0</v>
      </c>
      <c r="G94" s="18">
        <f>_xlfn.XLOOKUP($B:$B,'Compilado 2023'!$B:$B,'Compilado 2023'!G:G)</f>
        <v>0</v>
      </c>
      <c r="H94" s="35">
        <f t="shared" si="29"/>
        <v>0</v>
      </c>
      <c r="I94" s="19">
        <f t="shared" si="30"/>
        <v>0</v>
      </c>
      <c r="J94" s="122">
        <f t="shared" si="31"/>
        <v>0</v>
      </c>
      <c r="K94" s="18">
        <f>_xlfn.XLOOKUP($B:$B,'Compilado 2023'!$B:$B,'Compilado 2023'!K:K)</f>
        <v>0</v>
      </c>
      <c r="L94" s="54">
        <f t="shared" si="32"/>
        <v>0</v>
      </c>
      <c r="M94" s="149"/>
      <c r="N94" s="106" t="str">
        <f>_xlfn.XLOOKUP($B:$B,'Compilado 2023'!$B:$B,'Compilado 2023'!N:N)</f>
        <v>Investimento Digital</v>
      </c>
      <c r="O94" s="106">
        <f>_xlfn.XLOOKUP($B:$B,'Compilado 2023'!$B:$B,'Compilado 2023'!O:O)</f>
        <v>0</v>
      </c>
      <c r="P94" s="106">
        <f>_xlfn.XLOOKUP($B:$B,'Compilado 2023'!$B:$B,'Compilado 2023'!P:P)</f>
        <v>0</v>
      </c>
      <c r="Q94" s="106">
        <f>_xlfn.XLOOKUP($B:$B,'Compilado 2023'!$B:$B,'Compilado 2023'!Q:Q)</f>
        <v>0</v>
      </c>
      <c r="R94" s="106">
        <f>_xlfn.XLOOKUP($B:$B,'Compilado 2023'!$B:$B,'Compilado 2023'!R:R)</f>
        <v>0</v>
      </c>
      <c r="S94" s="106">
        <f>_xlfn.XLOOKUP($B:$B,'Compilado 2023'!$B:$B,'Compilado 2023'!T:T)</f>
        <v>0</v>
      </c>
      <c r="T94" s="106">
        <f>_xlfn.XLOOKUP($B:$B,'Compilado 2023'!$B:$B,'Compilado 2023'!U:U)</f>
        <v>0</v>
      </c>
      <c r="U94" s="106" t="str">
        <f>_xlfn.XLOOKUP($B:$B,'Compilado 2023'!$B:$B,'Compilado 2023'!V:V)</f>
        <v>Parceiros</v>
      </c>
      <c r="V94" s="57"/>
      <c r="W94" s="106">
        <f>_xlfn.XLOOKUP($B:$B,'Compilado 2023'!$B:$B,'Compilado 2023'!X:X)</f>
        <v>0</v>
      </c>
      <c r="X94" s="106">
        <f>_xlfn.XLOOKUP($B:$B,'Compilado 2023'!$B:$B,'Compilado 2023'!Y:Y)</f>
        <v>0</v>
      </c>
      <c r="Y94" s="106">
        <f>_xlfn.XLOOKUP($B:$B,'Compilado 2023'!$B:$B,'Compilado 2023'!Z:Z)</f>
        <v>0</v>
      </c>
      <c r="AA94" s="208">
        <v>45138</v>
      </c>
    </row>
  </sheetData>
  <mergeCells count="3">
    <mergeCell ref="B41:D41"/>
    <mergeCell ref="B49:D49"/>
    <mergeCell ref="B57:D57"/>
  </mergeCells>
  <conditionalFormatting sqref="A64:A94">
    <cfRule type="cellIs" dxfId="293" priority="23" operator="equal">
      <formula>"Realizado"</formula>
    </cfRule>
    <cfRule type="cellIs" dxfId="292" priority="24" operator="equal">
      <formula>TODAY()</formula>
    </cfRule>
    <cfRule type="cellIs" dxfId="291" priority="25" operator="equal">
      <formula>"Realizado"</formula>
    </cfRule>
    <cfRule type="cellIs" dxfId="290" priority="26" operator="equal">
      <formula>TODAY()</formula>
    </cfRule>
  </conditionalFormatting>
  <conditionalFormatting sqref="B64:B91">
    <cfRule type="cellIs" dxfId="289" priority="43" operator="equal">
      <formula>TODAY()</formula>
    </cfRule>
  </conditionalFormatting>
  <conditionalFormatting sqref="B4:H34">
    <cfRule type="cellIs" dxfId="288" priority="71" operator="equal">
      <formula>TODAY()</formula>
    </cfRule>
  </conditionalFormatting>
  <conditionalFormatting sqref="C65:D93">
    <cfRule type="cellIs" dxfId="287" priority="21" operator="equal">
      <formula>$A$1</formula>
    </cfRule>
    <cfRule type="cellIs" dxfId="286" priority="22" operator="equal">
      <formula>TODAY()</formula>
    </cfRule>
  </conditionalFormatting>
  <conditionalFormatting sqref="C64:H94">
    <cfRule type="cellIs" dxfId="285" priority="1" operator="equal">
      <formula>TODAY()</formula>
    </cfRule>
  </conditionalFormatting>
  <conditionalFormatting sqref="C94:H94">
    <cfRule type="cellIs" dxfId="284" priority="18" operator="equal">
      <formula>$A$1</formula>
    </cfRule>
  </conditionalFormatting>
  <conditionalFormatting sqref="C46:L46">
    <cfRule type="cellIs" dxfId="283" priority="49" operator="lessThan">
      <formula>0</formula>
    </cfRule>
  </conditionalFormatting>
  <conditionalFormatting sqref="C47:L47">
    <cfRule type="cellIs" dxfId="282" priority="34" operator="lessThan">
      <formula>0</formula>
    </cfRule>
  </conditionalFormatting>
  <conditionalFormatting sqref="C53:L53">
    <cfRule type="cellIs" dxfId="281" priority="47" operator="lessThan">
      <formula>0</formula>
    </cfRule>
  </conditionalFormatting>
  <conditionalFormatting sqref="C54:L54">
    <cfRule type="cellIs" dxfId="280" priority="35" operator="lessThan">
      <formula>0</formula>
    </cfRule>
  </conditionalFormatting>
  <conditionalFormatting sqref="C61:L61">
    <cfRule type="cellIs" dxfId="279" priority="41" operator="lessThan">
      <formula>0</formula>
    </cfRule>
  </conditionalFormatting>
  <conditionalFormatting sqref="C62:L62">
    <cfRule type="cellIs" dxfId="278" priority="36" operator="lessThan">
      <formula>0</formula>
    </cfRule>
  </conditionalFormatting>
  <conditionalFormatting sqref="N4:Q34">
    <cfRule type="cellIs" dxfId="277" priority="67" operator="equal">
      <formula>TODAY()</formula>
    </cfRule>
  </conditionalFormatting>
  <conditionalFormatting sqref="N53:U53">
    <cfRule type="cellIs" dxfId="276" priority="29" operator="lessThan">
      <formula>0</formula>
    </cfRule>
  </conditionalFormatting>
  <conditionalFormatting sqref="N54:U54">
    <cfRule type="cellIs" dxfId="275" priority="28" operator="lessThan">
      <formula>0</formula>
    </cfRule>
  </conditionalFormatting>
  <conditionalFormatting sqref="N61:U61">
    <cfRule type="cellIs" dxfId="274" priority="31" operator="lessThan">
      <formula>0</formula>
    </cfRule>
  </conditionalFormatting>
  <conditionalFormatting sqref="N62:U62">
    <cfRule type="cellIs" dxfId="273" priority="30" operator="lessThan">
      <formula>0</formula>
    </cfRule>
  </conditionalFormatting>
  <conditionalFormatting sqref="N64:U94">
    <cfRule type="cellIs" dxfId="272" priority="5" operator="equal">
      <formula>TODAY()</formula>
    </cfRule>
  </conditionalFormatting>
  <conditionalFormatting sqref="R4 R5:S34">
    <cfRule type="cellIs" dxfId="271" priority="66" operator="equal">
      <formula>TODAY()</formula>
    </cfRule>
  </conditionalFormatting>
  <conditionalFormatting sqref="S4:U34">
    <cfRule type="cellIs" dxfId="270" priority="57" operator="equal">
      <formula>TODAY()</formula>
    </cfRule>
  </conditionalFormatting>
  <conditionalFormatting sqref="W4:Y34">
    <cfRule type="cellIs" dxfId="269" priority="55" operator="equal">
      <formula>TODAY()</formula>
    </cfRule>
  </conditionalFormatting>
  <conditionalFormatting sqref="W64:Y94">
    <cfRule type="cellIs" dxfId="268" priority="3" operator="equal">
      <formula>TODAY()</formula>
    </cfRule>
  </conditionalFormatting>
  <conditionalFormatting sqref="AA4:AA34">
    <cfRule type="cellIs" dxfId="267" priority="60" operator="equal">
      <formula>TODAY()</formula>
    </cfRule>
  </conditionalFormatting>
  <conditionalFormatting sqref="AA64:AA94">
    <cfRule type="cellIs" dxfId="266" priority="19" operator="equal">
      <formula>TODAY()</formula>
    </cfRule>
  </conditionalFormatting>
  <printOptions horizontalCentered="1" gridLines="1"/>
  <pageMargins left="0.7" right="0.7" top="0.75" bottom="0.75" header="0" footer="0"/>
  <pageSetup paperSize="9" fitToWidth="0" pageOrder="overThenDown" orientation="landscape" cellComments="atEnd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36C64-C23F-4ED5-AAFB-2D9C1940FB75}">
  <sheetPr codeName="Planilha7">
    <outlinePr summaryBelow="0" summaryRight="0"/>
    <pageSetUpPr fitToPage="1"/>
  </sheetPr>
  <dimension ref="A1:AG94"/>
  <sheetViews>
    <sheetView showGridLines="0" workbookViewId="0">
      <pane ySplit="3" topLeftCell="A41" activePane="bottomLeft" state="frozen"/>
      <selection activeCell="L60" sqref="L60"/>
      <selection pane="bottomLeft" activeCell="L60" sqref="L60"/>
    </sheetView>
  </sheetViews>
  <sheetFormatPr defaultColWidth="0" defaultRowHeight="12.75" x14ac:dyDescent="0.2"/>
  <cols>
    <col min="1" max="1" width="14" customWidth="1"/>
    <col min="2" max="2" width="11.7109375" customWidth="1"/>
    <col min="3" max="3" width="18.7109375" customWidth="1"/>
    <col min="4" max="4" width="16.140625" bestFit="1" customWidth="1"/>
    <col min="5" max="5" width="11.7109375" customWidth="1"/>
    <col min="6" max="6" width="8.5703125" bestFit="1" customWidth="1"/>
    <col min="7" max="7" width="9" bestFit="1" customWidth="1"/>
    <col min="8" max="8" width="15.140625" customWidth="1"/>
    <col min="9" max="9" width="15.28515625" customWidth="1"/>
    <col min="10" max="10" width="12.42578125" bestFit="1" customWidth="1"/>
    <col min="11" max="11" width="12" customWidth="1"/>
    <col min="12" max="12" width="10.42578125" bestFit="1" customWidth="1"/>
    <col min="13" max="13" width="0.42578125" customWidth="1"/>
    <col min="14" max="15" width="12.7109375" bestFit="1" customWidth="1"/>
    <col min="16" max="16" width="10.42578125" bestFit="1" customWidth="1"/>
    <col min="17" max="17" width="11.7109375" bestFit="1" customWidth="1"/>
    <col min="18" max="18" width="10.42578125" bestFit="1" customWidth="1"/>
    <col min="19" max="19" width="10.140625" customWidth="1"/>
    <col min="20" max="20" width="7.85546875" bestFit="1" customWidth="1"/>
    <col min="21" max="21" width="10.42578125" bestFit="1" customWidth="1"/>
    <col min="22" max="22" width="1.140625" customWidth="1"/>
    <col min="23" max="25" width="10.42578125" bestFit="1" customWidth="1"/>
    <col min="26" max="26" width="0.7109375" customWidth="1"/>
    <col min="27" max="27" width="36" customWidth="1"/>
    <col min="28" max="33" width="0" hidden="1" customWidth="1"/>
    <col min="34" max="16384" width="12.5703125" hidden="1"/>
  </cols>
  <sheetData>
    <row r="1" spans="1:27" s="8" customFormat="1" ht="59.25" x14ac:dyDescent="0.75">
      <c r="A1" s="6"/>
      <c r="B1" s="6"/>
      <c r="C1" s="7" t="s">
        <v>69</v>
      </c>
      <c r="D1" s="6"/>
      <c r="E1" s="6"/>
      <c r="F1" s="6"/>
      <c r="G1" s="6"/>
      <c r="H1" s="6"/>
      <c r="I1" s="6"/>
      <c r="J1" s="6"/>
      <c r="K1" s="6"/>
      <c r="L1" s="6"/>
      <c r="M1" s="75" t="s">
        <v>184</v>
      </c>
      <c r="N1" s="49">
        <f ca="1">TODAY()</f>
        <v>45834</v>
      </c>
      <c r="O1" s="50">
        <f>MONTH(B4)</f>
        <v>3</v>
      </c>
      <c r="P1" s="50">
        <f>YEAR(B4)</f>
        <v>2023</v>
      </c>
      <c r="Q1" s="49"/>
      <c r="R1" s="49"/>
      <c r="S1" s="49"/>
      <c r="T1" s="49"/>
      <c r="U1" s="36"/>
      <c r="V1" s="75" t="s">
        <v>185</v>
      </c>
      <c r="W1" s="36"/>
      <c r="X1" s="36"/>
      <c r="Y1" s="36"/>
      <c r="Z1" s="36"/>
      <c r="AA1" s="51" t="s">
        <v>73</v>
      </c>
    </row>
    <row r="2" spans="1:27" s="10" customFormat="1" ht="23.25" x14ac:dyDescent="0.2">
      <c r="A2" s="43"/>
      <c r="B2" s="11" t="str">
        <f>_xlfn.CONCAT(_xlfn.XLOOKUP(O1,Referencia!$B$1:$B$13,Referencia!$A$1:$A$13)," ",P1)</f>
        <v>Março 2023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</row>
    <row r="3" spans="1:27" s="9" customFormat="1" ht="16.5" x14ac:dyDescent="0.35">
      <c r="A3" s="15" t="s">
        <v>74</v>
      </c>
      <c r="B3" s="13" t="s">
        <v>20</v>
      </c>
      <c r="C3" s="13" t="s">
        <v>75</v>
      </c>
      <c r="D3" s="13" t="s">
        <v>76</v>
      </c>
      <c r="E3" s="13" t="s">
        <v>77</v>
      </c>
      <c r="F3" s="13" t="s">
        <v>78</v>
      </c>
      <c r="G3" s="13" t="s">
        <v>79</v>
      </c>
      <c r="H3" s="13" t="s">
        <v>80</v>
      </c>
      <c r="I3" s="13" t="s">
        <v>81</v>
      </c>
      <c r="J3" s="13" t="s">
        <v>82</v>
      </c>
      <c r="K3" s="13" t="s">
        <v>40</v>
      </c>
      <c r="L3" s="13" t="s">
        <v>83</v>
      </c>
      <c r="M3" s="37"/>
      <c r="N3" s="13" t="s">
        <v>85</v>
      </c>
      <c r="O3" s="13" t="s">
        <v>155</v>
      </c>
      <c r="P3" s="13" t="s">
        <v>87</v>
      </c>
      <c r="Q3" s="13" t="s">
        <v>88</v>
      </c>
      <c r="R3" s="13" t="s">
        <v>89</v>
      </c>
      <c r="S3" s="13" t="s">
        <v>90</v>
      </c>
      <c r="T3" s="13" t="s">
        <v>91</v>
      </c>
      <c r="U3" s="13" t="s">
        <v>92</v>
      </c>
      <c r="V3" s="56"/>
      <c r="W3" s="13" t="s">
        <v>88</v>
      </c>
      <c r="X3" s="13" t="s">
        <v>91</v>
      </c>
      <c r="Y3" s="13" t="s">
        <v>92</v>
      </c>
      <c r="Z3" s="37"/>
      <c r="AA3" s="14" t="s">
        <v>73</v>
      </c>
    </row>
    <row r="4" spans="1:27" s="2" customFormat="1" x14ac:dyDescent="0.2">
      <c r="A4" s="16" t="str">
        <f t="shared" ref="A4:A34" si="0">TEXT(B4,"DDDD")</f>
        <v>quarta-feira</v>
      </c>
      <c r="B4" s="17">
        <v>44986</v>
      </c>
      <c r="C4" s="19">
        <f>D4+E4</f>
        <v>99349.72</v>
      </c>
      <c r="D4" s="35">
        <f>_xlfn.XLOOKUP($B:$B,'Compilado 2023'!$B:$B,'Compilado 2023'!D:D)</f>
        <v>99349.72</v>
      </c>
      <c r="E4" s="35">
        <f>_xlfn.XLOOKUP($B:$B,'Compilado 2023'!$B:$B,'Compilado 2023'!E:E)</f>
        <v>0</v>
      </c>
      <c r="F4" s="18">
        <f>_xlfn.XLOOKUP($B:$B,'Compilado 2023'!$B:$B,'Compilado 2023'!F:F)</f>
        <v>229</v>
      </c>
      <c r="G4" s="18">
        <f>_xlfn.XLOOKUP($B:$B,'Compilado 2023'!$B:$B,'Compilado 2023'!G:G)</f>
        <v>459</v>
      </c>
      <c r="H4" s="35">
        <f>IFERROR(C4/F4,0)</f>
        <v>433.84157205240177</v>
      </c>
      <c r="I4" s="19">
        <f>SUM(N4:U4)</f>
        <v>1180.0129032258064</v>
      </c>
      <c r="J4" s="122">
        <f t="shared" ref="J4:J34" si="1">IF(I4&gt;0,C4/I4,0)</f>
        <v>84.193757312659244</v>
      </c>
      <c r="K4" s="18">
        <f>_xlfn.XLOOKUP($B:$B,'Compilado 2023'!$B:$B,'Compilado 2023'!K:K)</f>
        <v>6848</v>
      </c>
      <c r="L4" s="54">
        <f t="shared" ref="L4:L34" si="2">IFERROR(F4/K4,0)</f>
        <v>3.3440420560747662E-2</v>
      </c>
      <c r="M4" s="38"/>
      <c r="N4" s="106">
        <f>_xlfn.XLOOKUP($B:$B,'Compilado 2023'!$B:$B,'Compilado 2023'!N:N)</f>
        <v>658.46</v>
      </c>
      <c r="O4" s="106">
        <f>_xlfn.XLOOKUP($B:$B,'Compilado 2023'!$B:$B,'Compilado 2023'!O:O)</f>
        <v>469.94</v>
      </c>
      <c r="P4" s="106">
        <f>_xlfn.XLOOKUP($B:$B,'Compilado 2023'!$B:$B,'Compilado 2023'!P:P)</f>
        <v>0</v>
      </c>
      <c r="Q4" s="106">
        <f>_xlfn.XLOOKUP($B:$B,'Compilado 2023'!$B:$B,'Compilado 2023'!Q:Q)</f>
        <v>51.612903225806448</v>
      </c>
      <c r="R4" s="106">
        <f>_xlfn.XLOOKUP($B:$B,'Compilado 2023'!$B:$B,'Compilado 2023'!R:R)</f>
        <v>0</v>
      </c>
      <c r="S4" s="106">
        <f>_xlfn.XLOOKUP($B:$B,'Compilado 2023'!$B:$B,'Compilado 2023'!S:S)</f>
        <v>0</v>
      </c>
      <c r="T4" s="106">
        <f>_xlfn.XLOOKUP($B:$B,'Compilado 2023'!$B:$B,'Compilado 2023'!U:U)</f>
        <v>0</v>
      </c>
      <c r="U4" s="106">
        <f>_xlfn.XLOOKUP($B:$B,'Compilado 2023'!$B:$B,'Compilado 2023'!V:V)</f>
        <v>0</v>
      </c>
      <c r="V4" s="57"/>
      <c r="W4" s="106">
        <f>_xlfn.XLOOKUP($B:$B,'Compilado 2023'!$B:$B,'Compilado 2023'!X:X)</f>
        <v>0</v>
      </c>
      <c r="X4" s="106">
        <f>_xlfn.XLOOKUP($B:$B,'Compilado 2023'!$B:$B,'Compilado 2023'!Y:Y)</f>
        <v>0</v>
      </c>
      <c r="Y4" s="106">
        <f>_xlfn.XLOOKUP($B:$B,'Compilado 2023'!$B:$B,'Compilado 2023'!Z:Z)</f>
        <v>0</v>
      </c>
      <c r="Z4" s="38"/>
      <c r="AA4" s="107">
        <f>_xlfn.XLOOKUP($B:$B,'Compilado 2023'!$B:$B,'Compilado 2023'!AA:AA)</f>
        <v>0</v>
      </c>
    </row>
    <row r="5" spans="1:27" s="2" customFormat="1" x14ac:dyDescent="0.2">
      <c r="A5" s="16" t="str">
        <f t="shared" si="0"/>
        <v>quinta-feira</v>
      </c>
      <c r="B5" s="17">
        <f>B4+1</f>
        <v>44987</v>
      </c>
      <c r="C5" s="19">
        <f t="shared" ref="C5:C34" si="3">D5+E5</f>
        <v>63060.67</v>
      </c>
      <c r="D5" s="35">
        <f>_xlfn.XLOOKUP($B:$B,'Compilado 2023'!$B:$B,'Compilado 2023'!D:D)</f>
        <v>63060.67</v>
      </c>
      <c r="E5" s="35">
        <f>_xlfn.XLOOKUP($B:$B,'Compilado 2023'!$B:$B,'Compilado 2023'!E:E)</f>
        <v>0</v>
      </c>
      <c r="F5" s="18">
        <f>_xlfn.XLOOKUP($B:$B,'Compilado 2023'!$B:$B,'Compilado 2023'!F:F)</f>
        <v>202</v>
      </c>
      <c r="G5" s="18">
        <f>_xlfn.XLOOKUP($B:$B,'Compilado 2023'!$B:$B,'Compilado 2023'!G:G)</f>
        <v>255</v>
      </c>
      <c r="H5" s="35">
        <f t="shared" ref="H5:H34" si="4">IFERROR(C5/F5,0)</f>
        <v>312.18153465346535</v>
      </c>
      <c r="I5" s="19">
        <f t="shared" ref="I5:I34" si="5">SUM(N5:U5)</f>
        <v>1345.3129032258062</v>
      </c>
      <c r="J5" s="122">
        <f t="shared" si="1"/>
        <v>46.874351571885192</v>
      </c>
      <c r="K5" s="18">
        <f>_xlfn.XLOOKUP($B:$B,'Compilado 2023'!$B:$B,'Compilado 2023'!K:K)</f>
        <v>6781</v>
      </c>
      <c r="L5" s="54">
        <f t="shared" si="2"/>
        <v>2.9789116649461732E-2</v>
      </c>
      <c r="M5" s="38"/>
      <c r="N5" s="106">
        <f>_xlfn.XLOOKUP($B:$B,'Compilado 2023'!$B:$B,'Compilado 2023'!N:N)</f>
        <v>796.55</v>
      </c>
      <c r="O5" s="106">
        <f>_xlfn.XLOOKUP($B:$B,'Compilado 2023'!$B:$B,'Compilado 2023'!O:O)</f>
        <v>497.15</v>
      </c>
      <c r="P5" s="106">
        <f>_xlfn.XLOOKUP($B:$B,'Compilado 2023'!$B:$B,'Compilado 2023'!P:P)</f>
        <v>0</v>
      </c>
      <c r="Q5" s="106">
        <f>_xlfn.XLOOKUP($B:$B,'Compilado 2023'!$B:$B,'Compilado 2023'!Q:Q)</f>
        <v>51.612903225806448</v>
      </c>
      <c r="R5" s="106">
        <f>_xlfn.XLOOKUP($B:$B,'Compilado 2023'!$B:$B,'Compilado 2023'!R:R)</f>
        <v>0</v>
      </c>
      <c r="S5" s="106">
        <f>_xlfn.XLOOKUP($B:$B,'Compilado 2023'!$B:$B,'Compilado 2023'!S:S)</f>
        <v>0</v>
      </c>
      <c r="T5" s="106">
        <f>_xlfn.XLOOKUP($B:$B,'Compilado 2023'!$B:$B,'Compilado 2023'!U:U)</f>
        <v>0</v>
      </c>
      <c r="U5" s="106">
        <f>_xlfn.XLOOKUP($B:$B,'Compilado 2023'!$B:$B,'Compilado 2023'!V:V)</f>
        <v>0</v>
      </c>
      <c r="V5" s="57"/>
      <c r="W5" s="106">
        <f>_xlfn.XLOOKUP($B:$B,'Compilado 2023'!$B:$B,'Compilado 2023'!X:X)</f>
        <v>0</v>
      </c>
      <c r="X5" s="106">
        <f>_xlfn.XLOOKUP($B:$B,'Compilado 2023'!$B:$B,'Compilado 2023'!Y:Y)</f>
        <v>0</v>
      </c>
      <c r="Y5" s="106">
        <f>_xlfn.XLOOKUP($B:$B,'Compilado 2023'!$B:$B,'Compilado 2023'!Z:Z)</f>
        <v>0</v>
      </c>
      <c r="Z5" s="38"/>
      <c r="AA5" s="107">
        <f>_xlfn.XLOOKUP($B:$B,'Compilado 2023'!$B:$B,'Compilado 2023'!AA:AA)</f>
        <v>0</v>
      </c>
    </row>
    <row r="6" spans="1:27" x14ac:dyDescent="0.2">
      <c r="A6" s="16" t="str">
        <f t="shared" si="0"/>
        <v>sexta-feira</v>
      </c>
      <c r="B6" s="17">
        <f t="shared" ref="B6:B34" si="6">B5+1</f>
        <v>44988</v>
      </c>
      <c r="C6" s="19">
        <f t="shared" si="3"/>
        <v>78154.98</v>
      </c>
      <c r="D6" s="35">
        <f>_xlfn.XLOOKUP($B:$B,'Compilado 2023'!$B:$B,'Compilado 2023'!D:D)</f>
        <v>78154.98</v>
      </c>
      <c r="E6" s="35">
        <f>_xlfn.XLOOKUP($B:$B,'Compilado 2023'!$B:$B,'Compilado 2023'!E:E)</f>
        <v>0</v>
      </c>
      <c r="F6" s="18">
        <f>_xlfn.XLOOKUP($B:$B,'Compilado 2023'!$B:$B,'Compilado 2023'!F:F)</f>
        <v>234</v>
      </c>
      <c r="G6" s="18">
        <f>_xlfn.XLOOKUP($B:$B,'Compilado 2023'!$B:$B,'Compilado 2023'!G:G)</f>
        <v>307</v>
      </c>
      <c r="H6" s="35">
        <f t="shared" si="4"/>
        <v>333.99564102564102</v>
      </c>
      <c r="I6" s="19">
        <f t="shared" si="5"/>
        <v>1285.1429032258065</v>
      </c>
      <c r="J6" s="122">
        <f t="shared" si="1"/>
        <v>60.81423303496058</v>
      </c>
      <c r="K6" s="18">
        <f>_xlfn.XLOOKUP($B:$B,'Compilado 2023'!$B:$B,'Compilado 2023'!K:K)</f>
        <v>6189</v>
      </c>
      <c r="L6" s="54">
        <f t="shared" si="2"/>
        <v>3.7809015996122151E-2</v>
      </c>
      <c r="M6" s="38"/>
      <c r="N6" s="106">
        <f>_xlfn.XLOOKUP($B:$B,'Compilado 2023'!$B:$B,'Compilado 2023'!N:N)</f>
        <v>704.94</v>
      </c>
      <c r="O6" s="106">
        <f>_xlfn.XLOOKUP($B:$B,'Compilado 2023'!$B:$B,'Compilado 2023'!O:O)</f>
        <v>528.59</v>
      </c>
      <c r="P6" s="106">
        <f>_xlfn.XLOOKUP($B:$B,'Compilado 2023'!$B:$B,'Compilado 2023'!P:P)</f>
        <v>0</v>
      </c>
      <c r="Q6" s="106">
        <f>_xlfn.XLOOKUP($B:$B,'Compilado 2023'!$B:$B,'Compilado 2023'!Q:Q)</f>
        <v>51.612903225806448</v>
      </c>
      <c r="R6" s="106">
        <f>_xlfn.XLOOKUP($B:$B,'Compilado 2023'!$B:$B,'Compilado 2023'!R:R)</f>
        <v>0</v>
      </c>
      <c r="S6" s="106">
        <f>_xlfn.XLOOKUP($B:$B,'Compilado 2023'!$B:$B,'Compilado 2023'!S:S)</f>
        <v>0</v>
      </c>
      <c r="T6" s="106">
        <f>_xlfn.XLOOKUP($B:$B,'Compilado 2023'!$B:$B,'Compilado 2023'!U:U)</f>
        <v>0</v>
      </c>
      <c r="U6" s="106">
        <f>_xlfn.XLOOKUP($B:$B,'Compilado 2023'!$B:$B,'Compilado 2023'!V:V)</f>
        <v>0</v>
      </c>
      <c r="V6" s="57"/>
      <c r="W6" s="106">
        <f>_xlfn.XLOOKUP($B:$B,'Compilado 2023'!$B:$B,'Compilado 2023'!X:X)</f>
        <v>0</v>
      </c>
      <c r="X6" s="106">
        <f>_xlfn.XLOOKUP($B:$B,'Compilado 2023'!$B:$B,'Compilado 2023'!Y:Y)</f>
        <v>0</v>
      </c>
      <c r="Y6" s="106">
        <f>_xlfn.XLOOKUP($B:$B,'Compilado 2023'!$B:$B,'Compilado 2023'!Z:Z)</f>
        <v>0</v>
      </c>
      <c r="Z6" s="38"/>
      <c r="AA6" s="107">
        <f>_xlfn.XLOOKUP($B:$B,'Compilado 2023'!$B:$B,'Compilado 2023'!AA:AA)</f>
        <v>0</v>
      </c>
    </row>
    <row r="7" spans="1:27" x14ac:dyDescent="0.2">
      <c r="A7" s="16" t="str">
        <f t="shared" si="0"/>
        <v>sábado</v>
      </c>
      <c r="B7" s="17">
        <f t="shared" si="6"/>
        <v>44989</v>
      </c>
      <c r="C7" s="19">
        <f t="shared" si="3"/>
        <v>52294.899999999994</v>
      </c>
      <c r="D7" s="35">
        <f>_xlfn.XLOOKUP($B:$B,'Compilado 2023'!$B:$B,'Compilado 2023'!D:D)</f>
        <v>52272.59</v>
      </c>
      <c r="E7" s="35">
        <f>_xlfn.XLOOKUP($B:$B,'Compilado 2023'!$B:$B,'Compilado 2023'!E:E)</f>
        <v>22.31</v>
      </c>
      <c r="F7" s="18">
        <f>_xlfn.XLOOKUP($B:$B,'Compilado 2023'!$B:$B,'Compilado 2023'!F:F)</f>
        <v>189</v>
      </c>
      <c r="G7" s="18">
        <f>_xlfn.XLOOKUP($B:$B,'Compilado 2023'!$B:$B,'Compilado 2023'!G:G)</f>
        <v>211</v>
      </c>
      <c r="H7" s="35">
        <f t="shared" si="4"/>
        <v>276.69259259259258</v>
      </c>
      <c r="I7" s="19">
        <f t="shared" si="5"/>
        <v>1045.9529032258065</v>
      </c>
      <c r="J7" s="122">
        <f t="shared" si="1"/>
        <v>49.99737544464778</v>
      </c>
      <c r="K7" s="18">
        <f>_xlfn.XLOOKUP($B:$B,'Compilado 2023'!$B:$B,'Compilado 2023'!K:K)</f>
        <v>4758</v>
      </c>
      <c r="L7" s="54">
        <f t="shared" si="2"/>
        <v>3.9722572509457758E-2</v>
      </c>
      <c r="M7" s="38"/>
      <c r="N7" s="106">
        <f>_xlfn.XLOOKUP($B:$B,'Compilado 2023'!$B:$B,'Compilado 2023'!N:N)</f>
        <v>504.42</v>
      </c>
      <c r="O7" s="106">
        <f>_xlfn.XLOOKUP($B:$B,'Compilado 2023'!$B:$B,'Compilado 2023'!O:O)</f>
        <v>489.92</v>
      </c>
      <c r="P7" s="106">
        <f>_xlfn.XLOOKUP($B:$B,'Compilado 2023'!$B:$B,'Compilado 2023'!P:P)</f>
        <v>0</v>
      </c>
      <c r="Q7" s="106">
        <f>_xlfn.XLOOKUP($B:$B,'Compilado 2023'!$B:$B,'Compilado 2023'!Q:Q)</f>
        <v>51.612903225806448</v>
      </c>
      <c r="R7" s="106">
        <f>_xlfn.XLOOKUP($B:$B,'Compilado 2023'!$B:$B,'Compilado 2023'!R:R)</f>
        <v>0</v>
      </c>
      <c r="S7" s="106">
        <f>_xlfn.XLOOKUP($B:$B,'Compilado 2023'!$B:$B,'Compilado 2023'!S:S)</f>
        <v>0</v>
      </c>
      <c r="T7" s="106">
        <f>_xlfn.XLOOKUP($B:$B,'Compilado 2023'!$B:$B,'Compilado 2023'!U:U)</f>
        <v>0</v>
      </c>
      <c r="U7" s="106">
        <f>_xlfn.XLOOKUP($B:$B,'Compilado 2023'!$B:$B,'Compilado 2023'!V:V)</f>
        <v>0</v>
      </c>
      <c r="V7" s="57"/>
      <c r="W7" s="106">
        <f>_xlfn.XLOOKUP($B:$B,'Compilado 2023'!$B:$B,'Compilado 2023'!X:X)</f>
        <v>0</v>
      </c>
      <c r="X7" s="106">
        <f>_xlfn.XLOOKUP($B:$B,'Compilado 2023'!$B:$B,'Compilado 2023'!Y:Y)</f>
        <v>0</v>
      </c>
      <c r="Y7" s="106">
        <f>_xlfn.XLOOKUP($B:$B,'Compilado 2023'!$B:$B,'Compilado 2023'!Z:Z)</f>
        <v>0</v>
      </c>
      <c r="Z7" s="38"/>
      <c r="AA7" s="107">
        <f>_xlfn.XLOOKUP($B:$B,'Compilado 2023'!$B:$B,'Compilado 2023'!AA:AA)</f>
        <v>0</v>
      </c>
    </row>
    <row r="8" spans="1:27" s="2" customFormat="1" x14ac:dyDescent="0.2">
      <c r="A8" s="16" t="str">
        <f t="shared" si="0"/>
        <v>domingo</v>
      </c>
      <c r="B8" s="17">
        <f t="shared" si="6"/>
        <v>44990</v>
      </c>
      <c r="C8" s="19">
        <f t="shared" si="3"/>
        <v>40788.31</v>
      </c>
      <c r="D8" s="35">
        <f>_xlfn.XLOOKUP($B:$B,'Compilado 2023'!$B:$B,'Compilado 2023'!D:D)</f>
        <v>40788.31</v>
      </c>
      <c r="E8" s="35">
        <f>_xlfn.XLOOKUP($B:$B,'Compilado 2023'!$B:$B,'Compilado 2023'!E:E)</f>
        <v>0</v>
      </c>
      <c r="F8" s="18">
        <f>_xlfn.XLOOKUP($B:$B,'Compilado 2023'!$B:$B,'Compilado 2023'!F:F)</f>
        <v>111</v>
      </c>
      <c r="G8" s="18">
        <f>_xlfn.XLOOKUP($B:$B,'Compilado 2023'!$B:$B,'Compilado 2023'!G:G)</f>
        <v>164</v>
      </c>
      <c r="H8" s="35">
        <f t="shared" si="4"/>
        <v>367.46225225225226</v>
      </c>
      <c r="I8" s="19">
        <f t="shared" si="5"/>
        <v>1091.8229032258064</v>
      </c>
      <c r="J8" s="122">
        <f t="shared" si="1"/>
        <v>37.357990823869287</v>
      </c>
      <c r="K8" s="18">
        <f>_xlfn.XLOOKUP($B:$B,'Compilado 2023'!$B:$B,'Compilado 2023'!K:K)</f>
        <v>4189</v>
      </c>
      <c r="L8" s="54">
        <f t="shared" si="2"/>
        <v>2.6497970876104081E-2</v>
      </c>
      <c r="M8" s="38"/>
      <c r="N8" s="106">
        <f>_xlfn.XLOOKUP($B:$B,'Compilado 2023'!$B:$B,'Compilado 2023'!N:N)</f>
        <v>618.39</v>
      </c>
      <c r="O8" s="106">
        <f>_xlfn.XLOOKUP($B:$B,'Compilado 2023'!$B:$B,'Compilado 2023'!O:O)</f>
        <v>421.82</v>
      </c>
      <c r="P8" s="106">
        <f>_xlfn.XLOOKUP($B:$B,'Compilado 2023'!$B:$B,'Compilado 2023'!P:P)</f>
        <v>0</v>
      </c>
      <c r="Q8" s="106">
        <f>_xlfn.XLOOKUP($B:$B,'Compilado 2023'!$B:$B,'Compilado 2023'!Q:Q)</f>
        <v>51.612903225806448</v>
      </c>
      <c r="R8" s="106">
        <f>_xlfn.XLOOKUP($B:$B,'Compilado 2023'!$B:$B,'Compilado 2023'!R:R)</f>
        <v>0</v>
      </c>
      <c r="S8" s="106">
        <f>_xlfn.XLOOKUP($B:$B,'Compilado 2023'!$B:$B,'Compilado 2023'!S:S)</f>
        <v>0</v>
      </c>
      <c r="T8" s="106">
        <f>_xlfn.XLOOKUP($B:$B,'Compilado 2023'!$B:$B,'Compilado 2023'!U:U)</f>
        <v>0</v>
      </c>
      <c r="U8" s="106">
        <f>_xlfn.XLOOKUP($B:$B,'Compilado 2023'!$B:$B,'Compilado 2023'!V:V)</f>
        <v>0</v>
      </c>
      <c r="V8" s="57"/>
      <c r="W8" s="106">
        <f>_xlfn.XLOOKUP($B:$B,'Compilado 2023'!$B:$B,'Compilado 2023'!X:X)</f>
        <v>0</v>
      </c>
      <c r="X8" s="106">
        <f>_xlfn.XLOOKUP($B:$B,'Compilado 2023'!$B:$B,'Compilado 2023'!Y:Y)</f>
        <v>0</v>
      </c>
      <c r="Y8" s="106">
        <f>_xlfn.XLOOKUP($B:$B,'Compilado 2023'!$B:$B,'Compilado 2023'!Z:Z)</f>
        <v>0</v>
      </c>
      <c r="Z8" s="38"/>
      <c r="AA8" s="107">
        <f>_xlfn.XLOOKUP($B:$B,'Compilado 2023'!$B:$B,'Compilado 2023'!AA:AA)</f>
        <v>0</v>
      </c>
    </row>
    <row r="9" spans="1:27" s="2" customFormat="1" x14ac:dyDescent="0.2">
      <c r="A9" s="16" t="str">
        <f t="shared" si="0"/>
        <v>segunda-feira</v>
      </c>
      <c r="B9" s="17">
        <f t="shared" si="6"/>
        <v>44991</v>
      </c>
      <c r="C9" s="19">
        <f t="shared" si="3"/>
        <v>105622.40999999999</v>
      </c>
      <c r="D9" s="35">
        <f>_xlfn.XLOOKUP($B:$B,'Compilado 2023'!$B:$B,'Compilado 2023'!D:D)</f>
        <v>105576.65</v>
      </c>
      <c r="E9" s="35">
        <f>_xlfn.XLOOKUP($B:$B,'Compilado 2023'!$B:$B,'Compilado 2023'!E:E)</f>
        <v>45.76</v>
      </c>
      <c r="F9" s="18">
        <f>_xlfn.XLOOKUP($B:$B,'Compilado 2023'!$B:$B,'Compilado 2023'!F:F)</f>
        <v>266</v>
      </c>
      <c r="G9" s="18">
        <f>_xlfn.XLOOKUP($B:$B,'Compilado 2023'!$B:$B,'Compilado 2023'!G:G)</f>
        <v>475</v>
      </c>
      <c r="H9" s="35">
        <f t="shared" si="4"/>
        <v>397.07672932330826</v>
      </c>
      <c r="I9" s="19">
        <f t="shared" si="5"/>
        <v>1446.1229032258063</v>
      </c>
      <c r="J9" s="122">
        <f t="shared" si="1"/>
        <v>73.038335652102916</v>
      </c>
      <c r="K9" s="18">
        <f>_xlfn.XLOOKUP($B:$B,'Compilado 2023'!$B:$B,'Compilado 2023'!K:K)</f>
        <v>6786</v>
      </c>
      <c r="L9" s="54">
        <f t="shared" si="2"/>
        <v>3.9198349543177129E-2</v>
      </c>
      <c r="M9" s="38"/>
      <c r="N9" s="106">
        <f>_xlfn.XLOOKUP($B:$B,'Compilado 2023'!$B:$B,'Compilado 2023'!N:N)</f>
        <v>890.38</v>
      </c>
      <c r="O9" s="106">
        <f>_xlfn.XLOOKUP($B:$B,'Compilado 2023'!$B:$B,'Compilado 2023'!O:O)</f>
        <v>504.13</v>
      </c>
      <c r="P9" s="106">
        <f>_xlfn.XLOOKUP($B:$B,'Compilado 2023'!$B:$B,'Compilado 2023'!P:P)</f>
        <v>0</v>
      </c>
      <c r="Q9" s="106">
        <f>_xlfn.XLOOKUP($B:$B,'Compilado 2023'!$B:$B,'Compilado 2023'!Q:Q)</f>
        <v>51.612903225806448</v>
      </c>
      <c r="R9" s="106">
        <f>_xlfn.XLOOKUP($B:$B,'Compilado 2023'!$B:$B,'Compilado 2023'!R:R)</f>
        <v>0</v>
      </c>
      <c r="S9" s="106">
        <f>_xlfn.XLOOKUP($B:$B,'Compilado 2023'!$B:$B,'Compilado 2023'!S:S)</f>
        <v>0</v>
      </c>
      <c r="T9" s="106">
        <f>_xlfn.XLOOKUP($B:$B,'Compilado 2023'!$B:$B,'Compilado 2023'!U:U)</f>
        <v>0</v>
      </c>
      <c r="U9" s="106">
        <f>_xlfn.XLOOKUP($B:$B,'Compilado 2023'!$B:$B,'Compilado 2023'!V:V)</f>
        <v>0</v>
      </c>
      <c r="V9" s="57"/>
      <c r="W9" s="106">
        <f>_xlfn.XLOOKUP($B:$B,'Compilado 2023'!$B:$B,'Compilado 2023'!X:X)</f>
        <v>0</v>
      </c>
      <c r="X9" s="106">
        <f>_xlfn.XLOOKUP($B:$B,'Compilado 2023'!$B:$B,'Compilado 2023'!Y:Y)</f>
        <v>0</v>
      </c>
      <c r="Y9" s="106">
        <f>_xlfn.XLOOKUP($B:$B,'Compilado 2023'!$B:$B,'Compilado 2023'!Z:Z)</f>
        <v>0</v>
      </c>
      <c r="Z9" s="38"/>
      <c r="AA9" s="107">
        <f>_xlfn.XLOOKUP($B:$B,'Compilado 2023'!$B:$B,'Compilado 2023'!AA:AA)</f>
        <v>0</v>
      </c>
    </row>
    <row r="10" spans="1:27" s="2" customFormat="1" x14ac:dyDescent="0.2">
      <c r="A10" s="16" t="str">
        <f t="shared" si="0"/>
        <v>terça-feira</v>
      </c>
      <c r="B10" s="17">
        <f t="shared" si="6"/>
        <v>44992</v>
      </c>
      <c r="C10" s="19">
        <f t="shared" si="3"/>
        <v>99791.739999999991</v>
      </c>
      <c r="D10" s="35">
        <f>_xlfn.XLOOKUP($B:$B,'Compilado 2023'!$B:$B,'Compilado 2023'!D:D)</f>
        <v>99765.15</v>
      </c>
      <c r="E10" s="35">
        <f>_xlfn.XLOOKUP($B:$B,'Compilado 2023'!$B:$B,'Compilado 2023'!E:E)</f>
        <v>26.59</v>
      </c>
      <c r="F10" s="18">
        <f>_xlfn.XLOOKUP($B:$B,'Compilado 2023'!$B:$B,'Compilado 2023'!F:F)</f>
        <v>299</v>
      </c>
      <c r="G10" s="18">
        <f>_xlfn.XLOOKUP($B:$B,'Compilado 2023'!$B:$B,'Compilado 2023'!G:G)</f>
        <v>423</v>
      </c>
      <c r="H10" s="35">
        <f t="shared" si="4"/>
        <v>333.75163879598659</v>
      </c>
      <c r="I10" s="19">
        <f t="shared" si="5"/>
        <v>2036.1729032258063</v>
      </c>
      <c r="J10" s="122">
        <f t="shared" si="1"/>
        <v>49.009462723870335</v>
      </c>
      <c r="K10" s="18">
        <f>_xlfn.XLOOKUP($B:$B,'Compilado 2023'!$B:$B,'Compilado 2023'!K:K)</f>
        <v>7831</v>
      </c>
      <c r="L10" s="54">
        <f t="shared" si="2"/>
        <v>3.8181586004341718E-2</v>
      </c>
      <c r="M10" s="38"/>
      <c r="N10" s="106">
        <f>_xlfn.XLOOKUP($B:$B,'Compilado 2023'!$B:$B,'Compilado 2023'!N:N)</f>
        <v>1272.53</v>
      </c>
      <c r="O10" s="106">
        <f>_xlfn.XLOOKUP($B:$B,'Compilado 2023'!$B:$B,'Compilado 2023'!O:O)</f>
        <v>712.03</v>
      </c>
      <c r="P10" s="106">
        <f>_xlfn.XLOOKUP($B:$B,'Compilado 2023'!$B:$B,'Compilado 2023'!P:P)</f>
        <v>0</v>
      </c>
      <c r="Q10" s="106">
        <f>_xlfn.XLOOKUP($B:$B,'Compilado 2023'!$B:$B,'Compilado 2023'!Q:Q)</f>
        <v>51.612903225806448</v>
      </c>
      <c r="R10" s="106">
        <f>_xlfn.XLOOKUP($B:$B,'Compilado 2023'!$B:$B,'Compilado 2023'!R:R)</f>
        <v>0</v>
      </c>
      <c r="S10" s="106">
        <f>_xlfn.XLOOKUP($B:$B,'Compilado 2023'!$B:$B,'Compilado 2023'!S:S)</f>
        <v>0</v>
      </c>
      <c r="T10" s="106">
        <f>_xlfn.XLOOKUP($B:$B,'Compilado 2023'!$B:$B,'Compilado 2023'!U:U)</f>
        <v>0</v>
      </c>
      <c r="U10" s="106">
        <f>_xlfn.XLOOKUP($B:$B,'Compilado 2023'!$B:$B,'Compilado 2023'!V:V)</f>
        <v>0</v>
      </c>
      <c r="V10" s="57"/>
      <c r="W10" s="106">
        <f>_xlfn.XLOOKUP($B:$B,'Compilado 2023'!$B:$B,'Compilado 2023'!X:X)</f>
        <v>0</v>
      </c>
      <c r="X10" s="106">
        <f>_xlfn.XLOOKUP($B:$B,'Compilado 2023'!$B:$B,'Compilado 2023'!Y:Y)</f>
        <v>0</v>
      </c>
      <c r="Y10" s="106">
        <f>_xlfn.XLOOKUP($B:$B,'Compilado 2023'!$B:$B,'Compilado 2023'!Z:Z)</f>
        <v>0</v>
      </c>
      <c r="Z10" s="38"/>
      <c r="AA10" s="107">
        <f>_xlfn.XLOOKUP($B:$B,'Compilado 2023'!$B:$B,'Compilado 2023'!AA:AA)</f>
        <v>0</v>
      </c>
    </row>
    <row r="11" spans="1:27" s="2" customFormat="1" x14ac:dyDescent="0.2">
      <c r="A11" s="16" t="str">
        <f t="shared" si="0"/>
        <v>quarta-feira</v>
      </c>
      <c r="B11" s="17">
        <f t="shared" si="6"/>
        <v>44993</v>
      </c>
      <c r="C11" s="19">
        <f t="shared" si="3"/>
        <v>169409.17</v>
      </c>
      <c r="D11" s="35">
        <f>_xlfn.XLOOKUP($B:$B,'Compilado 2023'!$B:$B,'Compilado 2023'!D:D)</f>
        <v>169409.17</v>
      </c>
      <c r="E11" s="35">
        <f>_xlfn.XLOOKUP($B:$B,'Compilado 2023'!$B:$B,'Compilado 2023'!E:E)</f>
        <v>0</v>
      </c>
      <c r="F11" s="18">
        <f>_xlfn.XLOOKUP($B:$B,'Compilado 2023'!$B:$B,'Compilado 2023'!F:F)</f>
        <v>455</v>
      </c>
      <c r="G11" s="18">
        <f>_xlfn.XLOOKUP($B:$B,'Compilado 2023'!$B:$B,'Compilado 2023'!G:G)</f>
        <v>704</v>
      </c>
      <c r="H11" s="35">
        <f t="shared" si="4"/>
        <v>372.32784615384617</v>
      </c>
      <c r="I11" s="19">
        <f t="shared" si="5"/>
        <v>2392.9029032258063</v>
      </c>
      <c r="J11" s="122">
        <f t="shared" si="1"/>
        <v>70.796508195808613</v>
      </c>
      <c r="K11" s="18">
        <f>_xlfn.XLOOKUP($B:$B,'Compilado 2023'!$B:$B,'Compilado 2023'!K:K)</f>
        <v>8178</v>
      </c>
      <c r="L11" s="54">
        <f t="shared" si="2"/>
        <v>5.5637075079481534E-2</v>
      </c>
      <c r="M11" s="38"/>
      <c r="N11" s="106">
        <f>_xlfn.XLOOKUP($B:$B,'Compilado 2023'!$B:$B,'Compilado 2023'!N:N)</f>
        <v>1605.07</v>
      </c>
      <c r="O11" s="106">
        <f>_xlfn.XLOOKUP($B:$B,'Compilado 2023'!$B:$B,'Compilado 2023'!O:O)</f>
        <v>736.22</v>
      </c>
      <c r="P11" s="106">
        <f>_xlfn.XLOOKUP($B:$B,'Compilado 2023'!$B:$B,'Compilado 2023'!P:P)</f>
        <v>0</v>
      </c>
      <c r="Q11" s="106">
        <f>_xlfn.XLOOKUP($B:$B,'Compilado 2023'!$B:$B,'Compilado 2023'!Q:Q)</f>
        <v>51.612903225806448</v>
      </c>
      <c r="R11" s="106">
        <f>_xlfn.XLOOKUP($B:$B,'Compilado 2023'!$B:$B,'Compilado 2023'!R:R)</f>
        <v>0</v>
      </c>
      <c r="S11" s="106">
        <f>_xlfn.XLOOKUP($B:$B,'Compilado 2023'!$B:$B,'Compilado 2023'!S:S)</f>
        <v>0</v>
      </c>
      <c r="T11" s="106">
        <f>_xlfn.XLOOKUP($B:$B,'Compilado 2023'!$B:$B,'Compilado 2023'!U:U)</f>
        <v>0</v>
      </c>
      <c r="U11" s="106">
        <f>_xlfn.XLOOKUP($B:$B,'Compilado 2023'!$B:$B,'Compilado 2023'!V:V)</f>
        <v>0</v>
      </c>
      <c r="V11" s="57"/>
      <c r="W11" s="106">
        <f>_xlfn.XLOOKUP($B:$B,'Compilado 2023'!$B:$B,'Compilado 2023'!X:X)</f>
        <v>0</v>
      </c>
      <c r="X11" s="106">
        <f>_xlfn.XLOOKUP($B:$B,'Compilado 2023'!$B:$B,'Compilado 2023'!Y:Y)</f>
        <v>0</v>
      </c>
      <c r="Y11" s="106">
        <f>_xlfn.XLOOKUP($B:$B,'Compilado 2023'!$B:$B,'Compilado 2023'!Z:Z)</f>
        <v>0</v>
      </c>
      <c r="Z11" s="38"/>
      <c r="AA11" s="107">
        <f>_xlfn.XLOOKUP($B:$B,'Compilado 2023'!$B:$B,'Compilado 2023'!AA:AA)</f>
        <v>0</v>
      </c>
    </row>
    <row r="12" spans="1:27" s="2" customFormat="1" x14ac:dyDescent="0.2">
      <c r="A12" s="16" t="str">
        <f t="shared" si="0"/>
        <v>quinta-feira</v>
      </c>
      <c r="B12" s="17">
        <f t="shared" si="6"/>
        <v>44994</v>
      </c>
      <c r="C12" s="19">
        <f t="shared" si="3"/>
        <v>73347.12</v>
      </c>
      <c r="D12" s="35">
        <f>_xlfn.XLOOKUP($B:$B,'Compilado 2023'!$B:$B,'Compilado 2023'!D:D)</f>
        <v>73347.12</v>
      </c>
      <c r="E12" s="35">
        <f>_xlfn.XLOOKUP($B:$B,'Compilado 2023'!$B:$B,'Compilado 2023'!E:E)</f>
        <v>0</v>
      </c>
      <c r="F12" s="18">
        <f>_xlfn.XLOOKUP($B:$B,'Compilado 2023'!$B:$B,'Compilado 2023'!F:F)</f>
        <v>222</v>
      </c>
      <c r="G12" s="18">
        <f>_xlfn.XLOOKUP($B:$B,'Compilado 2023'!$B:$B,'Compilado 2023'!G:G)</f>
        <v>330</v>
      </c>
      <c r="H12" s="35">
        <f t="shared" si="4"/>
        <v>330.39243243243243</v>
      </c>
      <c r="I12" s="19">
        <f t="shared" si="5"/>
        <v>1191.6829032258065</v>
      </c>
      <c r="J12" s="122">
        <f t="shared" si="1"/>
        <v>61.549192156281016</v>
      </c>
      <c r="K12" s="18">
        <f>_xlfn.XLOOKUP($B:$B,'Compilado 2023'!$B:$B,'Compilado 2023'!K:K)</f>
        <v>5944</v>
      </c>
      <c r="L12" s="54">
        <f t="shared" si="2"/>
        <v>3.7348586810228804E-2</v>
      </c>
      <c r="M12" s="38"/>
      <c r="N12" s="106">
        <f>_xlfn.XLOOKUP($B:$B,'Compilado 2023'!$B:$B,'Compilado 2023'!N:N)</f>
        <v>804.32</v>
      </c>
      <c r="O12" s="106">
        <f>_xlfn.XLOOKUP($B:$B,'Compilado 2023'!$B:$B,'Compilado 2023'!O:O)</f>
        <v>335.75</v>
      </c>
      <c r="P12" s="106">
        <f>_xlfn.XLOOKUP($B:$B,'Compilado 2023'!$B:$B,'Compilado 2023'!P:P)</f>
        <v>0</v>
      </c>
      <c r="Q12" s="106">
        <f>_xlfn.XLOOKUP($B:$B,'Compilado 2023'!$B:$B,'Compilado 2023'!Q:Q)</f>
        <v>51.612903225806448</v>
      </c>
      <c r="R12" s="106">
        <f>_xlfn.XLOOKUP($B:$B,'Compilado 2023'!$B:$B,'Compilado 2023'!R:R)</f>
        <v>0</v>
      </c>
      <c r="S12" s="106">
        <f>_xlfn.XLOOKUP($B:$B,'Compilado 2023'!$B:$B,'Compilado 2023'!S:S)</f>
        <v>0</v>
      </c>
      <c r="T12" s="106">
        <f>_xlfn.XLOOKUP($B:$B,'Compilado 2023'!$B:$B,'Compilado 2023'!U:U)</f>
        <v>0</v>
      </c>
      <c r="U12" s="106">
        <f>_xlfn.XLOOKUP($B:$B,'Compilado 2023'!$B:$B,'Compilado 2023'!V:V)</f>
        <v>0</v>
      </c>
      <c r="V12" s="57"/>
      <c r="W12" s="106">
        <f>_xlfn.XLOOKUP($B:$B,'Compilado 2023'!$B:$B,'Compilado 2023'!X:X)</f>
        <v>0</v>
      </c>
      <c r="X12" s="106">
        <f>_xlfn.XLOOKUP($B:$B,'Compilado 2023'!$B:$B,'Compilado 2023'!Y:Y)</f>
        <v>0</v>
      </c>
      <c r="Y12" s="106">
        <f>_xlfn.XLOOKUP($B:$B,'Compilado 2023'!$B:$B,'Compilado 2023'!Z:Z)</f>
        <v>0</v>
      </c>
      <c r="Z12" s="38"/>
      <c r="AA12" s="107">
        <f>_xlfn.XLOOKUP($B:$B,'Compilado 2023'!$B:$B,'Compilado 2023'!AA:AA)</f>
        <v>0</v>
      </c>
    </row>
    <row r="13" spans="1:27" x14ac:dyDescent="0.2">
      <c r="A13" s="16" t="str">
        <f t="shared" si="0"/>
        <v>sexta-feira</v>
      </c>
      <c r="B13" s="17">
        <f t="shared" si="6"/>
        <v>44995</v>
      </c>
      <c r="C13" s="19">
        <f t="shared" si="3"/>
        <v>73599.06</v>
      </c>
      <c r="D13" s="35">
        <f>_xlfn.XLOOKUP($B:$B,'Compilado 2023'!$B:$B,'Compilado 2023'!D:D)</f>
        <v>73576.75</v>
      </c>
      <c r="E13" s="35">
        <f>_xlfn.XLOOKUP($B:$B,'Compilado 2023'!$B:$B,'Compilado 2023'!E:E)</f>
        <v>22.31</v>
      </c>
      <c r="F13" s="18">
        <f>_xlfn.XLOOKUP($B:$B,'Compilado 2023'!$B:$B,'Compilado 2023'!F:F)</f>
        <v>244</v>
      </c>
      <c r="G13" s="18">
        <f>_xlfn.XLOOKUP($B:$B,'Compilado 2023'!$B:$B,'Compilado 2023'!G:G)</f>
        <v>281</v>
      </c>
      <c r="H13" s="35">
        <f t="shared" si="4"/>
        <v>301.63549180327868</v>
      </c>
      <c r="I13" s="19">
        <f t="shared" si="5"/>
        <v>1041.2729032258064</v>
      </c>
      <c r="J13" s="122">
        <f t="shared" si="1"/>
        <v>70.681816238561609</v>
      </c>
      <c r="K13" s="18">
        <f>_xlfn.XLOOKUP($B:$B,'Compilado 2023'!$B:$B,'Compilado 2023'!K:K)</f>
        <v>5540</v>
      </c>
      <c r="L13" s="54">
        <f t="shared" si="2"/>
        <v>4.4043321299638991E-2</v>
      </c>
      <c r="M13" s="38"/>
      <c r="N13" s="106">
        <f>_xlfn.XLOOKUP($B:$B,'Compilado 2023'!$B:$B,'Compilado 2023'!N:N)</f>
        <v>625.32000000000005</v>
      </c>
      <c r="O13" s="106">
        <f>_xlfn.XLOOKUP($B:$B,'Compilado 2023'!$B:$B,'Compilado 2023'!O:O)</f>
        <v>364.34</v>
      </c>
      <c r="P13" s="106">
        <f>_xlfn.XLOOKUP($B:$B,'Compilado 2023'!$B:$B,'Compilado 2023'!P:P)</f>
        <v>0</v>
      </c>
      <c r="Q13" s="106">
        <f>_xlfn.XLOOKUP($B:$B,'Compilado 2023'!$B:$B,'Compilado 2023'!Q:Q)</f>
        <v>51.612903225806448</v>
      </c>
      <c r="R13" s="106">
        <f>_xlfn.XLOOKUP($B:$B,'Compilado 2023'!$B:$B,'Compilado 2023'!R:R)</f>
        <v>0</v>
      </c>
      <c r="S13" s="106">
        <f>_xlfn.XLOOKUP($B:$B,'Compilado 2023'!$B:$B,'Compilado 2023'!S:S)</f>
        <v>0</v>
      </c>
      <c r="T13" s="106">
        <f>_xlfn.XLOOKUP($B:$B,'Compilado 2023'!$B:$B,'Compilado 2023'!U:U)</f>
        <v>0</v>
      </c>
      <c r="U13" s="106">
        <f>_xlfn.XLOOKUP($B:$B,'Compilado 2023'!$B:$B,'Compilado 2023'!V:V)</f>
        <v>0</v>
      </c>
      <c r="V13" s="57"/>
      <c r="W13" s="106">
        <f>_xlfn.XLOOKUP($B:$B,'Compilado 2023'!$B:$B,'Compilado 2023'!X:X)</f>
        <v>0</v>
      </c>
      <c r="X13" s="106">
        <f>_xlfn.XLOOKUP($B:$B,'Compilado 2023'!$B:$B,'Compilado 2023'!Y:Y)</f>
        <v>0</v>
      </c>
      <c r="Y13" s="106">
        <f>_xlfn.XLOOKUP($B:$B,'Compilado 2023'!$B:$B,'Compilado 2023'!Z:Z)</f>
        <v>0</v>
      </c>
      <c r="Z13" s="38"/>
      <c r="AA13" s="107">
        <f>_xlfn.XLOOKUP($B:$B,'Compilado 2023'!$B:$B,'Compilado 2023'!AA:AA)</f>
        <v>0</v>
      </c>
    </row>
    <row r="14" spans="1:27" x14ac:dyDescent="0.2">
      <c r="A14" s="16" t="str">
        <f t="shared" si="0"/>
        <v>sábado</v>
      </c>
      <c r="B14" s="17">
        <f t="shared" si="6"/>
        <v>44996</v>
      </c>
      <c r="C14" s="19">
        <f t="shared" si="3"/>
        <v>42795.38</v>
      </c>
      <c r="D14" s="35">
        <f>_xlfn.XLOOKUP($B:$B,'Compilado 2023'!$B:$B,'Compilado 2023'!D:D)</f>
        <v>42751</v>
      </c>
      <c r="E14" s="35">
        <f>_xlfn.XLOOKUP($B:$B,'Compilado 2023'!$B:$B,'Compilado 2023'!E:E)</f>
        <v>44.38</v>
      </c>
      <c r="F14" s="18">
        <f>_xlfn.XLOOKUP($B:$B,'Compilado 2023'!$B:$B,'Compilado 2023'!F:F)</f>
        <v>153</v>
      </c>
      <c r="G14" s="18">
        <f>_xlfn.XLOOKUP($B:$B,'Compilado 2023'!$B:$B,'Compilado 2023'!G:G)</f>
        <v>174</v>
      </c>
      <c r="H14" s="35">
        <f t="shared" si="4"/>
        <v>279.7083660130719</v>
      </c>
      <c r="I14" s="19">
        <f t="shared" si="5"/>
        <v>1067.6829032258063</v>
      </c>
      <c r="J14" s="122">
        <f t="shared" si="1"/>
        <v>40.082481297304355</v>
      </c>
      <c r="K14" s="18">
        <f>_xlfn.XLOOKUP($B:$B,'Compilado 2023'!$B:$B,'Compilado 2023'!K:K)</f>
        <v>4609</v>
      </c>
      <c r="L14" s="54">
        <f t="shared" si="2"/>
        <v>3.3195921024083315E-2</v>
      </c>
      <c r="M14" s="38"/>
      <c r="N14" s="106">
        <f>_xlfn.XLOOKUP($B:$B,'Compilado 2023'!$B:$B,'Compilado 2023'!N:N)</f>
        <v>597.41</v>
      </c>
      <c r="O14" s="106">
        <f>_xlfn.XLOOKUP($B:$B,'Compilado 2023'!$B:$B,'Compilado 2023'!O:O)</f>
        <v>418.66</v>
      </c>
      <c r="P14" s="106">
        <f>_xlfn.XLOOKUP($B:$B,'Compilado 2023'!$B:$B,'Compilado 2023'!P:P)</f>
        <v>0</v>
      </c>
      <c r="Q14" s="106">
        <f>_xlfn.XLOOKUP($B:$B,'Compilado 2023'!$B:$B,'Compilado 2023'!Q:Q)</f>
        <v>51.612903225806448</v>
      </c>
      <c r="R14" s="106">
        <f>_xlfn.XLOOKUP($B:$B,'Compilado 2023'!$B:$B,'Compilado 2023'!R:R)</f>
        <v>0</v>
      </c>
      <c r="S14" s="106">
        <f>_xlfn.XLOOKUP($B:$B,'Compilado 2023'!$B:$B,'Compilado 2023'!S:S)</f>
        <v>0</v>
      </c>
      <c r="T14" s="106">
        <f>_xlfn.XLOOKUP($B:$B,'Compilado 2023'!$B:$B,'Compilado 2023'!U:U)</f>
        <v>0</v>
      </c>
      <c r="U14" s="106">
        <f>_xlfn.XLOOKUP($B:$B,'Compilado 2023'!$B:$B,'Compilado 2023'!V:V)</f>
        <v>0</v>
      </c>
      <c r="V14" s="57"/>
      <c r="W14" s="106">
        <f>_xlfn.XLOOKUP($B:$B,'Compilado 2023'!$B:$B,'Compilado 2023'!X:X)</f>
        <v>0</v>
      </c>
      <c r="X14" s="106">
        <f>_xlfn.XLOOKUP($B:$B,'Compilado 2023'!$B:$B,'Compilado 2023'!Y:Y)</f>
        <v>0</v>
      </c>
      <c r="Y14" s="106">
        <f>_xlfn.XLOOKUP($B:$B,'Compilado 2023'!$B:$B,'Compilado 2023'!Z:Z)</f>
        <v>0</v>
      </c>
      <c r="Z14" s="38"/>
      <c r="AA14" s="107">
        <f>_xlfn.XLOOKUP($B:$B,'Compilado 2023'!$B:$B,'Compilado 2023'!AA:AA)</f>
        <v>0</v>
      </c>
    </row>
    <row r="15" spans="1:27" s="2" customFormat="1" x14ac:dyDescent="0.2">
      <c r="A15" s="16" t="str">
        <f t="shared" si="0"/>
        <v>domingo</v>
      </c>
      <c r="B15" s="17">
        <f t="shared" si="6"/>
        <v>44997</v>
      </c>
      <c r="C15" s="19">
        <f t="shared" si="3"/>
        <v>30194.880000000001</v>
      </c>
      <c r="D15" s="35">
        <f>_xlfn.XLOOKUP($B:$B,'Compilado 2023'!$B:$B,'Compilado 2023'!D:D)</f>
        <v>30194.880000000001</v>
      </c>
      <c r="E15" s="35">
        <f>_xlfn.XLOOKUP($B:$B,'Compilado 2023'!$B:$B,'Compilado 2023'!E:E)</f>
        <v>0</v>
      </c>
      <c r="F15" s="18">
        <f>_xlfn.XLOOKUP($B:$B,'Compilado 2023'!$B:$B,'Compilado 2023'!F:F)</f>
        <v>106</v>
      </c>
      <c r="G15" s="18">
        <f>_xlfn.XLOOKUP($B:$B,'Compilado 2023'!$B:$B,'Compilado 2023'!G:G)</f>
        <v>114</v>
      </c>
      <c r="H15" s="35">
        <f t="shared" si="4"/>
        <v>284.85735849056607</v>
      </c>
      <c r="I15" s="19">
        <f t="shared" si="5"/>
        <v>907.9329032258064</v>
      </c>
      <c r="J15" s="122">
        <f t="shared" si="1"/>
        <v>33.256730638046299</v>
      </c>
      <c r="K15" s="18">
        <f>_xlfn.XLOOKUP($B:$B,'Compilado 2023'!$B:$B,'Compilado 2023'!K:K)</f>
        <v>3753</v>
      </c>
      <c r="L15" s="54">
        <f t="shared" si="2"/>
        <v>2.8244071409539037E-2</v>
      </c>
      <c r="M15" s="38"/>
      <c r="N15" s="106">
        <f>_xlfn.XLOOKUP($B:$B,'Compilado 2023'!$B:$B,'Compilado 2023'!N:N)</f>
        <v>476.96</v>
      </c>
      <c r="O15" s="106">
        <f>_xlfn.XLOOKUP($B:$B,'Compilado 2023'!$B:$B,'Compilado 2023'!O:O)</f>
        <v>379.36</v>
      </c>
      <c r="P15" s="106">
        <f>_xlfn.XLOOKUP($B:$B,'Compilado 2023'!$B:$B,'Compilado 2023'!P:P)</f>
        <v>0</v>
      </c>
      <c r="Q15" s="106">
        <f>_xlfn.XLOOKUP($B:$B,'Compilado 2023'!$B:$B,'Compilado 2023'!Q:Q)</f>
        <v>51.612903225806448</v>
      </c>
      <c r="R15" s="106">
        <f>_xlfn.XLOOKUP($B:$B,'Compilado 2023'!$B:$B,'Compilado 2023'!R:R)</f>
        <v>0</v>
      </c>
      <c r="S15" s="106">
        <f>_xlfn.XLOOKUP($B:$B,'Compilado 2023'!$B:$B,'Compilado 2023'!S:S)</f>
        <v>0</v>
      </c>
      <c r="T15" s="106">
        <f>_xlfn.XLOOKUP($B:$B,'Compilado 2023'!$B:$B,'Compilado 2023'!U:U)</f>
        <v>0</v>
      </c>
      <c r="U15" s="106">
        <f>_xlfn.XLOOKUP($B:$B,'Compilado 2023'!$B:$B,'Compilado 2023'!V:V)</f>
        <v>0</v>
      </c>
      <c r="V15" s="57"/>
      <c r="W15" s="106">
        <f>_xlfn.XLOOKUP($B:$B,'Compilado 2023'!$B:$B,'Compilado 2023'!X:X)</f>
        <v>0</v>
      </c>
      <c r="X15" s="106">
        <f>_xlfn.XLOOKUP($B:$B,'Compilado 2023'!$B:$B,'Compilado 2023'!Y:Y)</f>
        <v>0</v>
      </c>
      <c r="Y15" s="106">
        <f>_xlfn.XLOOKUP($B:$B,'Compilado 2023'!$B:$B,'Compilado 2023'!Z:Z)</f>
        <v>0</v>
      </c>
      <c r="Z15" s="38"/>
      <c r="AA15" s="107">
        <f>_xlfn.XLOOKUP($B:$B,'Compilado 2023'!$B:$B,'Compilado 2023'!AA:AA)</f>
        <v>0</v>
      </c>
    </row>
    <row r="16" spans="1:27" s="2" customFormat="1" x14ac:dyDescent="0.2">
      <c r="A16" s="16" t="str">
        <f t="shared" si="0"/>
        <v>segunda-feira</v>
      </c>
      <c r="B16" s="17">
        <f t="shared" si="6"/>
        <v>44998</v>
      </c>
      <c r="C16" s="19">
        <f t="shared" si="3"/>
        <v>63956.98</v>
      </c>
      <c r="D16" s="35">
        <f>_xlfn.XLOOKUP($B:$B,'Compilado 2023'!$B:$B,'Compilado 2023'!D:D)</f>
        <v>63933.15</v>
      </c>
      <c r="E16" s="35">
        <f>_xlfn.XLOOKUP($B:$B,'Compilado 2023'!$B:$B,'Compilado 2023'!E:E)</f>
        <v>23.83</v>
      </c>
      <c r="F16" s="18">
        <f>_xlfn.XLOOKUP($B:$B,'Compilado 2023'!$B:$B,'Compilado 2023'!F:F)</f>
        <v>232</v>
      </c>
      <c r="G16" s="18">
        <f>_xlfn.XLOOKUP($B:$B,'Compilado 2023'!$B:$B,'Compilado 2023'!G:G)</f>
        <v>300</v>
      </c>
      <c r="H16" s="35">
        <f t="shared" si="4"/>
        <v>275.67663793103452</v>
      </c>
      <c r="I16" s="19">
        <f t="shared" si="5"/>
        <v>1153.4529032258065</v>
      </c>
      <c r="J16" s="122">
        <f t="shared" si="1"/>
        <v>55.448280394574049</v>
      </c>
      <c r="K16" s="18">
        <f>_xlfn.XLOOKUP($B:$B,'Compilado 2023'!$B:$B,'Compilado 2023'!K:K)</f>
        <v>5966</v>
      </c>
      <c r="L16" s="54">
        <f t="shared" si="2"/>
        <v>3.8887026483405966E-2</v>
      </c>
      <c r="M16" s="38"/>
      <c r="N16" s="106">
        <f>_xlfn.XLOOKUP($B:$B,'Compilado 2023'!$B:$B,'Compilado 2023'!N:N)</f>
        <v>666.7</v>
      </c>
      <c r="O16" s="106">
        <f>_xlfn.XLOOKUP($B:$B,'Compilado 2023'!$B:$B,'Compilado 2023'!O:O)</f>
        <v>435.14</v>
      </c>
      <c r="P16" s="106">
        <f>_xlfn.XLOOKUP($B:$B,'Compilado 2023'!$B:$B,'Compilado 2023'!P:P)</f>
        <v>0</v>
      </c>
      <c r="Q16" s="106">
        <f>_xlfn.XLOOKUP($B:$B,'Compilado 2023'!$B:$B,'Compilado 2023'!Q:Q)</f>
        <v>51.612903225806448</v>
      </c>
      <c r="R16" s="106">
        <f>_xlfn.XLOOKUP($B:$B,'Compilado 2023'!$B:$B,'Compilado 2023'!R:R)</f>
        <v>0</v>
      </c>
      <c r="S16" s="106">
        <f>_xlfn.XLOOKUP($B:$B,'Compilado 2023'!$B:$B,'Compilado 2023'!S:S)</f>
        <v>0</v>
      </c>
      <c r="T16" s="106">
        <f>_xlfn.XLOOKUP($B:$B,'Compilado 2023'!$B:$B,'Compilado 2023'!U:U)</f>
        <v>0</v>
      </c>
      <c r="U16" s="106">
        <f>_xlfn.XLOOKUP($B:$B,'Compilado 2023'!$B:$B,'Compilado 2023'!V:V)</f>
        <v>0</v>
      </c>
      <c r="V16" s="57"/>
      <c r="W16" s="106">
        <f>_xlfn.XLOOKUP($B:$B,'Compilado 2023'!$B:$B,'Compilado 2023'!X:X)</f>
        <v>0</v>
      </c>
      <c r="X16" s="106">
        <f>_xlfn.XLOOKUP($B:$B,'Compilado 2023'!$B:$B,'Compilado 2023'!Y:Y)</f>
        <v>0</v>
      </c>
      <c r="Y16" s="106">
        <f>_xlfn.XLOOKUP($B:$B,'Compilado 2023'!$B:$B,'Compilado 2023'!Z:Z)</f>
        <v>0</v>
      </c>
      <c r="Z16" s="38"/>
      <c r="AA16" s="107">
        <f>_xlfn.XLOOKUP($B:$B,'Compilado 2023'!$B:$B,'Compilado 2023'!AA:AA)</f>
        <v>0</v>
      </c>
    </row>
    <row r="17" spans="1:27" s="2" customFormat="1" x14ac:dyDescent="0.2">
      <c r="A17" s="16" t="str">
        <f t="shared" si="0"/>
        <v>terça-feira</v>
      </c>
      <c r="B17" s="17">
        <f t="shared" si="6"/>
        <v>44999</v>
      </c>
      <c r="C17" s="19">
        <f t="shared" si="3"/>
        <v>68999.23</v>
      </c>
      <c r="D17" s="35">
        <f>_xlfn.XLOOKUP($B:$B,'Compilado 2023'!$B:$B,'Compilado 2023'!D:D)</f>
        <v>68885.48</v>
      </c>
      <c r="E17" s="35">
        <f>_xlfn.XLOOKUP($B:$B,'Compilado 2023'!$B:$B,'Compilado 2023'!E:E)</f>
        <v>113.75</v>
      </c>
      <c r="F17" s="18">
        <f>_xlfn.XLOOKUP($B:$B,'Compilado 2023'!$B:$B,'Compilado 2023'!F:F)</f>
        <v>250</v>
      </c>
      <c r="G17" s="18">
        <f>_xlfn.XLOOKUP($B:$B,'Compilado 2023'!$B:$B,'Compilado 2023'!G:G)</f>
        <v>342</v>
      </c>
      <c r="H17" s="35">
        <f t="shared" si="4"/>
        <v>275.99691999999999</v>
      </c>
      <c r="I17" s="19">
        <f t="shared" si="5"/>
        <v>1179.0229032258062</v>
      </c>
      <c r="J17" s="122">
        <f t="shared" si="1"/>
        <v>58.522383077731682</v>
      </c>
      <c r="K17" s="18">
        <f>_xlfn.XLOOKUP($B:$B,'Compilado 2023'!$B:$B,'Compilado 2023'!K:K)</f>
        <v>6248</v>
      </c>
      <c r="L17" s="54">
        <f t="shared" si="2"/>
        <v>4.0012804097311137E-2</v>
      </c>
      <c r="M17" s="38"/>
      <c r="N17" s="106">
        <f>_xlfn.XLOOKUP($B:$B,'Compilado 2023'!$B:$B,'Compilado 2023'!N:N)</f>
        <v>547.5</v>
      </c>
      <c r="O17" s="106">
        <f>_xlfn.XLOOKUP($B:$B,'Compilado 2023'!$B:$B,'Compilado 2023'!O:O)</f>
        <v>579.91</v>
      </c>
      <c r="P17" s="106">
        <f>_xlfn.XLOOKUP($B:$B,'Compilado 2023'!$B:$B,'Compilado 2023'!P:P)</f>
        <v>0</v>
      </c>
      <c r="Q17" s="106">
        <f>_xlfn.XLOOKUP($B:$B,'Compilado 2023'!$B:$B,'Compilado 2023'!Q:Q)</f>
        <v>51.612903225806448</v>
      </c>
      <c r="R17" s="106">
        <f>_xlfn.XLOOKUP($B:$B,'Compilado 2023'!$B:$B,'Compilado 2023'!R:R)</f>
        <v>0</v>
      </c>
      <c r="S17" s="106">
        <f>_xlfn.XLOOKUP($B:$B,'Compilado 2023'!$B:$B,'Compilado 2023'!S:S)</f>
        <v>0</v>
      </c>
      <c r="T17" s="106">
        <f>_xlfn.XLOOKUP($B:$B,'Compilado 2023'!$B:$B,'Compilado 2023'!U:U)</f>
        <v>0</v>
      </c>
      <c r="U17" s="106">
        <f>_xlfn.XLOOKUP($B:$B,'Compilado 2023'!$B:$B,'Compilado 2023'!V:V)</f>
        <v>0</v>
      </c>
      <c r="V17" s="57"/>
      <c r="W17" s="106">
        <f>_xlfn.XLOOKUP($B:$B,'Compilado 2023'!$B:$B,'Compilado 2023'!X:X)</f>
        <v>0</v>
      </c>
      <c r="X17" s="106">
        <f>_xlfn.XLOOKUP($B:$B,'Compilado 2023'!$B:$B,'Compilado 2023'!Y:Y)</f>
        <v>0</v>
      </c>
      <c r="Y17" s="106">
        <f>_xlfn.XLOOKUP($B:$B,'Compilado 2023'!$B:$B,'Compilado 2023'!Z:Z)</f>
        <v>0</v>
      </c>
      <c r="Z17" s="38"/>
      <c r="AA17" s="107">
        <f>_xlfn.XLOOKUP($B:$B,'Compilado 2023'!$B:$B,'Compilado 2023'!AA:AA)</f>
        <v>0</v>
      </c>
    </row>
    <row r="18" spans="1:27" s="2" customFormat="1" x14ac:dyDescent="0.2">
      <c r="A18" s="16" t="str">
        <f t="shared" si="0"/>
        <v>quarta-feira</v>
      </c>
      <c r="B18" s="17">
        <f t="shared" si="6"/>
        <v>45000</v>
      </c>
      <c r="C18" s="19">
        <f t="shared" si="3"/>
        <v>65612.67</v>
      </c>
      <c r="D18" s="35">
        <f>_xlfn.XLOOKUP($B:$B,'Compilado 2023'!$B:$B,'Compilado 2023'!D:D)</f>
        <v>65588.740000000005</v>
      </c>
      <c r="E18" s="35">
        <f>_xlfn.XLOOKUP($B:$B,'Compilado 2023'!$B:$B,'Compilado 2023'!E:E)</f>
        <v>23.93</v>
      </c>
      <c r="F18" s="18">
        <f>_xlfn.XLOOKUP($B:$B,'Compilado 2023'!$B:$B,'Compilado 2023'!F:F)</f>
        <v>246</v>
      </c>
      <c r="G18" s="18">
        <f>_xlfn.XLOOKUP($B:$B,'Compilado 2023'!$B:$B,'Compilado 2023'!G:G)</f>
        <v>302</v>
      </c>
      <c r="H18" s="35">
        <f t="shared" si="4"/>
        <v>266.71817073170729</v>
      </c>
      <c r="I18" s="19">
        <f t="shared" si="5"/>
        <v>1366.1829032258063</v>
      </c>
      <c r="J18" s="122">
        <f t="shared" si="1"/>
        <v>48.026270746820614</v>
      </c>
      <c r="K18" s="18">
        <f>_xlfn.XLOOKUP($B:$B,'Compilado 2023'!$B:$B,'Compilado 2023'!K:K)</f>
        <v>5702</v>
      </c>
      <c r="L18" s="54">
        <f t="shared" si="2"/>
        <v>4.3142756927393895E-2</v>
      </c>
      <c r="M18" s="38"/>
      <c r="N18" s="106">
        <f>_xlfn.XLOOKUP($B:$B,'Compilado 2023'!$B:$B,'Compilado 2023'!N:N)</f>
        <v>575.14</v>
      </c>
      <c r="O18" s="106">
        <f>_xlfn.XLOOKUP($B:$B,'Compilado 2023'!$B:$B,'Compilado 2023'!O:O)</f>
        <v>739.43</v>
      </c>
      <c r="P18" s="106">
        <f>_xlfn.XLOOKUP($B:$B,'Compilado 2023'!$B:$B,'Compilado 2023'!P:P)</f>
        <v>0</v>
      </c>
      <c r="Q18" s="106">
        <f>_xlfn.XLOOKUP($B:$B,'Compilado 2023'!$B:$B,'Compilado 2023'!Q:Q)</f>
        <v>51.612903225806448</v>
      </c>
      <c r="R18" s="106">
        <f>_xlfn.XLOOKUP($B:$B,'Compilado 2023'!$B:$B,'Compilado 2023'!R:R)</f>
        <v>0</v>
      </c>
      <c r="S18" s="106">
        <f>_xlfn.XLOOKUP($B:$B,'Compilado 2023'!$B:$B,'Compilado 2023'!S:S)</f>
        <v>0</v>
      </c>
      <c r="T18" s="106">
        <f>_xlfn.XLOOKUP($B:$B,'Compilado 2023'!$B:$B,'Compilado 2023'!U:U)</f>
        <v>0</v>
      </c>
      <c r="U18" s="106">
        <f>_xlfn.XLOOKUP($B:$B,'Compilado 2023'!$B:$B,'Compilado 2023'!V:V)</f>
        <v>0</v>
      </c>
      <c r="V18" s="57"/>
      <c r="W18" s="106">
        <f>_xlfn.XLOOKUP($B:$B,'Compilado 2023'!$B:$B,'Compilado 2023'!X:X)</f>
        <v>0</v>
      </c>
      <c r="X18" s="106">
        <f>_xlfn.XLOOKUP($B:$B,'Compilado 2023'!$B:$B,'Compilado 2023'!Y:Y)</f>
        <v>0</v>
      </c>
      <c r="Y18" s="106">
        <f>_xlfn.XLOOKUP($B:$B,'Compilado 2023'!$B:$B,'Compilado 2023'!Z:Z)</f>
        <v>0</v>
      </c>
      <c r="Z18" s="38"/>
      <c r="AA18" s="107">
        <f>_xlfn.XLOOKUP($B:$B,'Compilado 2023'!$B:$B,'Compilado 2023'!AA:AA)</f>
        <v>0</v>
      </c>
    </row>
    <row r="19" spans="1:27" s="2" customFormat="1" x14ac:dyDescent="0.2">
      <c r="A19" s="16" t="str">
        <f t="shared" si="0"/>
        <v>quinta-feira</v>
      </c>
      <c r="B19" s="17">
        <f t="shared" si="6"/>
        <v>45001</v>
      </c>
      <c r="C19" s="19">
        <f t="shared" si="3"/>
        <v>71611.850000000006</v>
      </c>
      <c r="D19" s="35">
        <f>_xlfn.XLOOKUP($B:$B,'Compilado 2023'!$B:$B,'Compilado 2023'!D:D)</f>
        <v>71526.350000000006</v>
      </c>
      <c r="E19" s="35">
        <f>_xlfn.XLOOKUP($B:$B,'Compilado 2023'!$B:$B,'Compilado 2023'!E:E)</f>
        <v>85.5</v>
      </c>
      <c r="F19" s="18">
        <f>_xlfn.XLOOKUP($B:$B,'Compilado 2023'!$B:$B,'Compilado 2023'!F:F)</f>
        <v>243</v>
      </c>
      <c r="G19" s="18">
        <f>_xlfn.XLOOKUP($B:$B,'Compilado 2023'!$B:$B,'Compilado 2023'!G:G)</f>
        <v>329</v>
      </c>
      <c r="H19" s="35">
        <f t="shared" si="4"/>
        <v>294.69897119341567</v>
      </c>
      <c r="I19" s="19">
        <f t="shared" si="5"/>
        <v>1276.1129032258063</v>
      </c>
      <c r="J19" s="122">
        <f t="shared" si="1"/>
        <v>56.11717413010782</v>
      </c>
      <c r="K19" s="18">
        <f>_xlfn.XLOOKUP($B:$B,'Compilado 2023'!$B:$B,'Compilado 2023'!K:K)</f>
        <v>5641</v>
      </c>
      <c r="L19" s="54">
        <f t="shared" si="2"/>
        <v>4.307746853394788E-2</v>
      </c>
      <c r="M19" s="38"/>
      <c r="N19" s="106">
        <f>_xlfn.XLOOKUP($B:$B,'Compilado 2023'!$B:$B,'Compilado 2023'!N:N)</f>
        <v>544.22</v>
      </c>
      <c r="O19" s="106">
        <f>_xlfn.XLOOKUP($B:$B,'Compilado 2023'!$B:$B,'Compilado 2023'!O:O)</f>
        <v>680.28</v>
      </c>
      <c r="P19" s="106">
        <f>_xlfn.XLOOKUP($B:$B,'Compilado 2023'!$B:$B,'Compilado 2023'!P:P)</f>
        <v>0</v>
      </c>
      <c r="Q19" s="106">
        <f>_xlfn.XLOOKUP($B:$B,'Compilado 2023'!$B:$B,'Compilado 2023'!Q:Q)</f>
        <v>51.612903225806448</v>
      </c>
      <c r="R19" s="106">
        <f>_xlfn.XLOOKUP($B:$B,'Compilado 2023'!$B:$B,'Compilado 2023'!R:R)</f>
        <v>0</v>
      </c>
      <c r="S19" s="106">
        <f>_xlfn.XLOOKUP($B:$B,'Compilado 2023'!$B:$B,'Compilado 2023'!S:S)</f>
        <v>0</v>
      </c>
      <c r="T19" s="106">
        <f>_xlfn.XLOOKUP($B:$B,'Compilado 2023'!$B:$B,'Compilado 2023'!U:U)</f>
        <v>0</v>
      </c>
      <c r="U19" s="106">
        <f>_xlfn.XLOOKUP($B:$B,'Compilado 2023'!$B:$B,'Compilado 2023'!V:V)</f>
        <v>0</v>
      </c>
      <c r="V19" s="57"/>
      <c r="W19" s="106">
        <f>_xlfn.XLOOKUP($B:$B,'Compilado 2023'!$B:$B,'Compilado 2023'!X:X)</f>
        <v>0</v>
      </c>
      <c r="X19" s="106">
        <f>_xlfn.XLOOKUP($B:$B,'Compilado 2023'!$B:$B,'Compilado 2023'!Y:Y)</f>
        <v>0</v>
      </c>
      <c r="Y19" s="106">
        <f>_xlfn.XLOOKUP($B:$B,'Compilado 2023'!$B:$B,'Compilado 2023'!Z:Z)</f>
        <v>0</v>
      </c>
      <c r="Z19" s="38"/>
      <c r="AA19" s="107">
        <f>_xlfn.XLOOKUP($B:$B,'Compilado 2023'!$B:$B,'Compilado 2023'!AA:AA)</f>
        <v>0</v>
      </c>
    </row>
    <row r="20" spans="1:27" x14ac:dyDescent="0.2">
      <c r="A20" s="16" t="str">
        <f t="shared" si="0"/>
        <v>sexta-feira</v>
      </c>
      <c r="B20" s="17">
        <f t="shared" si="6"/>
        <v>45002</v>
      </c>
      <c r="C20" s="19">
        <f t="shared" si="3"/>
        <v>65077.84</v>
      </c>
      <c r="D20" s="35">
        <f>_xlfn.XLOOKUP($B:$B,'Compilado 2023'!$B:$B,'Compilado 2023'!D:D)</f>
        <v>65077.84</v>
      </c>
      <c r="E20" s="35">
        <f>_xlfn.XLOOKUP($B:$B,'Compilado 2023'!$B:$B,'Compilado 2023'!E:E)</f>
        <v>0</v>
      </c>
      <c r="F20" s="18">
        <f>_xlfn.XLOOKUP($B:$B,'Compilado 2023'!$B:$B,'Compilado 2023'!F:F)</f>
        <v>216</v>
      </c>
      <c r="G20" s="18">
        <f>_xlfn.XLOOKUP($B:$B,'Compilado 2023'!$B:$B,'Compilado 2023'!G:G)</f>
        <v>280</v>
      </c>
      <c r="H20" s="35">
        <f t="shared" si="4"/>
        <v>301.28629629629626</v>
      </c>
      <c r="I20" s="19">
        <f t="shared" si="5"/>
        <v>854.05290322580652</v>
      </c>
      <c r="J20" s="122">
        <f t="shared" si="1"/>
        <v>76.198839385941184</v>
      </c>
      <c r="K20" s="18">
        <f>_xlfn.XLOOKUP($B:$B,'Compilado 2023'!$B:$B,'Compilado 2023'!K:K)</f>
        <v>5066</v>
      </c>
      <c r="L20" s="54">
        <f t="shared" si="2"/>
        <v>4.2637189103829451E-2</v>
      </c>
      <c r="M20" s="38"/>
      <c r="N20" s="106">
        <f>_xlfn.XLOOKUP($B:$B,'Compilado 2023'!$B:$B,'Compilado 2023'!N:N)</f>
        <v>477.33</v>
      </c>
      <c r="O20" s="106">
        <f>_xlfn.XLOOKUP($B:$B,'Compilado 2023'!$B:$B,'Compilado 2023'!O:O)</f>
        <v>325.11</v>
      </c>
      <c r="P20" s="106">
        <f>_xlfn.XLOOKUP($B:$B,'Compilado 2023'!$B:$B,'Compilado 2023'!P:P)</f>
        <v>0</v>
      </c>
      <c r="Q20" s="106">
        <f>_xlfn.XLOOKUP($B:$B,'Compilado 2023'!$B:$B,'Compilado 2023'!Q:Q)</f>
        <v>51.612903225806448</v>
      </c>
      <c r="R20" s="106">
        <f>_xlfn.XLOOKUP($B:$B,'Compilado 2023'!$B:$B,'Compilado 2023'!R:R)</f>
        <v>0</v>
      </c>
      <c r="S20" s="106">
        <f>_xlfn.XLOOKUP($B:$B,'Compilado 2023'!$B:$B,'Compilado 2023'!S:S)</f>
        <v>0</v>
      </c>
      <c r="T20" s="106">
        <f>_xlfn.XLOOKUP($B:$B,'Compilado 2023'!$B:$B,'Compilado 2023'!U:U)</f>
        <v>0</v>
      </c>
      <c r="U20" s="106">
        <f>_xlfn.XLOOKUP($B:$B,'Compilado 2023'!$B:$B,'Compilado 2023'!V:V)</f>
        <v>0</v>
      </c>
      <c r="V20" s="57"/>
      <c r="W20" s="106">
        <f>_xlfn.XLOOKUP($B:$B,'Compilado 2023'!$B:$B,'Compilado 2023'!X:X)</f>
        <v>0</v>
      </c>
      <c r="X20" s="106">
        <f>_xlfn.XLOOKUP($B:$B,'Compilado 2023'!$B:$B,'Compilado 2023'!Y:Y)</f>
        <v>0</v>
      </c>
      <c r="Y20" s="106">
        <f>_xlfn.XLOOKUP($B:$B,'Compilado 2023'!$B:$B,'Compilado 2023'!Z:Z)</f>
        <v>0</v>
      </c>
      <c r="Z20" s="38"/>
      <c r="AA20" s="107">
        <f>_xlfn.XLOOKUP($B:$B,'Compilado 2023'!$B:$B,'Compilado 2023'!AA:AA)</f>
        <v>0</v>
      </c>
    </row>
    <row r="21" spans="1:27" x14ac:dyDescent="0.2">
      <c r="A21" s="16" t="str">
        <f t="shared" si="0"/>
        <v>sábado</v>
      </c>
      <c r="B21" s="17">
        <f t="shared" si="6"/>
        <v>45003</v>
      </c>
      <c r="C21" s="19">
        <f t="shared" si="3"/>
        <v>43165.86</v>
      </c>
      <c r="D21" s="35">
        <f>_xlfn.XLOOKUP($B:$B,'Compilado 2023'!$B:$B,'Compilado 2023'!D:D)</f>
        <v>43165.86</v>
      </c>
      <c r="E21" s="35">
        <f>_xlfn.XLOOKUP($B:$B,'Compilado 2023'!$B:$B,'Compilado 2023'!E:E)</f>
        <v>0</v>
      </c>
      <c r="F21" s="18">
        <f>_xlfn.XLOOKUP($B:$B,'Compilado 2023'!$B:$B,'Compilado 2023'!F:F)</f>
        <v>143</v>
      </c>
      <c r="G21" s="18">
        <f>_xlfn.XLOOKUP($B:$B,'Compilado 2023'!$B:$B,'Compilado 2023'!G:G)</f>
        <v>168</v>
      </c>
      <c r="H21" s="35">
        <f t="shared" si="4"/>
        <v>301.85916083916084</v>
      </c>
      <c r="I21" s="19">
        <f t="shared" si="5"/>
        <v>712.47290322580648</v>
      </c>
      <c r="J21" s="122">
        <f t="shared" si="1"/>
        <v>60.585967276174848</v>
      </c>
      <c r="K21" s="18">
        <f>_xlfn.XLOOKUP($B:$B,'Compilado 2023'!$B:$B,'Compilado 2023'!K:K)</f>
        <v>3989</v>
      </c>
      <c r="L21" s="54">
        <f t="shared" si="2"/>
        <v>3.5848583604913511E-2</v>
      </c>
      <c r="M21" s="38"/>
      <c r="N21" s="106">
        <f>_xlfn.XLOOKUP($B:$B,'Compilado 2023'!$B:$B,'Compilado 2023'!N:N)</f>
        <v>356.3</v>
      </c>
      <c r="O21" s="106">
        <f>_xlfn.XLOOKUP($B:$B,'Compilado 2023'!$B:$B,'Compilado 2023'!O:O)</f>
        <v>304.56</v>
      </c>
      <c r="P21" s="106">
        <f>_xlfn.XLOOKUP($B:$B,'Compilado 2023'!$B:$B,'Compilado 2023'!P:P)</f>
        <v>0</v>
      </c>
      <c r="Q21" s="106">
        <f>_xlfn.XLOOKUP($B:$B,'Compilado 2023'!$B:$B,'Compilado 2023'!Q:Q)</f>
        <v>51.612903225806448</v>
      </c>
      <c r="R21" s="106">
        <f>_xlfn.XLOOKUP($B:$B,'Compilado 2023'!$B:$B,'Compilado 2023'!R:R)</f>
        <v>0</v>
      </c>
      <c r="S21" s="106">
        <f>_xlfn.XLOOKUP($B:$B,'Compilado 2023'!$B:$B,'Compilado 2023'!S:S)</f>
        <v>0</v>
      </c>
      <c r="T21" s="106">
        <f>_xlfn.XLOOKUP($B:$B,'Compilado 2023'!$B:$B,'Compilado 2023'!U:U)</f>
        <v>0</v>
      </c>
      <c r="U21" s="106">
        <f>_xlfn.XLOOKUP($B:$B,'Compilado 2023'!$B:$B,'Compilado 2023'!V:V)</f>
        <v>0</v>
      </c>
      <c r="V21" s="57"/>
      <c r="W21" s="106">
        <f>_xlfn.XLOOKUP($B:$B,'Compilado 2023'!$B:$B,'Compilado 2023'!X:X)</f>
        <v>0</v>
      </c>
      <c r="X21" s="106">
        <f>_xlfn.XLOOKUP($B:$B,'Compilado 2023'!$B:$B,'Compilado 2023'!Y:Y)</f>
        <v>0</v>
      </c>
      <c r="Y21" s="106">
        <f>_xlfn.XLOOKUP($B:$B,'Compilado 2023'!$B:$B,'Compilado 2023'!Z:Z)</f>
        <v>0</v>
      </c>
      <c r="Z21" s="38"/>
      <c r="AA21" s="107">
        <f>_xlfn.XLOOKUP($B:$B,'Compilado 2023'!$B:$B,'Compilado 2023'!AA:AA)</f>
        <v>0</v>
      </c>
    </row>
    <row r="22" spans="1:27" s="2" customFormat="1" x14ac:dyDescent="0.2">
      <c r="A22" s="16" t="str">
        <f t="shared" si="0"/>
        <v>domingo</v>
      </c>
      <c r="B22" s="17">
        <f t="shared" si="6"/>
        <v>45004</v>
      </c>
      <c r="C22" s="19">
        <f t="shared" si="3"/>
        <v>27892.32</v>
      </c>
      <c r="D22" s="35">
        <f>_xlfn.XLOOKUP($B:$B,'Compilado 2023'!$B:$B,'Compilado 2023'!D:D)</f>
        <v>27870.09</v>
      </c>
      <c r="E22" s="35">
        <f>_xlfn.XLOOKUP($B:$B,'Compilado 2023'!$B:$B,'Compilado 2023'!E:E)</f>
        <v>22.23</v>
      </c>
      <c r="F22" s="18">
        <f>_xlfn.XLOOKUP($B:$B,'Compilado 2023'!$B:$B,'Compilado 2023'!F:F)</f>
        <v>95</v>
      </c>
      <c r="G22" s="18">
        <f>_xlfn.XLOOKUP($B:$B,'Compilado 2023'!$B:$B,'Compilado 2023'!G:G)</f>
        <v>107</v>
      </c>
      <c r="H22" s="35">
        <f t="shared" si="4"/>
        <v>293.60336842105261</v>
      </c>
      <c r="I22" s="19">
        <f t="shared" si="5"/>
        <v>732.70290322580638</v>
      </c>
      <c r="J22" s="122">
        <f t="shared" si="1"/>
        <v>38.067707766955671</v>
      </c>
      <c r="K22" s="18">
        <f>_xlfn.XLOOKUP($B:$B,'Compilado 2023'!$B:$B,'Compilado 2023'!K:K)</f>
        <v>3422</v>
      </c>
      <c r="L22" s="54">
        <f t="shared" si="2"/>
        <v>2.7761542957334892E-2</v>
      </c>
      <c r="M22" s="38"/>
      <c r="N22" s="106">
        <f>_xlfn.XLOOKUP($B:$B,'Compilado 2023'!$B:$B,'Compilado 2023'!N:N)</f>
        <v>367.08</v>
      </c>
      <c r="O22" s="106">
        <f>_xlfn.XLOOKUP($B:$B,'Compilado 2023'!$B:$B,'Compilado 2023'!O:O)</f>
        <v>314.01</v>
      </c>
      <c r="P22" s="106">
        <f>_xlfn.XLOOKUP($B:$B,'Compilado 2023'!$B:$B,'Compilado 2023'!P:P)</f>
        <v>0</v>
      </c>
      <c r="Q22" s="106">
        <f>_xlfn.XLOOKUP($B:$B,'Compilado 2023'!$B:$B,'Compilado 2023'!Q:Q)</f>
        <v>51.612903225806448</v>
      </c>
      <c r="R22" s="106">
        <f>_xlfn.XLOOKUP($B:$B,'Compilado 2023'!$B:$B,'Compilado 2023'!R:R)</f>
        <v>0</v>
      </c>
      <c r="S22" s="106">
        <f>_xlfn.XLOOKUP($B:$B,'Compilado 2023'!$B:$B,'Compilado 2023'!S:S)</f>
        <v>0</v>
      </c>
      <c r="T22" s="106">
        <f>_xlfn.XLOOKUP($B:$B,'Compilado 2023'!$B:$B,'Compilado 2023'!U:U)</f>
        <v>0</v>
      </c>
      <c r="U22" s="106">
        <f>_xlfn.XLOOKUP($B:$B,'Compilado 2023'!$B:$B,'Compilado 2023'!V:V)</f>
        <v>0</v>
      </c>
      <c r="V22" s="57"/>
      <c r="W22" s="106">
        <f>_xlfn.XLOOKUP($B:$B,'Compilado 2023'!$B:$B,'Compilado 2023'!X:X)</f>
        <v>0</v>
      </c>
      <c r="X22" s="106">
        <f>_xlfn.XLOOKUP($B:$B,'Compilado 2023'!$B:$B,'Compilado 2023'!Y:Y)</f>
        <v>0</v>
      </c>
      <c r="Y22" s="106">
        <f>_xlfn.XLOOKUP($B:$B,'Compilado 2023'!$B:$B,'Compilado 2023'!Z:Z)</f>
        <v>0</v>
      </c>
      <c r="Z22" s="38"/>
      <c r="AA22" s="107">
        <f>_xlfn.XLOOKUP($B:$B,'Compilado 2023'!$B:$B,'Compilado 2023'!AA:AA)</f>
        <v>0</v>
      </c>
    </row>
    <row r="23" spans="1:27" s="2" customFormat="1" x14ac:dyDescent="0.2">
      <c r="A23" s="16" t="str">
        <f t="shared" si="0"/>
        <v>segunda-feira</v>
      </c>
      <c r="B23" s="17">
        <f t="shared" si="6"/>
        <v>45005</v>
      </c>
      <c r="C23" s="19">
        <f t="shared" si="3"/>
        <v>56319.55</v>
      </c>
      <c r="D23" s="35">
        <f>_xlfn.XLOOKUP($B:$B,'Compilado 2023'!$B:$B,'Compilado 2023'!D:D)</f>
        <v>56319.55</v>
      </c>
      <c r="E23" s="35">
        <f>_xlfn.XLOOKUP($B:$B,'Compilado 2023'!$B:$B,'Compilado 2023'!E:E)</f>
        <v>0</v>
      </c>
      <c r="F23" s="18">
        <f>_xlfn.XLOOKUP($B:$B,'Compilado 2023'!$B:$B,'Compilado 2023'!F:F)</f>
        <v>196</v>
      </c>
      <c r="G23" s="18">
        <f>_xlfn.XLOOKUP($B:$B,'Compilado 2023'!$B:$B,'Compilado 2023'!G:G)</f>
        <v>232</v>
      </c>
      <c r="H23" s="35">
        <f t="shared" si="4"/>
        <v>287.34464285714284</v>
      </c>
      <c r="I23" s="19">
        <f t="shared" si="5"/>
        <v>952.79290322580653</v>
      </c>
      <c r="J23" s="122">
        <f t="shared" si="1"/>
        <v>59.109959582321309</v>
      </c>
      <c r="K23" s="18">
        <f>_xlfn.XLOOKUP($B:$B,'Compilado 2023'!$B:$B,'Compilado 2023'!K:K)</f>
        <v>5739</v>
      </c>
      <c r="L23" s="54">
        <f t="shared" si="2"/>
        <v>3.4152291339954698E-2</v>
      </c>
      <c r="M23" s="38"/>
      <c r="N23" s="106">
        <f>_xlfn.XLOOKUP($B:$B,'Compilado 2023'!$B:$B,'Compilado 2023'!N:N)</f>
        <v>537.85</v>
      </c>
      <c r="O23" s="106">
        <f>_xlfn.XLOOKUP($B:$B,'Compilado 2023'!$B:$B,'Compilado 2023'!O:O)</f>
        <v>363.33</v>
      </c>
      <c r="P23" s="106">
        <f>_xlfn.XLOOKUP($B:$B,'Compilado 2023'!$B:$B,'Compilado 2023'!P:P)</f>
        <v>0</v>
      </c>
      <c r="Q23" s="106">
        <f>_xlfn.XLOOKUP($B:$B,'Compilado 2023'!$B:$B,'Compilado 2023'!Q:Q)</f>
        <v>51.612903225806448</v>
      </c>
      <c r="R23" s="106">
        <f>_xlfn.XLOOKUP($B:$B,'Compilado 2023'!$B:$B,'Compilado 2023'!R:R)</f>
        <v>0</v>
      </c>
      <c r="S23" s="106">
        <f>_xlfn.XLOOKUP($B:$B,'Compilado 2023'!$B:$B,'Compilado 2023'!S:S)</f>
        <v>0</v>
      </c>
      <c r="T23" s="106">
        <f>_xlfn.XLOOKUP($B:$B,'Compilado 2023'!$B:$B,'Compilado 2023'!U:U)</f>
        <v>0</v>
      </c>
      <c r="U23" s="106">
        <f>_xlfn.XLOOKUP($B:$B,'Compilado 2023'!$B:$B,'Compilado 2023'!V:V)</f>
        <v>0</v>
      </c>
      <c r="V23" s="57"/>
      <c r="W23" s="106">
        <f>_xlfn.XLOOKUP($B:$B,'Compilado 2023'!$B:$B,'Compilado 2023'!X:X)</f>
        <v>0</v>
      </c>
      <c r="X23" s="106">
        <f>_xlfn.XLOOKUP($B:$B,'Compilado 2023'!$B:$B,'Compilado 2023'!Y:Y)</f>
        <v>0</v>
      </c>
      <c r="Y23" s="106">
        <f>_xlfn.XLOOKUP($B:$B,'Compilado 2023'!$B:$B,'Compilado 2023'!Z:Z)</f>
        <v>0</v>
      </c>
      <c r="Z23" s="38"/>
      <c r="AA23" s="107">
        <f>_xlfn.XLOOKUP($B:$B,'Compilado 2023'!$B:$B,'Compilado 2023'!AA:AA)</f>
        <v>0</v>
      </c>
    </row>
    <row r="24" spans="1:27" s="2" customFormat="1" x14ac:dyDescent="0.2">
      <c r="A24" s="16" t="str">
        <f t="shared" si="0"/>
        <v>terça-feira</v>
      </c>
      <c r="B24" s="17">
        <f t="shared" si="6"/>
        <v>45006</v>
      </c>
      <c r="C24" s="19">
        <f t="shared" si="3"/>
        <v>55669.26</v>
      </c>
      <c r="D24" s="35">
        <f>_xlfn.XLOOKUP($B:$B,'Compilado 2023'!$B:$B,'Compilado 2023'!D:D)</f>
        <v>55669.26</v>
      </c>
      <c r="E24" s="35">
        <f>_xlfn.XLOOKUP($B:$B,'Compilado 2023'!$B:$B,'Compilado 2023'!E:E)</f>
        <v>0</v>
      </c>
      <c r="F24" s="18">
        <f>_xlfn.XLOOKUP($B:$B,'Compilado 2023'!$B:$B,'Compilado 2023'!F:F)</f>
        <v>181</v>
      </c>
      <c r="G24" s="18">
        <f>_xlfn.XLOOKUP($B:$B,'Compilado 2023'!$B:$B,'Compilado 2023'!G:G)</f>
        <v>237</v>
      </c>
      <c r="H24" s="35">
        <f t="shared" si="4"/>
        <v>307.56497237569062</v>
      </c>
      <c r="I24" s="19">
        <f t="shared" si="5"/>
        <v>1045.8229032258064</v>
      </c>
      <c r="J24" s="122">
        <f t="shared" si="1"/>
        <v>53.230102179145241</v>
      </c>
      <c r="K24" s="18">
        <f>_xlfn.XLOOKUP($B:$B,'Compilado 2023'!$B:$B,'Compilado 2023'!K:K)</f>
        <v>5783</v>
      </c>
      <c r="L24" s="54">
        <f t="shared" si="2"/>
        <v>3.1298633927027496E-2</v>
      </c>
      <c r="M24" s="38"/>
      <c r="N24" s="106">
        <f>_xlfn.XLOOKUP($B:$B,'Compilado 2023'!$B:$B,'Compilado 2023'!N:N)</f>
        <v>571.11</v>
      </c>
      <c r="O24" s="106">
        <f>_xlfn.XLOOKUP($B:$B,'Compilado 2023'!$B:$B,'Compilado 2023'!O:O)</f>
        <v>423.1</v>
      </c>
      <c r="P24" s="106">
        <f>_xlfn.XLOOKUP($B:$B,'Compilado 2023'!$B:$B,'Compilado 2023'!P:P)</f>
        <v>0</v>
      </c>
      <c r="Q24" s="106">
        <f>_xlfn.XLOOKUP($B:$B,'Compilado 2023'!$B:$B,'Compilado 2023'!Q:Q)</f>
        <v>51.612903225806448</v>
      </c>
      <c r="R24" s="106">
        <f>_xlfn.XLOOKUP($B:$B,'Compilado 2023'!$B:$B,'Compilado 2023'!R:R)</f>
        <v>0</v>
      </c>
      <c r="S24" s="106">
        <f>_xlfn.XLOOKUP($B:$B,'Compilado 2023'!$B:$B,'Compilado 2023'!S:S)</f>
        <v>0</v>
      </c>
      <c r="T24" s="106">
        <f>_xlfn.XLOOKUP($B:$B,'Compilado 2023'!$B:$B,'Compilado 2023'!U:U)</f>
        <v>0</v>
      </c>
      <c r="U24" s="106">
        <f>_xlfn.XLOOKUP($B:$B,'Compilado 2023'!$B:$B,'Compilado 2023'!V:V)</f>
        <v>0</v>
      </c>
      <c r="V24" s="57"/>
      <c r="W24" s="106">
        <f>_xlfn.XLOOKUP($B:$B,'Compilado 2023'!$B:$B,'Compilado 2023'!X:X)</f>
        <v>0</v>
      </c>
      <c r="X24" s="106">
        <f>_xlfn.XLOOKUP($B:$B,'Compilado 2023'!$B:$B,'Compilado 2023'!Y:Y)</f>
        <v>0</v>
      </c>
      <c r="Y24" s="106">
        <f>_xlfn.XLOOKUP($B:$B,'Compilado 2023'!$B:$B,'Compilado 2023'!Z:Z)</f>
        <v>0</v>
      </c>
      <c r="Z24" s="38"/>
      <c r="AA24" s="107">
        <f>_xlfn.XLOOKUP($B:$B,'Compilado 2023'!$B:$B,'Compilado 2023'!AA:AA)</f>
        <v>0</v>
      </c>
    </row>
    <row r="25" spans="1:27" s="2" customFormat="1" x14ac:dyDescent="0.2">
      <c r="A25" s="16" t="str">
        <f t="shared" si="0"/>
        <v>quarta-feira</v>
      </c>
      <c r="B25" s="17">
        <f t="shared" si="6"/>
        <v>45007</v>
      </c>
      <c r="C25" s="19">
        <f t="shared" si="3"/>
        <v>51887.43</v>
      </c>
      <c r="D25" s="35">
        <f>_xlfn.XLOOKUP($B:$B,'Compilado 2023'!$B:$B,'Compilado 2023'!D:D)</f>
        <v>51833.55</v>
      </c>
      <c r="E25" s="35">
        <f>_xlfn.XLOOKUP($B:$B,'Compilado 2023'!$B:$B,'Compilado 2023'!E:E)</f>
        <v>53.88</v>
      </c>
      <c r="F25" s="18">
        <f>_xlfn.XLOOKUP($B:$B,'Compilado 2023'!$B:$B,'Compilado 2023'!F:F)</f>
        <v>168</v>
      </c>
      <c r="G25" s="18">
        <f>_xlfn.XLOOKUP($B:$B,'Compilado 2023'!$B:$B,'Compilado 2023'!G:G)</f>
        <v>202</v>
      </c>
      <c r="H25" s="35">
        <f t="shared" si="4"/>
        <v>308.85374999999999</v>
      </c>
      <c r="I25" s="19">
        <f t="shared" si="5"/>
        <v>837.15290322580643</v>
      </c>
      <c r="J25" s="122">
        <f t="shared" si="1"/>
        <v>61.980827875125136</v>
      </c>
      <c r="K25" s="18">
        <f>_xlfn.XLOOKUP($B:$B,'Compilado 2023'!$B:$B,'Compilado 2023'!K:K)</f>
        <v>5328</v>
      </c>
      <c r="L25" s="54">
        <f t="shared" si="2"/>
        <v>3.1531531531531529E-2</v>
      </c>
      <c r="M25" s="38"/>
      <c r="N25" s="106">
        <f>_xlfn.XLOOKUP($B:$B,'Compilado 2023'!$B:$B,'Compilado 2023'!N:N)</f>
        <v>429.16</v>
      </c>
      <c r="O25" s="106">
        <f>_xlfn.XLOOKUP($B:$B,'Compilado 2023'!$B:$B,'Compilado 2023'!O:O)</f>
        <v>356.38</v>
      </c>
      <c r="P25" s="106">
        <f>_xlfn.XLOOKUP($B:$B,'Compilado 2023'!$B:$B,'Compilado 2023'!P:P)</f>
        <v>0</v>
      </c>
      <c r="Q25" s="106">
        <f>_xlfn.XLOOKUP($B:$B,'Compilado 2023'!$B:$B,'Compilado 2023'!Q:Q)</f>
        <v>51.612903225806448</v>
      </c>
      <c r="R25" s="106">
        <f>_xlfn.XLOOKUP($B:$B,'Compilado 2023'!$B:$B,'Compilado 2023'!R:R)</f>
        <v>0</v>
      </c>
      <c r="S25" s="106">
        <f>_xlfn.XLOOKUP($B:$B,'Compilado 2023'!$B:$B,'Compilado 2023'!S:S)</f>
        <v>0</v>
      </c>
      <c r="T25" s="106">
        <f>_xlfn.XLOOKUP($B:$B,'Compilado 2023'!$B:$B,'Compilado 2023'!U:U)</f>
        <v>0</v>
      </c>
      <c r="U25" s="106">
        <f>_xlfn.XLOOKUP($B:$B,'Compilado 2023'!$B:$B,'Compilado 2023'!V:V)</f>
        <v>0</v>
      </c>
      <c r="V25" s="57"/>
      <c r="W25" s="106">
        <f>_xlfn.XLOOKUP($B:$B,'Compilado 2023'!$B:$B,'Compilado 2023'!X:X)</f>
        <v>0</v>
      </c>
      <c r="X25" s="106">
        <f>_xlfn.XLOOKUP($B:$B,'Compilado 2023'!$B:$B,'Compilado 2023'!Y:Y)</f>
        <v>0</v>
      </c>
      <c r="Y25" s="106">
        <f>_xlfn.XLOOKUP($B:$B,'Compilado 2023'!$B:$B,'Compilado 2023'!Z:Z)</f>
        <v>0</v>
      </c>
      <c r="Z25" s="38"/>
      <c r="AA25" s="107">
        <f>_xlfn.XLOOKUP($B:$B,'Compilado 2023'!$B:$B,'Compilado 2023'!AA:AA)</f>
        <v>0</v>
      </c>
    </row>
    <row r="26" spans="1:27" s="2" customFormat="1" x14ac:dyDescent="0.2">
      <c r="A26" s="16" t="str">
        <f t="shared" si="0"/>
        <v>quinta-feira</v>
      </c>
      <c r="B26" s="17">
        <f t="shared" si="6"/>
        <v>45008</v>
      </c>
      <c r="C26" s="19">
        <f t="shared" si="3"/>
        <v>61012.240000000005</v>
      </c>
      <c r="D26" s="35">
        <f>_xlfn.XLOOKUP($B:$B,'Compilado 2023'!$B:$B,'Compilado 2023'!D:D)</f>
        <v>60937.8</v>
      </c>
      <c r="E26" s="35">
        <f>_xlfn.XLOOKUP($B:$B,'Compilado 2023'!$B:$B,'Compilado 2023'!E:E)</f>
        <v>74.44</v>
      </c>
      <c r="F26" s="18">
        <f>_xlfn.XLOOKUP($B:$B,'Compilado 2023'!$B:$B,'Compilado 2023'!F:F)</f>
        <v>196</v>
      </c>
      <c r="G26" s="18">
        <f>_xlfn.XLOOKUP($B:$B,'Compilado 2023'!$B:$B,'Compilado 2023'!G:G)</f>
        <v>274</v>
      </c>
      <c r="H26" s="35">
        <f t="shared" si="4"/>
        <v>311.28693877551024</v>
      </c>
      <c r="I26" s="19">
        <f t="shared" si="5"/>
        <v>840.78290322580654</v>
      </c>
      <c r="J26" s="122">
        <f t="shared" si="1"/>
        <v>72.565985542660513</v>
      </c>
      <c r="K26" s="18">
        <f>_xlfn.XLOOKUP($B:$B,'Compilado 2023'!$B:$B,'Compilado 2023'!K:K)</f>
        <v>5258</v>
      </c>
      <c r="L26" s="54">
        <f t="shared" si="2"/>
        <v>3.7276531000380371E-2</v>
      </c>
      <c r="M26" s="38"/>
      <c r="N26" s="106">
        <f>_xlfn.XLOOKUP($B:$B,'Compilado 2023'!$B:$B,'Compilado 2023'!N:N)</f>
        <v>410.74</v>
      </c>
      <c r="O26" s="106">
        <f>_xlfn.XLOOKUP($B:$B,'Compilado 2023'!$B:$B,'Compilado 2023'!O:O)</f>
        <v>378.43</v>
      </c>
      <c r="P26" s="106">
        <f>_xlfn.XLOOKUP($B:$B,'Compilado 2023'!$B:$B,'Compilado 2023'!P:P)</f>
        <v>0</v>
      </c>
      <c r="Q26" s="106">
        <f>_xlfn.XLOOKUP($B:$B,'Compilado 2023'!$B:$B,'Compilado 2023'!Q:Q)</f>
        <v>51.612903225806448</v>
      </c>
      <c r="R26" s="106">
        <f>_xlfn.XLOOKUP($B:$B,'Compilado 2023'!$B:$B,'Compilado 2023'!R:R)</f>
        <v>0</v>
      </c>
      <c r="S26" s="106">
        <f>_xlfn.XLOOKUP($B:$B,'Compilado 2023'!$B:$B,'Compilado 2023'!S:S)</f>
        <v>0</v>
      </c>
      <c r="T26" s="106">
        <f>_xlfn.XLOOKUP($B:$B,'Compilado 2023'!$B:$B,'Compilado 2023'!U:U)</f>
        <v>0</v>
      </c>
      <c r="U26" s="106">
        <f>_xlfn.XLOOKUP($B:$B,'Compilado 2023'!$B:$B,'Compilado 2023'!V:V)</f>
        <v>0</v>
      </c>
      <c r="V26" s="57"/>
      <c r="W26" s="106">
        <f>_xlfn.XLOOKUP($B:$B,'Compilado 2023'!$B:$B,'Compilado 2023'!X:X)</f>
        <v>0</v>
      </c>
      <c r="X26" s="106">
        <f>_xlfn.XLOOKUP($B:$B,'Compilado 2023'!$B:$B,'Compilado 2023'!Y:Y)</f>
        <v>0</v>
      </c>
      <c r="Y26" s="106">
        <f>_xlfn.XLOOKUP($B:$B,'Compilado 2023'!$B:$B,'Compilado 2023'!Z:Z)</f>
        <v>0</v>
      </c>
      <c r="Z26" s="38"/>
      <c r="AA26" s="107">
        <f>_xlfn.XLOOKUP($B:$B,'Compilado 2023'!$B:$B,'Compilado 2023'!AA:AA)</f>
        <v>0</v>
      </c>
    </row>
    <row r="27" spans="1:27" x14ac:dyDescent="0.2">
      <c r="A27" s="16" t="str">
        <f t="shared" si="0"/>
        <v>sexta-feira</v>
      </c>
      <c r="B27" s="17">
        <f t="shared" si="6"/>
        <v>45009</v>
      </c>
      <c r="C27" s="19">
        <f t="shared" si="3"/>
        <v>63681.1</v>
      </c>
      <c r="D27" s="35">
        <f>_xlfn.XLOOKUP($B:$B,'Compilado 2023'!$B:$B,'Compilado 2023'!D:D)</f>
        <v>63657.65</v>
      </c>
      <c r="E27" s="35">
        <f>_xlfn.XLOOKUP($B:$B,'Compilado 2023'!$B:$B,'Compilado 2023'!E:E)</f>
        <v>23.45</v>
      </c>
      <c r="F27" s="18">
        <f>_xlfn.XLOOKUP($B:$B,'Compilado 2023'!$B:$B,'Compilado 2023'!F:F)</f>
        <v>211</v>
      </c>
      <c r="G27" s="18">
        <f>_xlfn.XLOOKUP($B:$B,'Compilado 2023'!$B:$B,'Compilado 2023'!G:G)</f>
        <v>259</v>
      </c>
      <c r="H27" s="35">
        <f t="shared" si="4"/>
        <v>301.80616113744077</v>
      </c>
      <c r="I27" s="19">
        <f t="shared" si="5"/>
        <v>814.48290322580647</v>
      </c>
      <c r="J27" s="122">
        <f t="shared" si="1"/>
        <v>78.185926000149706</v>
      </c>
      <c r="K27" s="18">
        <f>_xlfn.XLOOKUP($B:$B,'Compilado 2023'!$B:$B,'Compilado 2023'!K:K)</f>
        <v>5536</v>
      </c>
      <c r="L27" s="54">
        <f t="shared" si="2"/>
        <v>3.8114161849710983E-2</v>
      </c>
      <c r="M27" s="38"/>
      <c r="N27" s="106">
        <f>_xlfn.XLOOKUP($B:$B,'Compilado 2023'!$B:$B,'Compilado 2023'!N:N)</f>
        <v>384.74</v>
      </c>
      <c r="O27" s="106">
        <f>_xlfn.XLOOKUP($B:$B,'Compilado 2023'!$B:$B,'Compilado 2023'!O:O)</f>
        <v>378.13</v>
      </c>
      <c r="P27" s="106">
        <f>_xlfn.XLOOKUP($B:$B,'Compilado 2023'!$B:$B,'Compilado 2023'!P:P)</f>
        <v>0</v>
      </c>
      <c r="Q27" s="106">
        <f>_xlfn.XLOOKUP($B:$B,'Compilado 2023'!$B:$B,'Compilado 2023'!Q:Q)</f>
        <v>51.612903225806448</v>
      </c>
      <c r="R27" s="106">
        <f>_xlfn.XLOOKUP($B:$B,'Compilado 2023'!$B:$B,'Compilado 2023'!R:R)</f>
        <v>0</v>
      </c>
      <c r="S27" s="106">
        <f>_xlfn.XLOOKUP($B:$B,'Compilado 2023'!$B:$B,'Compilado 2023'!S:S)</f>
        <v>0</v>
      </c>
      <c r="T27" s="106">
        <f>_xlfn.XLOOKUP($B:$B,'Compilado 2023'!$B:$B,'Compilado 2023'!U:U)</f>
        <v>0</v>
      </c>
      <c r="U27" s="106">
        <f>_xlfn.XLOOKUP($B:$B,'Compilado 2023'!$B:$B,'Compilado 2023'!V:V)</f>
        <v>0</v>
      </c>
      <c r="V27" s="57"/>
      <c r="W27" s="106">
        <f>_xlfn.XLOOKUP($B:$B,'Compilado 2023'!$B:$B,'Compilado 2023'!X:X)</f>
        <v>0</v>
      </c>
      <c r="X27" s="106">
        <f>_xlfn.XLOOKUP($B:$B,'Compilado 2023'!$B:$B,'Compilado 2023'!Y:Y)</f>
        <v>0</v>
      </c>
      <c r="Y27" s="106">
        <f>_xlfn.XLOOKUP($B:$B,'Compilado 2023'!$B:$B,'Compilado 2023'!Z:Z)</f>
        <v>0</v>
      </c>
      <c r="Z27" s="38"/>
      <c r="AA27" s="107">
        <f>_xlfn.XLOOKUP($B:$B,'Compilado 2023'!$B:$B,'Compilado 2023'!AA:AA)</f>
        <v>0</v>
      </c>
    </row>
    <row r="28" spans="1:27" x14ac:dyDescent="0.2">
      <c r="A28" s="16" t="str">
        <f t="shared" si="0"/>
        <v>sábado</v>
      </c>
      <c r="B28" s="17">
        <f t="shared" si="6"/>
        <v>45010</v>
      </c>
      <c r="C28" s="19">
        <f t="shared" si="3"/>
        <v>47069.79</v>
      </c>
      <c r="D28" s="35">
        <f>_xlfn.XLOOKUP($B:$B,'Compilado 2023'!$B:$B,'Compilado 2023'!D:D)</f>
        <v>47069.79</v>
      </c>
      <c r="E28" s="35">
        <f>_xlfn.XLOOKUP($B:$B,'Compilado 2023'!$B:$B,'Compilado 2023'!E:E)</f>
        <v>0</v>
      </c>
      <c r="F28" s="18">
        <f>_xlfn.XLOOKUP($B:$B,'Compilado 2023'!$B:$B,'Compilado 2023'!F:F)</f>
        <v>158</v>
      </c>
      <c r="G28" s="18">
        <f>_xlfn.XLOOKUP($B:$B,'Compilado 2023'!$B:$B,'Compilado 2023'!G:G)</f>
        <v>191</v>
      </c>
      <c r="H28" s="35">
        <f t="shared" si="4"/>
        <v>297.91006329113924</v>
      </c>
      <c r="I28" s="19">
        <f t="shared" si="5"/>
        <v>667.15290322580643</v>
      </c>
      <c r="J28" s="122">
        <f t="shared" si="1"/>
        <v>70.553226662746951</v>
      </c>
      <c r="K28" s="18">
        <f>_xlfn.XLOOKUP($B:$B,'Compilado 2023'!$B:$B,'Compilado 2023'!K:K)</f>
        <v>4104</v>
      </c>
      <c r="L28" s="54">
        <f t="shared" si="2"/>
        <v>3.8499025341130602E-2</v>
      </c>
      <c r="M28" s="38"/>
      <c r="N28" s="106">
        <f>_xlfn.XLOOKUP($B:$B,'Compilado 2023'!$B:$B,'Compilado 2023'!N:N)</f>
        <v>297.32</v>
      </c>
      <c r="O28" s="106">
        <f>_xlfn.XLOOKUP($B:$B,'Compilado 2023'!$B:$B,'Compilado 2023'!O:O)</f>
        <v>318.22000000000003</v>
      </c>
      <c r="P28" s="106">
        <f>_xlfn.XLOOKUP($B:$B,'Compilado 2023'!$B:$B,'Compilado 2023'!P:P)</f>
        <v>0</v>
      </c>
      <c r="Q28" s="106">
        <f>_xlfn.XLOOKUP($B:$B,'Compilado 2023'!$B:$B,'Compilado 2023'!Q:Q)</f>
        <v>51.612903225806448</v>
      </c>
      <c r="R28" s="106">
        <f>_xlfn.XLOOKUP($B:$B,'Compilado 2023'!$B:$B,'Compilado 2023'!R:R)</f>
        <v>0</v>
      </c>
      <c r="S28" s="106">
        <f>_xlfn.XLOOKUP($B:$B,'Compilado 2023'!$B:$B,'Compilado 2023'!S:S)</f>
        <v>0</v>
      </c>
      <c r="T28" s="106">
        <f>_xlfn.XLOOKUP($B:$B,'Compilado 2023'!$B:$B,'Compilado 2023'!U:U)</f>
        <v>0</v>
      </c>
      <c r="U28" s="106">
        <f>_xlfn.XLOOKUP($B:$B,'Compilado 2023'!$B:$B,'Compilado 2023'!V:V)</f>
        <v>0</v>
      </c>
      <c r="V28" s="57"/>
      <c r="W28" s="106">
        <f>_xlfn.XLOOKUP($B:$B,'Compilado 2023'!$B:$B,'Compilado 2023'!X:X)</f>
        <v>0</v>
      </c>
      <c r="X28" s="106">
        <f>_xlfn.XLOOKUP($B:$B,'Compilado 2023'!$B:$B,'Compilado 2023'!Y:Y)</f>
        <v>0</v>
      </c>
      <c r="Y28" s="106">
        <f>_xlfn.XLOOKUP($B:$B,'Compilado 2023'!$B:$B,'Compilado 2023'!Z:Z)</f>
        <v>0</v>
      </c>
      <c r="Z28" s="38"/>
      <c r="AA28" s="107">
        <f>_xlfn.XLOOKUP($B:$B,'Compilado 2023'!$B:$B,'Compilado 2023'!AA:AA)</f>
        <v>0</v>
      </c>
    </row>
    <row r="29" spans="1:27" s="2" customFormat="1" x14ac:dyDescent="0.2">
      <c r="A29" s="16" t="str">
        <f t="shared" si="0"/>
        <v>domingo</v>
      </c>
      <c r="B29" s="17">
        <f t="shared" si="6"/>
        <v>45011</v>
      </c>
      <c r="C29" s="19">
        <f t="shared" si="3"/>
        <v>32540.959999999999</v>
      </c>
      <c r="D29" s="35">
        <f>_xlfn.XLOOKUP($B:$B,'Compilado 2023'!$B:$B,'Compilado 2023'!D:D)</f>
        <v>32540.959999999999</v>
      </c>
      <c r="E29" s="35">
        <f>_xlfn.XLOOKUP($B:$B,'Compilado 2023'!$B:$B,'Compilado 2023'!E:E)</f>
        <v>0</v>
      </c>
      <c r="F29" s="18">
        <f>_xlfn.XLOOKUP($B:$B,'Compilado 2023'!$B:$B,'Compilado 2023'!F:F)</f>
        <v>100</v>
      </c>
      <c r="G29" s="18">
        <f>_xlfn.XLOOKUP($B:$B,'Compilado 2023'!$B:$B,'Compilado 2023'!G:G)</f>
        <v>121</v>
      </c>
      <c r="H29" s="35">
        <f t="shared" si="4"/>
        <v>325.40960000000001</v>
      </c>
      <c r="I29" s="19">
        <f t="shared" si="5"/>
        <v>583.56290322580651</v>
      </c>
      <c r="J29" s="122">
        <f t="shared" si="1"/>
        <v>55.762557592541917</v>
      </c>
      <c r="K29" s="18">
        <f>_xlfn.XLOOKUP($B:$B,'Compilado 2023'!$B:$B,'Compilado 2023'!K:K)</f>
        <v>3295</v>
      </c>
      <c r="L29" s="54">
        <f t="shared" si="2"/>
        <v>3.0349013657056147E-2</v>
      </c>
      <c r="M29" s="38"/>
      <c r="N29" s="106">
        <f>_xlfn.XLOOKUP($B:$B,'Compilado 2023'!$B:$B,'Compilado 2023'!N:N)</f>
        <v>256.68</v>
      </c>
      <c r="O29" s="106">
        <f>_xlfn.XLOOKUP($B:$B,'Compilado 2023'!$B:$B,'Compilado 2023'!O:O)</f>
        <v>275.27</v>
      </c>
      <c r="P29" s="106">
        <f>_xlfn.XLOOKUP($B:$B,'Compilado 2023'!$B:$B,'Compilado 2023'!P:P)</f>
        <v>0</v>
      </c>
      <c r="Q29" s="106">
        <f>_xlfn.XLOOKUP($B:$B,'Compilado 2023'!$B:$B,'Compilado 2023'!Q:Q)</f>
        <v>51.612903225806448</v>
      </c>
      <c r="R29" s="106">
        <f>_xlfn.XLOOKUP($B:$B,'Compilado 2023'!$B:$B,'Compilado 2023'!R:R)</f>
        <v>0</v>
      </c>
      <c r="S29" s="106">
        <f>_xlfn.XLOOKUP($B:$B,'Compilado 2023'!$B:$B,'Compilado 2023'!S:S)</f>
        <v>0</v>
      </c>
      <c r="T29" s="106">
        <f>_xlfn.XLOOKUP($B:$B,'Compilado 2023'!$B:$B,'Compilado 2023'!U:U)</f>
        <v>0</v>
      </c>
      <c r="U29" s="106">
        <f>_xlfn.XLOOKUP($B:$B,'Compilado 2023'!$B:$B,'Compilado 2023'!V:V)</f>
        <v>0</v>
      </c>
      <c r="V29" s="57"/>
      <c r="W29" s="106">
        <f>_xlfn.XLOOKUP($B:$B,'Compilado 2023'!$B:$B,'Compilado 2023'!X:X)</f>
        <v>0</v>
      </c>
      <c r="X29" s="106">
        <f>_xlfn.XLOOKUP($B:$B,'Compilado 2023'!$B:$B,'Compilado 2023'!Y:Y)</f>
        <v>0</v>
      </c>
      <c r="Y29" s="106">
        <f>_xlfn.XLOOKUP($B:$B,'Compilado 2023'!$B:$B,'Compilado 2023'!Z:Z)</f>
        <v>0</v>
      </c>
      <c r="Z29" s="38"/>
      <c r="AA29" s="107">
        <f>_xlfn.XLOOKUP($B:$B,'Compilado 2023'!$B:$B,'Compilado 2023'!AA:AA)</f>
        <v>0</v>
      </c>
    </row>
    <row r="30" spans="1:27" s="2" customFormat="1" x14ac:dyDescent="0.2">
      <c r="A30" s="16" t="str">
        <f t="shared" si="0"/>
        <v>segunda-feira</v>
      </c>
      <c r="B30" s="17">
        <f t="shared" si="6"/>
        <v>45012</v>
      </c>
      <c r="C30" s="19">
        <f t="shared" si="3"/>
        <v>52831.55</v>
      </c>
      <c r="D30" s="35">
        <f>_xlfn.XLOOKUP($B:$B,'Compilado 2023'!$B:$B,'Compilado 2023'!D:D)</f>
        <v>52831.55</v>
      </c>
      <c r="E30" s="35">
        <f>_xlfn.XLOOKUP($B:$B,'Compilado 2023'!$B:$B,'Compilado 2023'!E:E)</f>
        <v>0</v>
      </c>
      <c r="F30" s="18">
        <f>_xlfn.XLOOKUP($B:$B,'Compilado 2023'!$B:$B,'Compilado 2023'!F:F)</f>
        <v>181</v>
      </c>
      <c r="G30" s="18">
        <f>_xlfn.XLOOKUP($B:$B,'Compilado 2023'!$B:$B,'Compilado 2023'!G:G)</f>
        <v>204</v>
      </c>
      <c r="H30" s="35">
        <f t="shared" si="4"/>
        <v>291.88701657458563</v>
      </c>
      <c r="I30" s="19">
        <f t="shared" si="5"/>
        <v>775.17290322580641</v>
      </c>
      <c r="J30" s="122">
        <f t="shared" si="1"/>
        <v>68.154536594541241</v>
      </c>
      <c r="K30" s="18">
        <f>_xlfn.XLOOKUP($B:$B,'Compilado 2023'!$B:$B,'Compilado 2023'!K:K)</f>
        <v>5141</v>
      </c>
      <c r="L30" s="54">
        <f t="shared" si="2"/>
        <v>3.52071581404396E-2</v>
      </c>
      <c r="M30" s="38"/>
      <c r="N30" s="106">
        <f>_xlfn.XLOOKUP($B:$B,'Compilado 2023'!$B:$B,'Compilado 2023'!N:N)</f>
        <v>419.34</v>
      </c>
      <c r="O30" s="106">
        <f>_xlfn.XLOOKUP($B:$B,'Compilado 2023'!$B:$B,'Compilado 2023'!O:O)</f>
        <v>304.22000000000003</v>
      </c>
      <c r="P30" s="106">
        <f>_xlfn.XLOOKUP($B:$B,'Compilado 2023'!$B:$B,'Compilado 2023'!P:P)</f>
        <v>0</v>
      </c>
      <c r="Q30" s="106">
        <f>_xlfn.XLOOKUP($B:$B,'Compilado 2023'!$B:$B,'Compilado 2023'!Q:Q)</f>
        <v>51.612903225806448</v>
      </c>
      <c r="R30" s="106">
        <f>_xlfn.XLOOKUP($B:$B,'Compilado 2023'!$B:$B,'Compilado 2023'!R:R)</f>
        <v>0</v>
      </c>
      <c r="S30" s="106">
        <f>_xlfn.XLOOKUP($B:$B,'Compilado 2023'!$B:$B,'Compilado 2023'!S:S)</f>
        <v>0</v>
      </c>
      <c r="T30" s="106">
        <f>_xlfn.XLOOKUP($B:$B,'Compilado 2023'!$B:$B,'Compilado 2023'!U:U)</f>
        <v>0</v>
      </c>
      <c r="U30" s="106">
        <f>_xlfn.XLOOKUP($B:$B,'Compilado 2023'!$B:$B,'Compilado 2023'!V:V)</f>
        <v>0</v>
      </c>
      <c r="V30" s="57"/>
      <c r="W30" s="106">
        <f>_xlfn.XLOOKUP($B:$B,'Compilado 2023'!$B:$B,'Compilado 2023'!X:X)</f>
        <v>0</v>
      </c>
      <c r="X30" s="106">
        <f>_xlfn.XLOOKUP($B:$B,'Compilado 2023'!$B:$B,'Compilado 2023'!Y:Y)</f>
        <v>0</v>
      </c>
      <c r="Y30" s="106">
        <f>_xlfn.XLOOKUP($B:$B,'Compilado 2023'!$B:$B,'Compilado 2023'!Z:Z)</f>
        <v>0</v>
      </c>
      <c r="Z30" s="38"/>
      <c r="AA30" s="107">
        <f>_xlfn.XLOOKUP($B:$B,'Compilado 2023'!$B:$B,'Compilado 2023'!AA:AA)</f>
        <v>0</v>
      </c>
    </row>
    <row r="31" spans="1:27" s="2" customFormat="1" x14ac:dyDescent="0.2">
      <c r="A31" s="16" t="str">
        <f t="shared" si="0"/>
        <v>terça-feira</v>
      </c>
      <c r="B31" s="17">
        <f t="shared" si="6"/>
        <v>45013</v>
      </c>
      <c r="C31" s="19">
        <f t="shared" si="3"/>
        <v>50011.32</v>
      </c>
      <c r="D31" s="35">
        <f>_xlfn.XLOOKUP($B:$B,'Compilado 2023'!$B:$B,'Compilado 2023'!D:D)</f>
        <v>50011.32</v>
      </c>
      <c r="E31" s="35">
        <f>_xlfn.XLOOKUP($B:$B,'Compilado 2023'!$B:$B,'Compilado 2023'!E:E)</f>
        <v>0</v>
      </c>
      <c r="F31" s="18">
        <f>_xlfn.XLOOKUP($B:$B,'Compilado 2023'!$B:$B,'Compilado 2023'!F:F)</f>
        <v>163</v>
      </c>
      <c r="G31" s="18">
        <f>_xlfn.XLOOKUP($B:$B,'Compilado 2023'!$B:$B,'Compilado 2023'!G:G)</f>
        <v>201</v>
      </c>
      <c r="H31" s="35">
        <f t="shared" si="4"/>
        <v>306.81791411042946</v>
      </c>
      <c r="I31" s="19">
        <f t="shared" si="5"/>
        <v>816.3229032258065</v>
      </c>
      <c r="J31" s="122">
        <f t="shared" si="1"/>
        <v>61.264139230167061</v>
      </c>
      <c r="K31" s="18">
        <f>_xlfn.XLOOKUP($B:$B,'Compilado 2023'!$B:$B,'Compilado 2023'!K:K)</f>
        <v>5182</v>
      </c>
      <c r="L31" s="54">
        <f t="shared" si="2"/>
        <v>3.1455036665380159E-2</v>
      </c>
      <c r="M31" s="38"/>
      <c r="N31" s="106">
        <f>_xlfn.XLOOKUP($B:$B,'Compilado 2023'!$B:$B,'Compilado 2023'!N:N)</f>
        <v>478.03</v>
      </c>
      <c r="O31" s="106">
        <f>_xlfn.XLOOKUP($B:$B,'Compilado 2023'!$B:$B,'Compilado 2023'!O:O)</f>
        <v>286.68</v>
      </c>
      <c r="P31" s="106">
        <f>_xlfn.XLOOKUP($B:$B,'Compilado 2023'!$B:$B,'Compilado 2023'!P:P)</f>
        <v>0</v>
      </c>
      <c r="Q31" s="106">
        <f>_xlfn.XLOOKUP($B:$B,'Compilado 2023'!$B:$B,'Compilado 2023'!Q:Q)</f>
        <v>51.612903225806448</v>
      </c>
      <c r="R31" s="106">
        <f>_xlfn.XLOOKUP($B:$B,'Compilado 2023'!$B:$B,'Compilado 2023'!R:R)</f>
        <v>0</v>
      </c>
      <c r="S31" s="106">
        <f>_xlfn.XLOOKUP($B:$B,'Compilado 2023'!$B:$B,'Compilado 2023'!S:S)</f>
        <v>0</v>
      </c>
      <c r="T31" s="106">
        <f>_xlfn.XLOOKUP($B:$B,'Compilado 2023'!$B:$B,'Compilado 2023'!U:U)</f>
        <v>0</v>
      </c>
      <c r="U31" s="106">
        <f>_xlfn.XLOOKUP($B:$B,'Compilado 2023'!$B:$B,'Compilado 2023'!V:V)</f>
        <v>0</v>
      </c>
      <c r="V31" s="57"/>
      <c r="W31" s="106">
        <f>_xlfn.XLOOKUP($B:$B,'Compilado 2023'!$B:$B,'Compilado 2023'!X:X)</f>
        <v>0</v>
      </c>
      <c r="X31" s="106">
        <f>_xlfn.XLOOKUP($B:$B,'Compilado 2023'!$B:$B,'Compilado 2023'!Y:Y)</f>
        <v>0</v>
      </c>
      <c r="Y31" s="106">
        <f>_xlfn.XLOOKUP($B:$B,'Compilado 2023'!$B:$B,'Compilado 2023'!Z:Z)</f>
        <v>0</v>
      </c>
      <c r="Z31" s="38"/>
      <c r="AA31" s="107">
        <f>_xlfn.XLOOKUP($B:$B,'Compilado 2023'!$B:$B,'Compilado 2023'!AA:AA)</f>
        <v>0</v>
      </c>
    </row>
    <row r="32" spans="1:27" s="2" customFormat="1" x14ac:dyDescent="0.2">
      <c r="A32" s="16" t="str">
        <f t="shared" si="0"/>
        <v>quarta-feira</v>
      </c>
      <c r="B32" s="17">
        <f t="shared" si="6"/>
        <v>45014</v>
      </c>
      <c r="C32" s="19">
        <f t="shared" si="3"/>
        <v>70300.590000000011</v>
      </c>
      <c r="D32" s="35">
        <f>_xlfn.XLOOKUP($B:$B,'Compilado 2023'!$B:$B,'Compilado 2023'!D:D)</f>
        <v>70252.77</v>
      </c>
      <c r="E32" s="35">
        <f>_xlfn.XLOOKUP($B:$B,'Compilado 2023'!$B:$B,'Compilado 2023'!E:E)</f>
        <v>47.82</v>
      </c>
      <c r="F32" s="18">
        <f>_xlfn.XLOOKUP($B:$B,'Compilado 2023'!$B:$B,'Compilado 2023'!F:F)</f>
        <v>300</v>
      </c>
      <c r="G32" s="18">
        <f>_xlfn.XLOOKUP($B:$B,'Compilado 2023'!$B:$B,'Compilado 2023'!G:G)</f>
        <v>412</v>
      </c>
      <c r="H32" s="35">
        <f t="shared" si="4"/>
        <v>234.33530000000005</v>
      </c>
      <c r="I32" s="19">
        <f t="shared" si="5"/>
        <v>910.87290322580645</v>
      </c>
      <c r="J32" s="122">
        <f t="shared" si="1"/>
        <v>77.179362511536269</v>
      </c>
      <c r="K32" s="18">
        <f>_xlfn.XLOOKUP($B:$B,'Compilado 2023'!$B:$B,'Compilado 2023'!K:K)</f>
        <v>6017</v>
      </c>
      <c r="L32" s="54">
        <f t="shared" si="2"/>
        <v>4.9858733588166858E-2</v>
      </c>
      <c r="M32" s="38"/>
      <c r="N32" s="106">
        <f>_xlfn.XLOOKUP($B:$B,'Compilado 2023'!$B:$B,'Compilado 2023'!N:N)</f>
        <v>499.53</v>
      </c>
      <c r="O32" s="106">
        <f>_xlfn.XLOOKUP($B:$B,'Compilado 2023'!$B:$B,'Compilado 2023'!O:O)</f>
        <v>359.73</v>
      </c>
      <c r="P32" s="106">
        <f>_xlfn.XLOOKUP($B:$B,'Compilado 2023'!$B:$B,'Compilado 2023'!P:P)</f>
        <v>0</v>
      </c>
      <c r="Q32" s="106">
        <f>_xlfn.XLOOKUP($B:$B,'Compilado 2023'!$B:$B,'Compilado 2023'!Q:Q)</f>
        <v>51.612903225806448</v>
      </c>
      <c r="R32" s="106">
        <f>_xlfn.XLOOKUP($B:$B,'Compilado 2023'!$B:$B,'Compilado 2023'!R:R)</f>
        <v>0</v>
      </c>
      <c r="S32" s="106">
        <f>_xlfn.XLOOKUP($B:$B,'Compilado 2023'!$B:$B,'Compilado 2023'!S:S)</f>
        <v>0</v>
      </c>
      <c r="T32" s="106">
        <f>_xlfn.XLOOKUP($B:$B,'Compilado 2023'!$B:$B,'Compilado 2023'!U:U)</f>
        <v>0</v>
      </c>
      <c r="U32" s="106">
        <f>_xlfn.XLOOKUP($B:$B,'Compilado 2023'!$B:$B,'Compilado 2023'!V:V)</f>
        <v>0</v>
      </c>
      <c r="V32" s="57"/>
      <c r="W32" s="106">
        <f>_xlfn.XLOOKUP($B:$B,'Compilado 2023'!$B:$B,'Compilado 2023'!X:X)</f>
        <v>0</v>
      </c>
      <c r="X32" s="106">
        <f>_xlfn.XLOOKUP($B:$B,'Compilado 2023'!$B:$B,'Compilado 2023'!Y:Y)</f>
        <v>0</v>
      </c>
      <c r="Y32" s="106">
        <f>_xlfn.XLOOKUP($B:$B,'Compilado 2023'!$B:$B,'Compilado 2023'!Z:Z)</f>
        <v>0</v>
      </c>
      <c r="Z32" s="38"/>
      <c r="AA32" s="107">
        <f>_xlfn.XLOOKUP($B:$B,'Compilado 2023'!$B:$B,'Compilado 2023'!AA:AA)</f>
        <v>0</v>
      </c>
    </row>
    <row r="33" spans="1:27" s="2" customFormat="1" x14ac:dyDescent="0.2">
      <c r="A33" s="16" t="str">
        <f t="shared" si="0"/>
        <v>quinta-feira</v>
      </c>
      <c r="B33" s="17">
        <f t="shared" si="6"/>
        <v>45015</v>
      </c>
      <c r="C33" s="19">
        <f t="shared" si="3"/>
        <v>72330.13</v>
      </c>
      <c r="D33" s="35">
        <f>_xlfn.XLOOKUP($B:$B,'Compilado 2023'!$B:$B,'Compilado 2023'!D:D)</f>
        <v>72330.13</v>
      </c>
      <c r="E33" s="35">
        <f>_xlfn.XLOOKUP($B:$B,'Compilado 2023'!$B:$B,'Compilado 2023'!E:E)</f>
        <v>0</v>
      </c>
      <c r="F33" s="18">
        <f>_xlfn.XLOOKUP($B:$B,'Compilado 2023'!$B:$B,'Compilado 2023'!F:F)</f>
        <v>254</v>
      </c>
      <c r="G33" s="18">
        <f>_xlfn.XLOOKUP($B:$B,'Compilado 2023'!$B:$B,'Compilado 2023'!G:G)</f>
        <v>338</v>
      </c>
      <c r="H33" s="35">
        <f t="shared" si="4"/>
        <v>284.76429133858272</v>
      </c>
      <c r="I33" s="19">
        <f t="shared" si="5"/>
        <v>712.90290322580643</v>
      </c>
      <c r="J33" s="122">
        <f t="shared" si="1"/>
        <v>101.45859930253363</v>
      </c>
      <c r="K33" s="18">
        <f>_xlfn.XLOOKUP($B:$B,'Compilado 2023'!$B:$B,'Compilado 2023'!K:K)</f>
        <v>6015</v>
      </c>
      <c r="L33" s="54">
        <f t="shared" si="2"/>
        <v>4.2227763923524522E-2</v>
      </c>
      <c r="M33" s="38"/>
      <c r="N33" s="106">
        <f>_xlfn.XLOOKUP($B:$B,'Compilado 2023'!$B:$B,'Compilado 2023'!N:N)</f>
        <v>406.94</v>
      </c>
      <c r="O33" s="106">
        <f>_xlfn.XLOOKUP($B:$B,'Compilado 2023'!$B:$B,'Compilado 2023'!O:O)</f>
        <v>254.35</v>
      </c>
      <c r="P33" s="106">
        <f>_xlfn.XLOOKUP($B:$B,'Compilado 2023'!$B:$B,'Compilado 2023'!P:P)</f>
        <v>0</v>
      </c>
      <c r="Q33" s="106">
        <f>_xlfn.XLOOKUP($B:$B,'Compilado 2023'!$B:$B,'Compilado 2023'!Q:Q)</f>
        <v>51.612903225806448</v>
      </c>
      <c r="R33" s="106">
        <f>_xlfn.XLOOKUP($B:$B,'Compilado 2023'!$B:$B,'Compilado 2023'!R:R)</f>
        <v>0</v>
      </c>
      <c r="S33" s="106">
        <f>_xlfn.XLOOKUP($B:$B,'Compilado 2023'!$B:$B,'Compilado 2023'!S:S)</f>
        <v>0</v>
      </c>
      <c r="T33" s="106">
        <f>_xlfn.XLOOKUP($B:$B,'Compilado 2023'!$B:$B,'Compilado 2023'!U:U)</f>
        <v>0</v>
      </c>
      <c r="U33" s="106">
        <f>_xlfn.XLOOKUP($B:$B,'Compilado 2023'!$B:$B,'Compilado 2023'!V:V)</f>
        <v>0</v>
      </c>
      <c r="V33" s="57"/>
      <c r="W33" s="106">
        <f>_xlfn.XLOOKUP($B:$B,'Compilado 2023'!$B:$B,'Compilado 2023'!X:X)</f>
        <v>0</v>
      </c>
      <c r="X33" s="106">
        <f>_xlfn.XLOOKUP($B:$B,'Compilado 2023'!$B:$B,'Compilado 2023'!Y:Y)</f>
        <v>0</v>
      </c>
      <c r="Y33" s="106">
        <f>_xlfn.XLOOKUP($B:$B,'Compilado 2023'!$B:$B,'Compilado 2023'!Z:Z)</f>
        <v>0</v>
      </c>
      <c r="Z33" s="38"/>
      <c r="AA33" s="107">
        <f>_xlfn.XLOOKUP($B:$B,'Compilado 2023'!$B:$B,'Compilado 2023'!AA:AA)</f>
        <v>0</v>
      </c>
    </row>
    <row r="34" spans="1:27" x14ac:dyDescent="0.2">
      <c r="A34" s="16" t="str">
        <f t="shared" si="0"/>
        <v>sexta-feira</v>
      </c>
      <c r="B34" s="17">
        <f t="shared" si="6"/>
        <v>45016</v>
      </c>
      <c r="C34" s="19">
        <f t="shared" si="3"/>
        <v>69001.09</v>
      </c>
      <c r="D34" s="35">
        <f>_xlfn.XLOOKUP($B:$B,'Compilado 2023'!$B:$B,'Compilado 2023'!D:D)</f>
        <v>69001.09</v>
      </c>
      <c r="E34" s="35">
        <f>_xlfn.XLOOKUP($B:$B,'Compilado 2023'!$B:$B,'Compilado 2023'!E:E)</f>
        <v>0</v>
      </c>
      <c r="F34" s="18">
        <f>_xlfn.XLOOKUP($B:$B,'Compilado 2023'!$B:$B,'Compilado 2023'!F:F)</f>
        <v>228</v>
      </c>
      <c r="G34" s="18">
        <f>_xlfn.XLOOKUP($B:$B,'Compilado 2023'!$B:$B,'Compilado 2023'!G:G)</f>
        <v>279</v>
      </c>
      <c r="H34" s="35">
        <f t="shared" si="4"/>
        <v>302.63635964912277</v>
      </c>
      <c r="I34" s="19">
        <f t="shared" si="5"/>
        <v>753.35290322580647</v>
      </c>
      <c r="J34" s="122">
        <f t="shared" si="1"/>
        <v>91.591987904396419</v>
      </c>
      <c r="K34" s="18">
        <f>_xlfn.XLOOKUP($B:$B,'Compilado 2023'!$B:$B,'Compilado 2023'!K:K)</f>
        <v>5353</v>
      </c>
      <c r="L34" s="54">
        <f t="shared" si="2"/>
        <v>4.2592938539136933E-2</v>
      </c>
      <c r="M34" s="38"/>
      <c r="N34" s="106">
        <f>_xlfn.XLOOKUP($B:$B,'Compilado 2023'!$B:$B,'Compilado 2023'!N:N)</f>
        <v>555</v>
      </c>
      <c r="O34" s="106">
        <f>_xlfn.XLOOKUP($B:$B,'Compilado 2023'!$B:$B,'Compilado 2023'!O:O)</f>
        <v>146.74</v>
      </c>
      <c r="P34" s="106">
        <f>_xlfn.XLOOKUP($B:$B,'Compilado 2023'!$B:$B,'Compilado 2023'!P:P)</f>
        <v>0</v>
      </c>
      <c r="Q34" s="106">
        <f>_xlfn.XLOOKUP($B:$B,'Compilado 2023'!$B:$B,'Compilado 2023'!Q:Q)</f>
        <v>51.612903225806448</v>
      </c>
      <c r="R34" s="106">
        <f>_xlfn.XLOOKUP($B:$B,'Compilado 2023'!$B:$B,'Compilado 2023'!R:R)</f>
        <v>0</v>
      </c>
      <c r="S34" s="106">
        <f>_xlfn.XLOOKUP($B:$B,'Compilado 2023'!$B:$B,'Compilado 2023'!S:S)</f>
        <v>0</v>
      </c>
      <c r="T34" s="106">
        <f>_xlfn.XLOOKUP($B:$B,'Compilado 2023'!$B:$B,'Compilado 2023'!U:U)</f>
        <v>0</v>
      </c>
      <c r="U34" s="106">
        <f>_xlfn.XLOOKUP($B:$B,'Compilado 2023'!$B:$B,'Compilado 2023'!V:V)</f>
        <v>0</v>
      </c>
      <c r="V34" s="57"/>
      <c r="W34" s="106">
        <f>_xlfn.XLOOKUP($B:$B,'Compilado 2023'!$B:$B,'Compilado 2023'!X:X)</f>
        <v>0</v>
      </c>
      <c r="X34" s="106">
        <f>_xlfn.XLOOKUP($B:$B,'Compilado 2023'!$B:$B,'Compilado 2023'!Y:Y)</f>
        <v>0</v>
      </c>
      <c r="Y34" s="106">
        <f>_xlfn.XLOOKUP($B:$B,'Compilado 2023'!$B:$B,'Compilado 2023'!Z:Z)</f>
        <v>0</v>
      </c>
      <c r="Z34" s="38"/>
      <c r="AA34" s="107">
        <f>_xlfn.XLOOKUP($B:$B,'Compilado 2023'!$B:$B,'Compilado 2023'!AA:AA)</f>
        <v>0</v>
      </c>
    </row>
    <row r="35" spans="1:27" s="61" customFormat="1" ht="12" x14ac:dyDescent="0.2">
      <c r="A35" s="90" t="s">
        <v>186</v>
      </c>
      <c r="B35" s="91">
        <f>COUNTA(B4:B33)</f>
        <v>30</v>
      </c>
      <c r="C35" s="92">
        <f>SUM(C4:C34)</f>
        <v>2017380.1000000008</v>
      </c>
      <c r="D35" s="92">
        <f>SUM(D4:D34)</f>
        <v>2016749.9200000006</v>
      </c>
      <c r="E35" s="92">
        <f>SUM(E4:E34)</f>
        <v>630.18000000000018</v>
      </c>
      <c r="F35" s="93">
        <f>SUM(F4:F34)</f>
        <v>6471</v>
      </c>
      <c r="G35" s="93">
        <f>SUM(G4:G34)</f>
        <v>8675</v>
      </c>
      <c r="H35" s="92">
        <f>C35/F35</f>
        <v>311.75708545819822</v>
      </c>
      <c r="I35" s="92">
        <f>SUM(I4:I34)</f>
        <v>33016.39</v>
      </c>
      <c r="J35" s="123">
        <f>C35/I35</f>
        <v>61.102382786246494</v>
      </c>
      <c r="K35" s="93">
        <f>SUM(K4:K34)</f>
        <v>170191</v>
      </c>
      <c r="L35" s="94">
        <f>IFERROR(F35/K35,0)</f>
        <v>3.80219870615955E-2</v>
      </c>
      <c r="M35" s="95"/>
      <c r="N35" s="92">
        <f t="shared" ref="N35:U35" si="7">SUM(N4:N34)</f>
        <v>18335.459999999992</v>
      </c>
      <c r="O35" s="92">
        <f t="shared" si="7"/>
        <v>13080.929999999998</v>
      </c>
      <c r="P35" s="92">
        <f t="shared" si="7"/>
        <v>0</v>
      </c>
      <c r="Q35" s="92">
        <f t="shared" si="7"/>
        <v>1599.9999999999989</v>
      </c>
      <c r="R35" s="92">
        <f t="shared" si="7"/>
        <v>0</v>
      </c>
      <c r="S35" s="92">
        <f t="shared" si="7"/>
        <v>0</v>
      </c>
      <c r="T35" s="92">
        <f t="shared" si="7"/>
        <v>0</v>
      </c>
      <c r="U35" s="92">
        <f t="shared" si="7"/>
        <v>0</v>
      </c>
      <c r="V35" s="97">
        <f t="shared" ref="V35:Y35" si="8">SUM(V4:V33)</f>
        <v>0</v>
      </c>
      <c r="W35" s="96">
        <f t="shared" si="8"/>
        <v>0</v>
      </c>
      <c r="X35" s="92">
        <f t="shared" si="8"/>
        <v>0</v>
      </c>
      <c r="Y35" s="92">
        <f t="shared" si="8"/>
        <v>0</v>
      </c>
      <c r="Z35" s="95"/>
      <c r="AA35" s="98"/>
    </row>
    <row r="36" spans="1:27" ht="6.75" customHeight="1" x14ac:dyDescent="0.2">
      <c r="M36" s="21"/>
    </row>
    <row r="37" spans="1:27" s="34" customFormat="1" ht="15.75" x14ac:dyDescent="0.3">
      <c r="A37" s="99" t="str">
        <f>FEV!A38</f>
        <v>Média Fevereiro 2023</v>
      </c>
      <c r="B37" s="100"/>
      <c r="C37" s="101">
        <f>FEV!C38</f>
        <v>48281.021785714278</v>
      </c>
      <c r="D37" s="101">
        <f>FEV!D38</f>
        <v>48075.467777777776</v>
      </c>
      <c r="E37" s="101">
        <f>FEV!E38</f>
        <v>14.173703703703703</v>
      </c>
      <c r="F37" s="102">
        <f>FEV!F38</f>
        <v>161.40740740740742</v>
      </c>
      <c r="G37" s="102">
        <f>FEV!G38</f>
        <v>207.03703703703704</v>
      </c>
      <c r="H37" s="103">
        <f>FEV!H38</f>
        <v>298.68948519664161</v>
      </c>
      <c r="I37" s="101">
        <f>FEV!I38</f>
        <v>1035.1439682539681</v>
      </c>
      <c r="J37" s="124">
        <f>FEV!J38</f>
        <v>46.641842358558513</v>
      </c>
      <c r="K37" s="104">
        <f>FEV!K38</f>
        <v>4049.962962962963</v>
      </c>
      <c r="L37" s="105">
        <f>FEV!L38</f>
        <v>3.9854045304483811E-2</v>
      </c>
      <c r="M37" s="21"/>
      <c r="N37"/>
      <c r="O37"/>
      <c r="P37"/>
      <c r="Q37"/>
      <c r="R37"/>
      <c r="S37"/>
      <c r="T37"/>
      <c r="U37"/>
      <c r="V37"/>
      <c r="W37"/>
      <c r="X37"/>
      <c r="Y37"/>
      <c r="Z37"/>
      <c r="AA37"/>
    </row>
    <row r="38" spans="1:27" s="34" customFormat="1" ht="15.75" x14ac:dyDescent="0.3">
      <c r="A38" s="99" t="str">
        <f>_xlfn.CONCAT("Média ",B2)</f>
        <v>Média Março 2023</v>
      </c>
      <c r="B38" s="100"/>
      <c r="C38" s="101">
        <f>AVERAGE(C4:C34)</f>
        <v>65076.777419354861</v>
      </c>
      <c r="D38" s="101">
        <f>AVERAGE(D5:D34)</f>
        <v>63913.340000000011</v>
      </c>
      <c r="E38" s="101">
        <f>AVERAGE(E5:E34)</f>
        <v>21.006000000000007</v>
      </c>
      <c r="F38" s="102">
        <f>AVERAGE(F5:F34)</f>
        <v>208.06666666666666</v>
      </c>
      <c r="G38" s="102">
        <f>AVERAGE(G5:G34)</f>
        <v>273.86666666666667</v>
      </c>
      <c r="H38" s="103">
        <f>H35</f>
        <v>311.75708545819822</v>
      </c>
      <c r="I38" s="101">
        <f>AVERAGE(I5:I34)</f>
        <v>1061.2125698924731</v>
      </c>
      <c r="J38" s="124">
        <f>IFERROR(C38/I38,0)</f>
        <v>61.323036746491553</v>
      </c>
      <c r="K38" s="104">
        <f>AVERAGE(K5:K34)</f>
        <v>5444.7666666666664</v>
      </c>
      <c r="L38" s="105">
        <f>IFERROR(F38/K38,0)</f>
        <v>3.8214064881874336E-2</v>
      </c>
      <c r="M38" s="21"/>
      <c r="N38"/>
      <c r="O38"/>
      <c r="P38"/>
      <c r="Q38"/>
      <c r="R38"/>
      <c r="S38"/>
      <c r="T38"/>
      <c r="U38"/>
      <c r="V38"/>
      <c r="W38"/>
      <c r="X38"/>
      <c r="Y38"/>
      <c r="Z38"/>
      <c r="AA38"/>
    </row>
    <row r="39" spans="1:27" ht="15.75" customHeight="1" x14ac:dyDescent="0.2">
      <c r="M39" s="21"/>
    </row>
    <row r="40" spans="1:27" ht="15.75" customHeight="1" x14ac:dyDescent="0.2">
      <c r="M40" s="21"/>
    </row>
    <row r="41" spans="1:27" ht="14.25" x14ac:dyDescent="0.2">
      <c r="B41" s="223" t="s">
        <v>188</v>
      </c>
      <c r="C41" s="223"/>
      <c r="D41" s="223"/>
      <c r="E41" s="76"/>
      <c r="F41" s="76"/>
      <c r="G41" s="76"/>
      <c r="H41" s="76"/>
      <c r="I41" s="76"/>
      <c r="J41" s="76"/>
      <c r="K41" s="76"/>
      <c r="L41" s="76"/>
      <c r="M41" s="21"/>
    </row>
    <row r="42" spans="1:27" ht="15.75" customHeight="1" x14ac:dyDescent="0.2"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21"/>
    </row>
    <row r="43" spans="1:27" ht="15" thickBot="1" x14ac:dyDescent="0.25">
      <c r="B43" s="77" t="s">
        <v>153</v>
      </c>
      <c r="C43" s="78" t="s">
        <v>75</v>
      </c>
      <c r="D43" s="78" t="s">
        <v>154</v>
      </c>
      <c r="E43" s="78" t="s">
        <v>77</v>
      </c>
      <c r="F43" s="78" t="s">
        <v>78</v>
      </c>
      <c r="G43" s="78" t="s">
        <v>79</v>
      </c>
      <c r="H43" s="78" t="s">
        <v>80</v>
      </c>
      <c r="I43" s="78" t="s">
        <v>81</v>
      </c>
      <c r="J43" s="78" t="s">
        <v>82</v>
      </c>
      <c r="K43" s="78" t="s">
        <v>40</v>
      </c>
      <c r="L43" s="78" t="s">
        <v>83</v>
      </c>
      <c r="M43" s="21"/>
      <c r="N43" s="78" t="s">
        <v>85</v>
      </c>
      <c r="O43" s="78" t="s">
        <v>155</v>
      </c>
      <c r="P43" s="78" t="s">
        <v>87</v>
      </c>
      <c r="Q43" s="78" t="s">
        <v>88</v>
      </c>
      <c r="R43" s="78" t="s">
        <v>89</v>
      </c>
      <c r="S43" s="78" t="s">
        <v>90</v>
      </c>
      <c r="T43" s="78" t="s">
        <v>91</v>
      </c>
      <c r="U43" s="78" t="s">
        <v>92</v>
      </c>
    </row>
    <row r="44" spans="1:27" s="20" customFormat="1" ht="14.25" x14ac:dyDescent="0.2">
      <c r="B44" s="79" t="str">
        <f>_xlfn.CONCAT(_xlfn.XLOOKUP(O1,Referencia!B1:B13,Referencia!C1:C13),"/",P1)</f>
        <v>MAR/2023</v>
      </c>
      <c r="C44" s="80">
        <f>C35</f>
        <v>2017380.1000000008</v>
      </c>
      <c r="D44" s="80">
        <f t="shared" ref="D44:K44" si="9">D35</f>
        <v>2016749.9200000006</v>
      </c>
      <c r="E44" s="80">
        <f t="shared" si="9"/>
        <v>630.18000000000018</v>
      </c>
      <c r="F44" s="81">
        <f t="shared" si="9"/>
        <v>6471</v>
      </c>
      <c r="G44" s="81">
        <f t="shared" si="9"/>
        <v>8675</v>
      </c>
      <c r="H44" s="80">
        <f>C44/F44</f>
        <v>311.75708545819822</v>
      </c>
      <c r="I44" s="80">
        <f t="shared" si="9"/>
        <v>33016.39</v>
      </c>
      <c r="J44" s="118">
        <f>C44/I44</f>
        <v>61.102382786246494</v>
      </c>
      <c r="K44" s="81">
        <f t="shared" si="9"/>
        <v>170191</v>
      </c>
      <c r="L44" s="82">
        <f>F44/K44</f>
        <v>3.80219870615955E-2</v>
      </c>
      <c r="M44" s="150"/>
      <c r="N44" s="134">
        <f>N35</f>
        <v>18335.459999999992</v>
      </c>
      <c r="O44" s="134">
        <f>O35</f>
        <v>13080.929999999998</v>
      </c>
      <c r="P44" s="134">
        <f t="shared" ref="P44:U44" si="10">P35</f>
        <v>0</v>
      </c>
      <c r="Q44" s="134">
        <f t="shared" si="10"/>
        <v>1599.9999999999989</v>
      </c>
      <c r="R44" s="134">
        <f t="shared" si="10"/>
        <v>0</v>
      </c>
      <c r="S44" s="134">
        <f t="shared" si="10"/>
        <v>0</v>
      </c>
      <c r="T44" s="134">
        <f t="shared" si="10"/>
        <v>0</v>
      </c>
      <c r="U44" s="134">
        <f t="shared" si="10"/>
        <v>0</v>
      </c>
      <c r="V44"/>
      <c r="W44"/>
      <c r="X44"/>
      <c r="Y44"/>
      <c r="Z44"/>
      <c r="AA44"/>
    </row>
    <row r="45" spans="1:27" s="206" customFormat="1" ht="14.25" x14ac:dyDescent="0.2">
      <c r="B45" s="138" t="str">
        <f>_xlfn.CONCAT(_xlfn.XLOOKUP(O1,Referencia!B1:B13,Referencia!C1:C13),"/",(P1-1))</f>
        <v>MAR/2022</v>
      </c>
      <c r="C45" s="134">
        <f>Referencia!F4</f>
        <v>1077514.7199999997</v>
      </c>
      <c r="D45" s="134">
        <f>Referencia!G4</f>
        <v>1077261.3400000001</v>
      </c>
      <c r="E45" s="134">
        <f>Referencia!H4</f>
        <v>253.38</v>
      </c>
      <c r="F45" s="135">
        <f>Referencia!I4</f>
        <v>3901</v>
      </c>
      <c r="G45" s="135">
        <f>Referencia!J4</f>
        <v>5161</v>
      </c>
      <c r="H45" s="134">
        <f>C45/F45</f>
        <v>276.21500128172255</v>
      </c>
      <c r="I45" s="134">
        <f>SUM(I64:I94)</f>
        <v>16759.53</v>
      </c>
      <c r="J45" s="136">
        <f>C45/I45</f>
        <v>64.292657371656588</v>
      </c>
      <c r="K45" s="135">
        <f>SUM(K64:K94)</f>
        <v>111082</v>
      </c>
      <c r="L45" s="137">
        <f>F45/K45</f>
        <v>3.5118200968653784E-2</v>
      </c>
      <c r="M45" s="207"/>
      <c r="N45" s="134">
        <f>SUM(N64:N94)</f>
        <v>6581.9399999999987</v>
      </c>
      <c r="O45" s="134">
        <f t="shared" ref="O45:V45" si="11">SUM(O64:O94)</f>
        <v>8577.5899999999983</v>
      </c>
      <c r="P45" s="134">
        <f t="shared" si="11"/>
        <v>0</v>
      </c>
      <c r="Q45" s="134">
        <f t="shared" si="11"/>
        <v>1599.9999999999989</v>
      </c>
      <c r="R45" s="134">
        <f t="shared" si="11"/>
        <v>0</v>
      </c>
      <c r="S45" s="134">
        <f t="shared" si="11"/>
        <v>0</v>
      </c>
      <c r="T45" s="134">
        <f t="shared" si="11"/>
        <v>0</v>
      </c>
      <c r="U45" s="134">
        <f t="shared" si="11"/>
        <v>0</v>
      </c>
      <c r="V45" s="134">
        <f t="shared" si="11"/>
        <v>0</v>
      </c>
      <c r="W45" s="204"/>
      <c r="X45" s="204"/>
      <c r="Y45" s="204"/>
      <c r="Z45" s="204"/>
      <c r="AA45" s="204"/>
    </row>
    <row r="46" spans="1:27" s="20" customFormat="1" ht="14.25" x14ac:dyDescent="0.2">
      <c r="B46" s="83"/>
      <c r="C46" s="87">
        <f>C44-C45</f>
        <v>939865.38000000105</v>
      </c>
      <c r="D46" s="87">
        <f t="shared" ref="D46:L46" si="12">D44-D45</f>
        <v>939488.58000000054</v>
      </c>
      <c r="E46" s="87">
        <f t="shared" si="12"/>
        <v>376.80000000000018</v>
      </c>
      <c r="F46" s="88">
        <f t="shared" si="12"/>
        <v>2570</v>
      </c>
      <c r="G46" s="88">
        <f t="shared" si="12"/>
        <v>3514</v>
      </c>
      <c r="H46" s="87">
        <f t="shared" si="12"/>
        <v>35.542084176475669</v>
      </c>
      <c r="I46" s="87">
        <f t="shared" si="12"/>
        <v>16256.86</v>
      </c>
      <c r="J46" s="125">
        <f t="shared" si="12"/>
        <v>-3.1902745854100942</v>
      </c>
      <c r="K46" s="88">
        <f t="shared" si="12"/>
        <v>59109</v>
      </c>
      <c r="L46" s="89">
        <f t="shared" si="12"/>
        <v>2.9037860929417153E-3</v>
      </c>
      <c r="M46" s="21"/>
      <c r="N46"/>
      <c r="O46"/>
      <c r="P46"/>
      <c r="Q46"/>
      <c r="R46"/>
      <c r="S46"/>
      <c r="T46"/>
      <c r="U46"/>
      <c r="V46"/>
      <c r="W46"/>
      <c r="X46"/>
      <c r="Y46"/>
      <c r="Z46"/>
      <c r="AA46"/>
    </row>
    <row r="47" spans="1:27" ht="14.25" x14ac:dyDescent="0.2">
      <c r="B47" s="84"/>
      <c r="C47" s="85">
        <f>IFERROR(1-(C45/C44),0)</f>
        <v>0.46588413358494052</v>
      </c>
      <c r="D47" s="85">
        <f t="shared" ref="D47:L47" si="13">IFERROR(1-(D45/D44),0)</f>
        <v>0.46584287455928108</v>
      </c>
      <c r="E47" s="85">
        <f t="shared" si="13"/>
        <v>0.59792440255165202</v>
      </c>
      <c r="F47" s="85">
        <f t="shared" si="13"/>
        <v>0.39715654458352645</v>
      </c>
      <c r="G47" s="85">
        <f t="shared" si="13"/>
        <v>0.40507204610951009</v>
      </c>
      <c r="H47" s="85">
        <f t="shared" si="13"/>
        <v>0.11400569813590111</v>
      </c>
      <c r="I47" s="85">
        <f t="shared" si="13"/>
        <v>0.49238756871965716</v>
      </c>
      <c r="J47" s="85">
        <f t="shared" si="13"/>
        <v>-5.2211950499059689E-2</v>
      </c>
      <c r="K47" s="85">
        <f t="shared" si="13"/>
        <v>0.34730978723904316</v>
      </c>
      <c r="L47" s="85">
        <f t="shared" si="13"/>
        <v>7.6371234576393721E-2</v>
      </c>
      <c r="M47" s="21"/>
    </row>
    <row r="48" spans="1:27" ht="15.75" customHeight="1" x14ac:dyDescent="0.2"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</row>
    <row r="49" spans="1:27" ht="14.25" x14ac:dyDescent="0.2">
      <c r="B49" s="223" t="s">
        <v>189</v>
      </c>
      <c r="C49" s="223"/>
      <c r="D49" s="223"/>
      <c r="E49" s="84"/>
      <c r="F49" s="84"/>
      <c r="G49" s="84"/>
      <c r="H49" s="84"/>
      <c r="I49" s="84"/>
      <c r="J49" s="84"/>
      <c r="K49" s="84"/>
      <c r="L49" s="84"/>
      <c r="M49" s="21"/>
    </row>
    <row r="50" spans="1:27" ht="15" thickBot="1" x14ac:dyDescent="0.25">
      <c r="B50" s="77" t="s">
        <v>153</v>
      </c>
      <c r="C50" s="78" t="s">
        <v>75</v>
      </c>
      <c r="D50" s="78" t="s">
        <v>154</v>
      </c>
      <c r="E50" s="78" t="s">
        <v>77</v>
      </c>
      <c r="F50" s="78" t="s">
        <v>78</v>
      </c>
      <c r="G50" s="78" t="s">
        <v>79</v>
      </c>
      <c r="H50" s="78" t="s">
        <v>80</v>
      </c>
      <c r="I50" s="78" t="s">
        <v>81</v>
      </c>
      <c r="J50" s="78" t="s">
        <v>82</v>
      </c>
      <c r="K50" s="78" t="s">
        <v>40</v>
      </c>
      <c r="L50" s="78" t="s">
        <v>83</v>
      </c>
      <c r="M50" s="21"/>
      <c r="N50" s="78" t="s">
        <v>85</v>
      </c>
      <c r="O50" s="78" t="s">
        <v>155</v>
      </c>
      <c r="P50" s="78" t="s">
        <v>87</v>
      </c>
      <c r="Q50" s="78" t="s">
        <v>88</v>
      </c>
      <c r="R50" s="78" t="s">
        <v>89</v>
      </c>
      <c r="S50" s="78" t="s">
        <v>90</v>
      </c>
      <c r="T50" s="78" t="s">
        <v>91</v>
      </c>
      <c r="U50" s="78" t="s">
        <v>92</v>
      </c>
    </row>
    <row r="51" spans="1:27" ht="14.25" x14ac:dyDescent="0.2">
      <c r="B51" s="79" t="str">
        <f>B44</f>
        <v>MAR/2023</v>
      </c>
      <c r="C51" s="80">
        <f>C44</f>
        <v>2017380.1000000008</v>
      </c>
      <c r="D51" s="80">
        <f t="shared" ref="D51:U51" si="14">D44</f>
        <v>2016749.9200000006</v>
      </c>
      <c r="E51" s="80">
        <f t="shared" si="14"/>
        <v>630.18000000000018</v>
      </c>
      <c r="F51" s="81">
        <f t="shared" si="14"/>
        <v>6471</v>
      </c>
      <c r="G51" s="81">
        <f t="shared" si="14"/>
        <v>8675</v>
      </c>
      <c r="H51" s="80">
        <f t="shared" si="14"/>
        <v>311.75708545819822</v>
      </c>
      <c r="I51" s="80">
        <f t="shared" si="14"/>
        <v>33016.39</v>
      </c>
      <c r="J51" s="118">
        <f t="shared" si="14"/>
        <v>61.102382786246494</v>
      </c>
      <c r="K51" s="81">
        <f t="shared" si="14"/>
        <v>170191</v>
      </c>
      <c r="L51" s="82">
        <f t="shared" si="14"/>
        <v>3.80219870615955E-2</v>
      </c>
      <c r="M51" s="21"/>
      <c r="N51" s="80">
        <f t="shared" si="14"/>
        <v>18335.459999999992</v>
      </c>
      <c r="O51" s="80">
        <f t="shared" si="14"/>
        <v>13080.929999999998</v>
      </c>
      <c r="P51" s="80">
        <f t="shared" si="14"/>
        <v>0</v>
      </c>
      <c r="Q51" s="80">
        <f t="shared" si="14"/>
        <v>1599.9999999999989</v>
      </c>
      <c r="R51" s="80">
        <f t="shared" si="14"/>
        <v>0</v>
      </c>
      <c r="S51" s="80">
        <f t="shared" si="14"/>
        <v>0</v>
      </c>
      <c r="T51" s="80">
        <f t="shared" si="14"/>
        <v>0</v>
      </c>
      <c r="U51" s="80">
        <f t="shared" si="14"/>
        <v>0</v>
      </c>
    </row>
    <row r="52" spans="1:27" s="204" customFormat="1" ht="14.25" x14ac:dyDescent="0.2">
      <c r="B52" s="138" t="str">
        <f>FEV!B51</f>
        <v>FEV/2023</v>
      </c>
      <c r="C52" s="134">
        <f>DEZ!C45</f>
        <v>3470256.77</v>
      </c>
      <c r="D52" s="134">
        <f>DEZ!D45</f>
        <v>3469620.04</v>
      </c>
      <c r="E52" s="134">
        <f>DEZ!E45</f>
        <v>636.73</v>
      </c>
      <c r="F52" s="135">
        <f>DEZ!F45</f>
        <v>10887</v>
      </c>
      <c r="G52" s="135">
        <f>DEZ!G45</f>
        <v>14826</v>
      </c>
      <c r="H52" s="134">
        <f>DEZ!H45</f>
        <v>318.75234408009555</v>
      </c>
      <c r="I52" s="134">
        <f>DEZ!I45</f>
        <v>37063.610000000008</v>
      </c>
      <c r="J52" s="136">
        <f>DEZ!J45</f>
        <v>93.629756248784162</v>
      </c>
      <c r="K52" s="135">
        <f>DEZ!K45</f>
        <v>169385</v>
      </c>
      <c r="L52" s="137">
        <f>DEZ!L45</f>
        <v>6.4273696017947274E-2</v>
      </c>
      <c r="M52" s="205">
        <f>DEZ!M45</f>
        <v>0</v>
      </c>
      <c r="N52" s="134">
        <f>DEZ!N45</f>
        <v>24316.789999999994</v>
      </c>
      <c r="O52" s="134">
        <f>DEZ!O45</f>
        <v>11146.819999999998</v>
      </c>
      <c r="P52" s="134">
        <f>DEZ!P45</f>
        <v>0</v>
      </c>
      <c r="Q52" s="134">
        <f>DEZ!Q45</f>
        <v>1599.9999999999989</v>
      </c>
      <c r="R52" s="134">
        <f>DEZ!R45</f>
        <v>0</v>
      </c>
      <c r="S52" s="134">
        <f>DEZ!S45</f>
        <v>0</v>
      </c>
      <c r="T52" s="134">
        <f>DEZ!T45</f>
        <v>0</v>
      </c>
      <c r="U52" s="134">
        <f>DEZ!U45</f>
        <v>0</v>
      </c>
    </row>
    <row r="53" spans="1:27" ht="14.25" x14ac:dyDescent="0.2">
      <c r="B53" s="83"/>
      <c r="C53" s="87">
        <f t="shared" ref="C53:L53" si="15">C51-C52</f>
        <v>-1452876.6699999992</v>
      </c>
      <c r="D53" s="87">
        <f t="shared" si="15"/>
        <v>-1452870.1199999994</v>
      </c>
      <c r="E53" s="87">
        <f t="shared" si="15"/>
        <v>-6.5499999999998408</v>
      </c>
      <c r="F53" s="88">
        <f t="shared" si="15"/>
        <v>-4416</v>
      </c>
      <c r="G53" s="88">
        <f t="shared" si="15"/>
        <v>-6151</v>
      </c>
      <c r="H53" s="87">
        <f t="shared" si="15"/>
        <v>-6.9952586218973352</v>
      </c>
      <c r="I53" s="87">
        <f t="shared" si="15"/>
        <v>-4047.2200000000084</v>
      </c>
      <c r="J53" s="125">
        <f t="shared" si="15"/>
        <v>-32.527373462537668</v>
      </c>
      <c r="K53" s="88">
        <f t="shared" si="15"/>
        <v>806</v>
      </c>
      <c r="L53" s="89">
        <f t="shared" si="15"/>
        <v>-2.6251708956351774E-2</v>
      </c>
      <c r="M53" s="21"/>
      <c r="N53" s="87">
        <f t="shared" ref="N53:U53" si="16">N51-N52</f>
        <v>-5981.3300000000017</v>
      </c>
      <c r="O53" s="87">
        <f t="shared" si="16"/>
        <v>1934.1100000000006</v>
      </c>
      <c r="P53" s="87">
        <f t="shared" si="16"/>
        <v>0</v>
      </c>
      <c r="Q53" s="87">
        <f t="shared" si="16"/>
        <v>0</v>
      </c>
      <c r="R53" s="87">
        <f t="shared" si="16"/>
        <v>0</v>
      </c>
      <c r="S53" s="87">
        <f t="shared" si="16"/>
        <v>0</v>
      </c>
      <c r="T53" s="87">
        <f t="shared" si="16"/>
        <v>0</v>
      </c>
      <c r="U53" s="87">
        <f t="shared" si="16"/>
        <v>0</v>
      </c>
    </row>
    <row r="54" spans="1:27" ht="14.25" x14ac:dyDescent="0.2">
      <c r="B54" s="84"/>
      <c r="C54" s="85">
        <f>IFERROR(1-(C52/C51),0)</f>
        <v>-0.7201799353527869</v>
      </c>
      <c r="D54" s="85">
        <f t="shared" ref="D54:L54" si="17">IFERROR(1-(D52/D51),0)</f>
        <v>-0.72040172437443251</v>
      </c>
      <c r="E54" s="85">
        <f t="shared" si="17"/>
        <v>-1.0393855723761281E-2</v>
      </c>
      <c r="F54" s="85">
        <f t="shared" si="17"/>
        <v>-0.68242929995363921</v>
      </c>
      <c r="G54" s="85">
        <f t="shared" si="17"/>
        <v>-0.70904899135446686</v>
      </c>
      <c r="H54" s="85">
        <f t="shared" si="17"/>
        <v>-2.2438170448046746E-2</v>
      </c>
      <c r="I54" s="85">
        <f t="shared" si="17"/>
        <v>-0.12258214783627186</v>
      </c>
      <c r="J54" s="85">
        <f t="shared" si="17"/>
        <v>-0.53234214410799119</v>
      </c>
      <c r="K54" s="85">
        <f t="shared" si="17"/>
        <v>4.7358555975345329E-3</v>
      </c>
      <c r="L54" s="85">
        <f t="shared" si="17"/>
        <v>-0.69043495580133896</v>
      </c>
      <c r="M54" s="21"/>
      <c r="N54" s="85">
        <f t="shared" ref="N54:U54" si="18">IFERROR(1-(N52/N51),0)</f>
        <v>-0.32621652251975153</v>
      </c>
      <c r="O54" s="85">
        <f t="shared" si="18"/>
        <v>0.14785722421876735</v>
      </c>
      <c r="P54" s="85">
        <f t="shared" si="18"/>
        <v>0</v>
      </c>
      <c r="Q54" s="85">
        <f t="shared" si="18"/>
        <v>0</v>
      </c>
      <c r="R54" s="85">
        <f t="shared" si="18"/>
        <v>0</v>
      </c>
      <c r="S54" s="85">
        <f t="shared" si="18"/>
        <v>0</v>
      </c>
      <c r="T54" s="85">
        <f t="shared" si="18"/>
        <v>0</v>
      </c>
      <c r="U54" s="85">
        <f t="shared" si="18"/>
        <v>0</v>
      </c>
    </row>
    <row r="55" spans="1:27" ht="14.25" x14ac:dyDescent="0.2">
      <c r="M55" s="21"/>
    </row>
    <row r="56" spans="1:27" x14ac:dyDescent="0.2">
      <c r="M56" s="39"/>
      <c r="V56" s="74"/>
    </row>
    <row r="57" spans="1:27" x14ac:dyDescent="0.2">
      <c r="B57" s="223" t="s">
        <v>191</v>
      </c>
      <c r="C57" s="223"/>
      <c r="D57" s="223"/>
      <c r="E57" s="84"/>
      <c r="F57" s="84"/>
      <c r="G57" s="84"/>
      <c r="H57" s="84"/>
      <c r="I57" s="84"/>
      <c r="J57" s="84"/>
      <c r="K57" s="84"/>
      <c r="L57" s="84"/>
      <c r="M57" s="150"/>
    </row>
    <row r="58" spans="1:27" ht="13.5" thickBot="1" x14ac:dyDescent="0.25">
      <c r="B58" s="77" t="s">
        <v>153</v>
      </c>
      <c r="C58" s="78" t="s">
        <v>75</v>
      </c>
      <c r="D58" s="78" t="s">
        <v>154</v>
      </c>
      <c r="E58" s="78" t="s">
        <v>77</v>
      </c>
      <c r="F58" s="78" t="s">
        <v>78</v>
      </c>
      <c r="G58" s="78" t="s">
        <v>79</v>
      </c>
      <c r="H58" s="78" t="s">
        <v>80</v>
      </c>
      <c r="I58" s="78" t="s">
        <v>81</v>
      </c>
      <c r="J58" s="78" t="s">
        <v>82</v>
      </c>
      <c r="K58" s="78" t="s">
        <v>40</v>
      </c>
      <c r="L58" s="78" t="s">
        <v>83</v>
      </c>
      <c r="M58" s="150"/>
      <c r="N58" s="78" t="s">
        <v>85</v>
      </c>
      <c r="O58" s="78" t="s">
        <v>155</v>
      </c>
      <c r="P58" s="78" t="s">
        <v>87</v>
      </c>
      <c r="Q58" s="78" t="s">
        <v>88</v>
      </c>
      <c r="R58" s="78" t="s">
        <v>89</v>
      </c>
      <c r="S58" s="78" t="s">
        <v>90</v>
      </c>
      <c r="T58" s="78" t="s">
        <v>91</v>
      </c>
      <c r="U58" s="78" t="s">
        <v>92</v>
      </c>
    </row>
    <row r="59" spans="1:27" x14ac:dyDescent="0.2">
      <c r="B59" s="79" t="str">
        <f>B52</f>
        <v>FEV/2023</v>
      </c>
      <c r="C59" s="80">
        <f>C44</f>
        <v>2017380.1000000008</v>
      </c>
      <c r="D59" s="80">
        <f t="shared" ref="D59:L59" si="19">D51</f>
        <v>2016749.9200000006</v>
      </c>
      <c r="E59" s="80">
        <f t="shared" si="19"/>
        <v>630.18000000000018</v>
      </c>
      <c r="F59" s="81">
        <f t="shared" si="19"/>
        <v>6471</v>
      </c>
      <c r="G59" s="81">
        <f t="shared" si="19"/>
        <v>8675</v>
      </c>
      <c r="H59" s="80">
        <f t="shared" si="19"/>
        <v>311.75708545819822</v>
      </c>
      <c r="I59" s="80">
        <f t="shared" si="19"/>
        <v>33016.39</v>
      </c>
      <c r="J59" s="118">
        <f t="shared" si="19"/>
        <v>61.102382786246494</v>
      </c>
      <c r="K59" s="81">
        <f t="shared" si="19"/>
        <v>170191</v>
      </c>
      <c r="L59" s="82">
        <f t="shared" si="19"/>
        <v>3.80219870615955E-2</v>
      </c>
      <c r="M59" s="150"/>
      <c r="N59" s="80">
        <f t="shared" ref="N59:U59" si="20">N51</f>
        <v>18335.459999999992</v>
      </c>
      <c r="O59" s="80">
        <f t="shared" si="20"/>
        <v>13080.929999999998</v>
      </c>
      <c r="P59" s="80">
        <f t="shared" si="20"/>
        <v>0</v>
      </c>
      <c r="Q59" s="80">
        <f t="shared" si="20"/>
        <v>1599.9999999999989</v>
      </c>
      <c r="R59" s="80">
        <f t="shared" si="20"/>
        <v>0</v>
      </c>
      <c r="S59" s="80">
        <f t="shared" si="20"/>
        <v>0</v>
      </c>
      <c r="T59" s="80">
        <f t="shared" si="20"/>
        <v>0</v>
      </c>
      <c r="U59" s="80">
        <f t="shared" si="20"/>
        <v>0</v>
      </c>
    </row>
    <row r="60" spans="1:27" ht="14.25" x14ac:dyDescent="0.2">
      <c r="A60" s="128">
        <f ca="1">TODAY()</f>
        <v>45834</v>
      </c>
      <c r="B60" s="138" t="str">
        <f>B45</f>
        <v>MAR/2022</v>
      </c>
      <c r="C60" s="134">
        <f t="shared" ref="C60:K60" ca="1" si="21">SUMIF($A$64:$A$94,"Realizado",C64:C94)</f>
        <v>1077514.7199999997</v>
      </c>
      <c r="D60" s="134">
        <f t="shared" ca="1" si="21"/>
        <v>1077261.3400000001</v>
      </c>
      <c r="E60" s="134">
        <f t="shared" ca="1" si="21"/>
        <v>253.38</v>
      </c>
      <c r="F60" s="135">
        <f t="shared" ca="1" si="21"/>
        <v>3901</v>
      </c>
      <c r="G60" s="135">
        <f t="shared" ca="1" si="21"/>
        <v>5161</v>
      </c>
      <c r="H60" s="134">
        <f ca="1">C60/F60</f>
        <v>276.21500128172255</v>
      </c>
      <c r="I60" s="134">
        <f t="shared" ca="1" si="21"/>
        <v>16759.53</v>
      </c>
      <c r="J60" s="136">
        <f ca="1">C60/I60</f>
        <v>64.292657371656588</v>
      </c>
      <c r="K60" s="135">
        <f t="shared" ca="1" si="21"/>
        <v>111082</v>
      </c>
      <c r="L60" s="137">
        <f ca="1">F60/K60</f>
        <v>3.5118200968653784E-2</v>
      </c>
      <c r="M60" s="21"/>
      <c r="N60" s="134">
        <f t="shared" ref="N60:U60" ca="1" si="22">SUMIF($A$64:$A$94,"Realizado",N64:N94)</f>
        <v>6581.9399999999987</v>
      </c>
      <c r="O60" s="134">
        <f t="shared" ca="1" si="22"/>
        <v>8577.5899999999983</v>
      </c>
      <c r="P60" s="134">
        <f t="shared" ca="1" si="22"/>
        <v>0</v>
      </c>
      <c r="Q60" s="134">
        <f t="shared" ca="1" si="22"/>
        <v>1599.9999999999989</v>
      </c>
      <c r="R60" s="134">
        <f t="shared" ca="1" si="22"/>
        <v>0</v>
      </c>
      <c r="S60" s="134">
        <f t="shared" ca="1" si="22"/>
        <v>0</v>
      </c>
      <c r="T60" s="134">
        <f t="shared" ca="1" si="22"/>
        <v>0</v>
      </c>
      <c r="U60" s="134">
        <f t="shared" ca="1" si="22"/>
        <v>0</v>
      </c>
    </row>
    <row r="61" spans="1:27" x14ac:dyDescent="0.2">
      <c r="B61" s="83"/>
      <c r="C61" s="87">
        <f t="shared" ref="C61:L61" ca="1" si="23">C59-C60</f>
        <v>939865.38000000105</v>
      </c>
      <c r="D61" s="87">
        <f t="shared" ca="1" si="23"/>
        <v>939488.58000000054</v>
      </c>
      <c r="E61" s="87">
        <f t="shared" ca="1" si="23"/>
        <v>376.80000000000018</v>
      </c>
      <c r="F61" s="88">
        <f t="shared" ca="1" si="23"/>
        <v>2570</v>
      </c>
      <c r="G61" s="88">
        <f t="shared" ca="1" si="23"/>
        <v>3514</v>
      </c>
      <c r="H61" s="87">
        <f t="shared" ca="1" si="23"/>
        <v>35.542084176475669</v>
      </c>
      <c r="I61" s="87">
        <f t="shared" ca="1" si="23"/>
        <v>16256.86</v>
      </c>
      <c r="J61" s="125">
        <f t="shared" ca="1" si="23"/>
        <v>-3.1902745854100942</v>
      </c>
      <c r="K61" s="88">
        <f t="shared" ca="1" si="23"/>
        <v>59109</v>
      </c>
      <c r="L61" s="89">
        <f t="shared" ca="1" si="23"/>
        <v>2.9037860929417153E-3</v>
      </c>
      <c r="M61" s="150"/>
      <c r="N61" s="87">
        <f t="shared" ref="N61:U61" ca="1" si="24">N59-N60</f>
        <v>11753.519999999993</v>
      </c>
      <c r="O61" s="87">
        <f t="shared" ca="1" si="24"/>
        <v>4503.34</v>
      </c>
      <c r="P61" s="87">
        <f t="shared" ca="1" si="24"/>
        <v>0</v>
      </c>
      <c r="Q61" s="87">
        <f t="shared" ca="1" si="24"/>
        <v>0</v>
      </c>
      <c r="R61" s="87">
        <f t="shared" ca="1" si="24"/>
        <v>0</v>
      </c>
      <c r="S61" s="87">
        <f t="shared" ca="1" si="24"/>
        <v>0</v>
      </c>
      <c r="T61" s="87">
        <f t="shared" ca="1" si="24"/>
        <v>0</v>
      </c>
      <c r="U61" s="87">
        <f t="shared" ca="1" si="24"/>
        <v>0</v>
      </c>
    </row>
    <row r="62" spans="1:27" x14ac:dyDescent="0.2">
      <c r="B62" s="84"/>
      <c r="C62" s="85">
        <f ca="1">IFERROR(1-(C60/C59),0)</f>
        <v>0.46588413358494052</v>
      </c>
      <c r="D62" s="85">
        <f t="shared" ref="D62:L62" ca="1" si="25">IFERROR(1-(D60/D59),0)</f>
        <v>0.46584287455928108</v>
      </c>
      <c r="E62" s="85">
        <f t="shared" ca="1" si="25"/>
        <v>0.59792440255165202</v>
      </c>
      <c r="F62" s="85">
        <f t="shared" ca="1" si="25"/>
        <v>0.39715654458352645</v>
      </c>
      <c r="G62" s="85">
        <f t="shared" ca="1" si="25"/>
        <v>0.40507204610951009</v>
      </c>
      <c r="H62" s="85">
        <f t="shared" ca="1" si="25"/>
        <v>0.11400569813590111</v>
      </c>
      <c r="I62" s="85">
        <f t="shared" ca="1" si="25"/>
        <v>0.49238756871965716</v>
      </c>
      <c r="J62" s="85">
        <f t="shared" ca="1" si="25"/>
        <v>-5.2211950499059689E-2</v>
      </c>
      <c r="K62" s="85">
        <f t="shared" ca="1" si="25"/>
        <v>0.34730978723904316</v>
      </c>
      <c r="L62" s="85">
        <f t="shared" ca="1" si="25"/>
        <v>7.6371234576393721E-2</v>
      </c>
      <c r="M62" s="150"/>
      <c r="N62" s="85">
        <f t="shared" ref="N62:U62" ca="1" si="26">IFERROR(1-(N60/N59),0)</f>
        <v>0.64102673180820102</v>
      </c>
      <c r="O62" s="85">
        <f t="shared" ca="1" si="26"/>
        <v>0.34426757118951024</v>
      </c>
      <c r="P62" s="85">
        <f t="shared" ca="1" si="26"/>
        <v>0</v>
      </c>
      <c r="Q62" s="85">
        <f t="shared" ca="1" si="26"/>
        <v>0</v>
      </c>
      <c r="R62" s="85">
        <f t="shared" ca="1" si="26"/>
        <v>0</v>
      </c>
      <c r="S62" s="85">
        <f t="shared" ca="1" si="26"/>
        <v>0</v>
      </c>
      <c r="T62" s="85">
        <f t="shared" ca="1" si="26"/>
        <v>0</v>
      </c>
      <c r="U62" s="85">
        <f t="shared" ca="1" si="26"/>
        <v>0</v>
      </c>
    </row>
    <row r="63" spans="1:27" x14ac:dyDescent="0.2">
      <c r="A63" s="128">
        <f ca="1">TODAY()</f>
        <v>45834</v>
      </c>
      <c r="M63" s="148"/>
      <c r="V63" s="59"/>
      <c r="Z63" s="39"/>
    </row>
    <row r="64" spans="1:27" hidden="1" x14ac:dyDescent="0.2">
      <c r="A64" s="17" t="str">
        <f t="shared" ref="A64:A68" ca="1" si="27">IF($A$63&lt;=AA64,"Previsto","Realizado")</f>
        <v>Realizado</v>
      </c>
      <c r="B64" s="17">
        <v>44621</v>
      </c>
      <c r="C64" s="19">
        <f t="shared" ref="C64:C94" si="28">D64+E64</f>
        <v>26424.45</v>
      </c>
      <c r="D64" s="35">
        <f>_xlfn.XLOOKUP($B:$B,'Compilado 2023'!$B:$B,'Compilado 2023'!D:D)</f>
        <v>26424.45</v>
      </c>
      <c r="E64" s="35">
        <f>_xlfn.XLOOKUP($B:$B,'Compilado 2023'!$B:$B,'Compilado 2023'!E:E)</f>
        <v>0</v>
      </c>
      <c r="F64" s="18">
        <f>_xlfn.XLOOKUP($B:$B,'Compilado 2023'!$B:$B,'Compilado 2023'!F:F)</f>
        <v>79</v>
      </c>
      <c r="G64" s="18">
        <f>_xlfn.XLOOKUP($B:$B,'Compilado 2023'!$B:$B,'Compilado 2023'!G:G)</f>
        <v>106</v>
      </c>
      <c r="H64" s="35">
        <f t="shared" ref="H64:H94" si="29">IFERROR(C64/F64,0)</f>
        <v>334.48670886075951</v>
      </c>
      <c r="I64" s="19">
        <f t="shared" ref="I64:I94" si="30">SUM(N64:U64)</f>
        <v>568.88290322580644</v>
      </c>
      <c r="J64" s="122">
        <f t="shared" ref="J64:J94" si="31">IF(I64&gt;0,C64/I64,0)</f>
        <v>46.449717244378768</v>
      </c>
      <c r="K64" s="18">
        <f>_xlfn.XLOOKUP($B:$B,'Compilado 2023'!$B:$B,'Compilado 2023'!K:K)</f>
        <v>2798</v>
      </c>
      <c r="L64" s="54">
        <f t="shared" ref="L64:L94" si="32">IFERROR(F64/K64,0)</f>
        <v>2.8234453180843458E-2</v>
      </c>
      <c r="M64" s="149"/>
      <c r="N64" s="106">
        <f>_xlfn.XLOOKUP($B:$B,'Compilado 2023'!$B:$B,'Compilado 2023'!N:N)</f>
        <v>435.4</v>
      </c>
      <c r="O64" s="106">
        <f>_xlfn.XLOOKUP($B:$B,'Compilado 2023'!$B:$B,'Compilado 2023'!O:O)</f>
        <v>81.87</v>
      </c>
      <c r="P64" s="106">
        <f>_xlfn.XLOOKUP($B:$B,'Compilado 2023'!$B:$B,'Compilado 2023'!P:P)</f>
        <v>0</v>
      </c>
      <c r="Q64" s="106">
        <f>_xlfn.XLOOKUP($B:$B,'Compilado 2023'!$B:$B,'Compilado 2023'!Q:Q)</f>
        <v>51.612903225806448</v>
      </c>
      <c r="R64" s="106">
        <f>_xlfn.XLOOKUP($B:$B,'Compilado 2023'!$B:$B,'Compilado 2023'!R:R)</f>
        <v>0</v>
      </c>
      <c r="S64" s="106">
        <f>_xlfn.XLOOKUP($B:$B,'Compilado 2023'!$B:$B,'Compilado 2023'!T:T)</f>
        <v>0</v>
      </c>
      <c r="T64" s="106">
        <f>_xlfn.XLOOKUP($B:$B,'Compilado 2023'!$B:$B,'Compilado 2023'!U:U)</f>
        <v>0</v>
      </c>
      <c r="U64" s="106">
        <f>_xlfn.XLOOKUP($B:$B,'Compilado 2023'!$B:$B,'Compilado 2023'!V:V)</f>
        <v>0</v>
      </c>
      <c r="V64" s="57"/>
      <c r="W64" s="106">
        <f>_xlfn.XLOOKUP($B:$B,'Compilado 2023'!$B:$B,'Compilado 2023'!X:X)</f>
        <v>0</v>
      </c>
      <c r="X64" s="106">
        <f>_xlfn.XLOOKUP($B:$B,'Compilado 2023'!$B:$B,'Compilado 2023'!Y:Y)</f>
        <v>0</v>
      </c>
      <c r="Y64" s="106">
        <f>_xlfn.XLOOKUP($B:$B,'Compilado 2023'!$B:$B,'Compilado 2023'!Z:Z)</f>
        <v>0</v>
      </c>
      <c r="AA64" s="208">
        <v>45108</v>
      </c>
    </row>
    <row r="65" spans="1:27" hidden="1" x14ac:dyDescent="0.2">
      <c r="A65" s="17" t="str">
        <f t="shared" ca="1" si="27"/>
        <v>Realizado</v>
      </c>
      <c r="B65" s="17">
        <v>44622</v>
      </c>
      <c r="C65" s="19">
        <f t="shared" si="28"/>
        <v>33508.92</v>
      </c>
      <c r="D65" s="35">
        <f>_xlfn.XLOOKUP($B:$B,'Compilado 2023'!$B:$B,'Compilado 2023'!D:D)</f>
        <v>33508.92</v>
      </c>
      <c r="E65" s="35">
        <f>_xlfn.XLOOKUP($B:$B,'Compilado 2023'!$B:$B,'Compilado 2023'!E:E)</f>
        <v>0</v>
      </c>
      <c r="F65" s="18">
        <f>_xlfn.XLOOKUP($B:$B,'Compilado 2023'!$B:$B,'Compilado 2023'!F:F)</f>
        <v>115</v>
      </c>
      <c r="G65" s="18">
        <f>_xlfn.XLOOKUP($B:$B,'Compilado 2023'!$B:$B,'Compilado 2023'!G:G)</f>
        <v>135</v>
      </c>
      <c r="H65" s="35">
        <f t="shared" si="29"/>
        <v>291.38191304347822</v>
      </c>
      <c r="I65" s="19">
        <f t="shared" si="30"/>
        <v>598.31290322580651</v>
      </c>
      <c r="J65" s="122">
        <f t="shared" si="31"/>
        <v>56.005678332084294</v>
      </c>
      <c r="K65" s="18">
        <f>_xlfn.XLOOKUP($B:$B,'Compilado 2023'!$B:$B,'Compilado 2023'!K:K)</f>
        <v>4040</v>
      </c>
      <c r="L65" s="54">
        <f t="shared" si="32"/>
        <v>2.8465346534653466E-2</v>
      </c>
      <c r="M65" s="149"/>
      <c r="N65" s="106">
        <f>_xlfn.XLOOKUP($B:$B,'Compilado 2023'!$B:$B,'Compilado 2023'!N:N)</f>
        <v>466.11</v>
      </c>
      <c r="O65" s="106">
        <f>_xlfn.XLOOKUP($B:$B,'Compilado 2023'!$B:$B,'Compilado 2023'!O:O)</f>
        <v>80.59</v>
      </c>
      <c r="P65" s="106">
        <f>_xlfn.XLOOKUP($B:$B,'Compilado 2023'!$B:$B,'Compilado 2023'!P:P)</f>
        <v>0</v>
      </c>
      <c r="Q65" s="106">
        <f>_xlfn.XLOOKUP($B:$B,'Compilado 2023'!$B:$B,'Compilado 2023'!Q:Q)</f>
        <v>51.612903225806448</v>
      </c>
      <c r="R65" s="106">
        <f>_xlfn.XLOOKUP($B:$B,'Compilado 2023'!$B:$B,'Compilado 2023'!R:R)</f>
        <v>0</v>
      </c>
      <c r="S65" s="106">
        <f>_xlfn.XLOOKUP($B:$B,'Compilado 2023'!$B:$B,'Compilado 2023'!T:T)</f>
        <v>0</v>
      </c>
      <c r="T65" s="106">
        <f>_xlfn.XLOOKUP($B:$B,'Compilado 2023'!$B:$B,'Compilado 2023'!U:U)</f>
        <v>0</v>
      </c>
      <c r="U65" s="106">
        <f>_xlfn.XLOOKUP($B:$B,'Compilado 2023'!$B:$B,'Compilado 2023'!V:V)</f>
        <v>0</v>
      </c>
      <c r="V65" s="57"/>
      <c r="W65" s="106">
        <f>_xlfn.XLOOKUP($B:$B,'Compilado 2023'!$B:$B,'Compilado 2023'!X:X)</f>
        <v>0</v>
      </c>
      <c r="X65" s="106">
        <f>_xlfn.XLOOKUP($B:$B,'Compilado 2023'!$B:$B,'Compilado 2023'!Y:Y)</f>
        <v>0</v>
      </c>
      <c r="Y65" s="106">
        <f>_xlfn.XLOOKUP($B:$B,'Compilado 2023'!$B:$B,'Compilado 2023'!Z:Z)</f>
        <v>0</v>
      </c>
      <c r="AA65" s="208">
        <v>45109</v>
      </c>
    </row>
    <row r="66" spans="1:27" hidden="1" x14ac:dyDescent="0.2">
      <c r="A66" s="17" t="str">
        <f t="shared" ca="1" si="27"/>
        <v>Realizado</v>
      </c>
      <c r="B66" s="17">
        <v>44623</v>
      </c>
      <c r="C66" s="19">
        <f t="shared" si="28"/>
        <v>38636.53</v>
      </c>
      <c r="D66" s="35">
        <f>_xlfn.XLOOKUP($B:$B,'Compilado 2023'!$B:$B,'Compilado 2023'!D:D)</f>
        <v>38636.53</v>
      </c>
      <c r="E66" s="35">
        <f>_xlfn.XLOOKUP($B:$B,'Compilado 2023'!$B:$B,'Compilado 2023'!E:E)</f>
        <v>0</v>
      </c>
      <c r="F66" s="18">
        <f>_xlfn.XLOOKUP($B:$B,'Compilado 2023'!$B:$B,'Compilado 2023'!F:F)</f>
        <v>131</v>
      </c>
      <c r="G66" s="18">
        <f>_xlfn.XLOOKUP($B:$B,'Compilado 2023'!$B:$B,'Compilado 2023'!G:G)</f>
        <v>185</v>
      </c>
      <c r="H66" s="35">
        <f t="shared" si="29"/>
        <v>294.93534351145036</v>
      </c>
      <c r="I66" s="19">
        <f t="shared" si="30"/>
        <v>676.68290322580651</v>
      </c>
      <c r="J66" s="122">
        <f t="shared" si="31"/>
        <v>57.096950160579325</v>
      </c>
      <c r="K66" s="18">
        <f>_xlfn.XLOOKUP($B:$B,'Compilado 2023'!$B:$B,'Compilado 2023'!K:K)</f>
        <v>3937</v>
      </c>
      <c r="L66" s="54">
        <f t="shared" si="32"/>
        <v>3.3274066548133099E-2</v>
      </c>
      <c r="M66" s="149"/>
      <c r="N66" s="106">
        <f>_xlfn.XLOOKUP($B:$B,'Compilado 2023'!$B:$B,'Compilado 2023'!N:N)</f>
        <v>506.61</v>
      </c>
      <c r="O66" s="106">
        <f>_xlfn.XLOOKUP($B:$B,'Compilado 2023'!$B:$B,'Compilado 2023'!O:O)</f>
        <v>118.46</v>
      </c>
      <c r="P66" s="106">
        <f>_xlfn.XLOOKUP($B:$B,'Compilado 2023'!$B:$B,'Compilado 2023'!P:P)</f>
        <v>0</v>
      </c>
      <c r="Q66" s="106">
        <f>_xlfn.XLOOKUP($B:$B,'Compilado 2023'!$B:$B,'Compilado 2023'!Q:Q)</f>
        <v>51.612903225806448</v>
      </c>
      <c r="R66" s="106">
        <f>_xlfn.XLOOKUP($B:$B,'Compilado 2023'!$B:$B,'Compilado 2023'!R:R)</f>
        <v>0</v>
      </c>
      <c r="S66" s="106">
        <f>_xlfn.XLOOKUP($B:$B,'Compilado 2023'!$B:$B,'Compilado 2023'!T:T)</f>
        <v>0</v>
      </c>
      <c r="T66" s="106">
        <f>_xlfn.XLOOKUP($B:$B,'Compilado 2023'!$B:$B,'Compilado 2023'!U:U)</f>
        <v>0</v>
      </c>
      <c r="U66" s="106">
        <f>_xlfn.XLOOKUP($B:$B,'Compilado 2023'!$B:$B,'Compilado 2023'!V:V)</f>
        <v>0</v>
      </c>
      <c r="V66" s="57"/>
      <c r="W66" s="106">
        <f>_xlfn.XLOOKUP($B:$B,'Compilado 2023'!$B:$B,'Compilado 2023'!X:X)</f>
        <v>0</v>
      </c>
      <c r="X66" s="106">
        <f>_xlfn.XLOOKUP($B:$B,'Compilado 2023'!$B:$B,'Compilado 2023'!Y:Y)</f>
        <v>0</v>
      </c>
      <c r="Y66" s="106">
        <f>_xlfn.XLOOKUP($B:$B,'Compilado 2023'!$B:$B,'Compilado 2023'!Z:Z)</f>
        <v>0</v>
      </c>
      <c r="AA66" s="208">
        <v>45110</v>
      </c>
    </row>
    <row r="67" spans="1:27" hidden="1" x14ac:dyDescent="0.2">
      <c r="A67" s="17" t="str">
        <f t="shared" ca="1" si="27"/>
        <v>Realizado</v>
      </c>
      <c r="B67" s="17">
        <v>44624</v>
      </c>
      <c r="C67" s="19">
        <f t="shared" si="28"/>
        <v>34604.03</v>
      </c>
      <c r="D67" s="35">
        <f>_xlfn.XLOOKUP($B:$B,'Compilado 2023'!$B:$B,'Compilado 2023'!D:D)</f>
        <v>34579.99</v>
      </c>
      <c r="E67" s="35">
        <f>_xlfn.XLOOKUP($B:$B,'Compilado 2023'!$B:$B,'Compilado 2023'!E:E)</f>
        <v>24.04</v>
      </c>
      <c r="F67" s="18">
        <f>_xlfn.XLOOKUP($B:$B,'Compilado 2023'!$B:$B,'Compilado 2023'!F:F)</f>
        <v>111</v>
      </c>
      <c r="G67" s="18">
        <f>_xlfn.XLOOKUP($B:$B,'Compilado 2023'!$B:$B,'Compilado 2023'!G:G)</f>
        <v>172</v>
      </c>
      <c r="H67" s="35">
        <f t="shared" si="29"/>
        <v>311.748018018018</v>
      </c>
      <c r="I67" s="19">
        <f t="shared" si="30"/>
        <v>706.97290322580648</v>
      </c>
      <c r="J67" s="122">
        <f t="shared" si="31"/>
        <v>48.946755727280689</v>
      </c>
      <c r="K67" s="18">
        <f>_xlfn.XLOOKUP($B:$B,'Compilado 2023'!$B:$B,'Compilado 2023'!K:K)</f>
        <v>3680</v>
      </c>
      <c r="L67" s="54">
        <f t="shared" si="32"/>
        <v>3.0163043478260869E-2</v>
      </c>
      <c r="M67" s="149"/>
      <c r="N67" s="106">
        <f>_xlfn.XLOOKUP($B:$B,'Compilado 2023'!$B:$B,'Compilado 2023'!N:N)</f>
        <v>519.73</v>
      </c>
      <c r="O67" s="106">
        <f>_xlfn.XLOOKUP($B:$B,'Compilado 2023'!$B:$B,'Compilado 2023'!O:O)</f>
        <v>135.63</v>
      </c>
      <c r="P67" s="106">
        <f>_xlfn.XLOOKUP($B:$B,'Compilado 2023'!$B:$B,'Compilado 2023'!P:P)</f>
        <v>0</v>
      </c>
      <c r="Q67" s="106">
        <f>_xlfn.XLOOKUP($B:$B,'Compilado 2023'!$B:$B,'Compilado 2023'!Q:Q)</f>
        <v>51.612903225806448</v>
      </c>
      <c r="R67" s="106">
        <f>_xlfn.XLOOKUP($B:$B,'Compilado 2023'!$B:$B,'Compilado 2023'!R:R)</f>
        <v>0</v>
      </c>
      <c r="S67" s="106">
        <f>_xlfn.XLOOKUP($B:$B,'Compilado 2023'!$B:$B,'Compilado 2023'!T:T)</f>
        <v>0</v>
      </c>
      <c r="T67" s="106">
        <f>_xlfn.XLOOKUP($B:$B,'Compilado 2023'!$B:$B,'Compilado 2023'!U:U)</f>
        <v>0</v>
      </c>
      <c r="U67" s="106">
        <f>_xlfn.XLOOKUP($B:$B,'Compilado 2023'!$B:$B,'Compilado 2023'!V:V)</f>
        <v>0</v>
      </c>
      <c r="V67" s="57"/>
      <c r="W67" s="106">
        <f>_xlfn.XLOOKUP($B:$B,'Compilado 2023'!$B:$B,'Compilado 2023'!X:X)</f>
        <v>0</v>
      </c>
      <c r="X67" s="106">
        <f>_xlfn.XLOOKUP($B:$B,'Compilado 2023'!$B:$B,'Compilado 2023'!Y:Y)</f>
        <v>0</v>
      </c>
      <c r="Y67" s="106">
        <f>_xlfn.XLOOKUP($B:$B,'Compilado 2023'!$B:$B,'Compilado 2023'!Z:Z)</f>
        <v>0</v>
      </c>
      <c r="AA67" s="208">
        <v>45111</v>
      </c>
    </row>
    <row r="68" spans="1:27" hidden="1" x14ac:dyDescent="0.2">
      <c r="A68" s="17" t="str">
        <f t="shared" ca="1" si="27"/>
        <v>Realizado</v>
      </c>
      <c r="B68" s="17">
        <v>44625</v>
      </c>
      <c r="C68" s="19">
        <f t="shared" si="28"/>
        <v>20933.25</v>
      </c>
      <c r="D68" s="35">
        <f>_xlfn.XLOOKUP($B:$B,'Compilado 2023'!$B:$B,'Compilado 2023'!D:D)</f>
        <v>20933.25</v>
      </c>
      <c r="E68" s="35">
        <f>_xlfn.XLOOKUP($B:$B,'Compilado 2023'!$B:$B,'Compilado 2023'!E:E)</f>
        <v>0</v>
      </c>
      <c r="F68" s="18">
        <f>_xlfn.XLOOKUP($B:$B,'Compilado 2023'!$B:$B,'Compilado 2023'!F:F)</f>
        <v>71</v>
      </c>
      <c r="G68" s="18">
        <f>_xlfn.XLOOKUP($B:$B,'Compilado 2023'!$B:$B,'Compilado 2023'!G:G)</f>
        <v>87</v>
      </c>
      <c r="H68" s="35">
        <f t="shared" si="29"/>
        <v>294.83450704225351</v>
      </c>
      <c r="I68" s="19">
        <f t="shared" si="30"/>
        <v>597.11290322580646</v>
      </c>
      <c r="J68" s="122">
        <f t="shared" si="31"/>
        <v>35.05744037168094</v>
      </c>
      <c r="K68" s="18">
        <f>_xlfn.XLOOKUP($B:$B,'Compilado 2023'!$B:$B,'Compilado 2023'!K:K)</f>
        <v>2905</v>
      </c>
      <c r="L68" s="54">
        <f t="shared" si="32"/>
        <v>2.4440619621342512E-2</v>
      </c>
      <c r="M68" s="149"/>
      <c r="N68" s="106">
        <f>_xlfn.XLOOKUP($B:$B,'Compilado 2023'!$B:$B,'Compilado 2023'!N:N)</f>
        <v>407.41</v>
      </c>
      <c r="O68" s="106">
        <f>_xlfn.XLOOKUP($B:$B,'Compilado 2023'!$B:$B,'Compilado 2023'!O:O)</f>
        <v>138.09</v>
      </c>
      <c r="P68" s="106">
        <f>_xlfn.XLOOKUP($B:$B,'Compilado 2023'!$B:$B,'Compilado 2023'!P:P)</f>
        <v>0</v>
      </c>
      <c r="Q68" s="106">
        <f>_xlfn.XLOOKUP($B:$B,'Compilado 2023'!$B:$B,'Compilado 2023'!Q:Q)</f>
        <v>51.612903225806448</v>
      </c>
      <c r="R68" s="106">
        <f>_xlfn.XLOOKUP($B:$B,'Compilado 2023'!$B:$B,'Compilado 2023'!R:R)</f>
        <v>0</v>
      </c>
      <c r="S68" s="106">
        <f>_xlfn.XLOOKUP($B:$B,'Compilado 2023'!$B:$B,'Compilado 2023'!T:T)</f>
        <v>0</v>
      </c>
      <c r="T68" s="106">
        <f>_xlfn.XLOOKUP($B:$B,'Compilado 2023'!$B:$B,'Compilado 2023'!U:U)</f>
        <v>0</v>
      </c>
      <c r="U68" s="106">
        <f>_xlfn.XLOOKUP($B:$B,'Compilado 2023'!$B:$B,'Compilado 2023'!V:V)</f>
        <v>0</v>
      </c>
      <c r="V68" s="57"/>
      <c r="W68" s="106">
        <f>_xlfn.XLOOKUP($B:$B,'Compilado 2023'!$B:$B,'Compilado 2023'!X:X)</f>
        <v>0</v>
      </c>
      <c r="X68" s="106">
        <f>_xlfn.XLOOKUP($B:$B,'Compilado 2023'!$B:$B,'Compilado 2023'!Y:Y)</f>
        <v>0</v>
      </c>
      <c r="Y68" s="106">
        <f>_xlfn.XLOOKUP($B:$B,'Compilado 2023'!$B:$B,'Compilado 2023'!Z:Z)</f>
        <v>0</v>
      </c>
      <c r="AA68" s="208">
        <v>45112</v>
      </c>
    </row>
    <row r="69" spans="1:27" hidden="1" x14ac:dyDescent="0.2">
      <c r="A69" s="17" t="str">
        <f ca="1">IF($A$63&lt;=AA69,"Previsto","Realizado")</f>
        <v>Realizado</v>
      </c>
      <c r="B69" s="17">
        <v>44626</v>
      </c>
      <c r="C69" s="19">
        <f t="shared" si="28"/>
        <v>20185.640000000003</v>
      </c>
      <c r="D69" s="35">
        <f>_xlfn.XLOOKUP($B:$B,'Compilado 2023'!$B:$B,'Compilado 2023'!D:D)</f>
        <v>20161.580000000002</v>
      </c>
      <c r="E69" s="35">
        <f>_xlfn.XLOOKUP($B:$B,'Compilado 2023'!$B:$B,'Compilado 2023'!E:E)</f>
        <v>24.06</v>
      </c>
      <c r="F69" s="18">
        <f>_xlfn.XLOOKUP($B:$B,'Compilado 2023'!$B:$B,'Compilado 2023'!F:F)</f>
        <v>57</v>
      </c>
      <c r="G69" s="18">
        <f>_xlfn.XLOOKUP($B:$B,'Compilado 2023'!$B:$B,'Compilado 2023'!G:G)</f>
        <v>83</v>
      </c>
      <c r="H69" s="35">
        <f t="shared" si="29"/>
        <v>354.13403508771933</v>
      </c>
      <c r="I69" s="19">
        <f t="shared" si="30"/>
        <v>598.59290322580648</v>
      </c>
      <c r="J69" s="122">
        <f t="shared" si="31"/>
        <v>33.721816431868717</v>
      </c>
      <c r="K69" s="18">
        <f>_xlfn.XLOOKUP($B:$B,'Compilado 2023'!$B:$B,'Compilado 2023'!K:K)</f>
        <v>2521</v>
      </c>
      <c r="L69" s="54">
        <f t="shared" si="32"/>
        <v>2.2610075366917889E-2</v>
      </c>
      <c r="M69" s="149"/>
      <c r="N69" s="106">
        <f>_xlfn.XLOOKUP($B:$B,'Compilado 2023'!$B:$B,'Compilado 2023'!N:N)</f>
        <v>406.66</v>
      </c>
      <c r="O69" s="106">
        <f>_xlfn.XLOOKUP($B:$B,'Compilado 2023'!$B:$B,'Compilado 2023'!O:O)</f>
        <v>140.32</v>
      </c>
      <c r="P69" s="106">
        <f>_xlfn.XLOOKUP($B:$B,'Compilado 2023'!$B:$B,'Compilado 2023'!P:P)</f>
        <v>0</v>
      </c>
      <c r="Q69" s="106">
        <f>_xlfn.XLOOKUP($B:$B,'Compilado 2023'!$B:$B,'Compilado 2023'!Q:Q)</f>
        <v>51.612903225806448</v>
      </c>
      <c r="R69" s="106">
        <f>_xlfn.XLOOKUP($B:$B,'Compilado 2023'!$B:$B,'Compilado 2023'!R:R)</f>
        <v>0</v>
      </c>
      <c r="S69" s="106">
        <f>_xlfn.XLOOKUP($B:$B,'Compilado 2023'!$B:$B,'Compilado 2023'!T:T)</f>
        <v>0</v>
      </c>
      <c r="T69" s="106">
        <f>_xlfn.XLOOKUP($B:$B,'Compilado 2023'!$B:$B,'Compilado 2023'!U:U)</f>
        <v>0</v>
      </c>
      <c r="U69" s="106">
        <f>_xlfn.XLOOKUP($B:$B,'Compilado 2023'!$B:$B,'Compilado 2023'!V:V)</f>
        <v>0</v>
      </c>
      <c r="V69" s="57"/>
      <c r="W69" s="106">
        <f>_xlfn.XLOOKUP($B:$B,'Compilado 2023'!$B:$B,'Compilado 2023'!X:X)</f>
        <v>0</v>
      </c>
      <c r="X69" s="106">
        <f>_xlfn.XLOOKUP($B:$B,'Compilado 2023'!$B:$B,'Compilado 2023'!Y:Y)</f>
        <v>0</v>
      </c>
      <c r="Y69" s="106">
        <f>_xlfn.XLOOKUP($B:$B,'Compilado 2023'!$B:$B,'Compilado 2023'!Z:Z)</f>
        <v>0</v>
      </c>
      <c r="AA69" s="208">
        <v>45113</v>
      </c>
    </row>
    <row r="70" spans="1:27" hidden="1" x14ac:dyDescent="0.2">
      <c r="A70" s="17" t="str">
        <f t="shared" ref="A70:A94" ca="1" si="33">IF($A$63&lt;=AA70,"Previsto","Realizado")</f>
        <v>Realizado</v>
      </c>
      <c r="B70" s="17">
        <v>44627</v>
      </c>
      <c r="C70" s="19">
        <f t="shared" si="28"/>
        <v>53461.25</v>
      </c>
      <c r="D70" s="35">
        <f>_xlfn.XLOOKUP($B:$B,'Compilado 2023'!$B:$B,'Compilado 2023'!D:D)</f>
        <v>53461.25</v>
      </c>
      <c r="E70" s="35">
        <f>_xlfn.XLOOKUP($B:$B,'Compilado 2023'!$B:$B,'Compilado 2023'!E:E)</f>
        <v>0</v>
      </c>
      <c r="F70" s="18">
        <f>_xlfn.XLOOKUP($B:$B,'Compilado 2023'!$B:$B,'Compilado 2023'!F:F)</f>
        <v>165</v>
      </c>
      <c r="G70" s="18">
        <f>_xlfn.XLOOKUP($B:$B,'Compilado 2023'!$B:$B,'Compilado 2023'!G:G)</f>
        <v>273</v>
      </c>
      <c r="H70" s="35">
        <f t="shared" si="29"/>
        <v>324.00757575757575</v>
      </c>
      <c r="I70" s="19">
        <f t="shared" si="30"/>
        <v>781.79290322580641</v>
      </c>
      <c r="J70" s="122">
        <f t="shared" si="31"/>
        <v>68.382879633992673</v>
      </c>
      <c r="K70" s="18">
        <f>_xlfn.XLOOKUP($B:$B,'Compilado 2023'!$B:$B,'Compilado 2023'!K:K)</f>
        <v>4558</v>
      </c>
      <c r="L70" s="54">
        <f t="shared" si="32"/>
        <v>3.6200087757788504E-2</v>
      </c>
      <c r="M70" s="149"/>
      <c r="N70" s="106">
        <f>_xlfn.XLOOKUP($B:$B,'Compilado 2023'!$B:$B,'Compilado 2023'!N:N)</f>
        <v>557.52</v>
      </c>
      <c r="O70" s="106">
        <f>_xlfn.XLOOKUP($B:$B,'Compilado 2023'!$B:$B,'Compilado 2023'!O:O)</f>
        <v>172.66</v>
      </c>
      <c r="P70" s="106">
        <f>_xlfn.XLOOKUP($B:$B,'Compilado 2023'!$B:$B,'Compilado 2023'!P:P)</f>
        <v>0</v>
      </c>
      <c r="Q70" s="106">
        <f>_xlfn.XLOOKUP($B:$B,'Compilado 2023'!$B:$B,'Compilado 2023'!Q:Q)</f>
        <v>51.612903225806448</v>
      </c>
      <c r="R70" s="106">
        <f>_xlfn.XLOOKUP($B:$B,'Compilado 2023'!$B:$B,'Compilado 2023'!R:R)</f>
        <v>0</v>
      </c>
      <c r="S70" s="106">
        <f>_xlfn.XLOOKUP($B:$B,'Compilado 2023'!$B:$B,'Compilado 2023'!T:T)</f>
        <v>0</v>
      </c>
      <c r="T70" s="106">
        <f>_xlfn.XLOOKUP($B:$B,'Compilado 2023'!$B:$B,'Compilado 2023'!U:U)</f>
        <v>0</v>
      </c>
      <c r="U70" s="106">
        <f>_xlfn.XLOOKUP($B:$B,'Compilado 2023'!$B:$B,'Compilado 2023'!V:V)</f>
        <v>0</v>
      </c>
      <c r="V70" s="57"/>
      <c r="W70" s="106">
        <f>_xlfn.XLOOKUP($B:$B,'Compilado 2023'!$B:$B,'Compilado 2023'!X:X)</f>
        <v>0</v>
      </c>
      <c r="X70" s="106">
        <f>_xlfn.XLOOKUP($B:$B,'Compilado 2023'!$B:$B,'Compilado 2023'!Y:Y)</f>
        <v>0</v>
      </c>
      <c r="Y70" s="106">
        <f>_xlfn.XLOOKUP($B:$B,'Compilado 2023'!$B:$B,'Compilado 2023'!Z:Z)</f>
        <v>0</v>
      </c>
      <c r="AA70" s="208">
        <v>45114</v>
      </c>
    </row>
    <row r="71" spans="1:27" hidden="1" x14ac:dyDescent="0.2">
      <c r="A71" s="17" t="str">
        <f t="shared" ca="1" si="33"/>
        <v>Realizado</v>
      </c>
      <c r="B71" s="17">
        <v>44628</v>
      </c>
      <c r="C71" s="19">
        <f t="shared" si="28"/>
        <v>69122.89</v>
      </c>
      <c r="D71" s="35">
        <f>_xlfn.XLOOKUP($B:$B,'Compilado 2023'!$B:$B,'Compilado 2023'!D:D)</f>
        <v>69122.89</v>
      </c>
      <c r="E71" s="35">
        <f>_xlfn.XLOOKUP($B:$B,'Compilado 2023'!$B:$B,'Compilado 2023'!E:E)</f>
        <v>0</v>
      </c>
      <c r="F71" s="18">
        <f>_xlfn.XLOOKUP($B:$B,'Compilado 2023'!$B:$B,'Compilado 2023'!F:F)</f>
        <v>227</v>
      </c>
      <c r="G71" s="18">
        <f>_xlfn.XLOOKUP($B:$B,'Compilado 2023'!$B:$B,'Compilado 2023'!G:G)</f>
        <v>341</v>
      </c>
      <c r="H71" s="35">
        <f t="shared" si="29"/>
        <v>304.50612334801764</v>
      </c>
      <c r="I71" s="19">
        <f t="shared" si="30"/>
        <v>742.15290322580643</v>
      </c>
      <c r="J71" s="122">
        <f t="shared" si="31"/>
        <v>93.138340764489016</v>
      </c>
      <c r="K71" s="18">
        <f>_xlfn.XLOOKUP($B:$B,'Compilado 2023'!$B:$B,'Compilado 2023'!K:K)</f>
        <v>4622</v>
      </c>
      <c r="L71" s="54">
        <f t="shared" si="32"/>
        <v>4.91129381220251E-2</v>
      </c>
      <c r="M71" s="149"/>
      <c r="N71" s="106">
        <f>_xlfn.XLOOKUP($B:$B,'Compilado 2023'!$B:$B,'Compilado 2023'!N:N)</f>
        <v>507.35</v>
      </c>
      <c r="O71" s="106">
        <f>_xlfn.XLOOKUP($B:$B,'Compilado 2023'!$B:$B,'Compilado 2023'!O:O)</f>
        <v>183.19</v>
      </c>
      <c r="P71" s="106">
        <f>_xlfn.XLOOKUP($B:$B,'Compilado 2023'!$B:$B,'Compilado 2023'!P:P)</f>
        <v>0</v>
      </c>
      <c r="Q71" s="106">
        <f>_xlfn.XLOOKUP($B:$B,'Compilado 2023'!$B:$B,'Compilado 2023'!Q:Q)</f>
        <v>51.612903225806448</v>
      </c>
      <c r="R71" s="106">
        <f>_xlfn.XLOOKUP($B:$B,'Compilado 2023'!$B:$B,'Compilado 2023'!R:R)</f>
        <v>0</v>
      </c>
      <c r="S71" s="106">
        <f>_xlfn.XLOOKUP($B:$B,'Compilado 2023'!$B:$B,'Compilado 2023'!T:T)</f>
        <v>0</v>
      </c>
      <c r="T71" s="106">
        <f>_xlfn.XLOOKUP($B:$B,'Compilado 2023'!$B:$B,'Compilado 2023'!U:U)</f>
        <v>0</v>
      </c>
      <c r="U71" s="106">
        <f>_xlfn.XLOOKUP($B:$B,'Compilado 2023'!$B:$B,'Compilado 2023'!V:V)</f>
        <v>0</v>
      </c>
      <c r="V71" s="57"/>
      <c r="W71" s="106">
        <f>_xlfn.XLOOKUP($B:$B,'Compilado 2023'!$B:$B,'Compilado 2023'!X:X)</f>
        <v>0</v>
      </c>
      <c r="X71" s="106">
        <f>_xlfn.XLOOKUP($B:$B,'Compilado 2023'!$B:$B,'Compilado 2023'!Y:Y)</f>
        <v>0</v>
      </c>
      <c r="Y71" s="106">
        <f>_xlfn.XLOOKUP($B:$B,'Compilado 2023'!$B:$B,'Compilado 2023'!Z:Z)</f>
        <v>0</v>
      </c>
      <c r="AA71" s="208">
        <v>45115</v>
      </c>
    </row>
    <row r="72" spans="1:27" hidden="1" x14ac:dyDescent="0.2">
      <c r="A72" s="17" t="str">
        <f t="shared" ca="1" si="33"/>
        <v>Realizado</v>
      </c>
      <c r="B72" s="17">
        <v>44629</v>
      </c>
      <c r="C72" s="19">
        <f t="shared" si="28"/>
        <v>39587.160000000003</v>
      </c>
      <c r="D72" s="35">
        <f>_xlfn.XLOOKUP($B:$B,'Compilado 2023'!$B:$B,'Compilado 2023'!D:D)</f>
        <v>39587.160000000003</v>
      </c>
      <c r="E72" s="35">
        <f>_xlfn.XLOOKUP($B:$B,'Compilado 2023'!$B:$B,'Compilado 2023'!E:E)</f>
        <v>0</v>
      </c>
      <c r="F72" s="18">
        <f>_xlfn.XLOOKUP($B:$B,'Compilado 2023'!$B:$B,'Compilado 2023'!F:F)</f>
        <v>124</v>
      </c>
      <c r="G72" s="18">
        <f>_xlfn.XLOOKUP($B:$B,'Compilado 2023'!$B:$B,'Compilado 2023'!G:G)</f>
        <v>167</v>
      </c>
      <c r="H72" s="35">
        <f t="shared" si="29"/>
        <v>319.2512903225807</v>
      </c>
      <c r="I72" s="19">
        <f t="shared" si="30"/>
        <v>700.72290322580648</v>
      </c>
      <c r="J72" s="122">
        <f t="shared" si="31"/>
        <v>56.494742526266656</v>
      </c>
      <c r="K72" s="18">
        <f>_xlfn.XLOOKUP($B:$B,'Compilado 2023'!$B:$B,'Compilado 2023'!K:K)</f>
        <v>4144</v>
      </c>
      <c r="L72" s="54">
        <f t="shared" si="32"/>
        <v>2.9922779922779922E-2</v>
      </c>
      <c r="M72" s="149"/>
      <c r="N72" s="106">
        <f>_xlfn.XLOOKUP($B:$B,'Compilado 2023'!$B:$B,'Compilado 2023'!N:N)</f>
        <v>483.98</v>
      </c>
      <c r="O72" s="106">
        <f>_xlfn.XLOOKUP($B:$B,'Compilado 2023'!$B:$B,'Compilado 2023'!O:O)</f>
        <v>165.13</v>
      </c>
      <c r="P72" s="106">
        <f>_xlfn.XLOOKUP($B:$B,'Compilado 2023'!$B:$B,'Compilado 2023'!P:P)</f>
        <v>0</v>
      </c>
      <c r="Q72" s="106">
        <f>_xlfn.XLOOKUP($B:$B,'Compilado 2023'!$B:$B,'Compilado 2023'!Q:Q)</f>
        <v>51.612903225806448</v>
      </c>
      <c r="R72" s="106">
        <f>_xlfn.XLOOKUP($B:$B,'Compilado 2023'!$B:$B,'Compilado 2023'!R:R)</f>
        <v>0</v>
      </c>
      <c r="S72" s="106">
        <f>_xlfn.XLOOKUP($B:$B,'Compilado 2023'!$B:$B,'Compilado 2023'!T:T)</f>
        <v>0</v>
      </c>
      <c r="T72" s="106">
        <f>_xlfn.XLOOKUP($B:$B,'Compilado 2023'!$B:$B,'Compilado 2023'!U:U)</f>
        <v>0</v>
      </c>
      <c r="U72" s="106">
        <f>_xlfn.XLOOKUP($B:$B,'Compilado 2023'!$B:$B,'Compilado 2023'!V:V)</f>
        <v>0</v>
      </c>
      <c r="V72" s="57"/>
      <c r="W72" s="106">
        <f>_xlfn.XLOOKUP($B:$B,'Compilado 2023'!$B:$B,'Compilado 2023'!X:X)</f>
        <v>0</v>
      </c>
      <c r="X72" s="106">
        <f>_xlfn.XLOOKUP($B:$B,'Compilado 2023'!$B:$B,'Compilado 2023'!Y:Y)</f>
        <v>0</v>
      </c>
      <c r="Y72" s="106">
        <f>_xlfn.XLOOKUP($B:$B,'Compilado 2023'!$B:$B,'Compilado 2023'!Z:Z)</f>
        <v>0</v>
      </c>
      <c r="AA72" s="208">
        <v>45116</v>
      </c>
    </row>
    <row r="73" spans="1:27" hidden="1" x14ac:dyDescent="0.2">
      <c r="A73" s="17" t="str">
        <f t="shared" ca="1" si="33"/>
        <v>Realizado</v>
      </c>
      <c r="B73" s="17">
        <v>44630</v>
      </c>
      <c r="C73" s="19">
        <f t="shared" si="28"/>
        <v>28431.84</v>
      </c>
      <c r="D73" s="35">
        <f>_xlfn.XLOOKUP($B:$B,'Compilado 2023'!$B:$B,'Compilado 2023'!D:D)</f>
        <v>28431.84</v>
      </c>
      <c r="E73" s="35">
        <f>_xlfn.XLOOKUP($B:$B,'Compilado 2023'!$B:$B,'Compilado 2023'!E:E)</f>
        <v>0</v>
      </c>
      <c r="F73" s="18">
        <f>_xlfn.XLOOKUP($B:$B,'Compilado 2023'!$B:$B,'Compilado 2023'!F:F)</f>
        <v>105</v>
      </c>
      <c r="G73" s="18">
        <f>_xlfn.XLOOKUP($B:$B,'Compilado 2023'!$B:$B,'Compilado 2023'!G:G)</f>
        <v>126</v>
      </c>
      <c r="H73" s="35">
        <f t="shared" si="29"/>
        <v>270.77942857142858</v>
      </c>
      <c r="I73" s="19">
        <f t="shared" si="30"/>
        <v>732.01290322580644</v>
      </c>
      <c r="J73" s="122">
        <f t="shared" si="31"/>
        <v>38.840626817789214</v>
      </c>
      <c r="K73" s="18">
        <f>_xlfn.XLOOKUP($B:$B,'Compilado 2023'!$B:$B,'Compilado 2023'!K:K)</f>
        <v>3802</v>
      </c>
      <c r="L73" s="54">
        <f t="shared" si="32"/>
        <v>2.7617043661230932E-2</v>
      </c>
      <c r="M73" s="149"/>
      <c r="N73" s="106">
        <f>_xlfn.XLOOKUP($B:$B,'Compilado 2023'!$B:$B,'Compilado 2023'!N:N)</f>
        <v>460.88</v>
      </c>
      <c r="O73" s="106">
        <f>_xlfn.XLOOKUP($B:$B,'Compilado 2023'!$B:$B,'Compilado 2023'!O:O)</f>
        <v>219.52</v>
      </c>
      <c r="P73" s="106">
        <f>_xlfn.XLOOKUP($B:$B,'Compilado 2023'!$B:$B,'Compilado 2023'!P:P)</f>
        <v>0</v>
      </c>
      <c r="Q73" s="106">
        <f>_xlfn.XLOOKUP($B:$B,'Compilado 2023'!$B:$B,'Compilado 2023'!Q:Q)</f>
        <v>51.612903225806448</v>
      </c>
      <c r="R73" s="106">
        <f>_xlfn.XLOOKUP($B:$B,'Compilado 2023'!$B:$B,'Compilado 2023'!R:R)</f>
        <v>0</v>
      </c>
      <c r="S73" s="106">
        <f>_xlfn.XLOOKUP($B:$B,'Compilado 2023'!$B:$B,'Compilado 2023'!T:T)</f>
        <v>0</v>
      </c>
      <c r="T73" s="106">
        <f>_xlfn.XLOOKUP($B:$B,'Compilado 2023'!$B:$B,'Compilado 2023'!U:U)</f>
        <v>0</v>
      </c>
      <c r="U73" s="106">
        <f>_xlfn.XLOOKUP($B:$B,'Compilado 2023'!$B:$B,'Compilado 2023'!V:V)</f>
        <v>0</v>
      </c>
      <c r="V73" s="57"/>
      <c r="W73" s="106">
        <f>_xlfn.XLOOKUP($B:$B,'Compilado 2023'!$B:$B,'Compilado 2023'!X:X)</f>
        <v>0</v>
      </c>
      <c r="X73" s="106">
        <f>_xlfn.XLOOKUP($B:$B,'Compilado 2023'!$B:$B,'Compilado 2023'!Y:Y)</f>
        <v>0</v>
      </c>
      <c r="Y73" s="106">
        <f>_xlfn.XLOOKUP($B:$B,'Compilado 2023'!$B:$B,'Compilado 2023'!Z:Z)</f>
        <v>0</v>
      </c>
      <c r="AA73" s="208">
        <v>45117</v>
      </c>
    </row>
    <row r="74" spans="1:27" hidden="1" x14ac:dyDescent="0.2">
      <c r="A74" s="17" t="str">
        <f t="shared" ca="1" si="33"/>
        <v>Realizado</v>
      </c>
      <c r="B74" s="17">
        <v>44631</v>
      </c>
      <c r="C74" s="19">
        <f t="shared" si="28"/>
        <v>31452.85</v>
      </c>
      <c r="D74" s="35">
        <f>_xlfn.XLOOKUP($B:$B,'Compilado 2023'!$B:$B,'Compilado 2023'!D:D)</f>
        <v>31452.85</v>
      </c>
      <c r="E74" s="35">
        <f>_xlfn.XLOOKUP($B:$B,'Compilado 2023'!$B:$B,'Compilado 2023'!E:E)</f>
        <v>0</v>
      </c>
      <c r="F74" s="18">
        <f>_xlfn.XLOOKUP($B:$B,'Compilado 2023'!$B:$B,'Compilado 2023'!F:F)</f>
        <v>109</v>
      </c>
      <c r="G74" s="18">
        <f>_xlfn.XLOOKUP($B:$B,'Compilado 2023'!$B:$B,'Compilado 2023'!G:G)</f>
        <v>123</v>
      </c>
      <c r="H74" s="35">
        <f t="shared" si="29"/>
        <v>288.55825688073395</v>
      </c>
      <c r="I74" s="19">
        <f t="shared" si="30"/>
        <v>778.42290322580641</v>
      </c>
      <c r="J74" s="122">
        <f t="shared" si="31"/>
        <v>40.405864048524911</v>
      </c>
      <c r="K74" s="18">
        <f>_xlfn.XLOOKUP($B:$B,'Compilado 2023'!$B:$B,'Compilado 2023'!K:K)</f>
        <v>3694</v>
      </c>
      <c r="L74" s="54">
        <f t="shared" si="32"/>
        <v>2.9507309149972929E-2</v>
      </c>
      <c r="M74" s="149"/>
      <c r="N74" s="106">
        <f>_xlfn.XLOOKUP($B:$B,'Compilado 2023'!$B:$B,'Compilado 2023'!N:N)</f>
        <v>454.94</v>
      </c>
      <c r="O74" s="106">
        <f>_xlfn.XLOOKUP($B:$B,'Compilado 2023'!$B:$B,'Compilado 2023'!O:O)</f>
        <v>271.87</v>
      </c>
      <c r="P74" s="106">
        <f>_xlfn.XLOOKUP($B:$B,'Compilado 2023'!$B:$B,'Compilado 2023'!P:P)</f>
        <v>0</v>
      </c>
      <c r="Q74" s="106">
        <f>_xlfn.XLOOKUP($B:$B,'Compilado 2023'!$B:$B,'Compilado 2023'!Q:Q)</f>
        <v>51.612903225806448</v>
      </c>
      <c r="R74" s="106">
        <f>_xlfn.XLOOKUP($B:$B,'Compilado 2023'!$B:$B,'Compilado 2023'!R:R)</f>
        <v>0</v>
      </c>
      <c r="S74" s="106">
        <f>_xlfn.XLOOKUP($B:$B,'Compilado 2023'!$B:$B,'Compilado 2023'!T:T)</f>
        <v>0</v>
      </c>
      <c r="T74" s="106">
        <f>_xlfn.XLOOKUP($B:$B,'Compilado 2023'!$B:$B,'Compilado 2023'!U:U)</f>
        <v>0</v>
      </c>
      <c r="U74" s="106">
        <f>_xlfn.XLOOKUP($B:$B,'Compilado 2023'!$B:$B,'Compilado 2023'!V:V)</f>
        <v>0</v>
      </c>
      <c r="V74" s="57"/>
      <c r="W74" s="106">
        <f>_xlfn.XLOOKUP($B:$B,'Compilado 2023'!$B:$B,'Compilado 2023'!X:X)</f>
        <v>0</v>
      </c>
      <c r="X74" s="106">
        <f>_xlfn.XLOOKUP($B:$B,'Compilado 2023'!$B:$B,'Compilado 2023'!Y:Y)</f>
        <v>0</v>
      </c>
      <c r="Y74" s="106">
        <f>_xlfn.XLOOKUP($B:$B,'Compilado 2023'!$B:$B,'Compilado 2023'!Z:Z)</f>
        <v>0</v>
      </c>
      <c r="AA74" s="208">
        <v>45118</v>
      </c>
    </row>
    <row r="75" spans="1:27" hidden="1" x14ac:dyDescent="0.2">
      <c r="A75" s="17" t="str">
        <f t="shared" ca="1" si="33"/>
        <v>Realizado</v>
      </c>
      <c r="B75" s="17">
        <v>44632</v>
      </c>
      <c r="C75" s="19">
        <f t="shared" si="28"/>
        <v>20817.13</v>
      </c>
      <c r="D75" s="35">
        <f>_xlfn.XLOOKUP($B:$B,'Compilado 2023'!$B:$B,'Compilado 2023'!D:D)</f>
        <v>20794.89</v>
      </c>
      <c r="E75" s="35">
        <f>_xlfn.XLOOKUP($B:$B,'Compilado 2023'!$B:$B,'Compilado 2023'!E:E)</f>
        <v>22.24</v>
      </c>
      <c r="F75" s="18">
        <f>_xlfn.XLOOKUP($B:$B,'Compilado 2023'!$B:$B,'Compilado 2023'!F:F)</f>
        <v>70</v>
      </c>
      <c r="G75" s="18">
        <f>_xlfn.XLOOKUP($B:$B,'Compilado 2023'!$B:$B,'Compilado 2023'!G:G)</f>
        <v>84</v>
      </c>
      <c r="H75" s="35">
        <f t="shared" si="29"/>
        <v>297.38757142857145</v>
      </c>
      <c r="I75" s="19">
        <f t="shared" si="30"/>
        <v>613.23290322580647</v>
      </c>
      <c r="J75" s="122">
        <f t="shared" si="31"/>
        <v>33.946531392061743</v>
      </c>
      <c r="K75" s="18">
        <f>_xlfn.XLOOKUP($B:$B,'Compilado 2023'!$B:$B,'Compilado 2023'!K:K)</f>
        <v>2890</v>
      </c>
      <c r="L75" s="54">
        <f t="shared" si="32"/>
        <v>2.4221453287197232E-2</v>
      </c>
      <c r="M75" s="149"/>
      <c r="N75" s="106">
        <f>_xlfn.XLOOKUP($B:$B,'Compilado 2023'!$B:$B,'Compilado 2023'!N:N)</f>
        <v>277.64999999999998</v>
      </c>
      <c r="O75" s="106">
        <f>_xlfn.XLOOKUP($B:$B,'Compilado 2023'!$B:$B,'Compilado 2023'!O:O)</f>
        <v>283.97000000000003</v>
      </c>
      <c r="P75" s="106">
        <f>_xlfn.XLOOKUP($B:$B,'Compilado 2023'!$B:$B,'Compilado 2023'!P:P)</f>
        <v>0</v>
      </c>
      <c r="Q75" s="106">
        <f>_xlfn.XLOOKUP($B:$B,'Compilado 2023'!$B:$B,'Compilado 2023'!Q:Q)</f>
        <v>51.612903225806448</v>
      </c>
      <c r="R75" s="106">
        <f>_xlfn.XLOOKUP($B:$B,'Compilado 2023'!$B:$B,'Compilado 2023'!R:R)</f>
        <v>0</v>
      </c>
      <c r="S75" s="106">
        <f>_xlfn.XLOOKUP($B:$B,'Compilado 2023'!$B:$B,'Compilado 2023'!T:T)</f>
        <v>0</v>
      </c>
      <c r="T75" s="106">
        <f>_xlfn.XLOOKUP($B:$B,'Compilado 2023'!$B:$B,'Compilado 2023'!U:U)</f>
        <v>0</v>
      </c>
      <c r="U75" s="106">
        <f>_xlfn.XLOOKUP($B:$B,'Compilado 2023'!$B:$B,'Compilado 2023'!V:V)</f>
        <v>0</v>
      </c>
      <c r="V75" s="57"/>
      <c r="W75" s="106">
        <f>_xlfn.XLOOKUP($B:$B,'Compilado 2023'!$B:$B,'Compilado 2023'!X:X)</f>
        <v>0</v>
      </c>
      <c r="X75" s="106">
        <f>_xlfn.XLOOKUP($B:$B,'Compilado 2023'!$B:$B,'Compilado 2023'!Y:Y)</f>
        <v>0</v>
      </c>
      <c r="Y75" s="106">
        <f>_xlfn.XLOOKUP($B:$B,'Compilado 2023'!$B:$B,'Compilado 2023'!Z:Z)</f>
        <v>0</v>
      </c>
      <c r="AA75" s="208">
        <v>45119</v>
      </c>
    </row>
    <row r="76" spans="1:27" hidden="1" x14ac:dyDescent="0.2">
      <c r="A76" s="17" t="str">
        <f t="shared" ca="1" si="33"/>
        <v>Realizado</v>
      </c>
      <c r="B76" s="17">
        <v>44633</v>
      </c>
      <c r="C76" s="19">
        <f t="shared" si="28"/>
        <v>21368.78</v>
      </c>
      <c r="D76" s="35">
        <f>_xlfn.XLOOKUP($B:$B,'Compilado 2023'!$B:$B,'Compilado 2023'!D:D)</f>
        <v>21368.78</v>
      </c>
      <c r="E76" s="35">
        <f>_xlfn.XLOOKUP($B:$B,'Compilado 2023'!$B:$B,'Compilado 2023'!E:E)</f>
        <v>0</v>
      </c>
      <c r="F76" s="18">
        <f>_xlfn.XLOOKUP($B:$B,'Compilado 2023'!$B:$B,'Compilado 2023'!F:F)</f>
        <v>73</v>
      </c>
      <c r="G76" s="18">
        <f>_xlfn.XLOOKUP($B:$B,'Compilado 2023'!$B:$B,'Compilado 2023'!G:G)</f>
        <v>83</v>
      </c>
      <c r="H76" s="35">
        <f t="shared" si="29"/>
        <v>292.7230136986301</v>
      </c>
      <c r="I76" s="19">
        <f t="shared" si="30"/>
        <v>346.33290322580649</v>
      </c>
      <c r="J76" s="122">
        <f t="shared" si="31"/>
        <v>61.700115123245197</v>
      </c>
      <c r="K76" s="18">
        <f>_xlfn.XLOOKUP($B:$B,'Compilado 2023'!$B:$B,'Compilado 2023'!K:K)</f>
        <v>2377</v>
      </c>
      <c r="L76" s="54">
        <f t="shared" si="32"/>
        <v>3.0710980227177113E-2</v>
      </c>
      <c r="M76" s="149"/>
      <c r="N76" s="106">
        <f>_xlfn.XLOOKUP($B:$B,'Compilado 2023'!$B:$B,'Compilado 2023'!N:N)</f>
        <v>0</v>
      </c>
      <c r="O76" s="106">
        <f>_xlfn.XLOOKUP($B:$B,'Compilado 2023'!$B:$B,'Compilado 2023'!O:O)</f>
        <v>294.72000000000003</v>
      </c>
      <c r="P76" s="106">
        <f>_xlfn.XLOOKUP($B:$B,'Compilado 2023'!$B:$B,'Compilado 2023'!P:P)</f>
        <v>0</v>
      </c>
      <c r="Q76" s="106">
        <f>_xlfn.XLOOKUP($B:$B,'Compilado 2023'!$B:$B,'Compilado 2023'!Q:Q)</f>
        <v>51.612903225806448</v>
      </c>
      <c r="R76" s="106">
        <f>_xlfn.XLOOKUP($B:$B,'Compilado 2023'!$B:$B,'Compilado 2023'!R:R)</f>
        <v>0</v>
      </c>
      <c r="S76" s="106">
        <f>_xlfn.XLOOKUP($B:$B,'Compilado 2023'!$B:$B,'Compilado 2023'!T:T)</f>
        <v>0</v>
      </c>
      <c r="T76" s="106">
        <f>_xlfn.XLOOKUP($B:$B,'Compilado 2023'!$B:$B,'Compilado 2023'!U:U)</f>
        <v>0</v>
      </c>
      <c r="U76" s="106">
        <f>_xlfn.XLOOKUP($B:$B,'Compilado 2023'!$B:$B,'Compilado 2023'!V:V)</f>
        <v>0</v>
      </c>
      <c r="V76" s="57"/>
      <c r="W76" s="106">
        <f>_xlfn.XLOOKUP($B:$B,'Compilado 2023'!$B:$B,'Compilado 2023'!X:X)</f>
        <v>0</v>
      </c>
      <c r="X76" s="106">
        <f>_xlfn.XLOOKUP($B:$B,'Compilado 2023'!$B:$B,'Compilado 2023'!Y:Y)</f>
        <v>0</v>
      </c>
      <c r="Y76" s="106">
        <f>_xlfn.XLOOKUP($B:$B,'Compilado 2023'!$B:$B,'Compilado 2023'!Z:Z)</f>
        <v>0</v>
      </c>
      <c r="AA76" s="208">
        <v>45120</v>
      </c>
    </row>
    <row r="77" spans="1:27" hidden="1" x14ac:dyDescent="0.2">
      <c r="A77" s="17" t="str">
        <f t="shared" ca="1" si="33"/>
        <v>Realizado</v>
      </c>
      <c r="B77" s="17">
        <v>44634</v>
      </c>
      <c r="C77" s="19">
        <f t="shared" si="28"/>
        <v>55459.98</v>
      </c>
      <c r="D77" s="35">
        <f>_xlfn.XLOOKUP($B:$B,'Compilado 2023'!$B:$B,'Compilado 2023'!D:D)</f>
        <v>55459.98</v>
      </c>
      <c r="E77" s="35">
        <f>_xlfn.XLOOKUP($B:$B,'Compilado 2023'!$B:$B,'Compilado 2023'!E:E)</f>
        <v>0</v>
      </c>
      <c r="F77" s="18">
        <f>_xlfn.XLOOKUP($B:$B,'Compilado 2023'!$B:$B,'Compilado 2023'!F:F)</f>
        <v>260</v>
      </c>
      <c r="G77" s="18">
        <f>_xlfn.XLOOKUP($B:$B,'Compilado 2023'!$B:$B,'Compilado 2023'!G:G)</f>
        <v>378</v>
      </c>
      <c r="H77" s="35">
        <f t="shared" si="29"/>
        <v>213.30761538461539</v>
      </c>
      <c r="I77" s="19">
        <f t="shared" si="30"/>
        <v>401.82290322580644</v>
      </c>
      <c r="J77" s="122">
        <f t="shared" si="31"/>
        <v>138.02095289932734</v>
      </c>
      <c r="K77" s="18">
        <f>_xlfn.XLOOKUP($B:$B,'Compilado 2023'!$B:$B,'Compilado 2023'!K:K)</f>
        <v>4381</v>
      </c>
      <c r="L77" s="54">
        <f t="shared" si="32"/>
        <v>5.9347181008902079E-2</v>
      </c>
      <c r="M77" s="149"/>
      <c r="N77" s="106">
        <f>_xlfn.XLOOKUP($B:$B,'Compilado 2023'!$B:$B,'Compilado 2023'!N:N)</f>
        <v>0</v>
      </c>
      <c r="O77" s="106">
        <f>_xlfn.XLOOKUP($B:$B,'Compilado 2023'!$B:$B,'Compilado 2023'!O:O)</f>
        <v>350.21</v>
      </c>
      <c r="P77" s="106">
        <f>_xlfn.XLOOKUP($B:$B,'Compilado 2023'!$B:$B,'Compilado 2023'!P:P)</f>
        <v>0</v>
      </c>
      <c r="Q77" s="106">
        <f>_xlfn.XLOOKUP($B:$B,'Compilado 2023'!$B:$B,'Compilado 2023'!Q:Q)</f>
        <v>51.612903225806448</v>
      </c>
      <c r="R77" s="106">
        <f>_xlfn.XLOOKUP($B:$B,'Compilado 2023'!$B:$B,'Compilado 2023'!R:R)</f>
        <v>0</v>
      </c>
      <c r="S77" s="106">
        <f>_xlfn.XLOOKUP($B:$B,'Compilado 2023'!$B:$B,'Compilado 2023'!T:T)</f>
        <v>0</v>
      </c>
      <c r="T77" s="106">
        <f>_xlfn.XLOOKUP($B:$B,'Compilado 2023'!$B:$B,'Compilado 2023'!U:U)</f>
        <v>0</v>
      </c>
      <c r="U77" s="106">
        <f>_xlfn.XLOOKUP($B:$B,'Compilado 2023'!$B:$B,'Compilado 2023'!V:V)</f>
        <v>0</v>
      </c>
      <c r="V77" s="57"/>
      <c r="W77" s="106">
        <f>_xlfn.XLOOKUP($B:$B,'Compilado 2023'!$B:$B,'Compilado 2023'!X:X)</f>
        <v>0</v>
      </c>
      <c r="X77" s="106">
        <f>_xlfn.XLOOKUP($B:$B,'Compilado 2023'!$B:$B,'Compilado 2023'!Y:Y)</f>
        <v>0</v>
      </c>
      <c r="Y77" s="106">
        <f>_xlfn.XLOOKUP($B:$B,'Compilado 2023'!$B:$B,'Compilado 2023'!Z:Z)</f>
        <v>0</v>
      </c>
      <c r="AA77" s="208">
        <v>45121</v>
      </c>
    </row>
    <row r="78" spans="1:27" hidden="1" x14ac:dyDescent="0.2">
      <c r="A78" s="17" t="str">
        <f t="shared" ca="1" si="33"/>
        <v>Realizado</v>
      </c>
      <c r="B78" s="17">
        <v>44635</v>
      </c>
      <c r="C78" s="19">
        <f t="shared" si="28"/>
        <v>40873.85</v>
      </c>
      <c r="D78" s="35">
        <f>_xlfn.XLOOKUP($B:$B,'Compilado 2023'!$B:$B,'Compilado 2023'!D:D)</f>
        <v>40873.85</v>
      </c>
      <c r="E78" s="35">
        <f>_xlfn.XLOOKUP($B:$B,'Compilado 2023'!$B:$B,'Compilado 2023'!E:E)</f>
        <v>0</v>
      </c>
      <c r="F78" s="18">
        <f>_xlfn.XLOOKUP($B:$B,'Compilado 2023'!$B:$B,'Compilado 2023'!F:F)</f>
        <v>170</v>
      </c>
      <c r="G78" s="18">
        <f>_xlfn.XLOOKUP($B:$B,'Compilado 2023'!$B:$B,'Compilado 2023'!G:G)</f>
        <v>244</v>
      </c>
      <c r="H78" s="35">
        <f t="shared" si="29"/>
        <v>240.43441176470589</v>
      </c>
      <c r="I78" s="19">
        <f t="shared" si="30"/>
        <v>452.54290322580647</v>
      </c>
      <c r="J78" s="122">
        <f t="shared" si="31"/>
        <v>90.320386660897583</v>
      </c>
      <c r="K78" s="18">
        <f>_xlfn.XLOOKUP($B:$B,'Compilado 2023'!$B:$B,'Compilado 2023'!K:K)</f>
        <v>4105</v>
      </c>
      <c r="L78" s="54">
        <f t="shared" si="32"/>
        <v>4.1412911084043852E-2</v>
      </c>
      <c r="M78" s="149"/>
      <c r="N78" s="106">
        <f>_xlfn.XLOOKUP($B:$B,'Compilado 2023'!$B:$B,'Compilado 2023'!N:N)</f>
        <v>0</v>
      </c>
      <c r="O78" s="106">
        <f>_xlfn.XLOOKUP($B:$B,'Compilado 2023'!$B:$B,'Compilado 2023'!O:O)</f>
        <v>400.93</v>
      </c>
      <c r="P78" s="106">
        <f>_xlfn.XLOOKUP($B:$B,'Compilado 2023'!$B:$B,'Compilado 2023'!P:P)</f>
        <v>0</v>
      </c>
      <c r="Q78" s="106">
        <f>_xlfn.XLOOKUP($B:$B,'Compilado 2023'!$B:$B,'Compilado 2023'!Q:Q)</f>
        <v>51.612903225806448</v>
      </c>
      <c r="R78" s="106">
        <f>_xlfn.XLOOKUP($B:$B,'Compilado 2023'!$B:$B,'Compilado 2023'!R:R)</f>
        <v>0</v>
      </c>
      <c r="S78" s="106">
        <f>_xlfn.XLOOKUP($B:$B,'Compilado 2023'!$B:$B,'Compilado 2023'!T:T)</f>
        <v>0</v>
      </c>
      <c r="T78" s="106">
        <f>_xlfn.XLOOKUP($B:$B,'Compilado 2023'!$B:$B,'Compilado 2023'!U:U)</f>
        <v>0</v>
      </c>
      <c r="U78" s="106">
        <f>_xlfn.XLOOKUP($B:$B,'Compilado 2023'!$B:$B,'Compilado 2023'!V:V)</f>
        <v>0</v>
      </c>
      <c r="V78" s="57"/>
      <c r="W78" s="106">
        <f>_xlfn.XLOOKUP($B:$B,'Compilado 2023'!$B:$B,'Compilado 2023'!X:X)</f>
        <v>0</v>
      </c>
      <c r="X78" s="106">
        <f>_xlfn.XLOOKUP($B:$B,'Compilado 2023'!$B:$B,'Compilado 2023'!Y:Y)</f>
        <v>0</v>
      </c>
      <c r="Y78" s="106">
        <f>_xlfn.XLOOKUP($B:$B,'Compilado 2023'!$B:$B,'Compilado 2023'!Z:Z)</f>
        <v>0</v>
      </c>
      <c r="AA78" s="208">
        <v>45122</v>
      </c>
    </row>
    <row r="79" spans="1:27" hidden="1" x14ac:dyDescent="0.2">
      <c r="A79" s="17" t="str">
        <f t="shared" ca="1" si="33"/>
        <v>Realizado</v>
      </c>
      <c r="B79" s="17">
        <v>44636</v>
      </c>
      <c r="C79" s="19">
        <f t="shared" si="28"/>
        <v>46762.31</v>
      </c>
      <c r="D79" s="35">
        <f>_xlfn.XLOOKUP($B:$B,'Compilado 2023'!$B:$B,'Compilado 2023'!D:D)</f>
        <v>46762.31</v>
      </c>
      <c r="E79" s="35">
        <f>_xlfn.XLOOKUP($B:$B,'Compilado 2023'!$B:$B,'Compilado 2023'!E:E)</f>
        <v>0</v>
      </c>
      <c r="F79" s="18">
        <f>_xlfn.XLOOKUP($B:$B,'Compilado 2023'!$B:$B,'Compilado 2023'!F:F)</f>
        <v>181</v>
      </c>
      <c r="G79" s="18">
        <f>_xlfn.XLOOKUP($B:$B,'Compilado 2023'!$B:$B,'Compilado 2023'!G:G)</f>
        <v>238</v>
      </c>
      <c r="H79" s="35">
        <f t="shared" si="29"/>
        <v>258.35530386740328</v>
      </c>
      <c r="I79" s="19">
        <f t="shared" si="30"/>
        <v>426.71290322580649</v>
      </c>
      <c r="J79" s="122">
        <f t="shared" si="31"/>
        <v>109.5872884238855</v>
      </c>
      <c r="K79" s="18">
        <f>_xlfn.XLOOKUP($B:$B,'Compilado 2023'!$B:$B,'Compilado 2023'!K:K)</f>
        <v>3955</v>
      </c>
      <c r="L79" s="54">
        <f t="shared" si="32"/>
        <v>4.576485461441214E-2</v>
      </c>
      <c r="M79" s="149"/>
      <c r="N79" s="106">
        <f>_xlfn.XLOOKUP($B:$B,'Compilado 2023'!$B:$B,'Compilado 2023'!N:N)</f>
        <v>0</v>
      </c>
      <c r="O79" s="106">
        <f>_xlfn.XLOOKUP($B:$B,'Compilado 2023'!$B:$B,'Compilado 2023'!O:O)</f>
        <v>375.1</v>
      </c>
      <c r="P79" s="106">
        <f>_xlfn.XLOOKUP($B:$B,'Compilado 2023'!$B:$B,'Compilado 2023'!P:P)</f>
        <v>0</v>
      </c>
      <c r="Q79" s="106">
        <f>_xlfn.XLOOKUP($B:$B,'Compilado 2023'!$B:$B,'Compilado 2023'!Q:Q)</f>
        <v>51.612903225806448</v>
      </c>
      <c r="R79" s="106">
        <f>_xlfn.XLOOKUP($B:$B,'Compilado 2023'!$B:$B,'Compilado 2023'!R:R)</f>
        <v>0</v>
      </c>
      <c r="S79" s="106">
        <f>_xlfn.XLOOKUP($B:$B,'Compilado 2023'!$B:$B,'Compilado 2023'!T:T)</f>
        <v>0</v>
      </c>
      <c r="T79" s="106">
        <f>_xlfn.XLOOKUP($B:$B,'Compilado 2023'!$B:$B,'Compilado 2023'!U:U)</f>
        <v>0</v>
      </c>
      <c r="U79" s="106">
        <f>_xlfn.XLOOKUP($B:$B,'Compilado 2023'!$B:$B,'Compilado 2023'!V:V)</f>
        <v>0</v>
      </c>
      <c r="V79" s="57"/>
      <c r="W79" s="106">
        <f>_xlfn.XLOOKUP($B:$B,'Compilado 2023'!$B:$B,'Compilado 2023'!X:X)</f>
        <v>0</v>
      </c>
      <c r="X79" s="106">
        <f>_xlfn.XLOOKUP($B:$B,'Compilado 2023'!$B:$B,'Compilado 2023'!Y:Y)</f>
        <v>0</v>
      </c>
      <c r="Y79" s="106">
        <f>_xlfn.XLOOKUP($B:$B,'Compilado 2023'!$B:$B,'Compilado 2023'!Z:Z)</f>
        <v>0</v>
      </c>
      <c r="AA79" s="208">
        <v>45123</v>
      </c>
    </row>
    <row r="80" spans="1:27" hidden="1" x14ac:dyDescent="0.2">
      <c r="A80" s="17" t="str">
        <f t="shared" ca="1" si="33"/>
        <v>Realizado</v>
      </c>
      <c r="B80" s="17">
        <v>44637</v>
      </c>
      <c r="C80" s="19">
        <f t="shared" si="28"/>
        <v>37319.58</v>
      </c>
      <c r="D80" s="35">
        <f>_xlfn.XLOOKUP($B:$B,'Compilado 2023'!$B:$B,'Compilado 2023'!D:D)</f>
        <v>37297.300000000003</v>
      </c>
      <c r="E80" s="35">
        <f>_xlfn.XLOOKUP($B:$B,'Compilado 2023'!$B:$B,'Compilado 2023'!E:E)</f>
        <v>22.28</v>
      </c>
      <c r="F80" s="18">
        <f>_xlfn.XLOOKUP($B:$B,'Compilado 2023'!$B:$B,'Compilado 2023'!F:F)</f>
        <v>151</v>
      </c>
      <c r="G80" s="18">
        <f>_xlfn.XLOOKUP($B:$B,'Compilado 2023'!$B:$B,'Compilado 2023'!G:G)</f>
        <v>194</v>
      </c>
      <c r="H80" s="35">
        <f t="shared" si="29"/>
        <v>247.14953642384108</v>
      </c>
      <c r="I80" s="19">
        <f t="shared" si="30"/>
        <v>419.18290322580646</v>
      </c>
      <c r="J80" s="122">
        <f t="shared" si="31"/>
        <v>89.029346647510096</v>
      </c>
      <c r="K80" s="18">
        <f>_xlfn.XLOOKUP($B:$B,'Compilado 2023'!$B:$B,'Compilado 2023'!K:K)</f>
        <v>3631</v>
      </c>
      <c r="L80" s="54">
        <f t="shared" si="32"/>
        <v>4.1586339851280636E-2</v>
      </c>
      <c r="M80" s="149"/>
      <c r="N80" s="106">
        <f>_xlfn.XLOOKUP($B:$B,'Compilado 2023'!$B:$B,'Compilado 2023'!N:N)</f>
        <v>0</v>
      </c>
      <c r="O80" s="106">
        <f>_xlfn.XLOOKUP($B:$B,'Compilado 2023'!$B:$B,'Compilado 2023'!O:O)</f>
        <v>367.57</v>
      </c>
      <c r="P80" s="106">
        <f>_xlfn.XLOOKUP($B:$B,'Compilado 2023'!$B:$B,'Compilado 2023'!P:P)</f>
        <v>0</v>
      </c>
      <c r="Q80" s="106">
        <f>_xlfn.XLOOKUP($B:$B,'Compilado 2023'!$B:$B,'Compilado 2023'!Q:Q)</f>
        <v>51.612903225806448</v>
      </c>
      <c r="R80" s="106">
        <f>_xlfn.XLOOKUP($B:$B,'Compilado 2023'!$B:$B,'Compilado 2023'!R:R)</f>
        <v>0</v>
      </c>
      <c r="S80" s="106">
        <f>_xlfn.XLOOKUP($B:$B,'Compilado 2023'!$B:$B,'Compilado 2023'!T:T)</f>
        <v>0</v>
      </c>
      <c r="T80" s="106">
        <f>_xlfn.XLOOKUP($B:$B,'Compilado 2023'!$B:$B,'Compilado 2023'!U:U)</f>
        <v>0</v>
      </c>
      <c r="U80" s="106">
        <f>_xlfn.XLOOKUP($B:$B,'Compilado 2023'!$B:$B,'Compilado 2023'!V:V)</f>
        <v>0</v>
      </c>
      <c r="V80" s="57"/>
      <c r="W80" s="106">
        <f>_xlfn.XLOOKUP($B:$B,'Compilado 2023'!$B:$B,'Compilado 2023'!X:X)</f>
        <v>0</v>
      </c>
      <c r="X80" s="106">
        <f>_xlfn.XLOOKUP($B:$B,'Compilado 2023'!$B:$B,'Compilado 2023'!Y:Y)</f>
        <v>0</v>
      </c>
      <c r="Y80" s="106">
        <f>_xlfn.XLOOKUP($B:$B,'Compilado 2023'!$B:$B,'Compilado 2023'!Z:Z)</f>
        <v>0</v>
      </c>
      <c r="AA80" s="208">
        <v>45124</v>
      </c>
    </row>
    <row r="81" spans="1:27" hidden="1" x14ac:dyDescent="0.2">
      <c r="A81" s="17" t="str">
        <f t="shared" ca="1" si="33"/>
        <v>Realizado</v>
      </c>
      <c r="B81" s="17">
        <v>44638</v>
      </c>
      <c r="C81" s="19">
        <f t="shared" si="28"/>
        <v>38156.839999999997</v>
      </c>
      <c r="D81" s="35">
        <f>_xlfn.XLOOKUP($B:$B,'Compilado 2023'!$B:$B,'Compilado 2023'!D:D)</f>
        <v>38120.74</v>
      </c>
      <c r="E81" s="35">
        <f>_xlfn.XLOOKUP($B:$B,'Compilado 2023'!$B:$B,'Compilado 2023'!E:E)</f>
        <v>36.1</v>
      </c>
      <c r="F81" s="18">
        <f>_xlfn.XLOOKUP($B:$B,'Compilado 2023'!$B:$B,'Compilado 2023'!F:F)</f>
        <v>119</v>
      </c>
      <c r="G81" s="18">
        <f>_xlfn.XLOOKUP($B:$B,'Compilado 2023'!$B:$B,'Compilado 2023'!G:G)</f>
        <v>171</v>
      </c>
      <c r="H81" s="35">
        <f t="shared" si="29"/>
        <v>320.64571428571423</v>
      </c>
      <c r="I81" s="19">
        <f t="shared" si="30"/>
        <v>373.30290322580646</v>
      </c>
      <c r="J81" s="122">
        <f t="shared" si="31"/>
        <v>102.21415282409251</v>
      </c>
      <c r="K81" s="18">
        <f>_xlfn.XLOOKUP($B:$B,'Compilado 2023'!$B:$B,'Compilado 2023'!K:K)</f>
        <v>3478</v>
      </c>
      <c r="L81" s="54">
        <f t="shared" si="32"/>
        <v>3.4215066129959747E-2</v>
      </c>
      <c r="M81" s="149"/>
      <c r="N81" s="106">
        <f>_xlfn.XLOOKUP($B:$B,'Compilado 2023'!$B:$B,'Compilado 2023'!N:N)</f>
        <v>0</v>
      </c>
      <c r="O81" s="106">
        <f>_xlfn.XLOOKUP($B:$B,'Compilado 2023'!$B:$B,'Compilado 2023'!O:O)</f>
        <v>321.69</v>
      </c>
      <c r="P81" s="106">
        <f>_xlfn.XLOOKUP($B:$B,'Compilado 2023'!$B:$B,'Compilado 2023'!P:P)</f>
        <v>0</v>
      </c>
      <c r="Q81" s="106">
        <f>_xlfn.XLOOKUP($B:$B,'Compilado 2023'!$B:$B,'Compilado 2023'!Q:Q)</f>
        <v>51.612903225806448</v>
      </c>
      <c r="R81" s="106">
        <f>_xlfn.XLOOKUP($B:$B,'Compilado 2023'!$B:$B,'Compilado 2023'!R:R)</f>
        <v>0</v>
      </c>
      <c r="S81" s="106">
        <f>_xlfn.XLOOKUP($B:$B,'Compilado 2023'!$B:$B,'Compilado 2023'!T:T)</f>
        <v>0</v>
      </c>
      <c r="T81" s="106">
        <f>_xlfn.XLOOKUP($B:$B,'Compilado 2023'!$B:$B,'Compilado 2023'!U:U)</f>
        <v>0</v>
      </c>
      <c r="U81" s="106">
        <f>_xlfn.XLOOKUP($B:$B,'Compilado 2023'!$B:$B,'Compilado 2023'!V:V)</f>
        <v>0</v>
      </c>
      <c r="V81" s="57"/>
      <c r="W81" s="106">
        <f>_xlfn.XLOOKUP($B:$B,'Compilado 2023'!$B:$B,'Compilado 2023'!X:X)</f>
        <v>0</v>
      </c>
      <c r="X81" s="106">
        <f>_xlfn.XLOOKUP($B:$B,'Compilado 2023'!$B:$B,'Compilado 2023'!Y:Y)</f>
        <v>0</v>
      </c>
      <c r="Y81" s="106">
        <f>_xlfn.XLOOKUP($B:$B,'Compilado 2023'!$B:$B,'Compilado 2023'!Z:Z)</f>
        <v>0</v>
      </c>
      <c r="AA81" s="208">
        <v>45125</v>
      </c>
    </row>
    <row r="82" spans="1:27" hidden="1" x14ac:dyDescent="0.2">
      <c r="A82" s="17" t="str">
        <f t="shared" ca="1" si="33"/>
        <v>Realizado</v>
      </c>
      <c r="B82" s="17">
        <v>44639</v>
      </c>
      <c r="C82" s="19">
        <f t="shared" si="28"/>
        <v>21362.15</v>
      </c>
      <c r="D82" s="35">
        <f>_xlfn.XLOOKUP($B:$B,'Compilado 2023'!$B:$B,'Compilado 2023'!D:D)</f>
        <v>21362.15</v>
      </c>
      <c r="E82" s="35">
        <f>_xlfn.XLOOKUP($B:$B,'Compilado 2023'!$B:$B,'Compilado 2023'!E:E)</f>
        <v>0</v>
      </c>
      <c r="F82" s="18">
        <f>_xlfn.XLOOKUP($B:$B,'Compilado 2023'!$B:$B,'Compilado 2023'!F:F)</f>
        <v>79</v>
      </c>
      <c r="G82" s="18">
        <f>_xlfn.XLOOKUP($B:$B,'Compilado 2023'!$B:$B,'Compilado 2023'!G:G)</f>
        <v>89</v>
      </c>
      <c r="H82" s="35">
        <f t="shared" si="29"/>
        <v>270.40696202531649</v>
      </c>
      <c r="I82" s="19">
        <f t="shared" si="30"/>
        <v>374.94290322580645</v>
      </c>
      <c r="J82" s="122">
        <f t="shared" si="31"/>
        <v>56.974408146444667</v>
      </c>
      <c r="K82" s="18">
        <f>_xlfn.XLOOKUP($B:$B,'Compilado 2023'!$B:$B,'Compilado 2023'!K:K)</f>
        <v>2741</v>
      </c>
      <c r="L82" s="54">
        <f t="shared" si="32"/>
        <v>2.8821597956950017E-2</v>
      </c>
      <c r="M82" s="149"/>
      <c r="N82" s="106">
        <f>_xlfn.XLOOKUP($B:$B,'Compilado 2023'!$B:$B,'Compilado 2023'!N:N)</f>
        <v>0</v>
      </c>
      <c r="O82" s="106">
        <f>_xlfn.XLOOKUP($B:$B,'Compilado 2023'!$B:$B,'Compilado 2023'!O:O)</f>
        <v>323.33</v>
      </c>
      <c r="P82" s="106">
        <f>_xlfn.XLOOKUP($B:$B,'Compilado 2023'!$B:$B,'Compilado 2023'!P:P)</f>
        <v>0</v>
      </c>
      <c r="Q82" s="106">
        <f>_xlfn.XLOOKUP($B:$B,'Compilado 2023'!$B:$B,'Compilado 2023'!Q:Q)</f>
        <v>51.612903225806448</v>
      </c>
      <c r="R82" s="106">
        <f>_xlfn.XLOOKUP($B:$B,'Compilado 2023'!$B:$B,'Compilado 2023'!R:R)</f>
        <v>0</v>
      </c>
      <c r="S82" s="106">
        <f>_xlfn.XLOOKUP($B:$B,'Compilado 2023'!$B:$B,'Compilado 2023'!T:T)</f>
        <v>0</v>
      </c>
      <c r="T82" s="106">
        <f>_xlfn.XLOOKUP($B:$B,'Compilado 2023'!$B:$B,'Compilado 2023'!U:U)</f>
        <v>0</v>
      </c>
      <c r="U82" s="106">
        <f>_xlfn.XLOOKUP($B:$B,'Compilado 2023'!$B:$B,'Compilado 2023'!V:V)</f>
        <v>0</v>
      </c>
      <c r="V82" s="57"/>
      <c r="W82" s="106">
        <f>_xlfn.XLOOKUP($B:$B,'Compilado 2023'!$B:$B,'Compilado 2023'!X:X)</f>
        <v>0</v>
      </c>
      <c r="X82" s="106">
        <f>_xlfn.XLOOKUP($B:$B,'Compilado 2023'!$B:$B,'Compilado 2023'!Y:Y)</f>
        <v>0</v>
      </c>
      <c r="Y82" s="106">
        <f>_xlfn.XLOOKUP($B:$B,'Compilado 2023'!$B:$B,'Compilado 2023'!Z:Z)</f>
        <v>0</v>
      </c>
      <c r="AA82" s="208">
        <v>45126</v>
      </c>
    </row>
    <row r="83" spans="1:27" hidden="1" x14ac:dyDescent="0.2">
      <c r="A83" s="17" t="str">
        <f t="shared" ca="1" si="33"/>
        <v>Realizado</v>
      </c>
      <c r="B83" s="17">
        <v>44640</v>
      </c>
      <c r="C83" s="19">
        <f t="shared" si="28"/>
        <v>18377.780000000002</v>
      </c>
      <c r="D83" s="35">
        <f>_xlfn.XLOOKUP($B:$B,'Compilado 2023'!$B:$B,'Compilado 2023'!D:D)</f>
        <v>18319.2</v>
      </c>
      <c r="E83" s="35">
        <f>_xlfn.XLOOKUP($B:$B,'Compilado 2023'!$B:$B,'Compilado 2023'!E:E)</f>
        <v>58.58</v>
      </c>
      <c r="F83" s="18">
        <f>_xlfn.XLOOKUP($B:$B,'Compilado 2023'!$B:$B,'Compilado 2023'!F:F)</f>
        <v>68</v>
      </c>
      <c r="G83" s="18">
        <f>_xlfn.XLOOKUP($B:$B,'Compilado 2023'!$B:$B,'Compilado 2023'!G:G)</f>
        <v>80</v>
      </c>
      <c r="H83" s="35">
        <f t="shared" si="29"/>
        <v>270.26147058823534</v>
      </c>
      <c r="I83" s="19">
        <f t="shared" si="30"/>
        <v>383.40290322580648</v>
      </c>
      <c r="J83" s="122">
        <f t="shared" si="31"/>
        <v>47.933335520874614</v>
      </c>
      <c r="K83" s="18">
        <f>_xlfn.XLOOKUP($B:$B,'Compilado 2023'!$B:$B,'Compilado 2023'!K:K)</f>
        <v>2348</v>
      </c>
      <c r="L83" s="54">
        <f t="shared" si="32"/>
        <v>2.8960817717206135E-2</v>
      </c>
      <c r="M83" s="149"/>
      <c r="N83" s="106">
        <f>_xlfn.XLOOKUP($B:$B,'Compilado 2023'!$B:$B,'Compilado 2023'!N:N)</f>
        <v>0</v>
      </c>
      <c r="O83" s="106">
        <f>_xlfn.XLOOKUP($B:$B,'Compilado 2023'!$B:$B,'Compilado 2023'!O:O)</f>
        <v>331.79</v>
      </c>
      <c r="P83" s="106">
        <f>_xlfn.XLOOKUP($B:$B,'Compilado 2023'!$B:$B,'Compilado 2023'!P:P)</f>
        <v>0</v>
      </c>
      <c r="Q83" s="106">
        <f>_xlfn.XLOOKUP($B:$B,'Compilado 2023'!$B:$B,'Compilado 2023'!Q:Q)</f>
        <v>51.612903225806448</v>
      </c>
      <c r="R83" s="106">
        <f>_xlfn.XLOOKUP($B:$B,'Compilado 2023'!$B:$B,'Compilado 2023'!R:R)</f>
        <v>0</v>
      </c>
      <c r="S83" s="106">
        <f>_xlfn.XLOOKUP($B:$B,'Compilado 2023'!$B:$B,'Compilado 2023'!T:T)</f>
        <v>0</v>
      </c>
      <c r="T83" s="106">
        <f>_xlfn.XLOOKUP($B:$B,'Compilado 2023'!$B:$B,'Compilado 2023'!U:U)</f>
        <v>0</v>
      </c>
      <c r="U83" s="106">
        <f>_xlfn.XLOOKUP($B:$B,'Compilado 2023'!$B:$B,'Compilado 2023'!V:V)</f>
        <v>0</v>
      </c>
      <c r="V83" s="57"/>
      <c r="W83" s="106">
        <f>_xlfn.XLOOKUP($B:$B,'Compilado 2023'!$B:$B,'Compilado 2023'!X:X)</f>
        <v>0</v>
      </c>
      <c r="X83" s="106">
        <f>_xlfn.XLOOKUP($B:$B,'Compilado 2023'!$B:$B,'Compilado 2023'!Y:Y)</f>
        <v>0</v>
      </c>
      <c r="Y83" s="106">
        <f>_xlfn.XLOOKUP($B:$B,'Compilado 2023'!$B:$B,'Compilado 2023'!Z:Z)</f>
        <v>0</v>
      </c>
      <c r="AA83" s="208">
        <v>45127</v>
      </c>
    </row>
    <row r="84" spans="1:27" hidden="1" x14ac:dyDescent="0.2">
      <c r="A84" s="17" t="str">
        <f t="shared" ca="1" si="33"/>
        <v>Realizado</v>
      </c>
      <c r="B84" s="17">
        <v>44641</v>
      </c>
      <c r="C84" s="19">
        <f t="shared" si="28"/>
        <v>34908.94</v>
      </c>
      <c r="D84" s="35">
        <f>_xlfn.XLOOKUP($B:$B,'Compilado 2023'!$B:$B,'Compilado 2023'!D:D)</f>
        <v>34908.94</v>
      </c>
      <c r="E84" s="35">
        <f>_xlfn.XLOOKUP($B:$B,'Compilado 2023'!$B:$B,'Compilado 2023'!E:E)</f>
        <v>0</v>
      </c>
      <c r="F84" s="18">
        <f>_xlfn.XLOOKUP($B:$B,'Compilado 2023'!$B:$B,'Compilado 2023'!F:F)</f>
        <v>126</v>
      </c>
      <c r="G84" s="18">
        <f>_xlfn.XLOOKUP($B:$B,'Compilado 2023'!$B:$B,'Compilado 2023'!G:G)</f>
        <v>155</v>
      </c>
      <c r="H84" s="35">
        <f t="shared" si="29"/>
        <v>277.05507936507939</v>
      </c>
      <c r="I84" s="19">
        <f t="shared" si="30"/>
        <v>381.85290322580647</v>
      </c>
      <c r="J84" s="122">
        <f t="shared" si="31"/>
        <v>91.419862740592563</v>
      </c>
      <c r="K84" s="18">
        <f>_xlfn.XLOOKUP($B:$B,'Compilado 2023'!$B:$B,'Compilado 2023'!K:K)</f>
        <v>3663</v>
      </c>
      <c r="L84" s="54">
        <f t="shared" si="32"/>
        <v>3.4398034398034398E-2</v>
      </c>
      <c r="M84" s="149"/>
      <c r="N84" s="106">
        <f>_xlfn.XLOOKUP($B:$B,'Compilado 2023'!$B:$B,'Compilado 2023'!N:N)</f>
        <v>0</v>
      </c>
      <c r="O84" s="106">
        <f>_xlfn.XLOOKUP($B:$B,'Compilado 2023'!$B:$B,'Compilado 2023'!O:O)</f>
        <v>330.24</v>
      </c>
      <c r="P84" s="106">
        <f>_xlfn.XLOOKUP($B:$B,'Compilado 2023'!$B:$B,'Compilado 2023'!P:P)</f>
        <v>0</v>
      </c>
      <c r="Q84" s="106">
        <f>_xlfn.XLOOKUP($B:$B,'Compilado 2023'!$B:$B,'Compilado 2023'!Q:Q)</f>
        <v>51.612903225806448</v>
      </c>
      <c r="R84" s="106">
        <f>_xlfn.XLOOKUP($B:$B,'Compilado 2023'!$B:$B,'Compilado 2023'!R:R)</f>
        <v>0</v>
      </c>
      <c r="S84" s="106">
        <f>_xlfn.XLOOKUP($B:$B,'Compilado 2023'!$B:$B,'Compilado 2023'!T:T)</f>
        <v>0</v>
      </c>
      <c r="T84" s="106">
        <f>_xlfn.XLOOKUP($B:$B,'Compilado 2023'!$B:$B,'Compilado 2023'!U:U)</f>
        <v>0</v>
      </c>
      <c r="U84" s="106">
        <f>_xlfn.XLOOKUP($B:$B,'Compilado 2023'!$B:$B,'Compilado 2023'!V:V)</f>
        <v>0</v>
      </c>
      <c r="V84" s="57"/>
      <c r="W84" s="106">
        <f>_xlfn.XLOOKUP($B:$B,'Compilado 2023'!$B:$B,'Compilado 2023'!X:X)</f>
        <v>0</v>
      </c>
      <c r="X84" s="106">
        <f>_xlfn.XLOOKUP($B:$B,'Compilado 2023'!$B:$B,'Compilado 2023'!Y:Y)</f>
        <v>0</v>
      </c>
      <c r="Y84" s="106">
        <f>_xlfn.XLOOKUP($B:$B,'Compilado 2023'!$B:$B,'Compilado 2023'!Z:Z)</f>
        <v>0</v>
      </c>
      <c r="AA84" s="208">
        <v>45128</v>
      </c>
    </row>
    <row r="85" spans="1:27" hidden="1" x14ac:dyDescent="0.2">
      <c r="A85" s="17" t="str">
        <f t="shared" ca="1" si="33"/>
        <v>Realizado</v>
      </c>
      <c r="B85" s="17">
        <v>44642</v>
      </c>
      <c r="C85" s="19">
        <f t="shared" si="28"/>
        <v>32690.080000000002</v>
      </c>
      <c r="D85" s="35">
        <f>_xlfn.XLOOKUP($B:$B,'Compilado 2023'!$B:$B,'Compilado 2023'!D:D)</f>
        <v>32690.080000000002</v>
      </c>
      <c r="E85" s="35">
        <f>_xlfn.XLOOKUP($B:$B,'Compilado 2023'!$B:$B,'Compilado 2023'!E:E)</f>
        <v>0</v>
      </c>
      <c r="F85" s="18">
        <f>_xlfn.XLOOKUP($B:$B,'Compilado 2023'!$B:$B,'Compilado 2023'!F:F)</f>
        <v>110</v>
      </c>
      <c r="G85" s="18">
        <f>_xlfn.XLOOKUP($B:$B,'Compilado 2023'!$B:$B,'Compilado 2023'!G:G)</f>
        <v>130</v>
      </c>
      <c r="H85" s="35">
        <f t="shared" si="29"/>
        <v>297.18254545454545</v>
      </c>
      <c r="I85" s="19">
        <f t="shared" si="30"/>
        <v>421.90290322580648</v>
      </c>
      <c r="J85" s="122">
        <f t="shared" si="31"/>
        <v>77.482472270412316</v>
      </c>
      <c r="K85" s="18">
        <f>_xlfn.XLOOKUP($B:$B,'Compilado 2023'!$B:$B,'Compilado 2023'!K:K)</f>
        <v>3443</v>
      </c>
      <c r="L85" s="54">
        <f t="shared" si="32"/>
        <v>3.1948881789137379E-2</v>
      </c>
      <c r="M85" s="149"/>
      <c r="N85" s="106">
        <f>_xlfn.XLOOKUP($B:$B,'Compilado 2023'!$B:$B,'Compilado 2023'!N:N)</f>
        <v>0</v>
      </c>
      <c r="O85" s="106">
        <f>_xlfn.XLOOKUP($B:$B,'Compilado 2023'!$B:$B,'Compilado 2023'!O:O)</f>
        <v>370.29</v>
      </c>
      <c r="P85" s="106">
        <f>_xlfn.XLOOKUP($B:$B,'Compilado 2023'!$B:$B,'Compilado 2023'!P:P)</f>
        <v>0</v>
      </c>
      <c r="Q85" s="106">
        <f>_xlfn.XLOOKUP($B:$B,'Compilado 2023'!$B:$B,'Compilado 2023'!Q:Q)</f>
        <v>51.612903225806448</v>
      </c>
      <c r="R85" s="106">
        <f>_xlfn.XLOOKUP($B:$B,'Compilado 2023'!$B:$B,'Compilado 2023'!R:R)</f>
        <v>0</v>
      </c>
      <c r="S85" s="106">
        <f>_xlfn.XLOOKUP($B:$B,'Compilado 2023'!$B:$B,'Compilado 2023'!T:T)</f>
        <v>0</v>
      </c>
      <c r="T85" s="106">
        <f>_xlfn.XLOOKUP($B:$B,'Compilado 2023'!$B:$B,'Compilado 2023'!U:U)</f>
        <v>0</v>
      </c>
      <c r="U85" s="106">
        <f>_xlfn.XLOOKUP($B:$B,'Compilado 2023'!$B:$B,'Compilado 2023'!V:V)</f>
        <v>0</v>
      </c>
      <c r="V85" s="57"/>
      <c r="W85" s="106">
        <f>_xlfn.XLOOKUP($B:$B,'Compilado 2023'!$B:$B,'Compilado 2023'!X:X)</f>
        <v>0</v>
      </c>
      <c r="X85" s="106">
        <f>_xlfn.XLOOKUP($B:$B,'Compilado 2023'!$B:$B,'Compilado 2023'!Y:Y)</f>
        <v>0</v>
      </c>
      <c r="Y85" s="106">
        <f>_xlfn.XLOOKUP($B:$B,'Compilado 2023'!$B:$B,'Compilado 2023'!Z:Z)</f>
        <v>0</v>
      </c>
      <c r="AA85" s="208">
        <v>45129</v>
      </c>
    </row>
    <row r="86" spans="1:27" hidden="1" x14ac:dyDescent="0.2">
      <c r="A86" s="17" t="str">
        <f t="shared" ca="1" si="33"/>
        <v>Realizado</v>
      </c>
      <c r="B86" s="17">
        <v>44643</v>
      </c>
      <c r="C86" s="19">
        <f t="shared" si="28"/>
        <v>35630.86</v>
      </c>
      <c r="D86" s="35">
        <f>_xlfn.XLOOKUP($B:$B,'Compilado 2023'!$B:$B,'Compilado 2023'!D:D)</f>
        <v>35608.58</v>
      </c>
      <c r="E86" s="35">
        <f>_xlfn.XLOOKUP($B:$B,'Compilado 2023'!$B:$B,'Compilado 2023'!E:E)</f>
        <v>22.28</v>
      </c>
      <c r="F86" s="18">
        <f>_xlfn.XLOOKUP($B:$B,'Compilado 2023'!$B:$B,'Compilado 2023'!F:F)</f>
        <v>143</v>
      </c>
      <c r="G86" s="18">
        <f>_xlfn.XLOOKUP($B:$B,'Compilado 2023'!$B:$B,'Compilado 2023'!G:G)</f>
        <v>182</v>
      </c>
      <c r="H86" s="35">
        <f t="shared" si="29"/>
        <v>249.16685314685316</v>
      </c>
      <c r="I86" s="19">
        <f t="shared" si="30"/>
        <v>482.61290322580646</v>
      </c>
      <c r="J86" s="122">
        <f t="shared" si="31"/>
        <v>73.829066238887776</v>
      </c>
      <c r="K86" s="18">
        <f>_xlfn.XLOOKUP($B:$B,'Compilado 2023'!$B:$B,'Compilado 2023'!K:K)</f>
        <v>3796</v>
      </c>
      <c r="L86" s="54">
        <f t="shared" si="32"/>
        <v>3.7671232876712327E-2</v>
      </c>
      <c r="M86" s="149"/>
      <c r="N86" s="106">
        <f>_xlfn.XLOOKUP($B:$B,'Compilado 2023'!$B:$B,'Compilado 2023'!N:N)</f>
        <v>0</v>
      </c>
      <c r="O86" s="106">
        <f>_xlfn.XLOOKUP($B:$B,'Compilado 2023'!$B:$B,'Compilado 2023'!O:O)</f>
        <v>431</v>
      </c>
      <c r="P86" s="106">
        <f>_xlfn.XLOOKUP($B:$B,'Compilado 2023'!$B:$B,'Compilado 2023'!P:P)</f>
        <v>0</v>
      </c>
      <c r="Q86" s="106">
        <f>_xlfn.XLOOKUP($B:$B,'Compilado 2023'!$B:$B,'Compilado 2023'!Q:Q)</f>
        <v>51.612903225806448</v>
      </c>
      <c r="R86" s="106">
        <f>_xlfn.XLOOKUP($B:$B,'Compilado 2023'!$B:$B,'Compilado 2023'!R:R)</f>
        <v>0</v>
      </c>
      <c r="S86" s="106">
        <f>_xlfn.XLOOKUP($B:$B,'Compilado 2023'!$B:$B,'Compilado 2023'!T:T)</f>
        <v>0</v>
      </c>
      <c r="T86" s="106">
        <f>_xlfn.XLOOKUP($B:$B,'Compilado 2023'!$B:$B,'Compilado 2023'!U:U)</f>
        <v>0</v>
      </c>
      <c r="U86" s="106">
        <f>_xlfn.XLOOKUP($B:$B,'Compilado 2023'!$B:$B,'Compilado 2023'!V:V)</f>
        <v>0</v>
      </c>
      <c r="V86" s="57"/>
      <c r="W86" s="106">
        <f>_xlfn.XLOOKUP($B:$B,'Compilado 2023'!$B:$B,'Compilado 2023'!X:X)</f>
        <v>0</v>
      </c>
      <c r="X86" s="106">
        <f>_xlfn.XLOOKUP($B:$B,'Compilado 2023'!$B:$B,'Compilado 2023'!Y:Y)</f>
        <v>0</v>
      </c>
      <c r="Y86" s="106">
        <f>_xlfn.XLOOKUP($B:$B,'Compilado 2023'!$B:$B,'Compilado 2023'!Z:Z)</f>
        <v>0</v>
      </c>
      <c r="AA86" s="208">
        <v>45130</v>
      </c>
    </row>
    <row r="87" spans="1:27" hidden="1" x14ac:dyDescent="0.2">
      <c r="A87" s="17" t="str">
        <f t="shared" ca="1" si="33"/>
        <v>Realizado</v>
      </c>
      <c r="B87" s="17">
        <v>44644</v>
      </c>
      <c r="C87" s="19">
        <f t="shared" si="28"/>
        <v>29448.65</v>
      </c>
      <c r="D87" s="35">
        <f>_xlfn.XLOOKUP($B:$B,'Compilado 2023'!$B:$B,'Compilado 2023'!D:D)</f>
        <v>29448.65</v>
      </c>
      <c r="E87" s="35">
        <f>_xlfn.XLOOKUP($B:$B,'Compilado 2023'!$B:$B,'Compilado 2023'!E:E)</f>
        <v>0</v>
      </c>
      <c r="F87" s="18">
        <f>_xlfn.XLOOKUP($B:$B,'Compilado 2023'!$B:$B,'Compilado 2023'!F:F)</f>
        <v>119</v>
      </c>
      <c r="G87" s="18">
        <f>_xlfn.XLOOKUP($B:$B,'Compilado 2023'!$B:$B,'Compilado 2023'!G:G)</f>
        <v>141</v>
      </c>
      <c r="H87" s="35">
        <f t="shared" si="29"/>
        <v>247.46764705882353</v>
      </c>
      <c r="I87" s="19">
        <f t="shared" si="30"/>
        <v>543.45290322580638</v>
      </c>
      <c r="J87" s="122">
        <f t="shared" si="31"/>
        <v>54.188044309267397</v>
      </c>
      <c r="K87" s="18">
        <f>_xlfn.XLOOKUP($B:$B,'Compilado 2023'!$B:$B,'Compilado 2023'!K:K)</f>
        <v>3537</v>
      </c>
      <c r="L87" s="54">
        <f t="shared" si="32"/>
        <v>3.3644331354255021E-2</v>
      </c>
      <c r="M87" s="149"/>
      <c r="N87" s="106">
        <f>_xlfn.XLOOKUP($B:$B,'Compilado 2023'!$B:$B,'Compilado 2023'!N:N)</f>
        <v>0</v>
      </c>
      <c r="O87" s="106">
        <f>_xlfn.XLOOKUP($B:$B,'Compilado 2023'!$B:$B,'Compilado 2023'!O:O)</f>
        <v>491.84</v>
      </c>
      <c r="P87" s="106">
        <f>_xlfn.XLOOKUP($B:$B,'Compilado 2023'!$B:$B,'Compilado 2023'!P:P)</f>
        <v>0</v>
      </c>
      <c r="Q87" s="106">
        <f>_xlfn.XLOOKUP($B:$B,'Compilado 2023'!$B:$B,'Compilado 2023'!Q:Q)</f>
        <v>51.612903225806448</v>
      </c>
      <c r="R87" s="106">
        <f>_xlfn.XLOOKUP($B:$B,'Compilado 2023'!$B:$B,'Compilado 2023'!R:R)</f>
        <v>0</v>
      </c>
      <c r="S87" s="106">
        <f>_xlfn.XLOOKUP($B:$B,'Compilado 2023'!$B:$B,'Compilado 2023'!T:T)</f>
        <v>0</v>
      </c>
      <c r="T87" s="106">
        <f>_xlfn.XLOOKUP($B:$B,'Compilado 2023'!$B:$B,'Compilado 2023'!U:U)</f>
        <v>0</v>
      </c>
      <c r="U87" s="106">
        <f>_xlfn.XLOOKUP($B:$B,'Compilado 2023'!$B:$B,'Compilado 2023'!V:V)</f>
        <v>0</v>
      </c>
      <c r="V87" s="57"/>
      <c r="W87" s="106">
        <f>_xlfn.XLOOKUP($B:$B,'Compilado 2023'!$B:$B,'Compilado 2023'!X:X)</f>
        <v>0</v>
      </c>
      <c r="X87" s="106">
        <f>_xlfn.XLOOKUP($B:$B,'Compilado 2023'!$B:$B,'Compilado 2023'!Y:Y)</f>
        <v>0</v>
      </c>
      <c r="Y87" s="106">
        <f>_xlfn.XLOOKUP($B:$B,'Compilado 2023'!$B:$B,'Compilado 2023'!Z:Z)</f>
        <v>0</v>
      </c>
      <c r="AA87" s="208">
        <v>45131</v>
      </c>
    </row>
    <row r="88" spans="1:27" hidden="1" x14ac:dyDescent="0.2">
      <c r="A88" s="17" t="str">
        <f t="shared" ca="1" si="33"/>
        <v>Realizado</v>
      </c>
      <c r="B88" s="17">
        <v>44645</v>
      </c>
      <c r="C88" s="19">
        <f t="shared" si="28"/>
        <v>31942.809999999998</v>
      </c>
      <c r="D88" s="35">
        <f>_xlfn.XLOOKUP($B:$B,'Compilado 2023'!$B:$B,'Compilado 2023'!D:D)</f>
        <v>31899.01</v>
      </c>
      <c r="E88" s="35">
        <f>_xlfn.XLOOKUP($B:$B,'Compilado 2023'!$B:$B,'Compilado 2023'!E:E)</f>
        <v>43.8</v>
      </c>
      <c r="F88" s="18">
        <f>_xlfn.XLOOKUP($B:$B,'Compilado 2023'!$B:$B,'Compilado 2023'!F:F)</f>
        <v>125</v>
      </c>
      <c r="G88" s="18">
        <f>_xlfn.XLOOKUP($B:$B,'Compilado 2023'!$B:$B,'Compilado 2023'!G:G)</f>
        <v>154</v>
      </c>
      <c r="H88" s="35">
        <f t="shared" si="29"/>
        <v>255.54247999999998</v>
      </c>
      <c r="I88" s="19">
        <f t="shared" si="30"/>
        <v>558.15290322580643</v>
      </c>
      <c r="J88" s="122">
        <f t="shared" si="31"/>
        <v>57.22949717790361</v>
      </c>
      <c r="K88" s="18">
        <f>_xlfn.XLOOKUP($B:$B,'Compilado 2023'!$B:$B,'Compilado 2023'!K:K)</f>
        <v>3335</v>
      </c>
      <c r="L88" s="54">
        <f t="shared" si="32"/>
        <v>3.7481259370314844E-2</v>
      </c>
      <c r="M88" s="149"/>
      <c r="N88" s="106">
        <f>_xlfn.XLOOKUP($B:$B,'Compilado 2023'!$B:$B,'Compilado 2023'!N:N)</f>
        <v>0</v>
      </c>
      <c r="O88" s="106">
        <f>_xlfn.XLOOKUP($B:$B,'Compilado 2023'!$B:$B,'Compilado 2023'!O:O)</f>
        <v>506.54</v>
      </c>
      <c r="P88" s="106">
        <f>_xlfn.XLOOKUP($B:$B,'Compilado 2023'!$B:$B,'Compilado 2023'!P:P)</f>
        <v>0</v>
      </c>
      <c r="Q88" s="106">
        <f>_xlfn.XLOOKUP($B:$B,'Compilado 2023'!$B:$B,'Compilado 2023'!Q:Q)</f>
        <v>51.612903225806448</v>
      </c>
      <c r="R88" s="106">
        <f>_xlfn.XLOOKUP($B:$B,'Compilado 2023'!$B:$B,'Compilado 2023'!R:R)</f>
        <v>0</v>
      </c>
      <c r="S88" s="106">
        <f>_xlfn.XLOOKUP($B:$B,'Compilado 2023'!$B:$B,'Compilado 2023'!T:T)</f>
        <v>0</v>
      </c>
      <c r="T88" s="106">
        <f>_xlfn.XLOOKUP($B:$B,'Compilado 2023'!$B:$B,'Compilado 2023'!U:U)</f>
        <v>0</v>
      </c>
      <c r="U88" s="106">
        <f>_xlfn.XLOOKUP($B:$B,'Compilado 2023'!$B:$B,'Compilado 2023'!V:V)</f>
        <v>0</v>
      </c>
      <c r="V88" s="57"/>
      <c r="W88" s="106">
        <f>_xlfn.XLOOKUP($B:$B,'Compilado 2023'!$B:$B,'Compilado 2023'!X:X)</f>
        <v>0</v>
      </c>
      <c r="X88" s="106">
        <f>_xlfn.XLOOKUP($B:$B,'Compilado 2023'!$B:$B,'Compilado 2023'!Y:Y)</f>
        <v>0</v>
      </c>
      <c r="Y88" s="106">
        <f>_xlfn.XLOOKUP($B:$B,'Compilado 2023'!$B:$B,'Compilado 2023'!Z:Z)</f>
        <v>0</v>
      </c>
      <c r="AA88" s="208">
        <v>45132</v>
      </c>
    </row>
    <row r="89" spans="1:27" hidden="1" x14ac:dyDescent="0.2">
      <c r="A89" s="17" t="str">
        <f t="shared" ca="1" si="33"/>
        <v>Realizado</v>
      </c>
      <c r="B89" s="17">
        <v>44646</v>
      </c>
      <c r="C89" s="19">
        <f t="shared" si="28"/>
        <v>23258.31</v>
      </c>
      <c r="D89" s="35">
        <f>_xlfn.XLOOKUP($B:$B,'Compilado 2023'!$B:$B,'Compilado 2023'!D:D)</f>
        <v>23258.31</v>
      </c>
      <c r="E89" s="35">
        <f>_xlfn.XLOOKUP($B:$B,'Compilado 2023'!$B:$B,'Compilado 2023'!E:E)</f>
        <v>0</v>
      </c>
      <c r="F89" s="18">
        <f>_xlfn.XLOOKUP($B:$B,'Compilado 2023'!$B:$B,'Compilado 2023'!F:F)</f>
        <v>81</v>
      </c>
      <c r="G89" s="18">
        <f>_xlfn.XLOOKUP($B:$B,'Compilado 2023'!$B:$B,'Compilado 2023'!G:G)</f>
        <v>103</v>
      </c>
      <c r="H89" s="35">
        <f t="shared" si="29"/>
        <v>287.13962962962967</v>
      </c>
      <c r="I89" s="19">
        <f t="shared" si="30"/>
        <v>522.16290322580642</v>
      </c>
      <c r="J89" s="122">
        <f t="shared" si="31"/>
        <v>44.542248896494428</v>
      </c>
      <c r="K89" s="18">
        <f>_xlfn.XLOOKUP($B:$B,'Compilado 2023'!$B:$B,'Compilado 2023'!K:K)</f>
        <v>2637</v>
      </c>
      <c r="L89" s="54">
        <f t="shared" si="32"/>
        <v>3.0716723549488054E-2</v>
      </c>
      <c r="M89" s="149"/>
      <c r="N89" s="106">
        <f>_xlfn.XLOOKUP($B:$B,'Compilado 2023'!$B:$B,'Compilado 2023'!N:N)</f>
        <v>0</v>
      </c>
      <c r="O89" s="106">
        <f>_xlfn.XLOOKUP($B:$B,'Compilado 2023'!$B:$B,'Compilado 2023'!O:O)</f>
        <v>470.55</v>
      </c>
      <c r="P89" s="106">
        <f>_xlfn.XLOOKUP($B:$B,'Compilado 2023'!$B:$B,'Compilado 2023'!P:P)</f>
        <v>0</v>
      </c>
      <c r="Q89" s="106">
        <f>_xlfn.XLOOKUP($B:$B,'Compilado 2023'!$B:$B,'Compilado 2023'!Q:Q)</f>
        <v>51.612903225806448</v>
      </c>
      <c r="R89" s="106">
        <f>_xlfn.XLOOKUP($B:$B,'Compilado 2023'!$B:$B,'Compilado 2023'!R:R)</f>
        <v>0</v>
      </c>
      <c r="S89" s="106">
        <f>_xlfn.XLOOKUP($B:$B,'Compilado 2023'!$B:$B,'Compilado 2023'!T:T)</f>
        <v>0</v>
      </c>
      <c r="T89" s="106">
        <f>_xlfn.XLOOKUP($B:$B,'Compilado 2023'!$B:$B,'Compilado 2023'!U:U)</f>
        <v>0</v>
      </c>
      <c r="U89" s="106">
        <f>_xlfn.XLOOKUP($B:$B,'Compilado 2023'!$B:$B,'Compilado 2023'!V:V)</f>
        <v>0</v>
      </c>
      <c r="V89" s="57"/>
      <c r="W89" s="106">
        <f>_xlfn.XLOOKUP($B:$B,'Compilado 2023'!$B:$B,'Compilado 2023'!X:X)</f>
        <v>0</v>
      </c>
      <c r="X89" s="106">
        <f>_xlfn.XLOOKUP($B:$B,'Compilado 2023'!$B:$B,'Compilado 2023'!Y:Y)</f>
        <v>0</v>
      </c>
      <c r="Y89" s="106">
        <f>_xlfn.XLOOKUP($B:$B,'Compilado 2023'!$B:$B,'Compilado 2023'!Z:Z)</f>
        <v>0</v>
      </c>
      <c r="AA89" s="208">
        <v>45133</v>
      </c>
    </row>
    <row r="90" spans="1:27" hidden="1" x14ac:dyDescent="0.2">
      <c r="A90" s="17" t="str">
        <f t="shared" ca="1" si="33"/>
        <v>Realizado</v>
      </c>
      <c r="B90" s="17">
        <v>44647</v>
      </c>
      <c r="C90" s="19">
        <f t="shared" si="28"/>
        <v>15994.4</v>
      </c>
      <c r="D90" s="35">
        <f>_xlfn.XLOOKUP($B:$B,'Compilado 2023'!$B:$B,'Compilado 2023'!D:D)</f>
        <v>15994.4</v>
      </c>
      <c r="E90" s="35">
        <f>_xlfn.XLOOKUP($B:$B,'Compilado 2023'!$B:$B,'Compilado 2023'!E:E)</f>
        <v>0</v>
      </c>
      <c r="F90" s="18">
        <f>_xlfn.XLOOKUP($B:$B,'Compilado 2023'!$B:$B,'Compilado 2023'!F:F)</f>
        <v>57</v>
      </c>
      <c r="G90" s="18">
        <f>_xlfn.XLOOKUP($B:$B,'Compilado 2023'!$B:$B,'Compilado 2023'!G:G)</f>
        <v>73</v>
      </c>
      <c r="H90" s="35">
        <f t="shared" si="29"/>
        <v>280.6035087719298</v>
      </c>
      <c r="I90" s="19">
        <f t="shared" si="30"/>
        <v>374.65290322580648</v>
      </c>
      <c r="J90" s="122">
        <f t="shared" si="31"/>
        <v>42.691247985231918</v>
      </c>
      <c r="K90" s="18">
        <f>_xlfn.XLOOKUP($B:$B,'Compilado 2023'!$B:$B,'Compilado 2023'!K:K)</f>
        <v>2203</v>
      </c>
      <c r="L90" s="54">
        <f t="shared" si="32"/>
        <v>2.5873808443032227E-2</v>
      </c>
      <c r="M90" s="149"/>
      <c r="N90" s="106">
        <f>_xlfn.XLOOKUP($B:$B,'Compilado 2023'!$B:$B,'Compilado 2023'!N:N)</f>
        <v>0</v>
      </c>
      <c r="O90" s="106">
        <f>_xlfn.XLOOKUP($B:$B,'Compilado 2023'!$B:$B,'Compilado 2023'!O:O)</f>
        <v>323.04000000000002</v>
      </c>
      <c r="P90" s="106">
        <f>_xlfn.XLOOKUP($B:$B,'Compilado 2023'!$B:$B,'Compilado 2023'!P:P)</f>
        <v>0</v>
      </c>
      <c r="Q90" s="106">
        <f>_xlfn.XLOOKUP($B:$B,'Compilado 2023'!$B:$B,'Compilado 2023'!Q:Q)</f>
        <v>51.612903225806448</v>
      </c>
      <c r="R90" s="106">
        <f>_xlfn.XLOOKUP($B:$B,'Compilado 2023'!$B:$B,'Compilado 2023'!R:R)</f>
        <v>0</v>
      </c>
      <c r="S90" s="106">
        <f>_xlfn.XLOOKUP($B:$B,'Compilado 2023'!$B:$B,'Compilado 2023'!T:T)</f>
        <v>0</v>
      </c>
      <c r="T90" s="106">
        <f>_xlfn.XLOOKUP($B:$B,'Compilado 2023'!$B:$B,'Compilado 2023'!U:U)</f>
        <v>0</v>
      </c>
      <c r="U90" s="106">
        <f>_xlfn.XLOOKUP($B:$B,'Compilado 2023'!$B:$B,'Compilado 2023'!V:V)</f>
        <v>0</v>
      </c>
      <c r="V90" s="57"/>
      <c r="W90" s="106">
        <f>_xlfn.XLOOKUP($B:$B,'Compilado 2023'!$B:$B,'Compilado 2023'!X:X)</f>
        <v>0</v>
      </c>
      <c r="X90" s="106">
        <f>_xlfn.XLOOKUP($B:$B,'Compilado 2023'!$B:$B,'Compilado 2023'!Y:Y)</f>
        <v>0</v>
      </c>
      <c r="Y90" s="106">
        <f>_xlfn.XLOOKUP($B:$B,'Compilado 2023'!$B:$B,'Compilado 2023'!Z:Z)</f>
        <v>0</v>
      </c>
      <c r="AA90" s="208">
        <v>45134</v>
      </c>
    </row>
    <row r="91" spans="1:27" hidden="1" x14ac:dyDescent="0.2">
      <c r="A91" s="17" t="str">
        <f t="shared" ca="1" si="33"/>
        <v>Realizado</v>
      </c>
      <c r="B91" s="17">
        <v>44648</v>
      </c>
      <c r="C91" s="19">
        <f t="shared" si="28"/>
        <v>31252.33</v>
      </c>
      <c r="D91" s="35">
        <f>_xlfn.XLOOKUP($B:$B,'Compilado 2023'!$B:$B,'Compilado 2023'!D:D)</f>
        <v>31252.33</v>
      </c>
      <c r="E91" s="35">
        <f>_xlfn.XLOOKUP($B:$B,'Compilado 2023'!$B:$B,'Compilado 2023'!E:E)</f>
        <v>0</v>
      </c>
      <c r="F91" s="18">
        <f>_xlfn.XLOOKUP($B:$B,'Compilado 2023'!$B:$B,'Compilado 2023'!F:F)</f>
        <v>125</v>
      </c>
      <c r="G91" s="18">
        <f>_xlfn.XLOOKUP($B:$B,'Compilado 2023'!$B:$B,'Compilado 2023'!G:G)</f>
        <v>141</v>
      </c>
      <c r="H91" s="35">
        <f t="shared" si="29"/>
        <v>250.01864</v>
      </c>
      <c r="I91" s="19">
        <f t="shared" si="30"/>
        <v>252.09290322580642</v>
      </c>
      <c r="J91" s="122">
        <f t="shared" si="31"/>
        <v>123.97147876870793</v>
      </c>
      <c r="K91" s="18">
        <f>_xlfn.XLOOKUP($B:$B,'Compilado 2023'!$B:$B,'Compilado 2023'!K:K)</f>
        <v>3477</v>
      </c>
      <c r="L91" s="54">
        <f t="shared" si="32"/>
        <v>3.5950532067874602E-2</v>
      </c>
      <c r="M91" s="149"/>
      <c r="N91" s="106">
        <f>_xlfn.XLOOKUP($B:$B,'Compilado 2023'!$B:$B,'Compilado 2023'!N:N)</f>
        <v>0</v>
      </c>
      <c r="O91" s="106">
        <f>_xlfn.XLOOKUP($B:$B,'Compilado 2023'!$B:$B,'Compilado 2023'!O:O)</f>
        <v>200.48</v>
      </c>
      <c r="P91" s="106">
        <f>_xlfn.XLOOKUP($B:$B,'Compilado 2023'!$B:$B,'Compilado 2023'!P:P)</f>
        <v>0</v>
      </c>
      <c r="Q91" s="106">
        <f>_xlfn.XLOOKUP($B:$B,'Compilado 2023'!$B:$B,'Compilado 2023'!Q:Q)</f>
        <v>51.612903225806448</v>
      </c>
      <c r="R91" s="106">
        <f>_xlfn.XLOOKUP($B:$B,'Compilado 2023'!$B:$B,'Compilado 2023'!R:R)</f>
        <v>0</v>
      </c>
      <c r="S91" s="106">
        <f>_xlfn.XLOOKUP($B:$B,'Compilado 2023'!$B:$B,'Compilado 2023'!T:T)</f>
        <v>0</v>
      </c>
      <c r="T91" s="106">
        <f>_xlfn.XLOOKUP($B:$B,'Compilado 2023'!$B:$B,'Compilado 2023'!U:U)</f>
        <v>0</v>
      </c>
      <c r="U91" s="106">
        <f>_xlfn.XLOOKUP($B:$B,'Compilado 2023'!$B:$B,'Compilado 2023'!V:V)</f>
        <v>0</v>
      </c>
      <c r="V91" s="57"/>
      <c r="W91" s="106">
        <f>_xlfn.XLOOKUP($B:$B,'Compilado 2023'!$B:$B,'Compilado 2023'!X:X)</f>
        <v>0</v>
      </c>
      <c r="X91" s="106">
        <f>_xlfn.XLOOKUP($B:$B,'Compilado 2023'!$B:$B,'Compilado 2023'!Y:Y)</f>
        <v>0</v>
      </c>
      <c r="Y91" s="106">
        <f>_xlfn.XLOOKUP($B:$B,'Compilado 2023'!$B:$B,'Compilado 2023'!Z:Z)</f>
        <v>0</v>
      </c>
      <c r="AA91" s="208">
        <v>45135</v>
      </c>
    </row>
    <row r="92" spans="1:27" hidden="1" x14ac:dyDescent="0.2">
      <c r="A92" s="17" t="str">
        <f t="shared" ca="1" si="33"/>
        <v>Realizado</v>
      </c>
      <c r="B92" s="17">
        <v>44649</v>
      </c>
      <c r="C92" s="19">
        <f t="shared" si="28"/>
        <v>52253.94</v>
      </c>
      <c r="D92" s="35">
        <f>_xlfn.XLOOKUP($B:$B,'Compilado 2023'!$B:$B,'Compilado 2023'!D:D)</f>
        <v>52253.94</v>
      </c>
      <c r="E92" s="35">
        <f>_xlfn.XLOOKUP($B:$B,'Compilado 2023'!$B:$B,'Compilado 2023'!E:E)</f>
        <v>0</v>
      </c>
      <c r="F92" s="18">
        <f>_xlfn.XLOOKUP($B:$B,'Compilado 2023'!$B:$B,'Compilado 2023'!F:F)</f>
        <v>201</v>
      </c>
      <c r="G92" s="18">
        <f>_xlfn.XLOOKUP($B:$B,'Compilado 2023'!$B:$B,'Compilado 2023'!G:G)</f>
        <v>282</v>
      </c>
      <c r="H92" s="35">
        <f t="shared" si="29"/>
        <v>259.96985074626866</v>
      </c>
      <c r="I92" s="19">
        <f t="shared" si="30"/>
        <v>312.97290322580648</v>
      </c>
      <c r="J92" s="122">
        <f t="shared" si="31"/>
        <v>166.95994912473097</v>
      </c>
      <c r="K92" s="18">
        <f>_xlfn.XLOOKUP($B:$B,'Compilado 2023'!$B:$B,'Compilado 2023'!K:K)</f>
        <v>5253</v>
      </c>
      <c r="L92" s="54">
        <f t="shared" si="32"/>
        <v>3.8263849229011992E-2</v>
      </c>
      <c r="M92" s="149"/>
      <c r="N92" s="106">
        <f>_xlfn.XLOOKUP($B:$B,'Compilado 2023'!$B:$B,'Compilado 2023'!N:N)</f>
        <v>0</v>
      </c>
      <c r="O92" s="106">
        <f>_xlfn.XLOOKUP($B:$B,'Compilado 2023'!$B:$B,'Compilado 2023'!O:O)</f>
        <v>261.36</v>
      </c>
      <c r="P92" s="106">
        <f>_xlfn.XLOOKUP($B:$B,'Compilado 2023'!$B:$B,'Compilado 2023'!P:P)</f>
        <v>0</v>
      </c>
      <c r="Q92" s="106">
        <f>_xlfn.XLOOKUP($B:$B,'Compilado 2023'!$B:$B,'Compilado 2023'!Q:Q)</f>
        <v>51.612903225806448</v>
      </c>
      <c r="R92" s="106">
        <f>_xlfn.XLOOKUP($B:$B,'Compilado 2023'!$B:$B,'Compilado 2023'!R:R)</f>
        <v>0</v>
      </c>
      <c r="S92" s="106">
        <f>_xlfn.XLOOKUP($B:$B,'Compilado 2023'!$B:$B,'Compilado 2023'!T:T)</f>
        <v>0</v>
      </c>
      <c r="T92" s="106">
        <f>_xlfn.XLOOKUP($B:$B,'Compilado 2023'!$B:$B,'Compilado 2023'!U:U)</f>
        <v>0</v>
      </c>
      <c r="U92" s="106">
        <f>_xlfn.XLOOKUP($B:$B,'Compilado 2023'!$B:$B,'Compilado 2023'!V:V)</f>
        <v>0</v>
      </c>
      <c r="V92" s="57"/>
      <c r="W92" s="106">
        <f>_xlfn.XLOOKUP($B:$B,'Compilado 2023'!$B:$B,'Compilado 2023'!X:X)</f>
        <v>0</v>
      </c>
      <c r="X92" s="106">
        <f>_xlfn.XLOOKUP($B:$B,'Compilado 2023'!$B:$B,'Compilado 2023'!Y:Y)</f>
        <v>0</v>
      </c>
      <c r="Y92" s="106">
        <f>_xlfn.XLOOKUP($B:$B,'Compilado 2023'!$B:$B,'Compilado 2023'!Z:Z)</f>
        <v>0</v>
      </c>
      <c r="AA92" s="208">
        <v>45136</v>
      </c>
    </row>
    <row r="93" spans="1:27" hidden="1" x14ac:dyDescent="0.2">
      <c r="A93" s="17" t="str">
        <f t="shared" ca="1" si="33"/>
        <v>Realizado</v>
      </c>
      <c r="B93" s="17">
        <v>44650</v>
      </c>
      <c r="C93" s="19">
        <f t="shared" si="28"/>
        <v>47794.42</v>
      </c>
      <c r="D93" s="35">
        <f>_xlfn.XLOOKUP($B:$B,'Compilado 2023'!$B:$B,'Compilado 2023'!D:D)</f>
        <v>47794.42</v>
      </c>
      <c r="E93" s="35">
        <f>_xlfn.XLOOKUP($B:$B,'Compilado 2023'!$B:$B,'Compilado 2023'!E:E)</f>
        <v>0</v>
      </c>
      <c r="F93" s="18">
        <f>_xlfn.XLOOKUP($B:$B,'Compilado 2023'!$B:$B,'Compilado 2023'!F:F)</f>
        <v>175</v>
      </c>
      <c r="G93" s="18">
        <f>_xlfn.XLOOKUP($B:$B,'Compilado 2023'!$B:$B,'Compilado 2023'!G:G)</f>
        <v>231</v>
      </c>
      <c r="H93" s="35">
        <f t="shared" si="29"/>
        <v>273.11097142857142</v>
      </c>
      <c r="I93" s="19">
        <f t="shared" si="30"/>
        <v>606.08290322580649</v>
      </c>
      <c r="J93" s="122">
        <f t="shared" si="31"/>
        <v>78.85789179272291</v>
      </c>
      <c r="K93" s="18">
        <f>_xlfn.XLOOKUP($B:$B,'Compilado 2023'!$B:$B,'Compilado 2023'!K:K)</f>
        <v>4377</v>
      </c>
      <c r="L93" s="54">
        <f t="shared" si="32"/>
        <v>3.9981722641078361E-2</v>
      </c>
      <c r="M93" s="149"/>
      <c r="N93" s="106">
        <f>_xlfn.XLOOKUP($B:$B,'Compilado 2023'!$B:$B,'Compilado 2023'!N:N)</f>
        <v>334.93</v>
      </c>
      <c r="O93" s="106">
        <f>_xlfn.XLOOKUP($B:$B,'Compilado 2023'!$B:$B,'Compilado 2023'!O:O)</f>
        <v>219.54</v>
      </c>
      <c r="P93" s="106">
        <f>_xlfn.XLOOKUP($B:$B,'Compilado 2023'!$B:$B,'Compilado 2023'!P:P)</f>
        <v>0</v>
      </c>
      <c r="Q93" s="106">
        <f>_xlfn.XLOOKUP($B:$B,'Compilado 2023'!$B:$B,'Compilado 2023'!Q:Q)</f>
        <v>51.612903225806448</v>
      </c>
      <c r="R93" s="106">
        <f>_xlfn.XLOOKUP($B:$B,'Compilado 2023'!$B:$B,'Compilado 2023'!R:R)</f>
        <v>0</v>
      </c>
      <c r="S93" s="106">
        <f>_xlfn.XLOOKUP($B:$B,'Compilado 2023'!$B:$B,'Compilado 2023'!T:T)</f>
        <v>0</v>
      </c>
      <c r="T93" s="106">
        <f>_xlfn.XLOOKUP($B:$B,'Compilado 2023'!$B:$B,'Compilado 2023'!U:U)</f>
        <v>0</v>
      </c>
      <c r="U93" s="106">
        <f>_xlfn.XLOOKUP($B:$B,'Compilado 2023'!$B:$B,'Compilado 2023'!V:V)</f>
        <v>0</v>
      </c>
      <c r="V93" s="57"/>
      <c r="W93" s="106">
        <f>_xlfn.XLOOKUP($B:$B,'Compilado 2023'!$B:$B,'Compilado 2023'!X:X)</f>
        <v>0</v>
      </c>
      <c r="X93" s="106">
        <f>_xlfn.XLOOKUP($B:$B,'Compilado 2023'!$B:$B,'Compilado 2023'!Y:Y)</f>
        <v>0</v>
      </c>
      <c r="Y93" s="106">
        <f>_xlfn.XLOOKUP($B:$B,'Compilado 2023'!$B:$B,'Compilado 2023'!Z:Z)</f>
        <v>0</v>
      </c>
      <c r="AA93" s="208">
        <v>45137</v>
      </c>
    </row>
    <row r="94" spans="1:27" hidden="1" x14ac:dyDescent="0.2">
      <c r="A94" s="17" t="str">
        <f t="shared" ca="1" si="33"/>
        <v>Realizado</v>
      </c>
      <c r="B94" s="17">
        <v>44651</v>
      </c>
      <c r="C94" s="19">
        <f t="shared" si="28"/>
        <v>45492.77</v>
      </c>
      <c r="D94" s="35">
        <f>_xlfn.XLOOKUP($B:$B,'Compilado 2023'!$B:$B,'Compilado 2023'!D:D)</f>
        <v>45492.77</v>
      </c>
      <c r="E94" s="35">
        <f>_xlfn.XLOOKUP($B:$B,'Compilado 2023'!$B:$B,'Compilado 2023'!E:E)</f>
        <v>0</v>
      </c>
      <c r="F94" s="18">
        <f>_xlfn.XLOOKUP($B:$B,'Compilado 2023'!$B:$B,'Compilado 2023'!F:F)</f>
        <v>174</v>
      </c>
      <c r="G94" s="18">
        <f>_xlfn.XLOOKUP($B:$B,'Compilado 2023'!$B:$B,'Compilado 2023'!G:G)</f>
        <v>210</v>
      </c>
      <c r="H94" s="35">
        <f t="shared" si="29"/>
        <v>261.45270114942525</v>
      </c>
      <c r="I94" s="19">
        <f t="shared" si="30"/>
        <v>1030.4529032258063</v>
      </c>
      <c r="J94" s="122">
        <f t="shared" si="31"/>
        <v>44.148325321405814</v>
      </c>
      <c r="K94" s="18">
        <f>_xlfn.XLOOKUP($B:$B,'Compilado 2023'!$B:$B,'Compilado 2023'!K:K)</f>
        <v>4754</v>
      </c>
      <c r="L94" s="54">
        <f t="shared" si="32"/>
        <v>3.6600757257046694E-2</v>
      </c>
      <c r="M94" s="149"/>
      <c r="N94" s="106">
        <f>_xlfn.XLOOKUP($B:$B,'Compilado 2023'!$B:$B,'Compilado 2023'!N:N)</f>
        <v>762.77</v>
      </c>
      <c r="O94" s="106">
        <f>_xlfn.XLOOKUP($B:$B,'Compilado 2023'!$B:$B,'Compilado 2023'!O:O)</f>
        <v>216.07</v>
      </c>
      <c r="P94" s="106">
        <f>_xlfn.XLOOKUP($B:$B,'Compilado 2023'!$B:$B,'Compilado 2023'!P:P)</f>
        <v>0</v>
      </c>
      <c r="Q94" s="106">
        <f>_xlfn.XLOOKUP($B:$B,'Compilado 2023'!$B:$B,'Compilado 2023'!Q:Q)</f>
        <v>51.612903225806448</v>
      </c>
      <c r="R94" s="106">
        <f>_xlfn.XLOOKUP($B:$B,'Compilado 2023'!$B:$B,'Compilado 2023'!R:R)</f>
        <v>0</v>
      </c>
      <c r="S94" s="106">
        <f>_xlfn.XLOOKUP($B:$B,'Compilado 2023'!$B:$B,'Compilado 2023'!T:T)</f>
        <v>0</v>
      </c>
      <c r="T94" s="106">
        <f>_xlfn.XLOOKUP($B:$B,'Compilado 2023'!$B:$B,'Compilado 2023'!U:U)</f>
        <v>0</v>
      </c>
      <c r="U94" s="106">
        <f>_xlfn.XLOOKUP($B:$B,'Compilado 2023'!$B:$B,'Compilado 2023'!V:V)</f>
        <v>0</v>
      </c>
      <c r="V94" s="57"/>
      <c r="W94" s="106">
        <f>_xlfn.XLOOKUP($B:$B,'Compilado 2023'!$B:$B,'Compilado 2023'!X:X)</f>
        <v>0</v>
      </c>
      <c r="X94" s="106">
        <f>_xlfn.XLOOKUP($B:$B,'Compilado 2023'!$B:$B,'Compilado 2023'!Y:Y)</f>
        <v>0</v>
      </c>
      <c r="Y94" s="106">
        <f>_xlfn.XLOOKUP($B:$B,'Compilado 2023'!$B:$B,'Compilado 2023'!Z:Z)</f>
        <v>0</v>
      </c>
      <c r="AA94" s="208">
        <v>45138</v>
      </c>
    </row>
  </sheetData>
  <mergeCells count="3">
    <mergeCell ref="B41:D41"/>
    <mergeCell ref="B49:D49"/>
    <mergeCell ref="B57:D57"/>
  </mergeCells>
  <conditionalFormatting sqref="A64:A94">
    <cfRule type="cellIs" dxfId="265" priority="25" operator="equal">
      <formula>"Realizado"</formula>
    </cfRule>
    <cfRule type="cellIs" dxfId="264" priority="23" operator="equal">
      <formula>"Realizado"</formula>
    </cfRule>
    <cfRule type="cellIs" dxfId="263" priority="24" operator="equal">
      <formula>TODAY()</formula>
    </cfRule>
  </conditionalFormatting>
  <conditionalFormatting sqref="A64:B94">
    <cfRule type="cellIs" dxfId="262" priority="26" operator="equal">
      <formula>TODAY()</formula>
    </cfRule>
  </conditionalFormatting>
  <conditionalFormatting sqref="B4:H34">
    <cfRule type="cellIs" dxfId="261" priority="51" operator="equal">
      <formula>TODAY()</formula>
    </cfRule>
  </conditionalFormatting>
  <conditionalFormatting sqref="C65:D93">
    <cfRule type="cellIs" dxfId="260" priority="21" operator="equal">
      <formula>$A$1</formula>
    </cfRule>
    <cfRule type="cellIs" dxfId="259" priority="22" operator="equal">
      <formula>TODAY()</formula>
    </cfRule>
  </conditionalFormatting>
  <conditionalFormatting sqref="C64:H94">
    <cfRule type="cellIs" dxfId="258" priority="1" operator="equal">
      <formula>TODAY()</formula>
    </cfRule>
  </conditionalFormatting>
  <conditionalFormatting sqref="C94:H94">
    <cfRule type="cellIs" dxfId="257" priority="18" operator="equal">
      <formula>$A$1</formula>
    </cfRule>
  </conditionalFormatting>
  <conditionalFormatting sqref="C46:L46">
    <cfRule type="cellIs" dxfId="256" priority="49" operator="lessThan">
      <formula>0</formula>
    </cfRule>
  </conditionalFormatting>
  <conditionalFormatting sqref="C47:L47">
    <cfRule type="cellIs" dxfId="255" priority="34" operator="lessThan">
      <formula>0</formula>
    </cfRule>
  </conditionalFormatting>
  <conditionalFormatting sqref="C53:L53">
    <cfRule type="cellIs" dxfId="254" priority="47" operator="lessThan">
      <formula>0</formula>
    </cfRule>
  </conditionalFormatting>
  <conditionalFormatting sqref="C54:L54">
    <cfRule type="cellIs" dxfId="253" priority="35" operator="lessThan">
      <formula>0</formula>
    </cfRule>
  </conditionalFormatting>
  <conditionalFormatting sqref="C61:L61">
    <cfRule type="cellIs" dxfId="252" priority="41" operator="lessThan">
      <formula>0</formula>
    </cfRule>
  </conditionalFormatting>
  <conditionalFormatting sqref="C62:L62">
    <cfRule type="cellIs" dxfId="251" priority="36" operator="lessThan">
      <formula>0</formula>
    </cfRule>
  </conditionalFormatting>
  <conditionalFormatting sqref="H5:H34">
    <cfRule type="cellIs" dxfId="250" priority="77" operator="equal">
      <formula>TODAY()</formula>
    </cfRule>
  </conditionalFormatting>
  <conditionalFormatting sqref="N4:Q34">
    <cfRule type="cellIs" dxfId="249" priority="73" operator="equal">
      <formula>TODAY()</formula>
    </cfRule>
  </conditionalFormatting>
  <conditionalFormatting sqref="N53:U53">
    <cfRule type="cellIs" dxfId="248" priority="29" operator="lessThan">
      <formula>0</formula>
    </cfRule>
  </conditionalFormatting>
  <conditionalFormatting sqref="N54:U54">
    <cfRule type="cellIs" dxfId="247" priority="28" operator="lessThan">
      <formula>0</formula>
    </cfRule>
  </conditionalFormatting>
  <conditionalFormatting sqref="N61:U61">
    <cfRule type="cellIs" dxfId="246" priority="31" operator="lessThan">
      <formula>0</formula>
    </cfRule>
  </conditionalFormatting>
  <conditionalFormatting sqref="N62:U62">
    <cfRule type="cellIs" dxfId="245" priority="30" operator="lessThan">
      <formula>0</formula>
    </cfRule>
  </conditionalFormatting>
  <conditionalFormatting sqref="N64:U94">
    <cfRule type="cellIs" dxfId="244" priority="5" operator="equal">
      <formula>TODAY()</formula>
    </cfRule>
  </conditionalFormatting>
  <conditionalFormatting sqref="R4 R5:S34">
    <cfRule type="cellIs" dxfId="243" priority="72" operator="equal">
      <formula>TODAY()</formula>
    </cfRule>
  </conditionalFormatting>
  <conditionalFormatting sqref="S4:U34">
    <cfRule type="cellIs" dxfId="242" priority="66" operator="equal">
      <formula>TODAY()</formula>
    </cfRule>
  </conditionalFormatting>
  <conditionalFormatting sqref="W4:Y34">
    <cfRule type="cellIs" dxfId="241" priority="64" operator="equal">
      <formula>TODAY()</formula>
    </cfRule>
  </conditionalFormatting>
  <conditionalFormatting sqref="W64:Y94">
    <cfRule type="cellIs" dxfId="240" priority="3" operator="equal">
      <formula>TODAY()</formula>
    </cfRule>
  </conditionalFormatting>
  <conditionalFormatting sqref="AA4:AA34">
    <cfRule type="cellIs" dxfId="239" priority="69" operator="equal">
      <formula>TODAY()</formula>
    </cfRule>
  </conditionalFormatting>
  <conditionalFormatting sqref="AA64:AA94">
    <cfRule type="cellIs" dxfId="238" priority="19" operator="equal">
      <formula>TODAY()</formula>
    </cfRule>
  </conditionalFormatting>
  <printOptions horizontalCentered="1" gridLines="1"/>
  <pageMargins left="0.7" right="0.7" top="0.75" bottom="0.75" header="0" footer="0"/>
  <pageSetup paperSize="9" fitToWidth="0" pageOrder="overThenDown" orientation="landscape" cellComments="atEnd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A3D64-BE9E-427C-9288-5B728A91BE8D}">
  <sheetPr codeName="Planilha8">
    <outlinePr summaryBelow="0" summaryRight="0"/>
    <pageSetUpPr fitToPage="1"/>
  </sheetPr>
  <dimension ref="A1:AG94"/>
  <sheetViews>
    <sheetView showGridLines="0" topLeftCell="K1" zoomScaleNormal="100" workbookViewId="0">
      <pane ySplit="3" topLeftCell="A48" activePane="bottomLeft" state="frozen"/>
      <selection activeCell="L60" sqref="L60"/>
      <selection pane="bottomLeft" activeCell="L60" sqref="L60"/>
    </sheetView>
  </sheetViews>
  <sheetFormatPr defaultColWidth="0" defaultRowHeight="12.75" x14ac:dyDescent="0.2"/>
  <cols>
    <col min="1" max="1" width="14" customWidth="1"/>
    <col min="2" max="2" width="11.7109375" customWidth="1"/>
    <col min="3" max="3" width="18.7109375" customWidth="1"/>
    <col min="4" max="4" width="16.140625" bestFit="1" customWidth="1"/>
    <col min="5" max="5" width="11.7109375" customWidth="1"/>
    <col min="6" max="6" width="8.5703125" bestFit="1" customWidth="1"/>
    <col min="7" max="7" width="9" bestFit="1" customWidth="1"/>
    <col min="8" max="8" width="15.140625" customWidth="1"/>
    <col min="9" max="9" width="15.28515625" customWidth="1"/>
    <col min="10" max="10" width="12.42578125" bestFit="1" customWidth="1"/>
    <col min="11" max="11" width="12" customWidth="1"/>
    <col min="12" max="12" width="10.42578125" bestFit="1" customWidth="1"/>
    <col min="13" max="13" width="0.42578125" customWidth="1"/>
    <col min="14" max="15" width="12.7109375" bestFit="1" customWidth="1"/>
    <col min="16" max="16" width="10.42578125" bestFit="1" customWidth="1"/>
    <col min="17" max="17" width="11.7109375" bestFit="1" customWidth="1"/>
    <col min="18" max="18" width="10.42578125" bestFit="1" customWidth="1"/>
    <col min="19" max="19" width="10.140625" customWidth="1"/>
    <col min="20" max="20" width="7.85546875" bestFit="1" customWidth="1"/>
    <col min="21" max="21" width="10.42578125" bestFit="1" customWidth="1"/>
    <col min="22" max="22" width="1.140625" customWidth="1"/>
    <col min="23" max="25" width="10.42578125" bestFit="1" customWidth="1"/>
    <col min="26" max="26" width="0.7109375" customWidth="1"/>
    <col min="27" max="27" width="36" customWidth="1"/>
    <col min="28" max="33" width="0" hidden="1" customWidth="1"/>
    <col min="34" max="16384" width="12.5703125" hidden="1"/>
  </cols>
  <sheetData>
    <row r="1" spans="1:27" s="8" customFormat="1" ht="59.25" x14ac:dyDescent="0.75">
      <c r="A1" s="6"/>
      <c r="B1" s="6"/>
      <c r="C1" s="7" t="s">
        <v>69</v>
      </c>
      <c r="D1" s="6"/>
      <c r="E1" s="6"/>
      <c r="F1" s="6"/>
      <c r="G1" s="6"/>
      <c r="H1" s="6"/>
      <c r="I1" s="6"/>
      <c r="J1" s="6"/>
      <c r="K1" s="6"/>
      <c r="L1" s="6"/>
      <c r="M1" s="75" t="s">
        <v>184</v>
      </c>
      <c r="N1" s="49">
        <f ca="1">TODAY()</f>
        <v>45834</v>
      </c>
      <c r="O1" s="50">
        <f>MONTH(B4)</f>
        <v>4</v>
      </c>
      <c r="P1" s="50">
        <f>YEAR(B4)</f>
        <v>2023</v>
      </c>
      <c r="Q1" s="49"/>
      <c r="R1" s="49"/>
      <c r="S1" s="49"/>
      <c r="T1" s="49"/>
      <c r="U1" s="36"/>
      <c r="V1" s="75" t="s">
        <v>185</v>
      </c>
      <c r="W1" s="36"/>
      <c r="X1" s="36"/>
      <c r="Y1" s="36"/>
      <c r="Z1" s="36"/>
      <c r="AA1" s="51" t="s">
        <v>73</v>
      </c>
    </row>
    <row r="2" spans="1:27" s="10" customFormat="1" ht="24" thickBot="1" x14ac:dyDescent="0.25">
      <c r="A2" s="43"/>
      <c r="B2" s="11" t="str">
        <f>_xlfn.CONCAT(_xlfn.XLOOKUP(O1,Referencia!$B$1:$B$13,Referencia!$A$1:$A$13)," ",P1)</f>
        <v>Abril 2023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</row>
    <row r="3" spans="1:27" s="9" customFormat="1" ht="16.5" x14ac:dyDescent="0.35">
      <c r="A3" s="15" t="s">
        <v>74</v>
      </c>
      <c r="B3" s="13" t="s">
        <v>20</v>
      </c>
      <c r="C3" s="13" t="s">
        <v>75</v>
      </c>
      <c r="D3" s="13" t="s">
        <v>76</v>
      </c>
      <c r="E3" s="13" t="s">
        <v>77</v>
      </c>
      <c r="F3" s="13" t="s">
        <v>78</v>
      </c>
      <c r="G3" s="13" t="s">
        <v>79</v>
      </c>
      <c r="H3" s="13" t="s">
        <v>80</v>
      </c>
      <c r="I3" s="13" t="s">
        <v>81</v>
      </c>
      <c r="J3" s="13" t="s">
        <v>82</v>
      </c>
      <c r="K3" s="13" t="s">
        <v>40</v>
      </c>
      <c r="L3" s="13" t="s">
        <v>83</v>
      </c>
      <c r="M3" s="37"/>
      <c r="N3" s="13" t="s">
        <v>85</v>
      </c>
      <c r="O3" s="13" t="s">
        <v>155</v>
      </c>
      <c r="P3" s="13" t="s">
        <v>87</v>
      </c>
      <c r="Q3" s="13" t="s">
        <v>88</v>
      </c>
      <c r="R3" s="13" t="s">
        <v>89</v>
      </c>
      <c r="S3" s="13" t="s">
        <v>90</v>
      </c>
      <c r="T3" s="13" t="s">
        <v>91</v>
      </c>
      <c r="U3" s="13" t="s">
        <v>92</v>
      </c>
      <c r="V3" s="56"/>
      <c r="W3" s="13" t="s">
        <v>88</v>
      </c>
      <c r="X3" s="13" t="s">
        <v>91</v>
      </c>
      <c r="Y3" s="13" t="s">
        <v>92</v>
      </c>
      <c r="Z3" s="37"/>
      <c r="AA3" s="14" t="s">
        <v>73</v>
      </c>
    </row>
    <row r="4" spans="1:27" s="2" customFormat="1" x14ac:dyDescent="0.2">
      <c r="A4" s="16" t="str">
        <f t="shared" ref="A4:A33" si="0">TEXT(B4,"DDDD")</f>
        <v>sábado</v>
      </c>
      <c r="B4" s="17">
        <v>45017</v>
      </c>
      <c r="C4" s="19">
        <f>D4+E4</f>
        <v>45316.49</v>
      </c>
      <c r="D4" s="35">
        <f>_xlfn.XLOOKUP($B:$B,'Compilado 2023'!$B:$B,'Compilado 2023'!D:D)</f>
        <v>45316.49</v>
      </c>
      <c r="E4" s="35">
        <f>_xlfn.XLOOKUP($B:$B,'Compilado 2023'!$B:$B,'Compilado 2023'!E:E)</f>
        <v>0</v>
      </c>
      <c r="F4" s="18">
        <f>_xlfn.XLOOKUP($B:$B,'Compilado 2023'!$B:$B,'Compilado 2023'!F:F)</f>
        <v>159</v>
      </c>
      <c r="G4" s="18">
        <f>_xlfn.XLOOKUP($B:$B,'Compilado 2023'!$B:$B,'Compilado 2023'!G:G)</f>
        <v>188</v>
      </c>
      <c r="H4" s="35">
        <f>IFERROR(C4/F4,0)</f>
        <v>285.00937106918235</v>
      </c>
      <c r="I4" s="19">
        <f>SUM(N4:U4)</f>
        <v>508.40333333333331</v>
      </c>
      <c r="J4" s="122">
        <f>IF(I4&gt;0,C4/I4,0)</f>
        <v>89.13491912589086</v>
      </c>
      <c r="K4" s="18">
        <f>_xlfn.XLOOKUP($B:$B,'Compilado 2023'!$B:$B,'Compilado 2023'!K:K)</f>
        <v>4276</v>
      </c>
      <c r="L4" s="54">
        <f t="shared" ref="L4:L33" si="1">IFERROR(F4/K4,0)</f>
        <v>3.7184284377923295E-2</v>
      </c>
      <c r="M4" s="38"/>
      <c r="N4" s="106">
        <f>_xlfn.XLOOKUP($B:$B,'Compilado 2023'!$B:$B,'Compilado 2023'!N:N)</f>
        <v>329.7</v>
      </c>
      <c r="O4" s="106">
        <f>_xlfn.XLOOKUP($B:$B,'Compilado 2023'!$B:$B,'Compilado 2023'!O:O)</f>
        <v>125.37</v>
      </c>
      <c r="P4" s="106">
        <f>_xlfn.XLOOKUP($B:$B,'Compilado 2023'!$B:$B,'Compilado 2023'!P:P)</f>
        <v>0</v>
      </c>
      <c r="Q4" s="106">
        <f>_xlfn.XLOOKUP($B:$B,'Compilado 2023'!$B:$B,'Compilado 2023'!Q:Q)</f>
        <v>53.333333333333336</v>
      </c>
      <c r="R4" s="106">
        <f>_xlfn.XLOOKUP($B:$B,'Compilado 2023'!$B:$B,'Compilado 2023'!R:R)</f>
        <v>0</v>
      </c>
      <c r="S4" s="106">
        <f>_xlfn.XLOOKUP($B:$B,'Compilado 2023'!$B:$B,'Compilado 2023'!S:S)</f>
        <v>0</v>
      </c>
      <c r="T4" s="106">
        <f>_xlfn.XLOOKUP($B:$B,'Compilado 2023'!$B:$B,'Compilado 2023'!U:U)</f>
        <v>0</v>
      </c>
      <c r="U4" s="106">
        <f>_xlfn.XLOOKUP($B:$B,'Compilado 2023'!$B:$B,'Compilado 2023'!V:V)</f>
        <v>0</v>
      </c>
      <c r="V4" s="57"/>
      <c r="W4" s="106">
        <f>_xlfn.XLOOKUP($B:$B,'Compilado 2023'!$B:$B,'Compilado 2023'!X:X)</f>
        <v>0</v>
      </c>
      <c r="X4" s="106">
        <f>_xlfn.XLOOKUP($B:$B,'Compilado 2023'!$B:$B,'Compilado 2023'!Y:Y)</f>
        <v>0</v>
      </c>
      <c r="Y4" s="106">
        <f>_xlfn.XLOOKUP($B:$B,'Compilado 2023'!$B:$B,'Compilado 2023'!Z:Z)</f>
        <v>0</v>
      </c>
      <c r="Z4" s="38"/>
      <c r="AA4" s="107">
        <f>_xlfn.XLOOKUP($B:$B,'Compilado 2023'!$B:$B,'Compilado 2023'!AA:AA)</f>
        <v>0</v>
      </c>
    </row>
    <row r="5" spans="1:27" s="2" customFormat="1" x14ac:dyDescent="0.2">
      <c r="A5" s="16" t="str">
        <f t="shared" si="0"/>
        <v>domingo</v>
      </c>
      <c r="B5" s="17">
        <f>B4+1</f>
        <v>45018</v>
      </c>
      <c r="C5" s="19">
        <f t="shared" ref="C5:C33" si="2">D5+E5</f>
        <v>31392.21</v>
      </c>
      <c r="D5" s="35">
        <f>_xlfn.XLOOKUP($B:$B,'Compilado 2023'!$B:$B,'Compilado 2023'!D:D)</f>
        <v>31369.98</v>
      </c>
      <c r="E5" s="35">
        <f>_xlfn.XLOOKUP($B:$B,'Compilado 2023'!$B:$B,'Compilado 2023'!E:E)</f>
        <v>22.23</v>
      </c>
      <c r="F5" s="18">
        <f>_xlfn.XLOOKUP($B:$B,'Compilado 2023'!$B:$B,'Compilado 2023'!F:F)</f>
        <v>114</v>
      </c>
      <c r="G5" s="18">
        <f>_xlfn.XLOOKUP($B:$B,'Compilado 2023'!$B:$B,'Compilado 2023'!G:G)</f>
        <v>138</v>
      </c>
      <c r="H5" s="35">
        <f t="shared" ref="H5:H33" si="3">IFERROR(C5/F5,0)</f>
        <v>275.37026315789473</v>
      </c>
      <c r="I5" s="19">
        <f t="shared" ref="I5:I33" si="4">SUM(N5:U5)</f>
        <v>498.34333333333331</v>
      </c>
      <c r="J5" s="122">
        <f t="shared" ref="J5:J33" si="5">IF(I5&gt;0,C5/I5,0)</f>
        <v>62.993137261459637</v>
      </c>
      <c r="K5" s="18">
        <f>_xlfn.XLOOKUP($B:$B,'Compilado 2023'!$B:$B,'Compilado 2023'!K:K)</f>
        <v>3518</v>
      </c>
      <c r="L5" s="54">
        <f t="shared" si="1"/>
        <v>3.2404775440591248E-2</v>
      </c>
      <c r="M5" s="38"/>
      <c r="N5" s="106">
        <f>_xlfn.XLOOKUP($B:$B,'Compilado 2023'!$B:$B,'Compilado 2023'!N:N)</f>
        <v>329.66</v>
      </c>
      <c r="O5" s="106">
        <f>_xlfn.XLOOKUP($B:$B,'Compilado 2023'!$B:$B,'Compilado 2023'!O:O)</f>
        <v>115.35</v>
      </c>
      <c r="P5" s="106">
        <f>_xlfn.XLOOKUP($B:$B,'Compilado 2023'!$B:$B,'Compilado 2023'!P:P)</f>
        <v>0</v>
      </c>
      <c r="Q5" s="106">
        <f>_xlfn.XLOOKUP($B:$B,'Compilado 2023'!$B:$B,'Compilado 2023'!Q:Q)</f>
        <v>53.333333333333336</v>
      </c>
      <c r="R5" s="106">
        <f>_xlfn.XLOOKUP($B:$B,'Compilado 2023'!$B:$B,'Compilado 2023'!R:R)</f>
        <v>0</v>
      </c>
      <c r="S5" s="106">
        <f>_xlfn.XLOOKUP($B:$B,'Compilado 2023'!$B:$B,'Compilado 2023'!S:S)</f>
        <v>0</v>
      </c>
      <c r="T5" s="106">
        <f>_xlfn.XLOOKUP($B:$B,'Compilado 2023'!$B:$B,'Compilado 2023'!U:U)</f>
        <v>0</v>
      </c>
      <c r="U5" s="106">
        <f>_xlfn.XLOOKUP($B:$B,'Compilado 2023'!$B:$B,'Compilado 2023'!V:V)</f>
        <v>0</v>
      </c>
      <c r="V5" s="57"/>
      <c r="W5" s="106">
        <f>_xlfn.XLOOKUP($B:$B,'Compilado 2023'!$B:$B,'Compilado 2023'!X:X)</f>
        <v>0</v>
      </c>
      <c r="X5" s="106">
        <f>_xlfn.XLOOKUP($B:$B,'Compilado 2023'!$B:$B,'Compilado 2023'!Y:Y)</f>
        <v>0</v>
      </c>
      <c r="Y5" s="106">
        <f>_xlfn.XLOOKUP($B:$B,'Compilado 2023'!$B:$B,'Compilado 2023'!Z:Z)</f>
        <v>0</v>
      </c>
      <c r="Z5" s="38"/>
      <c r="AA5" s="107">
        <f>_xlfn.XLOOKUP($B:$B,'Compilado 2023'!$B:$B,'Compilado 2023'!AA:AA)</f>
        <v>0</v>
      </c>
    </row>
    <row r="6" spans="1:27" x14ac:dyDescent="0.2">
      <c r="A6" s="16" t="str">
        <f t="shared" si="0"/>
        <v>segunda-feira</v>
      </c>
      <c r="B6" s="17">
        <f t="shared" ref="B6:B33" si="6">B5+1</f>
        <v>45019</v>
      </c>
      <c r="C6" s="19">
        <f t="shared" si="2"/>
        <v>63954.95</v>
      </c>
      <c r="D6" s="35">
        <f>_xlfn.XLOOKUP($B:$B,'Compilado 2023'!$B:$B,'Compilado 2023'!D:D)</f>
        <v>63954.95</v>
      </c>
      <c r="E6" s="35">
        <f>_xlfn.XLOOKUP($B:$B,'Compilado 2023'!$B:$B,'Compilado 2023'!E:E)</f>
        <v>0</v>
      </c>
      <c r="F6" s="18">
        <f>_xlfn.XLOOKUP($B:$B,'Compilado 2023'!$B:$B,'Compilado 2023'!F:F)</f>
        <v>216</v>
      </c>
      <c r="G6" s="18">
        <f>_xlfn.XLOOKUP($B:$B,'Compilado 2023'!$B:$B,'Compilado 2023'!G:G)</f>
        <v>264</v>
      </c>
      <c r="H6" s="35">
        <f t="shared" si="3"/>
        <v>296.08773148148146</v>
      </c>
      <c r="I6" s="19">
        <f t="shared" si="4"/>
        <v>637.34333333333336</v>
      </c>
      <c r="J6" s="122">
        <f t="shared" si="5"/>
        <v>100.34615042651004</v>
      </c>
      <c r="K6" s="18">
        <f>_xlfn.XLOOKUP($B:$B,'Compilado 2023'!$B:$B,'Compilado 2023'!K:K)</f>
        <v>5346</v>
      </c>
      <c r="L6" s="54">
        <f t="shared" si="1"/>
        <v>4.0404040404040407E-2</v>
      </c>
      <c r="M6" s="38"/>
      <c r="N6" s="106">
        <f>_xlfn.XLOOKUP($B:$B,'Compilado 2023'!$B:$B,'Compilado 2023'!N:N)</f>
        <v>437.12</v>
      </c>
      <c r="O6" s="106">
        <f>_xlfn.XLOOKUP($B:$B,'Compilado 2023'!$B:$B,'Compilado 2023'!O:O)</f>
        <v>146.88999999999999</v>
      </c>
      <c r="P6" s="106">
        <f>_xlfn.XLOOKUP($B:$B,'Compilado 2023'!$B:$B,'Compilado 2023'!P:P)</f>
        <v>0</v>
      </c>
      <c r="Q6" s="106">
        <f>_xlfn.XLOOKUP($B:$B,'Compilado 2023'!$B:$B,'Compilado 2023'!Q:Q)</f>
        <v>53.333333333333336</v>
      </c>
      <c r="R6" s="106">
        <f>_xlfn.XLOOKUP($B:$B,'Compilado 2023'!$B:$B,'Compilado 2023'!R:R)</f>
        <v>0</v>
      </c>
      <c r="S6" s="106">
        <f>_xlfn.XLOOKUP($B:$B,'Compilado 2023'!$B:$B,'Compilado 2023'!S:S)</f>
        <v>0</v>
      </c>
      <c r="T6" s="106">
        <f>_xlfn.XLOOKUP($B:$B,'Compilado 2023'!$B:$B,'Compilado 2023'!U:U)</f>
        <v>0</v>
      </c>
      <c r="U6" s="106">
        <f>_xlfn.XLOOKUP($B:$B,'Compilado 2023'!$B:$B,'Compilado 2023'!V:V)</f>
        <v>0</v>
      </c>
      <c r="V6" s="57"/>
      <c r="W6" s="106">
        <f>_xlfn.XLOOKUP($B:$B,'Compilado 2023'!$B:$B,'Compilado 2023'!X:X)</f>
        <v>0</v>
      </c>
      <c r="X6" s="106">
        <f>_xlfn.XLOOKUP($B:$B,'Compilado 2023'!$B:$B,'Compilado 2023'!Y:Y)</f>
        <v>0</v>
      </c>
      <c r="Y6" s="106">
        <f>_xlfn.XLOOKUP($B:$B,'Compilado 2023'!$B:$B,'Compilado 2023'!Z:Z)</f>
        <v>0</v>
      </c>
      <c r="Z6" s="38"/>
      <c r="AA6" s="107">
        <f>_xlfn.XLOOKUP($B:$B,'Compilado 2023'!$B:$B,'Compilado 2023'!AA:AA)</f>
        <v>0</v>
      </c>
    </row>
    <row r="7" spans="1:27" x14ac:dyDescent="0.2">
      <c r="A7" s="16" t="str">
        <f t="shared" si="0"/>
        <v>terça-feira</v>
      </c>
      <c r="B7" s="17">
        <f t="shared" si="6"/>
        <v>45020</v>
      </c>
      <c r="C7" s="19">
        <f t="shared" si="2"/>
        <v>57968.159999999996</v>
      </c>
      <c r="D7" s="35">
        <f>_xlfn.XLOOKUP($B:$B,'Compilado 2023'!$B:$B,'Compilado 2023'!D:D)</f>
        <v>57944.71</v>
      </c>
      <c r="E7" s="35">
        <f>_xlfn.XLOOKUP($B:$B,'Compilado 2023'!$B:$B,'Compilado 2023'!E:E)</f>
        <v>23.45</v>
      </c>
      <c r="F7" s="18">
        <f>_xlfn.XLOOKUP($B:$B,'Compilado 2023'!$B:$B,'Compilado 2023'!F:F)</f>
        <v>185</v>
      </c>
      <c r="G7" s="18">
        <f>_xlfn.XLOOKUP($B:$B,'Compilado 2023'!$B:$B,'Compilado 2023'!G:G)</f>
        <v>234</v>
      </c>
      <c r="H7" s="35">
        <f t="shared" si="3"/>
        <v>313.3414054054054</v>
      </c>
      <c r="I7" s="19">
        <f t="shared" si="4"/>
        <v>831.19333333333327</v>
      </c>
      <c r="J7" s="122">
        <f t="shared" si="5"/>
        <v>69.740886596780527</v>
      </c>
      <c r="K7" s="18">
        <f>_xlfn.XLOOKUP($B:$B,'Compilado 2023'!$B:$B,'Compilado 2023'!K:K)</f>
        <v>5473</v>
      </c>
      <c r="L7" s="54">
        <f t="shared" si="1"/>
        <v>3.3802302210853279E-2</v>
      </c>
      <c r="M7" s="38"/>
      <c r="N7" s="106">
        <f>_xlfn.XLOOKUP($B:$B,'Compilado 2023'!$B:$B,'Compilado 2023'!N:N)</f>
        <v>592.42999999999995</v>
      </c>
      <c r="O7" s="106">
        <f>_xlfn.XLOOKUP($B:$B,'Compilado 2023'!$B:$B,'Compilado 2023'!O:O)</f>
        <v>185.43</v>
      </c>
      <c r="P7" s="106">
        <f>_xlfn.XLOOKUP($B:$B,'Compilado 2023'!$B:$B,'Compilado 2023'!P:P)</f>
        <v>0</v>
      </c>
      <c r="Q7" s="106">
        <f>_xlfn.XLOOKUP($B:$B,'Compilado 2023'!$B:$B,'Compilado 2023'!Q:Q)</f>
        <v>53.333333333333336</v>
      </c>
      <c r="R7" s="106">
        <f>_xlfn.XLOOKUP($B:$B,'Compilado 2023'!$B:$B,'Compilado 2023'!R:R)</f>
        <v>0</v>
      </c>
      <c r="S7" s="106">
        <f>_xlfn.XLOOKUP($B:$B,'Compilado 2023'!$B:$B,'Compilado 2023'!S:S)</f>
        <v>0</v>
      </c>
      <c r="T7" s="106">
        <f>_xlfn.XLOOKUP($B:$B,'Compilado 2023'!$B:$B,'Compilado 2023'!U:U)</f>
        <v>0</v>
      </c>
      <c r="U7" s="106">
        <f>_xlfn.XLOOKUP($B:$B,'Compilado 2023'!$B:$B,'Compilado 2023'!V:V)</f>
        <v>0</v>
      </c>
      <c r="V7" s="57"/>
      <c r="W7" s="106">
        <f>_xlfn.XLOOKUP($B:$B,'Compilado 2023'!$B:$B,'Compilado 2023'!X:X)</f>
        <v>0</v>
      </c>
      <c r="X7" s="106">
        <f>_xlfn.XLOOKUP($B:$B,'Compilado 2023'!$B:$B,'Compilado 2023'!Y:Y)</f>
        <v>0</v>
      </c>
      <c r="Y7" s="106">
        <f>_xlfn.XLOOKUP($B:$B,'Compilado 2023'!$B:$B,'Compilado 2023'!Z:Z)</f>
        <v>0</v>
      </c>
      <c r="Z7" s="38"/>
      <c r="AA7" s="107">
        <f>_xlfn.XLOOKUP($B:$B,'Compilado 2023'!$B:$B,'Compilado 2023'!AA:AA)</f>
        <v>0</v>
      </c>
    </row>
    <row r="8" spans="1:27" s="2" customFormat="1" x14ac:dyDescent="0.2">
      <c r="A8" s="16" t="str">
        <f t="shared" si="0"/>
        <v>quarta-feira</v>
      </c>
      <c r="B8" s="17">
        <f t="shared" si="6"/>
        <v>45021</v>
      </c>
      <c r="C8" s="19">
        <f t="shared" si="2"/>
        <v>73847.72</v>
      </c>
      <c r="D8" s="35">
        <f>_xlfn.XLOOKUP($B:$B,'Compilado 2023'!$B:$B,'Compilado 2023'!D:D)</f>
        <v>73823.710000000006</v>
      </c>
      <c r="E8" s="35">
        <f>_xlfn.XLOOKUP($B:$B,'Compilado 2023'!$B:$B,'Compilado 2023'!E:E)</f>
        <v>24.01</v>
      </c>
      <c r="F8" s="18">
        <f>_xlfn.XLOOKUP($B:$B,'Compilado 2023'!$B:$B,'Compilado 2023'!F:F)</f>
        <v>287</v>
      </c>
      <c r="G8" s="18">
        <f>_xlfn.XLOOKUP($B:$B,'Compilado 2023'!$B:$B,'Compilado 2023'!G:G)</f>
        <v>412</v>
      </c>
      <c r="H8" s="35">
        <f t="shared" si="3"/>
        <v>257.30912891986065</v>
      </c>
      <c r="I8" s="19">
        <f t="shared" si="4"/>
        <v>799.8033333333334</v>
      </c>
      <c r="J8" s="122">
        <f t="shared" si="5"/>
        <v>92.332348368974039</v>
      </c>
      <c r="K8" s="18">
        <f>_xlfn.XLOOKUP($B:$B,'Compilado 2023'!$B:$B,'Compilado 2023'!K:K)</f>
        <v>5556</v>
      </c>
      <c r="L8" s="54">
        <f t="shared" si="1"/>
        <v>5.1655867530597553E-2</v>
      </c>
      <c r="M8" s="38"/>
      <c r="N8" s="106">
        <f>_xlfn.XLOOKUP($B:$B,'Compilado 2023'!$B:$B,'Compilado 2023'!N:N)</f>
        <v>460.87</v>
      </c>
      <c r="O8" s="106">
        <f>_xlfn.XLOOKUP($B:$B,'Compilado 2023'!$B:$B,'Compilado 2023'!O:O)</f>
        <v>285.60000000000002</v>
      </c>
      <c r="P8" s="106">
        <f>_xlfn.XLOOKUP($B:$B,'Compilado 2023'!$B:$B,'Compilado 2023'!P:P)</f>
        <v>0</v>
      </c>
      <c r="Q8" s="106">
        <f>_xlfn.XLOOKUP($B:$B,'Compilado 2023'!$B:$B,'Compilado 2023'!Q:Q)</f>
        <v>53.333333333333336</v>
      </c>
      <c r="R8" s="106">
        <f>_xlfn.XLOOKUP($B:$B,'Compilado 2023'!$B:$B,'Compilado 2023'!R:R)</f>
        <v>0</v>
      </c>
      <c r="S8" s="106">
        <f>_xlfn.XLOOKUP($B:$B,'Compilado 2023'!$B:$B,'Compilado 2023'!S:S)</f>
        <v>0</v>
      </c>
      <c r="T8" s="106">
        <f>_xlfn.XLOOKUP($B:$B,'Compilado 2023'!$B:$B,'Compilado 2023'!U:U)</f>
        <v>0</v>
      </c>
      <c r="U8" s="106">
        <f>_xlfn.XLOOKUP($B:$B,'Compilado 2023'!$B:$B,'Compilado 2023'!V:V)</f>
        <v>0</v>
      </c>
      <c r="V8" s="57"/>
      <c r="W8" s="106">
        <f>_xlfn.XLOOKUP($B:$B,'Compilado 2023'!$B:$B,'Compilado 2023'!X:X)</f>
        <v>0</v>
      </c>
      <c r="X8" s="106">
        <f>_xlfn.XLOOKUP($B:$B,'Compilado 2023'!$B:$B,'Compilado 2023'!Y:Y)</f>
        <v>0</v>
      </c>
      <c r="Y8" s="106">
        <f>_xlfn.XLOOKUP($B:$B,'Compilado 2023'!$B:$B,'Compilado 2023'!Z:Z)</f>
        <v>0</v>
      </c>
      <c r="Z8" s="38"/>
      <c r="AA8" s="107">
        <f>_xlfn.XLOOKUP($B:$B,'Compilado 2023'!$B:$B,'Compilado 2023'!AA:AA)</f>
        <v>0</v>
      </c>
    </row>
    <row r="9" spans="1:27" s="2" customFormat="1" x14ac:dyDescent="0.2">
      <c r="A9" s="16" t="str">
        <f t="shared" si="0"/>
        <v>quinta-feira</v>
      </c>
      <c r="B9" s="17">
        <f t="shared" si="6"/>
        <v>45022</v>
      </c>
      <c r="C9" s="19">
        <f t="shared" si="2"/>
        <v>117256.14</v>
      </c>
      <c r="D9" s="35">
        <f>_xlfn.XLOOKUP($B:$B,'Compilado 2023'!$B:$B,'Compilado 2023'!D:D)</f>
        <v>117256.14</v>
      </c>
      <c r="E9" s="35">
        <f>_xlfn.XLOOKUP($B:$B,'Compilado 2023'!$B:$B,'Compilado 2023'!E:E)</f>
        <v>0</v>
      </c>
      <c r="F9" s="18">
        <f>_xlfn.XLOOKUP($B:$B,'Compilado 2023'!$B:$B,'Compilado 2023'!F:F)</f>
        <v>494</v>
      </c>
      <c r="G9" s="18">
        <f>_xlfn.XLOOKUP($B:$B,'Compilado 2023'!$B:$B,'Compilado 2023'!G:G)</f>
        <v>762</v>
      </c>
      <c r="H9" s="35">
        <f t="shared" si="3"/>
        <v>237.3606072874494</v>
      </c>
      <c r="I9" s="19">
        <f t="shared" si="4"/>
        <v>893.44333333333327</v>
      </c>
      <c r="J9" s="122">
        <f t="shared" si="5"/>
        <v>131.2407128972925</v>
      </c>
      <c r="K9" s="18">
        <f>_xlfn.XLOOKUP($B:$B,'Compilado 2023'!$B:$B,'Compilado 2023'!K:K)</f>
        <v>6322</v>
      </c>
      <c r="L9" s="54">
        <f t="shared" si="1"/>
        <v>7.8139829167984814E-2</v>
      </c>
      <c r="M9" s="38"/>
      <c r="N9" s="106">
        <f>_xlfn.XLOOKUP($B:$B,'Compilado 2023'!$B:$B,'Compilado 2023'!N:N)</f>
        <v>473.4</v>
      </c>
      <c r="O9" s="106">
        <f>_xlfn.XLOOKUP($B:$B,'Compilado 2023'!$B:$B,'Compilado 2023'!O:O)</f>
        <v>366.71</v>
      </c>
      <c r="P9" s="106">
        <f>_xlfn.XLOOKUP($B:$B,'Compilado 2023'!$B:$B,'Compilado 2023'!P:P)</f>
        <v>0</v>
      </c>
      <c r="Q9" s="106">
        <f>_xlfn.XLOOKUP($B:$B,'Compilado 2023'!$B:$B,'Compilado 2023'!Q:Q)</f>
        <v>53.333333333333336</v>
      </c>
      <c r="R9" s="106">
        <f>_xlfn.XLOOKUP($B:$B,'Compilado 2023'!$B:$B,'Compilado 2023'!R:R)</f>
        <v>0</v>
      </c>
      <c r="S9" s="106">
        <f>_xlfn.XLOOKUP($B:$B,'Compilado 2023'!$B:$B,'Compilado 2023'!S:S)</f>
        <v>0</v>
      </c>
      <c r="T9" s="106">
        <f>_xlfn.XLOOKUP($B:$B,'Compilado 2023'!$B:$B,'Compilado 2023'!U:U)</f>
        <v>0</v>
      </c>
      <c r="U9" s="106">
        <f>_xlfn.XLOOKUP($B:$B,'Compilado 2023'!$B:$B,'Compilado 2023'!V:V)</f>
        <v>0</v>
      </c>
      <c r="V9" s="57"/>
      <c r="W9" s="106">
        <f>_xlfn.XLOOKUP($B:$B,'Compilado 2023'!$B:$B,'Compilado 2023'!X:X)</f>
        <v>0</v>
      </c>
      <c r="X9" s="106">
        <f>_xlfn.XLOOKUP($B:$B,'Compilado 2023'!$B:$B,'Compilado 2023'!Y:Y)</f>
        <v>0</v>
      </c>
      <c r="Y9" s="106">
        <f>_xlfn.XLOOKUP($B:$B,'Compilado 2023'!$B:$B,'Compilado 2023'!Z:Z)</f>
        <v>0</v>
      </c>
      <c r="Z9" s="38"/>
      <c r="AA9" s="107" t="str">
        <f>_xlfn.XLOOKUP($B:$B,'Compilado 2023'!$B:$B,'Compilado 2023'!AA:AA)</f>
        <v>Voucher Experience Paraído - Inicio</v>
      </c>
    </row>
    <row r="10" spans="1:27" s="2" customFormat="1" x14ac:dyDescent="0.2">
      <c r="A10" s="16" t="str">
        <f t="shared" si="0"/>
        <v>sexta-feira</v>
      </c>
      <c r="B10" s="17">
        <f t="shared" si="6"/>
        <v>45023</v>
      </c>
      <c r="C10" s="19">
        <f t="shared" si="2"/>
        <v>34758.99</v>
      </c>
      <c r="D10" s="35">
        <f>_xlfn.XLOOKUP($B:$B,'Compilado 2023'!$B:$B,'Compilado 2023'!D:D)</f>
        <v>34734.199999999997</v>
      </c>
      <c r="E10" s="35">
        <f>_xlfn.XLOOKUP($B:$B,'Compilado 2023'!$B:$B,'Compilado 2023'!E:E)</f>
        <v>24.79</v>
      </c>
      <c r="F10" s="18">
        <f>_xlfn.XLOOKUP($B:$B,'Compilado 2023'!$B:$B,'Compilado 2023'!F:F)</f>
        <v>131</v>
      </c>
      <c r="G10" s="18">
        <f>_xlfn.XLOOKUP($B:$B,'Compilado 2023'!$B:$B,'Compilado 2023'!G:G)</f>
        <v>169</v>
      </c>
      <c r="H10" s="35">
        <f t="shared" si="3"/>
        <v>265.33580152671755</v>
      </c>
      <c r="I10" s="19">
        <f t="shared" si="4"/>
        <v>647.44333333333338</v>
      </c>
      <c r="J10" s="122">
        <f t="shared" si="5"/>
        <v>53.686536273444773</v>
      </c>
      <c r="K10" s="18">
        <f>_xlfn.XLOOKUP($B:$B,'Compilado 2023'!$B:$B,'Compilado 2023'!K:K)</f>
        <v>3733</v>
      </c>
      <c r="L10" s="54">
        <f t="shared" si="1"/>
        <v>3.5092418965979102E-2</v>
      </c>
      <c r="M10" s="38"/>
      <c r="N10" s="106">
        <f>_xlfn.XLOOKUP($B:$B,'Compilado 2023'!$B:$B,'Compilado 2023'!N:N)</f>
        <v>358.73</v>
      </c>
      <c r="O10" s="106">
        <f>_xlfn.XLOOKUP($B:$B,'Compilado 2023'!$B:$B,'Compilado 2023'!O:O)</f>
        <v>235.38</v>
      </c>
      <c r="P10" s="106">
        <f>_xlfn.XLOOKUP($B:$B,'Compilado 2023'!$B:$B,'Compilado 2023'!P:P)</f>
        <v>0</v>
      </c>
      <c r="Q10" s="106">
        <f>_xlfn.XLOOKUP($B:$B,'Compilado 2023'!$B:$B,'Compilado 2023'!Q:Q)</f>
        <v>53.333333333333336</v>
      </c>
      <c r="R10" s="106">
        <f>_xlfn.XLOOKUP($B:$B,'Compilado 2023'!$B:$B,'Compilado 2023'!R:R)</f>
        <v>0</v>
      </c>
      <c r="S10" s="106">
        <f>_xlfn.XLOOKUP($B:$B,'Compilado 2023'!$B:$B,'Compilado 2023'!S:S)</f>
        <v>0</v>
      </c>
      <c r="T10" s="106">
        <f>_xlfn.XLOOKUP($B:$B,'Compilado 2023'!$B:$B,'Compilado 2023'!U:U)</f>
        <v>0</v>
      </c>
      <c r="U10" s="106">
        <f>_xlfn.XLOOKUP($B:$B,'Compilado 2023'!$B:$B,'Compilado 2023'!V:V)</f>
        <v>0</v>
      </c>
      <c r="V10" s="57"/>
      <c r="W10" s="106">
        <f>_xlfn.XLOOKUP($B:$B,'Compilado 2023'!$B:$B,'Compilado 2023'!X:X)</f>
        <v>0</v>
      </c>
      <c r="X10" s="106">
        <f>_xlfn.XLOOKUP($B:$B,'Compilado 2023'!$B:$B,'Compilado 2023'!Y:Y)</f>
        <v>0</v>
      </c>
      <c r="Y10" s="106">
        <f>_xlfn.XLOOKUP($B:$B,'Compilado 2023'!$B:$B,'Compilado 2023'!Z:Z)</f>
        <v>0</v>
      </c>
      <c r="Z10" s="38"/>
      <c r="AA10" s="107">
        <f>_xlfn.XLOOKUP($B:$B,'Compilado 2023'!$B:$B,'Compilado 2023'!AA:AA)</f>
        <v>0</v>
      </c>
    </row>
    <row r="11" spans="1:27" s="2" customFormat="1" x14ac:dyDescent="0.2">
      <c r="A11" s="16" t="str">
        <f t="shared" si="0"/>
        <v>sábado</v>
      </c>
      <c r="B11" s="17">
        <f t="shared" si="6"/>
        <v>45024</v>
      </c>
      <c r="C11" s="19">
        <f t="shared" si="2"/>
        <v>33919.589999999997</v>
      </c>
      <c r="D11" s="35">
        <f>_xlfn.XLOOKUP($B:$B,'Compilado 2023'!$B:$B,'Compilado 2023'!D:D)</f>
        <v>33897.279999999999</v>
      </c>
      <c r="E11" s="35">
        <f>_xlfn.XLOOKUP($B:$B,'Compilado 2023'!$B:$B,'Compilado 2023'!E:E)</f>
        <v>22.31</v>
      </c>
      <c r="F11" s="18">
        <f>_xlfn.XLOOKUP($B:$B,'Compilado 2023'!$B:$B,'Compilado 2023'!F:F)</f>
        <v>121</v>
      </c>
      <c r="G11" s="18">
        <f>_xlfn.XLOOKUP($B:$B,'Compilado 2023'!$B:$B,'Compilado 2023'!G:G)</f>
        <v>143</v>
      </c>
      <c r="H11" s="35">
        <f t="shared" si="3"/>
        <v>280.32719008264462</v>
      </c>
      <c r="I11" s="19">
        <f t="shared" si="4"/>
        <v>640.15333333333331</v>
      </c>
      <c r="J11" s="122">
        <f t="shared" si="5"/>
        <v>52.986664653260156</v>
      </c>
      <c r="K11" s="18">
        <f>_xlfn.XLOOKUP($B:$B,'Compilado 2023'!$B:$B,'Compilado 2023'!K:K)</f>
        <v>3787</v>
      </c>
      <c r="L11" s="54">
        <f t="shared" si="1"/>
        <v>3.1951412727752836E-2</v>
      </c>
      <c r="M11" s="38"/>
      <c r="N11" s="106">
        <f>_xlfn.XLOOKUP($B:$B,'Compilado 2023'!$B:$B,'Compilado 2023'!N:N)</f>
        <v>360.65</v>
      </c>
      <c r="O11" s="106">
        <f>_xlfn.XLOOKUP($B:$B,'Compilado 2023'!$B:$B,'Compilado 2023'!O:O)</f>
        <v>226.17</v>
      </c>
      <c r="P11" s="106">
        <f>_xlfn.XLOOKUP($B:$B,'Compilado 2023'!$B:$B,'Compilado 2023'!P:P)</f>
        <v>0</v>
      </c>
      <c r="Q11" s="106">
        <f>_xlfn.XLOOKUP($B:$B,'Compilado 2023'!$B:$B,'Compilado 2023'!Q:Q)</f>
        <v>53.333333333333336</v>
      </c>
      <c r="R11" s="106">
        <f>_xlfn.XLOOKUP($B:$B,'Compilado 2023'!$B:$B,'Compilado 2023'!R:R)</f>
        <v>0</v>
      </c>
      <c r="S11" s="106">
        <f>_xlfn.XLOOKUP($B:$B,'Compilado 2023'!$B:$B,'Compilado 2023'!S:S)</f>
        <v>0</v>
      </c>
      <c r="T11" s="106">
        <f>_xlfn.XLOOKUP($B:$B,'Compilado 2023'!$B:$B,'Compilado 2023'!U:U)</f>
        <v>0</v>
      </c>
      <c r="U11" s="106">
        <f>_xlfn.XLOOKUP($B:$B,'Compilado 2023'!$B:$B,'Compilado 2023'!V:V)</f>
        <v>0</v>
      </c>
      <c r="V11" s="57"/>
      <c r="W11" s="106">
        <f>_xlfn.XLOOKUP($B:$B,'Compilado 2023'!$B:$B,'Compilado 2023'!X:X)</f>
        <v>0</v>
      </c>
      <c r="X11" s="106">
        <f>_xlfn.XLOOKUP($B:$B,'Compilado 2023'!$B:$B,'Compilado 2023'!Y:Y)</f>
        <v>0</v>
      </c>
      <c r="Y11" s="106">
        <f>_xlfn.XLOOKUP($B:$B,'Compilado 2023'!$B:$B,'Compilado 2023'!Z:Z)</f>
        <v>0</v>
      </c>
      <c r="Z11" s="38"/>
      <c r="AA11" s="107">
        <f>_xlfn.XLOOKUP($B:$B,'Compilado 2023'!$B:$B,'Compilado 2023'!AA:AA)</f>
        <v>0</v>
      </c>
    </row>
    <row r="12" spans="1:27" s="2" customFormat="1" x14ac:dyDescent="0.2">
      <c r="A12" s="16" t="str">
        <f t="shared" si="0"/>
        <v>domingo</v>
      </c>
      <c r="B12" s="17">
        <f t="shared" si="6"/>
        <v>45025</v>
      </c>
      <c r="C12" s="19">
        <f t="shared" si="2"/>
        <v>28990.42</v>
      </c>
      <c r="D12" s="35">
        <f>_xlfn.XLOOKUP($B:$B,'Compilado 2023'!$B:$B,'Compilado 2023'!D:D)</f>
        <v>28990.42</v>
      </c>
      <c r="E12" s="35">
        <f>_xlfn.XLOOKUP($B:$B,'Compilado 2023'!$B:$B,'Compilado 2023'!E:E)</f>
        <v>0</v>
      </c>
      <c r="F12" s="18">
        <f>_xlfn.XLOOKUP($B:$B,'Compilado 2023'!$B:$B,'Compilado 2023'!F:F)</f>
        <v>88</v>
      </c>
      <c r="G12" s="18">
        <f>_xlfn.XLOOKUP($B:$B,'Compilado 2023'!$B:$B,'Compilado 2023'!G:G)</f>
        <v>115</v>
      </c>
      <c r="H12" s="35">
        <f t="shared" si="3"/>
        <v>329.43659090909091</v>
      </c>
      <c r="I12" s="19">
        <f t="shared" si="4"/>
        <v>524.37333333333333</v>
      </c>
      <c r="J12" s="122">
        <f t="shared" si="5"/>
        <v>55.285839605370214</v>
      </c>
      <c r="K12" s="18">
        <f>_xlfn.XLOOKUP($B:$B,'Compilado 2023'!$B:$B,'Compilado 2023'!K:K)</f>
        <v>2946</v>
      </c>
      <c r="L12" s="54">
        <f t="shared" si="1"/>
        <v>2.9871011541072641E-2</v>
      </c>
      <c r="M12" s="38"/>
      <c r="N12" s="106">
        <f>_xlfn.XLOOKUP($B:$B,'Compilado 2023'!$B:$B,'Compilado 2023'!N:N)</f>
        <v>293.31</v>
      </c>
      <c r="O12" s="106">
        <f>_xlfn.XLOOKUP($B:$B,'Compilado 2023'!$B:$B,'Compilado 2023'!O:O)</f>
        <v>177.73</v>
      </c>
      <c r="P12" s="106">
        <f>_xlfn.XLOOKUP($B:$B,'Compilado 2023'!$B:$B,'Compilado 2023'!P:P)</f>
        <v>0</v>
      </c>
      <c r="Q12" s="106">
        <f>_xlfn.XLOOKUP($B:$B,'Compilado 2023'!$B:$B,'Compilado 2023'!Q:Q)</f>
        <v>53.333333333333336</v>
      </c>
      <c r="R12" s="106">
        <f>_xlfn.XLOOKUP($B:$B,'Compilado 2023'!$B:$B,'Compilado 2023'!R:R)</f>
        <v>0</v>
      </c>
      <c r="S12" s="106">
        <f>_xlfn.XLOOKUP($B:$B,'Compilado 2023'!$B:$B,'Compilado 2023'!S:S)</f>
        <v>0</v>
      </c>
      <c r="T12" s="106">
        <f>_xlfn.XLOOKUP($B:$B,'Compilado 2023'!$B:$B,'Compilado 2023'!U:U)</f>
        <v>0</v>
      </c>
      <c r="U12" s="106">
        <f>_xlfn.XLOOKUP($B:$B,'Compilado 2023'!$B:$B,'Compilado 2023'!V:V)</f>
        <v>0</v>
      </c>
      <c r="V12" s="57"/>
      <c r="W12" s="106">
        <f>_xlfn.XLOOKUP($B:$B,'Compilado 2023'!$B:$B,'Compilado 2023'!X:X)</f>
        <v>0</v>
      </c>
      <c r="X12" s="106">
        <f>_xlfn.XLOOKUP($B:$B,'Compilado 2023'!$B:$B,'Compilado 2023'!Y:Y)</f>
        <v>0</v>
      </c>
      <c r="Y12" s="106">
        <f>_xlfn.XLOOKUP($B:$B,'Compilado 2023'!$B:$B,'Compilado 2023'!Z:Z)</f>
        <v>0</v>
      </c>
      <c r="Z12" s="38"/>
      <c r="AA12" s="107">
        <f>_xlfn.XLOOKUP($B:$B,'Compilado 2023'!$B:$B,'Compilado 2023'!AA:AA)</f>
        <v>0</v>
      </c>
    </row>
    <row r="13" spans="1:27" x14ac:dyDescent="0.2">
      <c r="A13" s="16" t="str">
        <f t="shared" si="0"/>
        <v>segunda-feira</v>
      </c>
      <c r="B13" s="17">
        <f t="shared" si="6"/>
        <v>45026</v>
      </c>
      <c r="C13" s="19">
        <f t="shared" si="2"/>
        <v>56755.53</v>
      </c>
      <c r="D13" s="35">
        <f>_xlfn.XLOOKUP($B:$B,'Compilado 2023'!$B:$B,'Compilado 2023'!D:D)</f>
        <v>56755.53</v>
      </c>
      <c r="E13" s="35">
        <f>_xlfn.XLOOKUP($B:$B,'Compilado 2023'!$B:$B,'Compilado 2023'!E:E)</f>
        <v>0</v>
      </c>
      <c r="F13" s="18">
        <f>_xlfn.XLOOKUP($B:$B,'Compilado 2023'!$B:$B,'Compilado 2023'!F:F)</f>
        <v>177</v>
      </c>
      <c r="G13" s="18">
        <f>_xlfn.XLOOKUP($B:$B,'Compilado 2023'!$B:$B,'Compilado 2023'!G:G)</f>
        <v>226</v>
      </c>
      <c r="H13" s="35">
        <f t="shared" si="3"/>
        <v>320.6527118644068</v>
      </c>
      <c r="I13" s="19">
        <f t="shared" si="4"/>
        <v>678.45333333333338</v>
      </c>
      <c r="J13" s="122">
        <f t="shared" si="5"/>
        <v>83.654287202263973</v>
      </c>
      <c r="K13" s="18">
        <f>_xlfn.XLOOKUP($B:$B,'Compilado 2023'!$B:$B,'Compilado 2023'!K:K)</f>
        <v>5293</v>
      </c>
      <c r="L13" s="54">
        <f t="shared" si="1"/>
        <v>3.3440392971849614E-2</v>
      </c>
      <c r="M13" s="38"/>
      <c r="N13" s="106">
        <f>_xlfn.XLOOKUP($B:$B,'Compilado 2023'!$B:$B,'Compilado 2023'!N:N)</f>
        <v>483.58</v>
      </c>
      <c r="O13" s="106">
        <f>_xlfn.XLOOKUP($B:$B,'Compilado 2023'!$B:$B,'Compilado 2023'!O:O)</f>
        <v>141.54</v>
      </c>
      <c r="P13" s="106">
        <f>_xlfn.XLOOKUP($B:$B,'Compilado 2023'!$B:$B,'Compilado 2023'!P:P)</f>
        <v>0</v>
      </c>
      <c r="Q13" s="106">
        <f>_xlfn.XLOOKUP($B:$B,'Compilado 2023'!$B:$B,'Compilado 2023'!Q:Q)</f>
        <v>53.333333333333336</v>
      </c>
      <c r="R13" s="106">
        <f>_xlfn.XLOOKUP($B:$B,'Compilado 2023'!$B:$B,'Compilado 2023'!R:R)</f>
        <v>0</v>
      </c>
      <c r="S13" s="106">
        <f>_xlfn.XLOOKUP($B:$B,'Compilado 2023'!$B:$B,'Compilado 2023'!S:S)</f>
        <v>0</v>
      </c>
      <c r="T13" s="106">
        <f>_xlfn.XLOOKUP($B:$B,'Compilado 2023'!$B:$B,'Compilado 2023'!U:U)</f>
        <v>0</v>
      </c>
      <c r="U13" s="106">
        <f>_xlfn.XLOOKUP($B:$B,'Compilado 2023'!$B:$B,'Compilado 2023'!V:V)</f>
        <v>0</v>
      </c>
      <c r="V13" s="57"/>
      <c r="W13" s="106">
        <f>_xlfn.XLOOKUP($B:$B,'Compilado 2023'!$B:$B,'Compilado 2023'!X:X)</f>
        <v>0</v>
      </c>
      <c r="X13" s="106">
        <f>_xlfn.XLOOKUP($B:$B,'Compilado 2023'!$B:$B,'Compilado 2023'!Y:Y)</f>
        <v>0</v>
      </c>
      <c r="Y13" s="106">
        <f>_xlfn.XLOOKUP($B:$B,'Compilado 2023'!$B:$B,'Compilado 2023'!Z:Z)</f>
        <v>0</v>
      </c>
      <c r="Z13" s="38"/>
      <c r="AA13" s="107" t="str">
        <f>_xlfn.XLOOKUP($B:$B,'Compilado 2023'!$B:$B,'Compilado 2023'!AA:AA)</f>
        <v>Voucher Experience Paraído - Fim</v>
      </c>
    </row>
    <row r="14" spans="1:27" x14ac:dyDescent="0.2">
      <c r="A14" s="16" t="str">
        <f t="shared" si="0"/>
        <v>terça-feira</v>
      </c>
      <c r="B14" s="17">
        <f t="shared" si="6"/>
        <v>45027</v>
      </c>
      <c r="C14" s="19">
        <f t="shared" si="2"/>
        <v>67143.679999999993</v>
      </c>
      <c r="D14" s="35">
        <f>_xlfn.XLOOKUP($B:$B,'Compilado 2023'!$B:$B,'Compilado 2023'!D:D)</f>
        <v>67143.679999999993</v>
      </c>
      <c r="E14" s="35">
        <f>_xlfn.XLOOKUP($B:$B,'Compilado 2023'!$B:$B,'Compilado 2023'!E:E)</f>
        <v>0</v>
      </c>
      <c r="F14" s="18">
        <f>_xlfn.XLOOKUP($B:$B,'Compilado 2023'!$B:$B,'Compilado 2023'!F:F)</f>
        <v>229</v>
      </c>
      <c r="G14" s="18">
        <f>_xlfn.XLOOKUP($B:$B,'Compilado 2023'!$B:$B,'Compilado 2023'!G:G)</f>
        <v>269</v>
      </c>
      <c r="H14" s="35">
        <f t="shared" si="3"/>
        <v>293.20384279475979</v>
      </c>
      <c r="I14" s="19">
        <f t="shared" si="4"/>
        <v>757.46333333333348</v>
      </c>
      <c r="J14" s="122">
        <f t="shared" si="5"/>
        <v>88.642812193329462</v>
      </c>
      <c r="K14" s="18">
        <f>_xlfn.XLOOKUP($B:$B,'Compilado 2023'!$B:$B,'Compilado 2023'!K:K)</f>
        <v>6059</v>
      </c>
      <c r="L14" s="54">
        <f t="shared" si="1"/>
        <v>3.7795015679154977E-2</v>
      </c>
      <c r="M14" s="38"/>
      <c r="N14" s="106">
        <f>_xlfn.XLOOKUP($B:$B,'Compilado 2023'!$B:$B,'Compilado 2023'!N:N)</f>
        <v>553.20000000000005</v>
      </c>
      <c r="O14" s="106">
        <f>_xlfn.XLOOKUP($B:$B,'Compilado 2023'!$B:$B,'Compilado 2023'!O:O)</f>
        <v>150.93</v>
      </c>
      <c r="P14" s="106">
        <f>_xlfn.XLOOKUP($B:$B,'Compilado 2023'!$B:$B,'Compilado 2023'!P:P)</f>
        <v>0</v>
      </c>
      <c r="Q14" s="106">
        <f>_xlfn.XLOOKUP($B:$B,'Compilado 2023'!$B:$B,'Compilado 2023'!Q:Q)</f>
        <v>53.333333333333336</v>
      </c>
      <c r="R14" s="106">
        <f>_xlfn.XLOOKUP($B:$B,'Compilado 2023'!$B:$B,'Compilado 2023'!R:R)</f>
        <v>0</v>
      </c>
      <c r="S14" s="106">
        <f>_xlfn.XLOOKUP($B:$B,'Compilado 2023'!$B:$B,'Compilado 2023'!S:S)</f>
        <v>0</v>
      </c>
      <c r="T14" s="106">
        <f>_xlfn.XLOOKUP($B:$B,'Compilado 2023'!$B:$B,'Compilado 2023'!U:U)</f>
        <v>0</v>
      </c>
      <c r="U14" s="106">
        <f>_xlfn.XLOOKUP($B:$B,'Compilado 2023'!$B:$B,'Compilado 2023'!V:V)</f>
        <v>0</v>
      </c>
      <c r="V14" s="57"/>
      <c r="W14" s="106">
        <f>_xlfn.XLOOKUP($B:$B,'Compilado 2023'!$B:$B,'Compilado 2023'!X:X)</f>
        <v>0</v>
      </c>
      <c r="X14" s="106">
        <f>_xlfn.XLOOKUP($B:$B,'Compilado 2023'!$B:$B,'Compilado 2023'!Y:Y)</f>
        <v>0</v>
      </c>
      <c r="Y14" s="106">
        <f>_xlfn.XLOOKUP($B:$B,'Compilado 2023'!$B:$B,'Compilado 2023'!Z:Z)</f>
        <v>0</v>
      </c>
      <c r="Z14" s="38"/>
      <c r="AA14" s="107">
        <f>_xlfn.XLOOKUP($B:$B,'Compilado 2023'!$B:$B,'Compilado 2023'!AA:AA)</f>
        <v>0</v>
      </c>
    </row>
    <row r="15" spans="1:27" s="2" customFormat="1" x14ac:dyDescent="0.2">
      <c r="A15" s="16" t="str">
        <f t="shared" si="0"/>
        <v>quarta-feira</v>
      </c>
      <c r="B15" s="17">
        <f t="shared" si="6"/>
        <v>45028</v>
      </c>
      <c r="C15" s="19">
        <f t="shared" si="2"/>
        <v>87256.459999999992</v>
      </c>
      <c r="D15" s="35">
        <f>_xlfn.XLOOKUP($B:$B,'Compilado 2023'!$B:$B,'Compilado 2023'!D:D)</f>
        <v>87233.29</v>
      </c>
      <c r="E15" s="35">
        <f>_xlfn.XLOOKUP($B:$B,'Compilado 2023'!$B:$B,'Compilado 2023'!E:E)</f>
        <v>23.17</v>
      </c>
      <c r="F15" s="18">
        <f>_xlfn.XLOOKUP($B:$B,'Compilado 2023'!$B:$B,'Compilado 2023'!F:F)</f>
        <v>267</v>
      </c>
      <c r="G15" s="18">
        <f>_xlfn.XLOOKUP($B:$B,'Compilado 2023'!$B:$B,'Compilado 2023'!G:G)</f>
        <v>357</v>
      </c>
      <c r="H15" s="35">
        <f t="shared" si="3"/>
        <v>326.80322097378274</v>
      </c>
      <c r="I15" s="19">
        <f t="shared" si="4"/>
        <v>1322.9633333333334</v>
      </c>
      <c r="J15" s="122">
        <f t="shared" si="5"/>
        <v>65.955312442521702</v>
      </c>
      <c r="K15" s="18">
        <f>_xlfn.XLOOKUP($B:$B,'Compilado 2023'!$B:$B,'Compilado 2023'!K:K)</f>
        <v>7657</v>
      </c>
      <c r="L15" s="54">
        <f t="shared" si="1"/>
        <v>3.4870053545775111E-2</v>
      </c>
      <c r="M15" s="38"/>
      <c r="N15" s="106">
        <f>_xlfn.XLOOKUP($B:$B,'Compilado 2023'!$B:$B,'Compilado 2023'!N:N)</f>
        <v>1081.6300000000001</v>
      </c>
      <c r="O15" s="106">
        <f>_xlfn.XLOOKUP($B:$B,'Compilado 2023'!$B:$B,'Compilado 2023'!O:O)</f>
        <v>188</v>
      </c>
      <c r="P15" s="106">
        <f>_xlfn.XLOOKUP($B:$B,'Compilado 2023'!$B:$B,'Compilado 2023'!P:P)</f>
        <v>0</v>
      </c>
      <c r="Q15" s="106">
        <f>_xlfn.XLOOKUP($B:$B,'Compilado 2023'!$B:$B,'Compilado 2023'!Q:Q)</f>
        <v>53.333333333333336</v>
      </c>
      <c r="R15" s="106">
        <f>_xlfn.XLOOKUP($B:$B,'Compilado 2023'!$B:$B,'Compilado 2023'!R:R)</f>
        <v>0</v>
      </c>
      <c r="S15" s="106">
        <f>_xlfn.XLOOKUP($B:$B,'Compilado 2023'!$B:$B,'Compilado 2023'!S:S)</f>
        <v>0</v>
      </c>
      <c r="T15" s="106">
        <f>_xlfn.XLOOKUP($B:$B,'Compilado 2023'!$B:$B,'Compilado 2023'!U:U)</f>
        <v>0</v>
      </c>
      <c r="U15" s="106">
        <f>_xlfn.XLOOKUP($B:$B,'Compilado 2023'!$B:$B,'Compilado 2023'!V:V)</f>
        <v>0</v>
      </c>
      <c r="V15" s="57"/>
      <c r="W15" s="106">
        <f>_xlfn.XLOOKUP($B:$B,'Compilado 2023'!$B:$B,'Compilado 2023'!X:X)</f>
        <v>0</v>
      </c>
      <c r="X15" s="106">
        <f>_xlfn.XLOOKUP($B:$B,'Compilado 2023'!$B:$B,'Compilado 2023'!Y:Y)</f>
        <v>0</v>
      </c>
      <c r="Y15" s="106">
        <f>_xlfn.XLOOKUP($B:$B,'Compilado 2023'!$B:$B,'Compilado 2023'!Z:Z)</f>
        <v>0</v>
      </c>
      <c r="Z15" s="38"/>
      <c r="AA15" s="107">
        <f>_xlfn.XLOOKUP($B:$B,'Compilado 2023'!$B:$B,'Compilado 2023'!AA:AA)</f>
        <v>0</v>
      </c>
    </row>
    <row r="16" spans="1:27" s="2" customFormat="1" x14ac:dyDescent="0.2">
      <c r="A16" s="16" t="str">
        <f t="shared" si="0"/>
        <v>quinta-feira</v>
      </c>
      <c r="B16" s="17">
        <f t="shared" si="6"/>
        <v>45029</v>
      </c>
      <c r="C16" s="19">
        <f t="shared" si="2"/>
        <v>94113.84</v>
      </c>
      <c r="D16" s="35">
        <f>_xlfn.XLOOKUP($B:$B,'Compilado 2023'!$B:$B,'Compilado 2023'!D:D)</f>
        <v>94113.84</v>
      </c>
      <c r="E16" s="35">
        <f>_xlfn.XLOOKUP($B:$B,'Compilado 2023'!$B:$B,'Compilado 2023'!E:E)</f>
        <v>0</v>
      </c>
      <c r="F16" s="18">
        <f>_xlfn.XLOOKUP($B:$B,'Compilado 2023'!$B:$B,'Compilado 2023'!F:F)</f>
        <v>283</v>
      </c>
      <c r="G16" s="18">
        <f>_xlfn.XLOOKUP($B:$B,'Compilado 2023'!$B:$B,'Compilado 2023'!G:G)</f>
        <v>404</v>
      </c>
      <c r="H16" s="35">
        <f t="shared" si="3"/>
        <v>332.55773851590106</v>
      </c>
      <c r="I16" s="19">
        <f t="shared" si="4"/>
        <v>1704.2433333333331</v>
      </c>
      <c r="J16" s="122">
        <f t="shared" si="5"/>
        <v>55.223240812638259</v>
      </c>
      <c r="K16" s="18">
        <f>_xlfn.XLOOKUP($B:$B,'Compilado 2023'!$B:$B,'Compilado 2023'!K:K)</f>
        <v>6821</v>
      </c>
      <c r="L16" s="54">
        <f t="shared" si="1"/>
        <v>4.1489517666031372E-2</v>
      </c>
      <c r="M16" s="38"/>
      <c r="N16" s="106">
        <f>_xlfn.XLOOKUP($B:$B,'Compilado 2023'!$B:$B,'Compilado 2023'!N:N)</f>
        <v>1339.11</v>
      </c>
      <c r="O16" s="106">
        <f>_xlfn.XLOOKUP($B:$B,'Compilado 2023'!$B:$B,'Compilado 2023'!O:O)</f>
        <v>311.8</v>
      </c>
      <c r="P16" s="106">
        <f>_xlfn.XLOOKUP($B:$B,'Compilado 2023'!$B:$B,'Compilado 2023'!P:P)</f>
        <v>0</v>
      </c>
      <c r="Q16" s="106">
        <f>_xlfn.XLOOKUP($B:$B,'Compilado 2023'!$B:$B,'Compilado 2023'!Q:Q)</f>
        <v>53.333333333333336</v>
      </c>
      <c r="R16" s="106">
        <f>_xlfn.XLOOKUP($B:$B,'Compilado 2023'!$B:$B,'Compilado 2023'!R:R)</f>
        <v>0</v>
      </c>
      <c r="S16" s="106">
        <f>_xlfn.XLOOKUP($B:$B,'Compilado 2023'!$B:$B,'Compilado 2023'!S:S)</f>
        <v>0</v>
      </c>
      <c r="T16" s="106">
        <f>_xlfn.XLOOKUP($B:$B,'Compilado 2023'!$B:$B,'Compilado 2023'!U:U)</f>
        <v>0</v>
      </c>
      <c r="U16" s="106">
        <f>_xlfn.XLOOKUP($B:$B,'Compilado 2023'!$B:$B,'Compilado 2023'!V:V)</f>
        <v>0</v>
      </c>
      <c r="V16" s="57"/>
      <c r="W16" s="106">
        <f>_xlfn.XLOOKUP($B:$B,'Compilado 2023'!$B:$B,'Compilado 2023'!X:X)</f>
        <v>0</v>
      </c>
      <c r="X16" s="106">
        <f>_xlfn.XLOOKUP($B:$B,'Compilado 2023'!$B:$B,'Compilado 2023'!Y:Y)</f>
        <v>0</v>
      </c>
      <c r="Y16" s="106">
        <f>_xlfn.XLOOKUP($B:$B,'Compilado 2023'!$B:$B,'Compilado 2023'!Z:Z)</f>
        <v>0</v>
      </c>
      <c r="Z16" s="38"/>
      <c r="AA16" s="107" t="str">
        <f>_xlfn.XLOOKUP($B:$B,'Compilado 2023'!$B:$B,'Compilado 2023'!AA:AA)</f>
        <v xml:space="preserve">Ativou Gif dos pacotes (Adicionando ao Carrinho) </v>
      </c>
    </row>
    <row r="17" spans="1:27" s="2" customFormat="1" x14ac:dyDescent="0.2">
      <c r="A17" s="16" t="str">
        <f t="shared" si="0"/>
        <v>sexta-feira</v>
      </c>
      <c r="B17" s="17">
        <f t="shared" si="6"/>
        <v>45030</v>
      </c>
      <c r="C17" s="19">
        <f t="shared" si="2"/>
        <v>85203.839999999997</v>
      </c>
      <c r="D17" s="35">
        <f>_xlfn.XLOOKUP($B:$B,'Compilado 2023'!$B:$B,'Compilado 2023'!D:D)</f>
        <v>85157.58</v>
      </c>
      <c r="E17" s="35">
        <f>_xlfn.XLOOKUP($B:$B,'Compilado 2023'!$B:$B,'Compilado 2023'!E:E)</f>
        <v>46.26</v>
      </c>
      <c r="F17" s="18">
        <f>_xlfn.XLOOKUP($B:$B,'Compilado 2023'!$B:$B,'Compilado 2023'!F:F)</f>
        <v>294</v>
      </c>
      <c r="G17" s="18">
        <f>_xlfn.XLOOKUP($B:$B,'Compilado 2023'!$B:$B,'Compilado 2023'!G:G)</f>
        <v>369</v>
      </c>
      <c r="H17" s="35">
        <f t="shared" si="3"/>
        <v>289.8089795918367</v>
      </c>
      <c r="I17" s="19">
        <f t="shared" si="4"/>
        <v>1772.0033333333333</v>
      </c>
      <c r="J17" s="122">
        <f t="shared" si="5"/>
        <v>48.083340701014478</v>
      </c>
      <c r="K17" s="18">
        <f>_xlfn.XLOOKUP($B:$B,'Compilado 2023'!$B:$B,'Compilado 2023'!K:K)</f>
        <v>6830</v>
      </c>
      <c r="L17" s="54">
        <f t="shared" si="1"/>
        <v>4.3045387994143487E-2</v>
      </c>
      <c r="M17" s="38"/>
      <c r="N17" s="106">
        <f>_xlfn.XLOOKUP($B:$B,'Compilado 2023'!$B:$B,'Compilado 2023'!N:N)</f>
        <v>1378.9</v>
      </c>
      <c r="O17" s="106">
        <f>_xlfn.XLOOKUP($B:$B,'Compilado 2023'!$B:$B,'Compilado 2023'!O:O)</f>
        <v>339.77</v>
      </c>
      <c r="P17" s="106">
        <f>_xlfn.XLOOKUP($B:$B,'Compilado 2023'!$B:$B,'Compilado 2023'!P:P)</f>
        <v>0</v>
      </c>
      <c r="Q17" s="106">
        <f>_xlfn.XLOOKUP($B:$B,'Compilado 2023'!$B:$B,'Compilado 2023'!Q:Q)</f>
        <v>53.333333333333336</v>
      </c>
      <c r="R17" s="106">
        <f>_xlfn.XLOOKUP($B:$B,'Compilado 2023'!$B:$B,'Compilado 2023'!R:R)</f>
        <v>0</v>
      </c>
      <c r="S17" s="106">
        <f>_xlfn.XLOOKUP($B:$B,'Compilado 2023'!$B:$B,'Compilado 2023'!S:S)</f>
        <v>0</v>
      </c>
      <c r="T17" s="106">
        <f>_xlfn.XLOOKUP($B:$B,'Compilado 2023'!$B:$B,'Compilado 2023'!U:U)</f>
        <v>0</v>
      </c>
      <c r="U17" s="106">
        <f>_xlfn.XLOOKUP($B:$B,'Compilado 2023'!$B:$B,'Compilado 2023'!V:V)</f>
        <v>0</v>
      </c>
      <c r="V17" s="57"/>
      <c r="W17" s="106">
        <f>_xlfn.XLOOKUP($B:$B,'Compilado 2023'!$B:$B,'Compilado 2023'!X:X)</f>
        <v>0</v>
      </c>
      <c r="X17" s="106">
        <f>_xlfn.XLOOKUP($B:$B,'Compilado 2023'!$B:$B,'Compilado 2023'!Y:Y)</f>
        <v>0</v>
      </c>
      <c r="Y17" s="106">
        <f>_xlfn.XLOOKUP($B:$B,'Compilado 2023'!$B:$B,'Compilado 2023'!Z:Z)</f>
        <v>0</v>
      </c>
      <c r="Z17" s="38"/>
      <c r="AA17" s="107" t="str">
        <f>_xlfn.XLOOKUP($B:$B,'Compilado 2023'!$B:$B,'Compilado 2023'!AA:AA)</f>
        <v>Ativou os Gifs de sacola e pagamento</v>
      </c>
    </row>
    <row r="18" spans="1:27" s="2" customFormat="1" x14ac:dyDescent="0.2">
      <c r="A18" s="16" t="str">
        <f t="shared" si="0"/>
        <v>sábado</v>
      </c>
      <c r="B18" s="17">
        <f t="shared" si="6"/>
        <v>45031</v>
      </c>
      <c r="C18" s="19">
        <f t="shared" si="2"/>
        <v>54715.27</v>
      </c>
      <c r="D18" s="35">
        <f>_xlfn.XLOOKUP($B:$B,'Compilado 2023'!$B:$B,'Compilado 2023'!D:D)</f>
        <v>54715.27</v>
      </c>
      <c r="E18" s="35">
        <f>_xlfn.XLOOKUP($B:$B,'Compilado 2023'!$B:$B,'Compilado 2023'!E:E)</f>
        <v>0</v>
      </c>
      <c r="F18" s="18">
        <f>_xlfn.XLOOKUP($B:$B,'Compilado 2023'!$B:$B,'Compilado 2023'!F:F)</f>
        <v>186</v>
      </c>
      <c r="G18" s="18">
        <f>_xlfn.XLOOKUP($B:$B,'Compilado 2023'!$B:$B,'Compilado 2023'!G:G)</f>
        <v>225</v>
      </c>
      <c r="H18" s="35">
        <f t="shared" si="3"/>
        <v>294.16811827956985</v>
      </c>
      <c r="I18" s="19">
        <f t="shared" si="4"/>
        <v>1538.9033333333332</v>
      </c>
      <c r="J18" s="122">
        <f t="shared" si="5"/>
        <v>35.554715370902656</v>
      </c>
      <c r="K18" s="18">
        <f>_xlfn.XLOOKUP($B:$B,'Compilado 2023'!$B:$B,'Compilado 2023'!K:K)</f>
        <v>5083</v>
      </c>
      <c r="L18" s="54">
        <f t="shared" si="1"/>
        <v>3.6592563446783397E-2</v>
      </c>
      <c r="M18" s="38"/>
      <c r="N18" s="106">
        <f>_xlfn.XLOOKUP($B:$B,'Compilado 2023'!$B:$B,'Compilado 2023'!N:N)</f>
        <v>1072.79</v>
      </c>
      <c r="O18" s="106">
        <f>_xlfn.XLOOKUP($B:$B,'Compilado 2023'!$B:$B,'Compilado 2023'!O:O)</f>
        <v>412.78</v>
      </c>
      <c r="P18" s="106">
        <f>_xlfn.XLOOKUP($B:$B,'Compilado 2023'!$B:$B,'Compilado 2023'!P:P)</f>
        <v>0</v>
      </c>
      <c r="Q18" s="106">
        <f>_xlfn.XLOOKUP($B:$B,'Compilado 2023'!$B:$B,'Compilado 2023'!Q:Q)</f>
        <v>53.333333333333336</v>
      </c>
      <c r="R18" s="106">
        <f>_xlfn.XLOOKUP($B:$B,'Compilado 2023'!$B:$B,'Compilado 2023'!R:R)</f>
        <v>0</v>
      </c>
      <c r="S18" s="106">
        <f>_xlfn.XLOOKUP($B:$B,'Compilado 2023'!$B:$B,'Compilado 2023'!S:S)</f>
        <v>0</v>
      </c>
      <c r="T18" s="106">
        <f>_xlfn.XLOOKUP($B:$B,'Compilado 2023'!$B:$B,'Compilado 2023'!U:U)</f>
        <v>0</v>
      </c>
      <c r="U18" s="106">
        <f>_xlfn.XLOOKUP($B:$B,'Compilado 2023'!$B:$B,'Compilado 2023'!V:V)</f>
        <v>0</v>
      </c>
      <c r="V18" s="57"/>
      <c r="W18" s="106">
        <f>_xlfn.XLOOKUP($B:$B,'Compilado 2023'!$B:$B,'Compilado 2023'!X:X)</f>
        <v>0</v>
      </c>
      <c r="X18" s="106">
        <f>_xlfn.XLOOKUP($B:$B,'Compilado 2023'!$B:$B,'Compilado 2023'!Y:Y)</f>
        <v>0</v>
      </c>
      <c r="Y18" s="106">
        <f>_xlfn.XLOOKUP($B:$B,'Compilado 2023'!$B:$B,'Compilado 2023'!Z:Z)</f>
        <v>0</v>
      </c>
      <c r="Z18" s="38"/>
      <c r="AA18" s="107">
        <f>_xlfn.XLOOKUP($B:$B,'Compilado 2023'!$B:$B,'Compilado 2023'!AA:AA)</f>
        <v>0</v>
      </c>
    </row>
    <row r="19" spans="1:27" s="2" customFormat="1" x14ac:dyDescent="0.2">
      <c r="A19" s="16" t="str">
        <f t="shared" si="0"/>
        <v>domingo</v>
      </c>
      <c r="B19" s="17">
        <f t="shared" si="6"/>
        <v>45032</v>
      </c>
      <c r="C19" s="19">
        <f t="shared" si="2"/>
        <v>39182.629999999997</v>
      </c>
      <c r="D19" s="35">
        <f>_xlfn.XLOOKUP($B:$B,'Compilado 2023'!$B:$B,'Compilado 2023'!D:D)</f>
        <v>39098.39</v>
      </c>
      <c r="E19" s="35">
        <f>_xlfn.XLOOKUP($B:$B,'Compilado 2023'!$B:$B,'Compilado 2023'!E:E)</f>
        <v>84.24</v>
      </c>
      <c r="F19" s="18">
        <f>_xlfn.XLOOKUP($B:$B,'Compilado 2023'!$B:$B,'Compilado 2023'!F:F)</f>
        <v>137</v>
      </c>
      <c r="G19" s="18">
        <f>_xlfn.XLOOKUP($B:$B,'Compilado 2023'!$B:$B,'Compilado 2023'!G:G)</f>
        <v>166</v>
      </c>
      <c r="H19" s="35">
        <f t="shared" si="3"/>
        <v>286.00459854014599</v>
      </c>
      <c r="I19" s="19">
        <f t="shared" si="4"/>
        <v>1462.4733333333331</v>
      </c>
      <c r="J19" s="122">
        <f t="shared" si="5"/>
        <v>26.792030395995827</v>
      </c>
      <c r="K19" s="18">
        <f>_xlfn.XLOOKUP($B:$B,'Compilado 2023'!$B:$B,'Compilado 2023'!K:K)</f>
        <v>4517</v>
      </c>
      <c r="L19" s="54">
        <f t="shared" si="1"/>
        <v>3.0329864954615895E-2</v>
      </c>
      <c r="M19" s="38"/>
      <c r="N19" s="106">
        <f>_xlfn.XLOOKUP($B:$B,'Compilado 2023'!$B:$B,'Compilado 2023'!N:N)</f>
        <v>975.99</v>
      </c>
      <c r="O19" s="106">
        <f>_xlfn.XLOOKUP($B:$B,'Compilado 2023'!$B:$B,'Compilado 2023'!O:O)</f>
        <v>433.15</v>
      </c>
      <c r="P19" s="106">
        <f>_xlfn.XLOOKUP($B:$B,'Compilado 2023'!$B:$B,'Compilado 2023'!P:P)</f>
        <v>0</v>
      </c>
      <c r="Q19" s="106">
        <f>_xlfn.XLOOKUP($B:$B,'Compilado 2023'!$B:$B,'Compilado 2023'!Q:Q)</f>
        <v>53.333333333333336</v>
      </c>
      <c r="R19" s="106">
        <f>_xlfn.XLOOKUP($B:$B,'Compilado 2023'!$B:$B,'Compilado 2023'!R:R)</f>
        <v>0</v>
      </c>
      <c r="S19" s="106">
        <f>_xlfn.XLOOKUP($B:$B,'Compilado 2023'!$B:$B,'Compilado 2023'!S:S)</f>
        <v>0</v>
      </c>
      <c r="T19" s="106">
        <f>_xlfn.XLOOKUP($B:$B,'Compilado 2023'!$B:$B,'Compilado 2023'!U:U)</f>
        <v>0</v>
      </c>
      <c r="U19" s="106">
        <f>_xlfn.XLOOKUP($B:$B,'Compilado 2023'!$B:$B,'Compilado 2023'!V:V)</f>
        <v>0</v>
      </c>
      <c r="V19" s="57"/>
      <c r="W19" s="106">
        <f>_xlfn.XLOOKUP($B:$B,'Compilado 2023'!$B:$B,'Compilado 2023'!X:X)</f>
        <v>0</v>
      </c>
      <c r="X19" s="106">
        <f>_xlfn.XLOOKUP($B:$B,'Compilado 2023'!$B:$B,'Compilado 2023'!Y:Y)</f>
        <v>0</v>
      </c>
      <c r="Y19" s="106">
        <f>_xlfn.XLOOKUP($B:$B,'Compilado 2023'!$B:$B,'Compilado 2023'!Z:Z)</f>
        <v>0</v>
      </c>
      <c r="Z19" s="38"/>
      <c r="AA19" s="107">
        <f>_xlfn.XLOOKUP($B:$B,'Compilado 2023'!$B:$B,'Compilado 2023'!AA:AA)</f>
        <v>0</v>
      </c>
    </row>
    <row r="20" spans="1:27" x14ac:dyDescent="0.2">
      <c r="A20" s="16" t="str">
        <f t="shared" si="0"/>
        <v>segunda-feira</v>
      </c>
      <c r="B20" s="17">
        <f t="shared" si="6"/>
        <v>45033</v>
      </c>
      <c r="C20" s="19">
        <f t="shared" si="2"/>
        <v>79877.94</v>
      </c>
      <c r="D20" s="35">
        <f>_xlfn.XLOOKUP($B:$B,'Compilado 2023'!$B:$B,'Compilado 2023'!D:D)</f>
        <v>79811.199999999997</v>
      </c>
      <c r="E20" s="35">
        <f>_xlfn.XLOOKUP($B:$B,'Compilado 2023'!$B:$B,'Compilado 2023'!E:E)</f>
        <v>66.739999999999995</v>
      </c>
      <c r="F20" s="18">
        <f>_xlfn.XLOOKUP($B:$B,'Compilado 2023'!$B:$B,'Compilado 2023'!F:F)</f>
        <v>249</v>
      </c>
      <c r="G20" s="18">
        <f>_xlfn.XLOOKUP($B:$B,'Compilado 2023'!$B:$B,'Compilado 2023'!G:G)</f>
        <v>341</v>
      </c>
      <c r="H20" s="35">
        <f t="shared" si="3"/>
        <v>320.79493975903614</v>
      </c>
      <c r="I20" s="19">
        <f t="shared" si="4"/>
        <v>2048.5133333333333</v>
      </c>
      <c r="J20" s="122">
        <f t="shared" si="5"/>
        <v>38.993126722794095</v>
      </c>
      <c r="K20" s="18">
        <f>_xlfn.XLOOKUP($B:$B,'Compilado 2023'!$B:$B,'Compilado 2023'!K:K)</f>
        <v>6740</v>
      </c>
      <c r="L20" s="54">
        <f t="shared" si="1"/>
        <v>3.6943620178041543E-2</v>
      </c>
      <c r="M20" s="38"/>
      <c r="N20" s="106">
        <f>_xlfn.XLOOKUP($B:$B,'Compilado 2023'!$B:$B,'Compilado 2023'!N:N)</f>
        <v>1604.34</v>
      </c>
      <c r="O20" s="106">
        <f>_xlfn.XLOOKUP($B:$B,'Compilado 2023'!$B:$B,'Compilado 2023'!O:O)</f>
        <v>390.84</v>
      </c>
      <c r="P20" s="106">
        <f>_xlfn.XLOOKUP($B:$B,'Compilado 2023'!$B:$B,'Compilado 2023'!P:P)</f>
        <v>0</v>
      </c>
      <c r="Q20" s="106">
        <f>_xlfn.XLOOKUP($B:$B,'Compilado 2023'!$B:$B,'Compilado 2023'!Q:Q)</f>
        <v>53.333333333333336</v>
      </c>
      <c r="R20" s="106">
        <f>_xlfn.XLOOKUP($B:$B,'Compilado 2023'!$B:$B,'Compilado 2023'!R:R)</f>
        <v>0</v>
      </c>
      <c r="S20" s="106">
        <f>_xlfn.XLOOKUP($B:$B,'Compilado 2023'!$B:$B,'Compilado 2023'!S:S)</f>
        <v>0</v>
      </c>
      <c r="T20" s="106">
        <f>_xlfn.XLOOKUP($B:$B,'Compilado 2023'!$B:$B,'Compilado 2023'!U:U)</f>
        <v>0</v>
      </c>
      <c r="U20" s="106">
        <f>_xlfn.XLOOKUP($B:$B,'Compilado 2023'!$B:$B,'Compilado 2023'!V:V)</f>
        <v>0</v>
      </c>
      <c r="V20" s="57"/>
      <c r="W20" s="106">
        <f>_xlfn.XLOOKUP($B:$B,'Compilado 2023'!$B:$B,'Compilado 2023'!X:X)</f>
        <v>0</v>
      </c>
      <c r="X20" s="106">
        <f>_xlfn.XLOOKUP($B:$B,'Compilado 2023'!$B:$B,'Compilado 2023'!Y:Y)</f>
        <v>0</v>
      </c>
      <c r="Y20" s="106">
        <f>_xlfn.XLOOKUP($B:$B,'Compilado 2023'!$B:$B,'Compilado 2023'!Z:Z)</f>
        <v>0</v>
      </c>
      <c r="Z20" s="38"/>
      <c r="AA20" s="107" t="str">
        <f>_xlfn.XLOOKUP($B:$B,'Compilado 2023'!$B:$B,'Compilado 2023'!AA:AA)</f>
        <v xml:space="preserve">Filipe ativou plugin de limite de compra por Cliente </v>
      </c>
    </row>
    <row r="21" spans="1:27" x14ac:dyDescent="0.2">
      <c r="A21" s="16" t="str">
        <f t="shared" si="0"/>
        <v>terça-feira</v>
      </c>
      <c r="B21" s="17">
        <f t="shared" si="6"/>
        <v>45034</v>
      </c>
      <c r="C21" s="19">
        <f t="shared" si="2"/>
        <v>112196.78</v>
      </c>
      <c r="D21" s="35">
        <f>_xlfn.XLOOKUP($B:$B,'Compilado 2023'!$B:$B,'Compilado 2023'!D:D)</f>
        <v>112196.78</v>
      </c>
      <c r="E21" s="35">
        <f>_xlfn.XLOOKUP($B:$B,'Compilado 2023'!$B:$B,'Compilado 2023'!E:E)</f>
        <v>0</v>
      </c>
      <c r="F21" s="18">
        <f>_xlfn.XLOOKUP($B:$B,'Compilado 2023'!$B:$B,'Compilado 2023'!F:F)</f>
        <v>438</v>
      </c>
      <c r="G21" s="18">
        <f>_xlfn.XLOOKUP($B:$B,'Compilado 2023'!$B:$B,'Compilado 2023'!G:G)</f>
        <v>602</v>
      </c>
      <c r="H21" s="35">
        <f t="shared" si="3"/>
        <v>256.15703196347033</v>
      </c>
      <c r="I21" s="19">
        <f t="shared" si="4"/>
        <v>2340.5833333333335</v>
      </c>
      <c r="J21" s="122">
        <f t="shared" si="5"/>
        <v>47.935392174315517</v>
      </c>
      <c r="K21" s="18">
        <f>_xlfn.XLOOKUP($B:$B,'Compilado 2023'!$B:$B,'Compilado 2023'!K:K)</f>
        <v>7567</v>
      </c>
      <c r="L21" s="54">
        <f t="shared" si="1"/>
        <v>5.7882912647019953E-2</v>
      </c>
      <c r="M21" s="38"/>
      <c r="N21" s="106">
        <f>_xlfn.XLOOKUP($B:$B,'Compilado 2023'!$B:$B,'Compilado 2023'!N:N)</f>
        <v>1698.94</v>
      </c>
      <c r="O21" s="106">
        <f>_xlfn.XLOOKUP($B:$B,'Compilado 2023'!$B:$B,'Compilado 2023'!O:O)</f>
        <v>588.30999999999995</v>
      </c>
      <c r="P21" s="106">
        <f>_xlfn.XLOOKUP($B:$B,'Compilado 2023'!$B:$B,'Compilado 2023'!P:P)</f>
        <v>0</v>
      </c>
      <c r="Q21" s="106">
        <f>_xlfn.XLOOKUP($B:$B,'Compilado 2023'!$B:$B,'Compilado 2023'!Q:Q)</f>
        <v>53.333333333333336</v>
      </c>
      <c r="R21" s="106">
        <f>_xlfn.XLOOKUP($B:$B,'Compilado 2023'!$B:$B,'Compilado 2023'!R:R)</f>
        <v>0</v>
      </c>
      <c r="S21" s="106">
        <f>_xlfn.XLOOKUP($B:$B,'Compilado 2023'!$B:$B,'Compilado 2023'!S:S)</f>
        <v>0</v>
      </c>
      <c r="T21" s="106">
        <f>_xlfn.XLOOKUP($B:$B,'Compilado 2023'!$B:$B,'Compilado 2023'!U:U)</f>
        <v>0</v>
      </c>
      <c r="U21" s="106">
        <f>_xlfn.XLOOKUP($B:$B,'Compilado 2023'!$B:$B,'Compilado 2023'!V:V)</f>
        <v>0</v>
      </c>
      <c r="V21" s="57"/>
      <c r="W21" s="106">
        <f>_xlfn.XLOOKUP($B:$B,'Compilado 2023'!$B:$B,'Compilado 2023'!X:X)</f>
        <v>0</v>
      </c>
      <c r="X21" s="106">
        <f>_xlfn.XLOOKUP($B:$B,'Compilado 2023'!$B:$B,'Compilado 2023'!Y:Y)</f>
        <v>0</v>
      </c>
      <c r="Y21" s="106">
        <f>_xlfn.XLOOKUP($B:$B,'Compilado 2023'!$B:$B,'Compilado 2023'!Z:Z)</f>
        <v>0</v>
      </c>
      <c r="Z21" s="38"/>
      <c r="AA21" s="107" t="str">
        <f>_xlfn.XLOOKUP($B:$B,'Compilado 2023'!$B:$B,'Compilado 2023'!AA:AA)</f>
        <v>Ativação Voucher Experiencie Rio Design Leblon (R$206,00 por R$105,00)</v>
      </c>
    </row>
    <row r="22" spans="1:27" s="2" customFormat="1" x14ac:dyDescent="0.2">
      <c r="A22" s="16" t="str">
        <f t="shared" si="0"/>
        <v>quarta-feira</v>
      </c>
      <c r="B22" s="17">
        <f t="shared" si="6"/>
        <v>45035</v>
      </c>
      <c r="C22" s="19">
        <f t="shared" si="2"/>
        <v>119408.18</v>
      </c>
      <c r="D22" s="35">
        <f>_xlfn.XLOOKUP($B:$B,'Compilado 2023'!$B:$B,'Compilado 2023'!D:D)</f>
        <v>119385.87</v>
      </c>
      <c r="E22" s="35">
        <f>_xlfn.XLOOKUP($B:$B,'Compilado 2023'!$B:$B,'Compilado 2023'!E:E)</f>
        <v>22.31</v>
      </c>
      <c r="F22" s="18">
        <f>_xlfn.XLOOKUP($B:$B,'Compilado 2023'!$B:$B,'Compilado 2023'!F:F)</f>
        <v>490</v>
      </c>
      <c r="G22" s="18">
        <f>_xlfn.XLOOKUP($B:$B,'Compilado 2023'!$B:$B,'Compilado 2023'!G:G)</f>
        <v>733</v>
      </c>
      <c r="H22" s="35">
        <f t="shared" si="3"/>
        <v>243.6901632653061</v>
      </c>
      <c r="I22" s="19">
        <f t="shared" si="4"/>
        <v>2209.6433333333334</v>
      </c>
      <c r="J22" s="122">
        <f t="shared" si="5"/>
        <v>54.039571997290658</v>
      </c>
      <c r="K22" s="18">
        <f>_xlfn.XLOOKUP($B:$B,'Compilado 2023'!$B:$B,'Compilado 2023'!K:K)</f>
        <v>7195</v>
      </c>
      <c r="L22" s="54">
        <f t="shared" si="1"/>
        <v>6.8102849200833912E-2</v>
      </c>
      <c r="M22" s="38"/>
      <c r="N22" s="106">
        <f>_xlfn.XLOOKUP($B:$B,'Compilado 2023'!$B:$B,'Compilado 2023'!N:N)</f>
        <v>1545.65</v>
      </c>
      <c r="O22" s="106">
        <f>_xlfn.XLOOKUP($B:$B,'Compilado 2023'!$B:$B,'Compilado 2023'!O:O)</f>
        <v>610.66</v>
      </c>
      <c r="P22" s="106">
        <f>_xlfn.XLOOKUP($B:$B,'Compilado 2023'!$B:$B,'Compilado 2023'!P:P)</f>
        <v>0</v>
      </c>
      <c r="Q22" s="106">
        <f>_xlfn.XLOOKUP($B:$B,'Compilado 2023'!$B:$B,'Compilado 2023'!Q:Q)</f>
        <v>53.333333333333336</v>
      </c>
      <c r="R22" s="106">
        <f>_xlfn.XLOOKUP($B:$B,'Compilado 2023'!$B:$B,'Compilado 2023'!R:R)</f>
        <v>0</v>
      </c>
      <c r="S22" s="106">
        <f>_xlfn.XLOOKUP($B:$B,'Compilado 2023'!$B:$B,'Compilado 2023'!S:S)</f>
        <v>0</v>
      </c>
      <c r="T22" s="106">
        <f>_xlfn.XLOOKUP($B:$B,'Compilado 2023'!$B:$B,'Compilado 2023'!U:U)</f>
        <v>0</v>
      </c>
      <c r="U22" s="106">
        <f>_xlfn.XLOOKUP($B:$B,'Compilado 2023'!$B:$B,'Compilado 2023'!V:V)</f>
        <v>0</v>
      </c>
      <c r="V22" s="57"/>
      <c r="W22" s="106">
        <f>_xlfn.XLOOKUP($B:$B,'Compilado 2023'!$B:$B,'Compilado 2023'!X:X)</f>
        <v>0</v>
      </c>
      <c r="X22" s="106">
        <f>_xlfn.XLOOKUP($B:$B,'Compilado 2023'!$B:$B,'Compilado 2023'!Y:Y)</f>
        <v>0</v>
      </c>
      <c r="Y22" s="106">
        <f>_xlfn.XLOOKUP($B:$B,'Compilado 2023'!$B:$B,'Compilado 2023'!Z:Z)</f>
        <v>0</v>
      </c>
      <c r="Z22" s="38"/>
      <c r="AA22" s="107">
        <f>_xlfn.XLOOKUP($B:$B,'Compilado 2023'!$B:$B,'Compilado 2023'!AA:AA)</f>
        <v>0</v>
      </c>
    </row>
    <row r="23" spans="1:27" s="2" customFormat="1" x14ac:dyDescent="0.2">
      <c r="A23" s="16" t="str">
        <f t="shared" si="0"/>
        <v>quinta-feira</v>
      </c>
      <c r="B23" s="17">
        <f t="shared" si="6"/>
        <v>45036</v>
      </c>
      <c r="C23" s="19">
        <f t="shared" si="2"/>
        <v>121632.08</v>
      </c>
      <c r="D23" s="35">
        <f>_xlfn.XLOOKUP($B:$B,'Compilado 2023'!$B:$B,'Compilado 2023'!D:D)</f>
        <v>121632.08</v>
      </c>
      <c r="E23" s="35">
        <f>_xlfn.XLOOKUP($B:$B,'Compilado 2023'!$B:$B,'Compilado 2023'!E:E)</f>
        <v>0</v>
      </c>
      <c r="F23" s="18">
        <f>_xlfn.XLOOKUP($B:$B,'Compilado 2023'!$B:$B,'Compilado 2023'!F:F)</f>
        <v>471</v>
      </c>
      <c r="G23" s="18">
        <f>_xlfn.XLOOKUP($B:$B,'Compilado 2023'!$B:$B,'Compilado 2023'!G:G)</f>
        <v>651</v>
      </c>
      <c r="H23" s="35">
        <f t="shared" si="3"/>
        <v>258.24220806794057</v>
      </c>
      <c r="I23" s="19">
        <f t="shared" si="4"/>
        <v>2075.563333333333</v>
      </c>
      <c r="J23" s="122">
        <f t="shared" si="5"/>
        <v>58.601960271026833</v>
      </c>
      <c r="K23" s="18">
        <f>_xlfn.XLOOKUP($B:$B,'Compilado 2023'!$B:$B,'Compilado 2023'!K:K)</f>
        <v>6997</v>
      </c>
      <c r="L23" s="54">
        <f t="shared" si="1"/>
        <v>6.7314563384307566E-2</v>
      </c>
      <c r="M23" s="38"/>
      <c r="N23" s="106">
        <f>_xlfn.XLOOKUP($B:$B,'Compilado 2023'!$B:$B,'Compilado 2023'!N:N)</f>
        <v>1369.74</v>
      </c>
      <c r="O23" s="106">
        <f>_xlfn.XLOOKUP($B:$B,'Compilado 2023'!$B:$B,'Compilado 2023'!O:O)</f>
        <v>522.82000000000005</v>
      </c>
      <c r="P23" s="106">
        <f>_xlfn.XLOOKUP($B:$B,'Compilado 2023'!$B:$B,'Compilado 2023'!P:P)</f>
        <v>0</v>
      </c>
      <c r="Q23" s="106">
        <f>_xlfn.XLOOKUP($B:$B,'Compilado 2023'!$B:$B,'Compilado 2023'!Q:Q)</f>
        <v>53.333333333333336</v>
      </c>
      <c r="R23" s="106">
        <f>_xlfn.XLOOKUP($B:$B,'Compilado 2023'!$B:$B,'Compilado 2023'!R:R)</f>
        <v>129.66999999999999</v>
      </c>
      <c r="S23" s="106">
        <f>_xlfn.XLOOKUP($B:$B,'Compilado 2023'!$B:$B,'Compilado 2023'!S:S)</f>
        <v>0</v>
      </c>
      <c r="T23" s="106">
        <f>_xlfn.XLOOKUP($B:$B,'Compilado 2023'!$B:$B,'Compilado 2023'!U:U)</f>
        <v>0</v>
      </c>
      <c r="U23" s="106">
        <f>_xlfn.XLOOKUP($B:$B,'Compilado 2023'!$B:$B,'Compilado 2023'!V:V)</f>
        <v>0</v>
      </c>
      <c r="V23" s="57"/>
      <c r="W23" s="106">
        <f>_xlfn.XLOOKUP($B:$B,'Compilado 2023'!$B:$B,'Compilado 2023'!X:X)</f>
        <v>0</v>
      </c>
      <c r="X23" s="106">
        <f>_xlfn.XLOOKUP($B:$B,'Compilado 2023'!$B:$B,'Compilado 2023'!Y:Y)</f>
        <v>0</v>
      </c>
      <c r="Y23" s="106">
        <f>_xlfn.XLOOKUP($B:$B,'Compilado 2023'!$B:$B,'Compilado 2023'!Z:Z)</f>
        <v>0</v>
      </c>
      <c r="Z23" s="38"/>
      <c r="AA23" s="107" t="str">
        <f>_xlfn.XLOOKUP($B:$B,'Compilado 2023'!$B:$B,'Compilado 2023'!AA:AA)</f>
        <v>Encerramento - Voucher Experiencie Rio Design Leblon  |  Inicio Campanha Linkdin Corporativo</v>
      </c>
    </row>
    <row r="24" spans="1:27" s="2" customFormat="1" x14ac:dyDescent="0.2">
      <c r="A24" s="16" t="str">
        <f t="shared" si="0"/>
        <v>sexta-feira</v>
      </c>
      <c r="B24" s="17">
        <f t="shared" si="6"/>
        <v>45037</v>
      </c>
      <c r="C24" s="19">
        <f t="shared" si="2"/>
        <v>57623.18</v>
      </c>
      <c r="D24" s="35">
        <f>_xlfn.XLOOKUP($B:$B,'Compilado 2023'!$B:$B,'Compilado 2023'!D:D)</f>
        <v>57623.18</v>
      </c>
      <c r="E24" s="35">
        <f>_xlfn.XLOOKUP($B:$B,'Compilado 2023'!$B:$B,'Compilado 2023'!E:E)</f>
        <v>0</v>
      </c>
      <c r="F24" s="18">
        <f>_xlfn.XLOOKUP($B:$B,'Compilado 2023'!$B:$B,'Compilado 2023'!F:F)</f>
        <v>188</v>
      </c>
      <c r="G24" s="18">
        <f>_xlfn.XLOOKUP($B:$B,'Compilado 2023'!$B:$B,'Compilado 2023'!G:G)</f>
        <v>234</v>
      </c>
      <c r="H24" s="35">
        <f t="shared" si="3"/>
        <v>306.50627659574468</v>
      </c>
      <c r="I24" s="19">
        <f t="shared" si="4"/>
        <v>1160.7033333333334</v>
      </c>
      <c r="J24" s="122">
        <f t="shared" si="5"/>
        <v>49.645054291794338</v>
      </c>
      <c r="K24" s="18">
        <f>_xlfn.XLOOKUP($B:$B,'Compilado 2023'!$B:$B,'Compilado 2023'!K:K)</f>
        <v>4424</v>
      </c>
      <c r="L24" s="54">
        <f t="shared" si="1"/>
        <v>4.2495479204339964E-2</v>
      </c>
      <c r="M24" s="38"/>
      <c r="N24" s="106">
        <f>_xlfn.XLOOKUP($B:$B,'Compilado 2023'!$B:$B,'Compilado 2023'!N:N)</f>
        <v>779.57</v>
      </c>
      <c r="O24" s="106">
        <f>_xlfn.XLOOKUP($B:$B,'Compilado 2023'!$B:$B,'Compilado 2023'!O:O)</f>
        <v>327.8</v>
      </c>
      <c r="P24" s="106">
        <f>_xlfn.XLOOKUP($B:$B,'Compilado 2023'!$B:$B,'Compilado 2023'!P:P)</f>
        <v>0</v>
      </c>
      <c r="Q24" s="106">
        <f>_xlfn.XLOOKUP($B:$B,'Compilado 2023'!$B:$B,'Compilado 2023'!Q:Q)</f>
        <v>53.333333333333336</v>
      </c>
      <c r="R24" s="106">
        <f>_xlfn.XLOOKUP($B:$B,'Compilado 2023'!$B:$B,'Compilado 2023'!R:R)</f>
        <v>0</v>
      </c>
      <c r="S24" s="106">
        <f>_xlfn.XLOOKUP($B:$B,'Compilado 2023'!$B:$B,'Compilado 2023'!S:S)</f>
        <v>0</v>
      </c>
      <c r="T24" s="106">
        <f>_xlfn.XLOOKUP($B:$B,'Compilado 2023'!$B:$B,'Compilado 2023'!U:U)</f>
        <v>0</v>
      </c>
      <c r="U24" s="106">
        <f>_xlfn.XLOOKUP($B:$B,'Compilado 2023'!$B:$B,'Compilado 2023'!V:V)</f>
        <v>0</v>
      </c>
      <c r="V24" s="57"/>
      <c r="W24" s="106">
        <f>_xlfn.XLOOKUP($B:$B,'Compilado 2023'!$B:$B,'Compilado 2023'!X:X)</f>
        <v>0</v>
      </c>
      <c r="X24" s="106">
        <f>_xlfn.XLOOKUP($B:$B,'Compilado 2023'!$B:$B,'Compilado 2023'!Y:Y)</f>
        <v>0</v>
      </c>
      <c r="Y24" s="106">
        <f>_xlfn.XLOOKUP($B:$B,'Compilado 2023'!$B:$B,'Compilado 2023'!Z:Z)</f>
        <v>0</v>
      </c>
      <c r="Z24" s="38"/>
      <c r="AA24" s="107">
        <f>_xlfn.XLOOKUP($B:$B,'Compilado 2023'!$B:$B,'Compilado 2023'!AA:AA)</f>
        <v>0</v>
      </c>
    </row>
    <row r="25" spans="1:27" s="2" customFormat="1" x14ac:dyDescent="0.2">
      <c r="A25" s="16" t="str">
        <f t="shared" si="0"/>
        <v>sábado</v>
      </c>
      <c r="B25" s="17">
        <f t="shared" si="6"/>
        <v>45038</v>
      </c>
      <c r="C25" s="19">
        <f t="shared" si="2"/>
        <v>58465.83</v>
      </c>
      <c r="D25" s="35">
        <f>_xlfn.XLOOKUP($B:$B,'Compilado 2023'!$B:$B,'Compilado 2023'!D:D)</f>
        <v>58465.83</v>
      </c>
      <c r="E25" s="35">
        <f>_xlfn.XLOOKUP($B:$B,'Compilado 2023'!$B:$B,'Compilado 2023'!E:E)</f>
        <v>0</v>
      </c>
      <c r="F25" s="18">
        <f>_xlfn.XLOOKUP($B:$B,'Compilado 2023'!$B:$B,'Compilado 2023'!F:F)</f>
        <v>164</v>
      </c>
      <c r="G25" s="18">
        <f>_xlfn.XLOOKUP($B:$B,'Compilado 2023'!$B:$B,'Compilado 2023'!G:G)</f>
        <v>256</v>
      </c>
      <c r="H25" s="35">
        <f t="shared" si="3"/>
        <v>356.49896341463415</v>
      </c>
      <c r="I25" s="19">
        <f t="shared" si="4"/>
        <v>1168.1433333333332</v>
      </c>
      <c r="J25" s="122">
        <f t="shared" si="5"/>
        <v>50.050219293865197</v>
      </c>
      <c r="K25" s="18">
        <f>_xlfn.XLOOKUP($B:$B,'Compilado 2023'!$B:$B,'Compilado 2023'!K:K)</f>
        <v>4464</v>
      </c>
      <c r="L25" s="54">
        <f t="shared" si="1"/>
        <v>3.6738351254480286E-2</v>
      </c>
      <c r="M25" s="38"/>
      <c r="N25" s="106">
        <f>_xlfn.XLOOKUP($B:$B,'Compilado 2023'!$B:$B,'Compilado 2023'!N:N)</f>
        <v>841.37</v>
      </c>
      <c r="O25" s="106">
        <f>_xlfn.XLOOKUP($B:$B,'Compilado 2023'!$B:$B,'Compilado 2023'!O:O)</f>
        <v>269.92</v>
      </c>
      <c r="P25" s="106">
        <f>_xlfn.XLOOKUP($B:$B,'Compilado 2023'!$B:$B,'Compilado 2023'!P:P)</f>
        <v>0</v>
      </c>
      <c r="Q25" s="106">
        <f>_xlfn.XLOOKUP($B:$B,'Compilado 2023'!$B:$B,'Compilado 2023'!Q:Q)</f>
        <v>53.333333333333336</v>
      </c>
      <c r="R25" s="106">
        <f>_xlfn.XLOOKUP($B:$B,'Compilado 2023'!$B:$B,'Compilado 2023'!R:R)</f>
        <v>3.52</v>
      </c>
      <c r="S25" s="106">
        <f>_xlfn.XLOOKUP($B:$B,'Compilado 2023'!$B:$B,'Compilado 2023'!S:S)</f>
        <v>0</v>
      </c>
      <c r="T25" s="106">
        <f>_xlfn.XLOOKUP($B:$B,'Compilado 2023'!$B:$B,'Compilado 2023'!U:U)</f>
        <v>0</v>
      </c>
      <c r="U25" s="106">
        <f>_xlfn.XLOOKUP($B:$B,'Compilado 2023'!$B:$B,'Compilado 2023'!V:V)</f>
        <v>0</v>
      </c>
      <c r="V25" s="57"/>
      <c r="W25" s="106">
        <f>_xlfn.XLOOKUP($B:$B,'Compilado 2023'!$B:$B,'Compilado 2023'!X:X)</f>
        <v>0</v>
      </c>
      <c r="X25" s="106">
        <f>_xlfn.XLOOKUP($B:$B,'Compilado 2023'!$B:$B,'Compilado 2023'!Y:Y)</f>
        <v>0</v>
      </c>
      <c r="Y25" s="106">
        <f>_xlfn.XLOOKUP($B:$B,'Compilado 2023'!$B:$B,'Compilado 2023'!Z:Z)</f>
        <v>0</v>
      </c>
      <c r="Z25" s="38"/>
      <c r="AA25" s="107">
        <f>_xlfn.XLOOKUP($B:$B,'Compilado 2023'!$B:$B,'Compilado 2023'!AA:AA)</f>
        <v>0</v>
      </c>
    </row>
    <row r="26" spans="1:27" s="2" customFormat="1" x14ac:dyDescent="0.2">
      <c r="A26" s="16" t="str">
        <f t="shared" si="0"/>
        <v>domingo</v>
      </c>
      <c r="B26" s="17">
        <f t="shared" si="6"/>
        <v>45039</v>
      </c>
      <c r="C26" s="19">
        <f t="shared" si="2"/>
        <v>57441.25</v>
      </c>
      <c r="D26" s="35">
        <f>_xlfn.XLOOKUP($B:$B,'Compilado 2023'!$B:$B,'Compilado 2023'!D:D)</f>
        <v>57418.16</v>
      </c>
      <c r="E26" s="35">
        <f>_xlfn.XLOOKUP($B:$B,'Compilado 2023'!$B:$B,'Compilado 2023'!E:E)</f>
        <v>23.09</v>
      </c>
      <c r="F26" s="18">
        <f>_xlfn.XLOOKUP($B:$B,'Compilado 2023'!$B:$B,'Compilado 2023'!F:F)</f>
        <v>175</v>
      </c>
      <c r="G26" s="18">
        <f>_xlfn.XLOOKUP($B:$B,'Compilado 2023'!$B:$B,'Compilado 2023'!G:G)</f>
        <v>229</v>
      </c>
      <c r="H26" s="35">
        <f t="shared" si="3"/>
        <v>328.23571428571427</v>
      </c>
      <c r="I26" s="19">
        <f t="shared" si="4"/>
        <v>1007.0833333333335</v>
      </c>
      <c r="J26" s="122">
        <f t="shared" si="5"/>
        <v>57.03723624327678</v>
      </c>
      <c r="K26" s="18">
        <f>_xlfn.XLOOKUP($B:$B,'Compilado 2023'!$B:$B,'Compilado 2023'!K:K)</f>
        <v>4080</v>
      </c>
      <c r="L26" s="54">
        <f t="shared" si="1"/>
        <v>4.2892156862745098E-2</v>
      </c>
      <c r="M26" s="38"/>
      <c r="N26" s="106">
        <f>_xlfn.XLOOKUP($B:$B,'Compilado 2023'!$B:$B,'Compilado 2023'!N:N)</f>
        <v>761.07</v>
      </c>
      <c r="O26" s="106">
        <f>_xlfn.XLOOKUP($B:$B,'Compilado 2023'!$B:$B,'Compilado 2023'!O:O)</f>
        <v>190.55</v>
      </c>
      <c r="P26" s="106">
        <f>_xlfn.XLOOKUP($B:$B,'Compilado 2023'!$B:$B,'Compilado 2023'!P:P)</f>
        <v>0</v>
      </c>
      <c r="Q26" s="106">
        <f>_xlfn.XLOOKUP($B:$B,'Compilado 2023'!$B:$B,'Compilado 2023'!Q:Q)</f>
        <v>53.333333333333336</v>
      </c>
      <c r="R26" s="106">
        <f>_xlfn.XLOOKUP($B:$B,'Compilado 2023'!$B:$B,'Compilado 2023'!R:R)</f>
        <v>2.13</v>
      </c>
      <c r="S26" s="106">
        <f>_xlfn.XLOOKUP($B:$B,'Compilado 2023'!$B:$B,'Compilado 2023'!S:S)</f>
        <v>0</v>
      </c>
      <c r="T26" s="106">
        <f>_xlfn.XLOOKUP($B:$B,'Compilado 2023'!$B:$B,'Compilado 2023'!U:U)</f>
        <v>0</v>
      </c>
      <c r="U26" s="106">
        <f>_xlfn.XLOOKUP($B:$B,'Compilado 2023'!$B:$B,'Compilado 2023'!V:V)</f>
        <v>0</v>
      </c>
      <c r="V26" s="57"/>
      <c r="W26" s="106">
        <f>_xlfn.XLOOKUP($B:$B,'Compilado 2023'!$B:$B,'Compilado 2023'!X:X)</f>
        <v>0</v>
      </c>
      <c r="X26" s="106">
        <f>_xlfn.XLOOKUP($B:$B,'Compilado 2023'!$B:$B,'Compilado 2023'!Y:Y)</f>
        <v>0</v>
      </c>
      <c r="Y26" s="106">
        <f>_xlfn.XLOOKUP($B:$B,'Compilado 2023'!$B:$B,'Compilado 2023'!Z:Z)</f>
        <v>0</v>
      </c>
      <c r="Z26" s="38"/>
      <c r="AA26" s="107" t="str">
        <f>_xlfn.XLOOKUP($B:$B,'Compilado 2023'!$B:$B,'Compilado 2023'!AA:AA)</f>
        <v>Encerramento Buddha Spa Week</v>
      </c>
    </row>
    <row r="27" spans="1:27" x14ac:dyDescent="0.2">
      <c r="A27" s="16" t="str">
        <f t="shared" si="0"/>
        <v>segunda-feira</v>
      </c>
      <c r="B27" s="17">
        <f t="shared" si="6"/>
        <v>45040</v>
      </c>
      <c r="C27" s="19">
        <f t="shared" si="2"/>
        <v>63580.01</v>
      </c>
      <c r="D27" s="35">
        <f>_xlfn.XLOOKUP($B:$B,'Compilado 2023'!$B:$B,'Compilado 2023'!D:D)</f>
        <v>63525.07</v>
      </c>
      <c r="E27" s="35">
        <f>_xlfn.XLOOKUP($B:$B,'Compilado 2023'!$B:$B,'Compilado 2023'!E:E)</f>
        <v>54.94</v>
      </c>
      <c r="F27" s="18">
        <f>_xlfn.XLOOKUP($B:$B,'Compilado 2023'!$B:$B,'Compilado 2023'!F:F)</f>
        <v>217</v>
      </c>
      <c r="G27" s="18">
        <f>_xlfn.XLOOKUP($B:$B,'Compilado 2023'!$B:$B,'Compilado 2023'!G:G)</f>
        <v>257</v>
      </c>
      <c r="H27" s="35">
        <f t="shared" si="3"/>
        <v>292.99543778801842</v>
      </c>
      <c r="I27" s="19">
        <f t="shared" si="4"/>
        <v>1006.0033333333333</v>
      </c>
      <c r="J27" s="122">
        <f t="shared" si="5"/>
        <v>63.200595756806642</v>
      </c>
      <c r="K27" s="18">
        <f>_xlfn.XLOOKUP($B:$B,'Compilado 2023'!$B:$B,'Compilado 2023'!K:K)</f>
        <v>6453</v>
      </c>
      <c r="L27" s="54">
        <f t="shared" si="1"/>
        <v>3.3627770029443671E-2</v>
      </c>
      <c r="M27" s="38"/>
      <c r="N27" s="106">
        <f>_xlfn.XLOOKUP($B:$B,'Compilado 2023'!$B:$B,'Compilado 2023'!N:N)</f>
        <v>751.01</v>
      </c>
      <c r="O27" s="106">
        <f>_xlfn.XLOOKUP($B:$B,'Compilado 2023'!$B:$B,'Compilado 2023'!O:O)</f>
        <v>135.77000000000001</v>
      </c>
      <c r="P27" s="106">
        <f>_xlfn.XLOOKUP($B:$B,'Compilado 2023'!$B:$B,'Compilado 2023'!P:P)</f>
        <v>0</v>
      </c>
      <c r="Q27" s="106">
        <f>_xlfn.XLOOKUP($B:$B,'Compilado 2023'!$B:$B,'Compilado 2023'!Q:Q)</f>
        <v>53.333333333333336</v>
      </c>
      <c r="R27" s="106">
        <f>_xlfn.XLOOKUP($B:$B,'Compilado 2023'!$B:$B,'Compilado 2023'!R:R)</f>
        <v>65.89</v>
      </c>
      <c r="S27" s="106">
        <f>_xlfn.XLOOKUP($B:$B,'Compilado 2023'!$B:$B,'Compilado 2023'!S:S)</f>
        <v>0</v>
      </c>
      <c r="T27" s="106">
        <f>_xlfn.XLOOKUP($B:$B,'Compilado 2023'!$B:$B,'Compilado 2023'!U:U)</f>
        <v>0</v>
      </c>
      <c r="U27" s="106">
        <f>_xlfn.XLOOKUP($B:$B,'Compilado 2023'!$B:$B,'Compilado 2023'!V:V)</f>
        <v>0</v>
      </c>
      <c r="V27" s="57"/>
      <c r="W27" s="106">
        <f>_xlfn.XLOOKUP($B:$B,'Compilado 2023'!$B:$B,'Compilado 2023'!X:X)</f>
        <v>0</v>
      </c>
      <c r="X27" s="106">
        <f>_xlfn.XLOOKUP($B:$B,'Compilado 2023'!$B:$B,'Compilado 2023'!Y:Y)</f>
        <v>0</v>
      </c>
      <c r="Y27" s="106">
        <f>_xlfn.XLOOKUP($B:$B,'Compilado 2023'!$B:$B,'Compilado 2023'!Z:Z)</f>
        <v>0</v>
      </c>
      <c r="Z27" s="38"/>
      <c r="AA27" s="107" t="str">
        <f>_xlfn.XLOOKUP($B:$B,'Compilado 2023'!$B:$B,'Compilado 2023'!AA:AA)</f>
        <v xml:space="preserve">Ajustou o PIx com checkout transparente - Paga Leve( feito 18h da tarde) </v>
      </c>
    </row>
    <row r="28" spans="1:27" x14ac:dyDescent="0.2">
      <c r="A28" s="16" t="str">
        <f t="shared" si="0"/>
        <v>terça-feira</v>
      </c>
      <c r="B28" s="17">
        <f t="shared" si="6"/>
        <v>45041</v>
      </c>
      <c r="C28" s="19">
        <f t="shared" si="2"/>
        <v>73111.960000000006</v>
      </c>
      <c r="D28" s="35">
        <f>_xlfn.XLOOKUP($B:$B,'Compilado 2023'!$B:$B,'Compilado 2023'!D:D)</f>
        <v>73089.83</v>
      </c>
      <c r="E28" s="35">
        <f>_xlfn.XLOOKUP($B:$B,'Compilado 2023'!$B:$B,'Compilado 2023'!E:E)</f>
        <v>22.13</v>
      </c>
      <c r="F28" s="18">
        <f>_xlfn.XLOOKUP($B:$B,'Compilado 2023'!$B:$B,'Compilado 2023'!F:F)</f>
        <v>221</v>
      </c>
      <c r="G28" s="18">
        <f>_xlfn.XLOOKUP($B:$B,'Compilado 2023'!$B:$B,'Compilado 2023'!G:G)</f>
        <v>272</v>
      </c>
      <c r="H28" s="35">
        <f t="shared" si="3"/>
        <v>330.8233484162896</v>
      </c>
      <c r="I28" s="19">
        <f t="shared" si="4"/>
        <v>1121.2333333333333</v>
      </c>
      <c r="J28" s="122">
        <f t="shared" si="5"/>
        <v>65.206730683473566</v>
      </c>
      <c r="K28" s="18">
        <f>_xlfn.XLOOKUP($B:$B,'Compilado 2023'!$B:$B,'Compilado 2023'!K:K)</f>
        <v>6523</v>
      </c>
      <c r="L28" s="54">
        <f t="shared" si="1"/>
        <v>3.3880116510807912E-2</v>
      </c>
      <c r="M28" s="38"/>
      <c r="N28" s="106">
        <f>_xlfn.XLOOKUP($B:$B,'Compilado 2023'!$B:$B,'Compilado 2023'!N:N)</f>
        <v>796.8</v>
      </c>
      <c r="O28" s="106">
        <f>_xlfn.XLOOKUP($B:$B,'Compilado 2023'!$B:$B,'Compilado 2023'!O:O)</f>
        <v>164.15</v>
      </c>
      <c r="P28" s="106">
        <f>_xlfn.XLOOKUP($B:$B,'Compilado 2023'!$B:$B,'Compilado 2023'!P:P)</f>
        <v>0</v>
      </c>
      <c r="Q28" s="106">
        <f>_xlfn.XLOOKUP($B:$B,'Compilado 2023'!$B:$B,'Compilado 2023'!Q:Q)</f>
        <v>53.333333333333336</v>
      </c>
      <c r="R28" s="106">
        <f>_xlfn.XLOOKUP($B:$B,'Compilado 2023'!$B:$B,'Compilado 2023'!R:R)</f>
        <v>106.95</v>
      </c>
      <c r="S28" s="106">
        <f>_xlfn.XLOOKUP($B:$B,'Compilado 2023'!$B:$B,'Compilado 2023'!S:S)</f>
        <v>0</v>
      </c>
      <c r="T28" s="106">
        <f>_xlfn.XLOOKUP($B:$B,'Compilado 2023'!$B:$B,'Compilado 2023'!U:U)</f>
        <v>0</v>
      </c>
      <c r="U28" s="106">
        <f>_xlfn.XLOOKUP($B:$B,'Compilado 2023'!$B:$B,'Compilado 2023'!V:V)</f>
        <v>0</v>
      </c>
      <c r="V28" s="57"/>
      <c r="W28" s="106">
        <f>_xlfn.XLOOKUP($B:$B,'Compilado 2023'!$B:$B,'Compilado 2023'!X:X)</f>
        <v>0</v>
      </c>
      <c r="X28" s="106">
        <f>_xlfn.XLOOKUP($B:$B,'Compilado 2023'!$B:$B,'Compilado 2023'!Y:Y)</f>
        <v>0</v>
      </c>
      <c r="Y28" s="106">
        <f>_xlfn.XLOOKUP($B:$B,'Compilado 2023'!$B:$B,'Compilado 2023'!Z:Z)</f>
        <v>0</v>
      </c>
      <c r="Z28" s="38"/>
      <c r="AA28" s="107">
        <f>_xlfn.XLOOKUP($B:$B,'Compilado 2023'!$B:$B,'Compilado 2023'!AA:AA)</f>
        <v>0</v>
      </c>
    </row>
    <row r="29" spans="1:27" s="2" customFormat="1" x14ac:dyDescent="0.2">
      <c r="A29" s="16" t="str">
        <f t="shared" si="0"/>
        <v>quarta-feira</v>
      </c>
      <c r="B29" s="17">
        <f t="shared" si="6"/>
        <v>45042</v>
      </c>
      <c r="C29" s="19">
        <f t="shared" si="2"/>
        <v>61907.360000000001</v>
      </c>
      <c r="D29" s="35">
        <f>_xlfn.XLOOKUP($B:$B,'Compilado 2023'!$B:$B,'Compilado 2023'!D:D)</f>
        <v>61861.08</v>
      </c>
      <c r="E29" s="35">
        <f>_xlfn.XLOOKUP($B:$B,'Compilado 2023'!$B:$B,'Compilado 2023'!E:E)</f>
        <v>46.28</v>
      </c>
      <c r="F29" s="18">
        <f>_xlfn.XLOOKUP($B:$B,'Compilado 2023'!$B:$B,'Compilado 2023'!F:F)</f>
        <v>204</v>
      </c>
      <c r="G29" s="18">
        <f>_xlfn.XLOOKUP($B:$B,'Compilado 2023'!$B:$B,'Compilado 2023'!G:G)</f>
        <v>270</v>
      </c>
      <c r="H29" s="35">
        <f t="shared" si="3"/>
        <v>303.46745098039219</v>
      </c>
      <c r="I29" s="19">
        <f t="shared" si="4"/>
        <v>1508.1233333333332</v>
      </c>
      <c r="J29" s="122">
        <f t="shared" si="5"/>
        <v>41.049268737967942</v>
      </c>
      <c r="K29" s="18">
        <f>_xlfn.XLOOKUP($B:$B,'Compilado 2023'!$B:$B,'Compilado 2023'!K:K)</f>
        <v>6616</v>
      </c>
      <c r="L29" s="54">
        <f t="shared" si="1"/>
        <v>3.0834340991535671E-2</v>
      </c>
      <c r="M29" s="38"/>
      <c r="N29" s="106">
        <f>_xlfn.XLOOKUP($B:$B,'Compilado 2023'!$B:$B,'Compilado 2023'!N:N)</f>
        <v>1138.58</v>
      </c>
      <c r="O29" s="106">
        <f>_xlfn.XLOOKUP($B:$B,'Compilado 2023'!$B:$B,'Compilado 2023'!O:O)</f>
        <v>202.05</v>
      </c>
      <c r="P29" s="106">
        <f>_xlfn.XLOOKUP($B:$B,'Compilado 2023'!$B:$B,'Compilado 2023'!P:P)</f>
        <v>0</v>
      </c>
      <c r="Q29" s="106">
        <f>_xlfn.XLOOKUP($B:$B,'Compilado 2023'!$B:$B,'Compilado 2023'!Q:Q)</f>
        <v>53.333333333333336</v>
      </c>
      <c r="R29" s="106">
        <f>_xlfn.XLOOKUP($B:$B,'Compilado 2023'!$B:$B,'Compilado 2023'!R:R)</f>
        <v>114.16</v>
      </c>
      <c r="S29" s="106">
        <f>_xlfn.XLOOKUP($B:$B,'Compilado 2023'!$B:$B,'Compilado 2023'!S:S)</f>
        <v>0</v>
      </c>
      <c r="T29" s="106">
        <f>_xlfn.XLOOKUP($B:$B,'Compilado 2023'!$B:$B,'Compilado 2023'!U:U)</f>
        <v>0</v>
      </c>
      <c r="U29" s="106">
        <f>_xlfn.XLOOKUP($B:$B,'Compilado 2023'!$B:$B,'Compilado 2023'!V:V)</f>
        <v>0</v>
      </c>
      <c r="V29" s="57"/>
      <c r="W29" s="106">
        <f>_xlfn.XLOOKUP($B:$B,'Compilado 2023'!$B:$B,'Compilado 2023'!X:X)</f>
        <v>0</v>
      </c>
      <c r="X29" s="106">
        <f>_xlfn.XLOOKUP($B:$B,'Compilado 2023'!$B:$B,'Compilado 2023'!Y:Y)</f>
        <v>0</v>
      </c>
      <c r="Y29" s="106">
        <f>_xlfn.XLOOKUP($B:$B,'Compilado 2023'!$B:$B,'Compilado 2023'!Z:Z)</f>
        <v>0</v>
      </c>
      <c r="Z29" s="38"/>
      <c r="AA29" s="107">
        <f>_xlfn.XLOOKUP($B:$B,'Compilado 2023'!$B:$B,'Compilado 2023'!AA:AA)</f>
        <v>0</v>
      </c>
    </row>
    <row r="30" spans="1:27" s="2" customFormat="1" x14ac:dyDescent="0.2">
      <c r="A30" s="16" t="str">
        <f t="shared" si="0"/>
        <v>quinta-feira</v>
      </c>
      <c r="B30" s="17">
        <f t="shared" si="6"/>
        <v>45043</v>
      </c>
      <c r="C30" s="19">
        <f t="shared" si="2"/>
        <v>72297.61</v>
      </c>
      <c r="D30" s="35">
        <f>_xlfn.XLOOKUP($B:$B,'Compilado 2023'!$B:$B,'Compilado 2023'!D:D)</f>
        <v>72297.61</v>
      </c>
      <c r="E30" s="35">
        <f>_xlfn.XLOOKUP($B:$B,'Compilado 2023'!$B:$B,'Compilado 2023'!E:E)</f>
        <v>0</v>
      </c>
      <c r="F30" s="18">
        <f>_xlfn.XLOOKUP($B:$B,'Compilado 2023'!$B:$B,'Compilado 2023'!F:F)</f>
        <v>214</v>
      </c>
      <c r="G30" s="18">
        <f>_xlfn.XLOOKUP($B:$B,'Compilado 2023'!$B:$B,'Compilado 2023'!G:G)</f>
        <v>295</v>
      </c>
      <c r="H30" s="35">
        <f t="shared" si="3"/>
        <v>337.83929906542056</v>
      </c>
      <c r="I30" s="19">
        <f t="shared" si="4"/>
        <v>1700.5233333333331</v>
      </c>
      <c r="J30" s="122">
        <f t="shared" si="5"/>
        <v>42.514917956629041</v>
      </c>
      <c r="K30" s="18">
        <f>_xlfn.XLOOKUP($B:$B,'Compilado 2023'!$B:$B,'Compilado 2023'!K:K)</f>
        <v>6734</v>
      </c>
      <c r="L30" s="54">
        <f t="shared" si="1"/>
        <v>3.1779031779031776E-2</v>
      </c>
      <c r="M30" s="38"/>
      <c r="N30" s="106">
        <f>_xlfn.XLOOKUP($B:$B,'Compilado 2023'!$B:$B,'Compilado 2023'!N:N)</f>
        <v>1323.75</v>
      </c>
      <c r="O30" s="106">
        <f>_xlfn.XLOOKUP($B:$B,'Compilado 2023'!$B:$B,'Compilado 2023'!O:O)</f>
        <v>194.34</v>
      </c>
      <c r="P30" s="106">
        <f>_xlfn.XLOOKUP($B:$B,'Compilado 2023'!$B:$B,'Compilado 2023'!P:P)</f>
        <v>0</v>
      </c>
      <c r="Q30" s="106">
        <f>_xlfn.XLOOKUP($B:$B,'Compilado 2023'!$B:$B,'Compilado 2023'!Q:Q)</f>
        <v>53.333333333333336</v>
      </c>
      <c r="R30" s="106">
        <f>_xlfn.XLOOKUP($B:$B,'Compilado 2023'!$B:$B,'Compilado 2023'!R:R)</f>
        <v>129.1</v>
      </c>
      <c r="S30" s="106">
        <f>_xlfn.XLOOKUP($B:$B,'Compilado 2023'!$B:$B,'Compilado 2023'!S:S)</f>
        <v>0</v>
      </c>
      <c r="T30" s="106">
        <f>_xlfn.XLOOKUP($B:$B,'Compilado 2023'!$B:$B,'Compilado 2023'!U:U)</f>
        <v>0</v>
      </c>
      <c r="U30" s="106">
        <f>_xlfn.XLOOKUP($B:$B,'Compilado 2023'!$B:$B,'Compilado 2023'!V:V)</f>
        <v>0</v>
      </c>
      <c r="V30" s="57"/>
      <c r="W30" s="106">
        <f>_xlfn.XLOOKUP($B:$B,'Compilado 2023'!$B:$B,'Compilado 2023'!X:X)</f>
        <v>0</v>
      </c>
      <c r="X30" s="106">
        <f>_xlfn.XLOOKUP($B:$B,'Compilado 2023'!$B:$B,'Compilado 2023'!Y:Y)</f>
        <v>0</v>
      </c>
      <c r="Y30" s="106">
        <f>_xlfn.XLOOKUP($B:$B,'Compilado 2023'!$B:$B,'Compilado 2023'!Z:Z)</f>
        <v>0</v>
      </c>
      <c r="Z30" s="38"/>
      <c r="AA30" s="107">
        <f>_xlfn.XLOOKUP($B:$B,'Compilado 2023'!$B:$B,'Compilado 2023'!AA:AA)</f>
        <v>0</v>
      </c>
    </row>
    <row r="31" spans="1:27" s="2" customFormat="1" x14ac:dyDescent="0.2">
      <c r="A31" s="16" t="str">
        <f t="shared" si="0"/>
        <v>sexta-feira</v>
      </c>
      <c r="B31" s="17">
        <f t="shared" si="6"/>
        <v>45044</v>
      </c>
      <c r="C31" s="19">
        <f t="shared" si="2"/>
        <v>83524.69</v>
      </c>
      <c r="D31" s="35">
        <f>_xlfn.XLOOKUP($B:$B,'Compilado 2023'!$B:$B,'Compilado 2023'!D:D)</f>
        <v>83524.69</v>
      </c>
      <c r="E31" s="35">
        <f>_xlfn.XLOOKUP($B:$B,'Compilado 2023'!$B:$B,'Compilado 2023'!E:E)</f>
        <v>0</v>
      </c>
      <c r="F31" s="18">
        <f>_xlfn.XLOOKUP($B:$B,'Compilado 2023'!$B:$B,'Compilado 2023'!F:F)</f>
        <v>262</v>
      </c>
      <c r="G31" s="18">
        <f>_xlfn.XLOOKUP($B:$B,'Compilado 2023'!$B:$B,'Compilado 2023'!G:G)</f>
        <v>362</v>
      </c>
      <c r="H31" s="35">
        <f t="shared" si="3"/>
        <v>318.79652671755724</v>
      </c>
      <c r="I31" s="19">
        <f t="shared" si="4"/>
        <v>1574.323333333333</v>
      </c>
      <c r="J31" s="122">
        <f t="shared" si="5"/>
        <v>53.054342924049919</v>
      </c>
      <c r="K31" s="18">
        <f>_xlfn.XLOOKUP($B:$B,'Compilado 2023'!$B:$B,'Compilado 2023'!K:K)</f>
        <v>6476</v>
      </c>
      <c r="L31" s="54">
        <f t="shared" si="1"/>
        <v>4.045707226683138E-2</v>
      </c>
      <c r="M31" s="38"/>
      <c r="N31" s="106">
        <f>_xlfn.XLOOKUP($B:$B,'Compilado 2023'!$B:$B,'Compilado 2023'!N:N)</f>
        <v>1248.6099999999999</v>
      </c>
      <c r="O31" s="106">
        <f>_xlfn.XLOOKUP($B:$B,'Compilado 2023'!$B:$B,'Compilado 2023'!O:O)</f>
        <v>179.35</v>
      </c>
      <c r="P31" s="106">
        <f>_xlfn.XLOOKUP($B:$B,'Compilado 2023'!$B:$B,'Compilado 2023'!P:P)</f>
        <v>0</v>
      </c>
      <c r="Q31" s="106">
        <f>_xlfn.XLOOKUP($B:$B,'Compilado 2023'!$B:$B,'Compilado 2023'!Q:Q)</f>
        <v>53.333333333333336</v>
      </c>
      <c r="R31" s="106">
        <f>_xlfn.XLOOKUP($B:$B,'Compilado 2023'!$B:$B,'Compilado 2023'!R:R)</f>
        <v>93.03</v>
      </c>
      <c r="S31" s="106">
        <f>_xlfn.XLOOKUP($B:$B,'Compilado 2023'!$B:$B,'Compilado 2023'!S:S)</f>
        <v>0</v>
      </c>
      <c r="T31" s="106">
        <f>_xlfn.XLOOKUP($B:$B,'Compilado 2023'!$B:$B,'Compilado 2023'!U:U)</f>
        <v>0</v>
      </c>
      <c r="U31" s="106">
        <f>_xlfn.XLOOKUP($B:$B,'Compilado 2023'!$B:$B,'Compilado 2023'!V:V)</f>
        <v>0</v>
      </c>
      <c r="V31" s="57"/>
      <c r="W31" s="106">
        <f>_xlfn.XLOOKUP($B:$B,'Compilado 2023'!$B:$B,'Compilado 2023'!X:X)</f>
        <v>0</v>
      </c>
      <c r="X31" s="106">
        <f>_xlfn.XLOOKUP($B:$B,'Compilado 2023'!$B:$B,'Compilado 2023'!Y:Y)</f>
        <v>0</v>
      </c>
      <c r="Y31" s="106">
        <f>_xlfn.XLOOKUP($B:$B,'Compilado 2023'!$B:$B,'Compilado 2023'!Z:Z)</f>
        <v>0</v>
      </c>
      <c r="Z31" s="38"/>
      <c r="AA31" s="107" t="str">
        <f>_xlfn.XLOOKUP($B:$B,'Compilado 2023'!$B:$B,'Compilado 2023'!AA:AA)</f>
        <v xml:space="preserve">Ativou a página Dia das Mães e alguns anúncios (Google e Face)  |  Atualizou Carrinho deixando responsivel (quantidade de produtos). </v>
      </c>
    </row>
    <row r="32" spans="1:27" s="2" customFormat="1" x14ac:dyDescent="0.2">
      <c r="A32" s="16" t="str">
        <f t="shared" si="0"/>
        <v>sábado</v>
      </c>
      <c r="B32" s="17">
        <f t="shared" si="6"/>
        <v>45045</v>
      </c>
      <c r="C32" s="19">
        <f t="shared" si="2"/>
        <v>48457.47</v>
      </c>
      <c r="D32" s="35">
        <f>_xlfn.XLOOKUP($B:$B,'Compilado 2023'!$B:$B,'Compilado 2023'!D:D)</f>
        <v>48457.47</v>
      </c>
      <c r="E32" s="35">
        <f>_xlfn.XLOOKUP($B:$B,'Compilado 2023'!$B:$B,'Compilado 2023'!E:E)</f>
        <v>0</v>
      </c>
      <c r="F32" s="18">
        <f>_xlfn.XLOOKUP($B:$B,'Compilado 2023'!$B:$B,'Compilado 2023'!F:F)</f>
        <v>173</v>
      </c>
      <c r="G32" s="18">
        <f>_xlfn.XLOOKUP($B:$B,'Compilado 2023'!$B:$B,'Compilado 2023'!G:G)</f>
        <v>197</v>
      </c>
      <c r="H32" s="35">
        <f t="shared" si="3"/>
        <v>280.10098265895954</v>
      </c>
      <c r="I32" s="19">
        <f t="shared" si="4"/>
        <v>1195.9933333333333</v>
      </c>
      <c r="J32" s="122">
        <f t="shared" si="5"/>
        <v>40.516505108724132</v>
      </c>
      <c r="K32" s="18">
        <f>_xlfn.XLOOKUP($B:$B,'Compilado 2023'!$B:$B,'Compilado 2023'!K:K)</f>
        <v>4866</v>
      </c>
      <c r="L32" s="54">
        <f t="shared" si="1"/>
        <v>3.5552815454171806E-2</v>
      </c>
      <c r="M32" s="38"/>
      <c r="N32" s="106">
        <f>_xlfn.XLOOKUP($B:$B,'Compilado 2023'!$B:$B,'Compilado 2023'!N:N)</f>
        <v>816.18</v>
      </c>
      <c r="O32" s="106">
        <f>_xlfn.XLOOKUP($B:$B,'Compilado 2023'!$B:$B,'Compilado 2023'!O:O)</f>
        <v>222.33</v>
      </c>
      <c r="P32" s="106">
        <f>_xlfn.XLOOKUP($B:$B,'Compilado 2023'!$B:$B,'Compilado 2023'!P:P)</f>
        <v>0</v>
      </c>
      <c r="Q32" s="106">
        <f>_xlfn.XLOOKUP($B:$B,'Compilado 2023'!$B:$B,'Compilado 2023'!Q:Q)</f>
        <v>53.333333333333336</v>
      </c>
      <c r="R32" s="106">
        <f>_xlfn.XLOOKUP($B:$B,'Compilado 2023'!$B:$B,'Compilado 2023'!R:R)</f>
        <v>104.15</v>
      </c>
      <c r="S32" s="106">
        <f>_xlfn.XLOOKUP($B:$B,'Compilado 2023'!$B:$B,'Compilado 2023'!S:S)</f>
        <v>0</v>
      </c>
      <c r="T32" s="106">
        <f>_xlfn.XLOOKUP($B:$B,'Compilado 2023'!$B:$B,'Compilado 2023'!U:U)</f>
        <v>0</v>
      </c>
      <c r="U32" s="106">
        <f>_xlfn.XLOOKUP($B:$B,'Compilado 2023'!$B:$B,'Compilado 2023'!V:V)</f>
        <v>0</v>
      </c>
      <c r="V32" s="57"/>
      <c r="W32" s="106">
        <f>_xlfn.XLOOKUP($B:$B,'Compilado 2023'!$B:$B,'Compilado 2023'!X:X)</f>
        <v>0</v>
      </c>
      <c r="X32" s="106">
        <f>_xlfn.XLOOKUP($B:$B,'Compilado 2023'!$B:$B,'Compilado 2023'!Y:Y)</f>
        <v>0</v>
      </c>
      <c r="Y32" s="106">
        <f>_xlfn.XLOOKUP($B:$B,'Compilado 2023'!$B:$B,'Compilado 2023'!Z:Z)</f>
        <v>0</v>
      </c>
      <c r="Z32" s="38"/>
      <c r="AA32" s="107">
        <f>_xlfn.XLOOKUP($B:$B,'Compilado 2023'!$B:$B,'Compilado 2023'!AA:AA)</f>
        <v>0</v>
      </c>
    </row>
    <row r="33" spans="1:27" s="2" customFormat="1" x14ac:dyDescent="0.2">
      <c r="A33" s="16" t="str">
        <f t="shared" si="0"/>
        <v>domingo</v>
      </c>
      <c r="B33" s="17">
        <f t="shared" si="6"/>
        <v>45046</v>
      </c>
      <c r="C33" s="19">
        <f t="shared" si="2"/>
        <v>35392.46</v>
      </c>
      <c r="D33" s="35">
        <f>_xlfn.XLOOKUP($B:$B,'Compilado 2023'!$B:$B,'Compilado 2023'!D:D)</f>
        <v>35392.46</v>
      </c>
      <c r="E33" s="35">
        <f>_xlfn.XLOOKUP($B:$B,'Compilado 2023'!$B:$B,'Compilado 2023'!E:E)</f>
        <v>0</v>
      </c>
      <c r="F33" s="18">
        <f>_xlfn.XLOOKUP($B:$B,'Compilado 2023'!$B:$B,'Compilado 2023'!F:F)</f>
        <v>115</v>
      </c>
      <c r="G33" s="18">
        <f>_xlfn.XLOOKUP($B:$B,'Compilado 2023'!$B:$B,'Compilado 2023'!G:G)</f>
        <v>134</v>
      </c>
      <c r="H33" s="35">
        <f t="shared" si="3"/>
        <v>307.76052173913041</v>
      </c>
      <c r="I33" s="19">
        <f t="shared" si="4"/>
        <v>1319.7333333333333</v>
      </c>
      <c r="J33" s="122">
        <f t="shared" si="5"/>
        <v>26.817887452010506</v>
      </c>
      <c r="K33" s="18">
        <f>_xlfn.XLOOKUP($B:$B,'Compilado 2023'!$B:$B,'Compilado 2023'!K:K)</f>
        <v>4288</v>
      </c>
      <c r="L33" s="54">
        <f t="shared" si="1"/>
        <v>2.681902985074627E-2</v>
      </c>
      <c r="M33" s="38"/>
      <c r="N33" s="106">
        <f>_xlfn.XLOOKUP($B:$B,'Compilado 2023'!$B:$B,'Compilado 2023'!N:N)</f>
        <v>1004.03</v>
      </c>
      <c r="O33" s="106">
        <f>_xlfn.XLOOKUP($B:$B,'Compilado 2023'!$B:$B,'Compilado 2023'!O:O)</f>
        <v>238.97</v>
      </c>
      <c r="P33" s="106">
        <f>_xlfn.XLOOKUP($B:$B,'Compilado 2023'!$B:$B,'Compilado 2023'!P:P)</f>
        <v>0</v>
      </c>
      <c r="Q33" s="106">
        <f>_xlfn.XLOOKUP($B:$B,'Compilado 2023'!$B:$B,'Compilado 2023'!Q:Q)</f>
        <v>53.333333333333336</v>
      </c>
      <c r="R33" s="106">
        <f>_xlfn.XLOOKUP($B:$B,'Compilado 2023'!$B:$B,'Compilado 2023'!R:R)</f>
        <v>23.4</v>
      </c>
      <c r="S33" s="106">
        <f>_xlfn.XLOOKUP($B:$B,'Compilado 2023'!$B:$B,'Compilado 2023'!S:S)</f>
        <v>0</v>
      </c>
      <c r="T33" s="106">
        <f>_xlfn.XLOOKUP($B:$B,'Compilado 2023'!$B:$B,'Compilado 2023'!U:U)</f>
        <v>0</v>
      </c>
      <c r="U33" s="106">
        <f>_xlfn.XLOOKUP($B:$B,'Compilado 2023'!$B:$B,'Compilado 2023'!V:V)</f>
        <v>0</v>
      </c>
      <c r="V33" s="57"/>
      <c r="W33" s="106">
        <f>_xlfn.XLOOKUP($B:$B,'Compilado 2023'!$B:$B,'Compilado 2023'!X:X)</f>
        <v>0</v>
      </c>
      <c r="X33" s="106">
        <f>_xlfn.XLOOKUP($B:$B,'Compilado 2023'!$B:$B,'Compilado 2023'!Y:Y)</f>
        <v>0</v>
      </c>
      <c r="Y33" s="106">
        <f>_xlfn.XLOOKUP($B:$B,'Compilado 2023'!$B:$B,'Compilado 2023'!Z:Z)</f>
        <v>0</v>
      </c>
      <c r="Z33" s="38"/>
      <c r="AA33" s="107">
        <f>_xlfn.XLOOKUP($B:$B,'Compilado 2023'!$B:$B,'Compilado 2023'!AA:AA)</f>
        <v>0</v>
      </c>
    </row>
    <row r="34" spans="1:27" hidden="1" x14ac:dyDescent="0.2">
      <c r="A34" s="16"/>
      <c r="B34" s="17"/>
      <c r="C34" s="19"/>
      <c r="D34" s="35"/>
      <c r="E34" s="35"/>
      <c r="F34" s="18"/>
      <c r="G34" s="18"/>
      <c r="H34" s="35"/>
      <c r="I34" s="19"/>
      <c r="J34" s="122"/>
      <c r="K34" s="18"/>
      <c r="L34" s="54"/>
      <c r="M34" s="38"/>
      <c r="N34" s="106"/>
      <c r="O34" s="106"/>
      <c r="P34" s="106"/>
      <c r="Q34" s="106"/>
      <c r="R34" s="106"/>
      <c r="S34" s="106"/>
      <c r="T34" s="106"/>
      <c r="U34" s="106"/>
      <c r="V34" s="57"/>
      <c r="W34" s="106"/>
      <c r="X34" s="106"/>
      <c r="Y34" s="106"/>
      <c r="Z34" s="38"/>
      <c r="AA34" s="107"/>
    </row>
    <row r="35" spans="1:27" s="61" customFormat="1" ht="12" x14ac:dyDescent="0.2">
      <c r="A35" s="90" t="s">
        <v>186</v>
      </c>
      <c r="B35" s="91">
        <f>COUNTA(B4:B33)</f>
        <v>30</v>
      </c>
      <c r="C35" s="92">
        <f>SUM(C4:C34)</f>
        <v>2016692.72</v>
      </c>
      <c r="D35" s="92">
        <f>SUM(D4:D34)</f>
        <v>2016186.7700000003</v>
      </c>
      <c r="E35" s="92">
        <f>SUM(E4:E34)</f>
        <v>505.94999999999993</v>
      </c>
      <c r="F35" s="93">
        <f>SUM(F4:F34)</f>
        <v>6949</v>
      </c>
      <c r="G35" s="93">
        <f>SUM(G4:G34)</f>
        <v>9274</v>
      </c>
      <c r="H35" s="92">
        <f>C35/F35</f>
        <v>290.21337170815946</v>
      </c>
      <c r="I35" s="92">
        <f>SUM(I4:I34)</f>
        <v>36653.169999999991</v>
      </c>
      <c r="J35" s="123">
        <f>C35/I35</f>
        <v>55.02096326184067</v>
      </c>
      <c r="K35" s="93">
        <f>SUM(K4:K34)</f>
        <v>166640</v>
      </c>
      <c r="L35" s="94">
        <f>IFERROR(F35/K35,0)</f>
        <v>4.1700672107537202E-2</v>
      </c>
      <c r="M35" s="95"/>
      <c r="N35" s="92">
        <f t="shared" ref="N35:U35" si="7">SUM(N4:N34)</f>
        <v>26200.709999999992</v>
      </c>
      <c r="O35" s="92">
        <f t="shared" si="7"/>
        <v>8080.4600000000009</v>
      </c>
      <c r="P35" s="92">
        <f t="shared" si="7"/>
        <v>0</v>
      </c>
      <c r="Q35" s="92">
        <f t="shared" si="7"/>
        <v>1599.9999999999995</v>
      </c>
      <c r="R35" s="92">
        <f>SUM(R4:R33)</f>
        <v>771.99999999999989</v>
      </c>
      <c r="S35" s="92">
        <f t="shared" si="7"/>
        <v>0</v>
      </c>
      <c r="T35" s="92">
        <f t="shared" si="7"/>
        <v>0</v>
      </c>
      <c r="U35" s="92">
        <f t="shared" si="7"/>
        <v>0</v>
      </c>
      <c r="V35" s="97">
        <f t="shared" ref="V35:Y35" si="8">SUM(V4:V33)</f>
        <v>0</v>
      </c>
      <c r="W35" s="96">
        <f t="shared" si="8"/>
        <v>0</v>
      </c>
      <c r="X35" s="92">
        <f t="shared" si="8"/>
        <v>0</v>
      </c>
      <c r="Y35" s="92">
        <f t="shared" si="8"/>
        <v>0</v>
      </c>
      <c r="Z35" s="95"/>
      <c r="AA35" s="98"/>
    </row>
    <row r="36" spans="1:27" ht="6.75" customHeight="1" x14ac:dyDescent="0.2">
      <c r="M36" s="21"/>
    </row>
    <row r="37" spans="1:27" s="34" customFormat="1" ht="15.75" x14ac:dyDescent="0.3">
      <c r="A37" s="99" t="str">
        <f>MAR!A38</f>
        <v>Média Março 2023</v>
      </c>
      <c r="B37" s="100"/>
      <c r="C37" s="101">
        <f>MAR!C45</f>
        <v>1077514.7199999997</v>
      </c>
      <c r="D37" s="101">
        <f>MAR!D45</f>
        <v>1077261.3400000001</v>
      </c>
      <c r="E37" s="101">
        <f>MAR!E45</f>
        <v>253.38</v>
      </c>
      <c r="F37" s="102">
        <f>MAR!F45</f>
        <v>3901</v>
      </c>
      <c r="G37" s="102">
        <f>MAR!G45</f>
        <v>5161</v>
      </c>
      <c r="H37" s="103">
        <f>MAR!H45</f>
        <v>276.21500128172255</v>
      </c>
      <c r="I37" s="101">
        <f>MAR!I45</f>
        <v>16759.53</v>
      </c>
      <c r="J37" s="124">
        <f>MAR!J45</f>
        <v>64.292657371656588</v>
      </c>
      <c r="K37" s="104">
        <f>MAR!K45</f>
        <v>111082</v>
      </c>
      <c r="L37" s="105">
        <f>MAR!L45</f>
        <v>3.5118200968653784E-2</v>
      </c>
      <c r="M37" s="21"/>
      <c r="N37"/>
      <c r="O37"/>
      <c r="P37"/>
      <c r="Q37"/>
      <c r="R37"/>
      <c r="S37"/>
      <c r="T37"/>
      <c r="U37"/>
      <c r="V37"/>
      <c r="W37"/>
      <c r="X37"/>
      <c r="Y37"/>
      <c r="Z37"/>
      <c r="AA37"/>
    </row>
    <row r="38" spans="1:27" s="34" customFormat="1" ht="15.75" x14ac:dyDescent="0.3">
      <c r="A38" s="99" t="str">
        <f>_xlfn.CONCAT("Média ",B2)</f>
        <v>Média Abril 2023</v>
      </c>
      <c r="B38" s="100"/>
      <c r="C38" s="101">
        <f>AVERAGE(C4:C34)</f>
        <v>67223.090666666671</v>
      </c>
      <c r="D38" s="101">
        <f t="shared" ref="D38:I38" si="9">AVERAGE(D5:D34)</f>
        <v>67961.044137931036</v>
      </c>
      <c r="E38" s="101">
        <f t="shared" si="9"/>
        <v>17.44655172413793</v>
      </c>
      <c r="F38" s="102">
        <f t="shared" si="9"/>
        <v>234.13793103448276</v>
      </c>
      <c r="G38" s="102">
        <f t="shared" si="9"/>
        <v>313.31034482758622</v>
      </c>
      <c r="H38" s="103">
        <f t="shared" si="9"/>
        <v>297.91988944995035</v>
      </c>
      <c r="I38" s="101">
        <f t="shared" si="9"/>
        <v>1246.3712643678159</v>
      </c>
      <c r="J38" s="124">
        <f>IFERROR(C38/I38,0)</f>
        <v>53.935045350041463</v>
      </c>
      <c r="K38" s="104">
        <f>AVERAGE(K5:K34)</f>
        <v>5598.7586206896549</v>
      </c>
      <c r="L38" s="105">
        <f>IFERROR(F38/K38,0)</f>
        <v>4.1819615185632285E-2</v>
      </c>
      <c r="M38" s="21"/>
      <c r="N38"/>
      <c r="O38"/>
      <c r="P38"/>
      <c r="Q38"/>
      <c r="R38"/>
      <c r="S38"/>
      <c r="T38"/>
      <c r="U38"/>
      <c r="V38"/>
      <c r="W38"/>
      <c r="X38"/>
      <c r="Y38"/>
      <c r="Z38"/>
      <c r="AA38"/>
    </row>
    <row r="39" spans="1:27" ht="15.75" customHeight="1" x14ac:dyDescent="0.2">
      <c r="M39" s="21"/>
    </row>
    <row r="40" spans="1:27" ht="15.75" customHeight="1" x14ac:dyDescent="0.2">
      <c r="M40" s="21"/>
    </row>
    <row r="41" spans="1:27" ht="14.25" x14ac:dyDescent="0.2">
      <c r="B41" s="223" t="s">
        <v>192</v>
      </c>
      <c r="C41" s="223"/>
      <c r="D41" s="223"/>
      <c r="E41" s="76"/>
      <c r="F41" s="76"/>
      <c r="G41" s="76"/>
      <c r="H41" s="76"/>
      <c r="I41" s="76"/>
      <c r="J41" s="76"/>
      <c r="K41" s="76"/>
      <c r="L41" s="76"/>
      <c r="M41" s="21"/>
    </row>
    <row r="42" spans="1:27" ht="15.75" customHeight="1" x14ac:dyDescent="0.2"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21"/>
    </row>
    <row r="43" spans="1:27" ht="15" customHeight="1" thickBot="1" x14ac:dyDescent="0.25">
      <c r="B43" s="77" t="s">
        <v>153</v>
      </c>
      <c r="C43" s="78" t="s">
        <v>75</v>
      </c>
      <c r="D43" s="78" t="s">
        <v>154</v>
      </c>
      <c r="E43" s="78" t="s">
        <v>77</v>
      </c>
      <c r="F43" s="78" t="s">
        <v>78</v>
      </c>
      <c r="G43" s="78" t="s">
        <v>79</v>
      </c>
      <c r="H43" s="78" t="s">
        <v>80</v>
      </c>
      <c r="I43" s="78" t="s">
        <v>81</v>
      </c>
      <c r="J43" s="78" t="s">
        <v>82</v>
      </c>
      <c r="K43" s="78" t="s">
        <v>40</v>
      </c>
      <c r="L43" s="78" t="s">
        <v>83</v>
      </c>
      <c r="M43" s="21"/>
      <c r="N43" s="78" t="s">
        <v>85</v>
      </c>
      <c r="O43" s="78" t="s">
        <v>155</v>
      </c>
      <c r="P43" s="78" t="s">
        <v>87</v>
      </c>
      <c r="Q43" s="78" t="s">
        <v>88</v>
      </c>
      <c r="R43" s="78" t="s">
        <v>89</v>
      </c>
      <c r="S43" s="78" t="s">
        <v>90</v>
      </c>
      <c r="T43" s="78" t="s">
        <v>91</v>
      </c>
      <c r="U43" s="78" t="s">
        <v>92</v>
      </c>
    </row>
    <row r="44" spans="1:27" s="20" customFormat="1" ht="14.25" x14ac:dyDescent="0.2">
      <c r="B44" s="79" t="str">
        <f>_xlfn.CONCAT(_xlfn.XLOOKUP(O1,Referencia!B1:B13,Referencia!C1:C13),"/",P1)</f>
        <v>ABR/2023</v>
      </c>
      <c r="C44" s="80">
        <f>C35</f>
        <v>2016692.72</v>
      </c>
      <c r="D44" s="80">
        <f t="shared" ref="D44:K44" si="10">D35</f>
        <v>2016186.7700000003</v>
      </c>
      <c r="E44" s="80">
        <f t="shared" si="10"/>
        <v>505.94999999999993</v>
      </c>
      <c r="F44" s="81">
        <f t="shared" si="10"/>
        <v>6949</v>
      </c>
      <c r="G44" s="81">
        <f t="shared" si="10"/>
        <v>9274</v>
      </c>
      <c r="H44" s="80">
        <f>C44/F44</f>
        <v>290.21337170815946</v>
      </c>
      <c r="I44" s="80">
        <f t="shared" si="10"/>
        <v>36653.169999999991</v>
      </c>
      <c r="J44" s="118">
        <f>C44/I44</f>
        <v>55.02096326184067</v>
      </c>
      <c r="K44" s="81">
        <f t="shared" si="10"/>
        <v>166640</v>
      </c>
      <c r="L44" s="82">
        <f>F44/K44</f>
        <v>4.1700672107537202E-2</v>
      </c>
      <c r="M44" s="150"/>
      <c r="N44" s="134">
        <f>N35</f>
        <v>26200.709999999992</v>
      </c>
      <c r="O44" s="134">
        <f>O35</f>
        <v>8080.4600000000009</v>
      </c>
      <c r="P44" s="134">
        <f t="shared" ref="P44:U44" si="11">P35</f>
        <v>0</v>
      </c>
      <c r="Q44" s="134">
        <f t="shared" si="11"/>
        <v>1599.9999999999995</v>
      </c>
      <c r="R44" s="134">
        <f t="shared" si="11"/>
        <v>771.99999999999989</v>
      </c>
      <c r="S44" s="134">
        <f t="shared" si="11"/>
        <v>0</v>
      </c>
      <c r="T44" s="134">
        <f t="shared" si="11"/>
        <v>0</v>
      </c>
      <c r="U44" s="134">
        <f t="shared" si="11"/>
        <v>0</v>
      </c>
      <c r="V44"/>
      <c r="W44"/>
      <c r="X44"/>
      <c r="Y44"/>
      <c r="Z44"/>
      <c r="AA44"/>
    </row>
    <row r="45" spans="1:27" s="206" customFormat="1" ht="14.25" x14ac:dyDescent="0.2">
      <c r="B45" s="138" t="str">
        <f>_xlfn.CONCAT(_xlfn.XLOOKUP(O1,Referencia!B1:B13,Referencia!C1:C13),"/",(P1-1))</f>
        <v>ABR/2022</v>
      </c>
      <c r="C45" s="134">
        <f>SUM(C64:C94)</f>
        <v>1192462.82</v>
      </c>
      <c r="D45" s="134">
        <f>SUM(D64:D94)</f>
        <v>1192151.3600000003</v>
      </c>
      <c r="E45" s="134">
        <f>SUM(E64:E94)</f>
        <v>311.45999999999998</v>
      </c>
      <c r="F45" s="135">
        <f>SUM(F64:F94)</f>
        <v>4346</v>
      </c>
      <c r="G45" s="135">
        <f>SUM(G64:G94)</f>
        <v>5861</v>
      </c>
      <c r="H45" s="134">
        <f>C45/F45</f>
        <v>274.38168890934196</v>
      </c>
      <c r="I45" s="134">
        <f>SUM(I64:I94)</f>
        <v>20747.849999999995</v>
      </c>
      <c r="J45" s="136">
        <f>C45/I45</f>
        <v>57.474042852632941</v>
      </c>
      <c r="K45" s="135">
        <f>SUM(K64:K94)</f>
        <v>111118</v>
      </c>
      <c r="L45" s="137">
        <f>F45/K45</f>
        <v>3.9111575082344897E-2</v>
      </c>
      <c r="M45" s="207"/>
      <c r="N45" s="134">
        <f>SUM(N64:N94)</f>
        <v>13826.570000000005</v>
      </c>
      <c r="O45" s="134">
        <f t="shared" ref="O45:V45" si="12">SUM(O64:O94)</f>
        <v>5321.2799999999988</v>
      </c>
      <c r="P45" s="134">
        <f t="shared" si="12"/>
        <v>0</v>
      </c>
      <c r="Q45" s="134">
        <f t="shared" si="12"/>
        <v>1599.9999999999995</v>
      </c>
      <c r="R45" s="134">
        <f t="shared" si="12"/>
        <v>0</v>
      </c>
      <c r="S45" s="134">
        <f t="shared" si="12"/>
        <v>0</v>
      </c>
      <c r="T45" s="134">
        <f t="shared" si="12"/>
        <v>0</v>
      </c>
      <c r="U45" s="134">
        <f t="shared" si="12"/>
        <v>0</v>
      </c>
      <c r="V45" s="134">
        <f t="shared" si="12"/>
        <v>0</v>
      </c>
      <c r="W45" s="204"/>
      <c r="X45" s="204"/>
      <c r="Y45" s="204"/>
      <c r="Z45" s="204"/>
      <c r="AA45" s="204"/>
    </row>
    <row r="46" spans="1:27" s="20" customFormat="1" ht="14.25" x14ac:dyDescent="0.2">
      <c r="B46" s="83"/>
      <c r="C46" s="87">
        <f>C44-C45</f>
        <v>824229.89999999991</v>
      </c>
      <c r="D46" s="87">
        <f t="shared" ref="D46:L46" si="13">D44-D45</f>
        <v>824035.40999999992</v>
      </c>
      <c r="E46" s="87">
        <f t="shared" si="13"/>
        <v>194.48999999999995</v>
      </c>
      <c r="F46" s="88">
        <f t="shared" si="13"/>
        <v>2603</v>
      </c>
      <c r="G46" s="88">
        <f t="shared" si="13"/>
        <v>3413</v>
      </c>
      <c r="H46" s="87">
        <f t="shared" si="13"/>
        <v>15.831682798817496</v>
      </c>
      <c r="I46" s="87">
        <f t="shared" si="13"/>
        <v>15905.319999999996</v>
      </c>
      <c r="J46" s="125">
        <f t="shared" si="13"/>
        <v>-2.4530795907922709</v>
      </c>
      <c r="K46" s="88">
        <f t="shared" si="13"/>
        <v>55522</v>
      </c>
      <c r="L46" s="89">
        <f t="shared" si="13"/>
        <v>2.5890970251923051E-3</v>
      </c>
      <c r="M46" s="21"/>
      <c r="N46"/>
      <c r="O46"/>
      <c r="P46"/>
      <c r="Q46"/>
      <c r="R46"/>
      <c r="S46"/>
      <c r="T46"/>
      <c r="U46"/>
      <c r="V46"/>
      <c r="W46"/>
      <c r="X46"/>
      <c r="Y46"/>
      <c r="Z46"/>
      <c r="AA46"/>
    </row>
    <row r="47" spans="1:27" ht="14.25" x14ac:dyDescent="0.2">
      <c r="B47" s="84"/>
      <c r="C47" s="85">
        <f>IFERROR(1-(C45/C44),0)</f>
        <v>0.40870376127504437</v>
      </c>
      <c r="D47" s="85">
        <f t="shared" ref="D47:L47" si="14">IFERROR(1-(D45/D44),0)</f>
        <v>0.40870985875976151</v>
      </c>
      <c r="E47" s="85">
        <f t="shared" si="14"/>
        <v>0.38440557367328787</v>
      </c>
      <c r="F47" s="85">
        <f t="shared" si="14"/>
        <v>0.37458627140595768</v>
      </c>
      <c r="G47" s="85">
        <f t="shared" si="14"/>
        <v>0.36801811516066418</v>
      </c>
      <c r="H47" s="85">
        <f t="shared" si="14"/>
        <v>5.4551872319439365E-2</v>
      </c>
      <c r="I47" s="85">
        <f t="shared" si="14"/>
        <v>0.43394118435049411</v>
      </c>
      <c r="J47" s="85">
        <f t="shared" si="14"/>
        <v>-4.4584453731175921E-2</v>
      </c>
      <c r="K47" s="85">
        <f t="shared" si="14"/>
        <v>0.33318530964954396</v>
      </c>
      <c r="L47" s="85">
        <f t="shared" si="14"/>
        <v>6.2087656969066929E-2</v>
      </c>
      <c r="M47" s="21"/>
    </row>
    <row r="48" spans="1:27" ht="15.75" customHeight="1" x14ac:dyDescent="0.2"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</row>
    <row r="49" spans="1:27" ht="14.25" x14ac:dyDescent="0.2">
      <c r="B49" s="223" t="s">
        <v>189</v>
      </c>
      <c r="C49" s="223"/>
      <c r="D49" s="223"/>
      <c r="E49" s="84"/>
      <c r="F49" s="84"/>
      <c r="G49" s="84"/>
      <c r="H49" s="84"/>
      <c r="I49" s="84"/>
      <c r="J49" s="84"/>
      <c r="K49" s="84"/>
      <c r="L49" s="84"/>
      <c r="M49" s="21"/>
    </row>
    <row r="50" spans="1:27" ht="15" customHeight="1" thickBot="1" x14ac:dyDescent="0.25">
      <c r="B50" s="77" t="s">
        <v>153</v>
      </c>
      <c r="C50" s="78" t="s">
        <v>75</v>
      </c>
      <c r="D50" s="78" t="s">
        <v>154</v>
      </c>
      <c r="E50" s="78" t="s">
        <v>77</v>
      </c>
      <c r="F50" s="78" t="s">
        <v>78</v>
      </c>
      <c r="G50" s="78" t="s">
        <v>79</v>
      </c>
      <c r="H50" s="78" t="s">
        <v>80</v>
      </c>
      <c r="I50" s="78" t="s">
        <v>81</v>
      </c>
      <c r="J50" s="78" t="s">
        <v>82</v>
      </c>
      <c r="K50" s="78" t="s">
        <v>40</v>
      </c>
      <c r="L50" s="78" t="s">
        <v>83</v>
      </c>
      <c r="M50" s="21"/>
      <c r="N50" s="78" t="s">
        <v>85</v>
      </c>
      <c r="O50" s="78" t="s">
        <v>155</v>
      </c>
      <c r="P50" s="78" t="s">
        <v>87</v>
      </c>
      <c r="Q50" s="78" t="s">
        <v>88</v>
      </c>
      <c r="R50" s="78" t="s">
        <v>89</v>
      </c>
      <c r="S50" s="78" t="s">
        <v>90</v>
      </c>
      <c r="T50" s="78" t="s">
        <v>91</v>
      </c>
      <c r="U50" s="78" t="s">
        <v>92</v>
      </c>
    </row>
    <row r="51" spans="1:27" ht="14.25" x14ac:dyDescent="0.2">
      <c r="B51" s="79" t="str">
        <f>B44</f>
        <v>ABR/2023</v>
      </c>
      <c r="C51" s="80">
        <f>C44</f>
        <v>2016692.72</v>
      </c>
      <c r="D51" s="80">
        <f t="shared" ref="D51:U51" si="15">D44</f>
        <v>2016186.7700000003</v>
      </c>
      <c r="E51" s="80">
        <f t="shared" si="15"/>
        <v>505.94999999999993</v>
      </c>
      <c r="F51" s="81">
        <f t="shared" si="15"/>
        <v>6949</v>
      </c>
      <c r="G51" s="81">
        <f t="shared" si="15"/>
        <v>9274</v>
      </c>
      <c r="H51" s="80">
        <f t="shared" si="15"/>
        <v>290.21337170815946</v>
      </c>
      <c r="I51" s="80">
        <f t="shared" si="15"/>
        <v>36653.169999999991</v>
      </c>
      <c r="J51" s="118">
        <f t="shared" si="15"/>
        <v>55.02096326184067</v>
      </c>
      <c r="K51" s="81">
        <f t="shared" si="15"/>
        <v>166640</v>
      </c>
      <c r="L51" s="82">
        <f t="shared" si="15"/>
        <v>4.1700672107537202E-2</v>
      </c>
      <c r="M51" s="21"/>
      <c r="N51" s="80">
        <f t="shared" si="15"/>
        <v>26200.709999999992</v>
      </c>
      <c r="O51" s="80">
        <f t="shared" si="15"/>
        <v>8080.4600000000009</v>
      </c>
      <c r="P51" s="80">
        <f t="shared" si="15"/>
        <v>0</v>
      </c>
      <c r="Q51" s="80">
        <f t="shared" si="15"/>
        <v>1599.9999999999995</v>
      </c>
      <c r="R51" s="80">
        <f t="shared" si="15"/>
        <v>771.99999999999989</v>
      </c>
      <c r="S51" s="80">
        <f t="shared" si="15"/>
        <v>0</v>
      </c>
      <c r="T51" s="80">
        <f t="shared" si="15"/>
        <v>0</v>
      </c>
      <c r="U51" s="80">
        <f t="shared" si="15"/>
        <v>0</v>
      </c>
    </row>
    <row r="52" spans="1:27" s="204" customFormat="1" ht="14.25" x14ac:dyDescent="0.2">
      <c r="B52" s="138" t="str">
        <f>MAR!B51</f>
        <v>MAR/2023</v>
      </c>
      <c r="C52" s="134">
        <f>DEZ!C45</f>
        <v>3470256.77</v>
      </c>
      <c r="D52" s="134">
        <f>DEZ!D45</f>
        <v>3469620.04</v>
      </c>
      <c r="E52" s="134">
        <f>DEZ!E45</f>
        <v>636.73</v>
      </c>
      <c r="F52" s="135">
        <f>DEZ!F45</f>
        <v>10887</v>
      </c>
      <c r="G52" s="135">
        <f>DEZ!G45</f>
        <v>14826</v>
      </c>
      <c r="H52" s="134">
        <f>DEZ!H45</f>
        <v>318.75234408009555</v>
      </c>
      <c r="I52" s="134">
        <f>DEZ!I45</f>
        <v>37063.610000000008</v>
      </c>
      <c r="J52" s="136">
        <f>DEZ!J45</f>
        <v>93.629756248784162</v>
      </c>
      <c r="K52" s="135">
        <f>DEZ!K45</f>
        <v>169385</v>
      </c>
      <c r="L52" s="137">
        <f>DEZ!L45</f>
        <v>6.4273696017947274E-2</v>
      </c>
      <c r="M52" s="205">
        <f>DEZ!M45</f>
        <v>0</v>
      </c>
      <c r="N52" s="134">
        <f>DEZ!N45</f>
        <v>24316.789999999994</v>
      </c>
      <c r="O52" s="134">
        <f>DEZ!O45</f>
        <v>11146.819999999998</v>
      </c>
      <c r="P52" s="134">
        <f>DEZ!P45</f>
        <v>0</v>
      </c>
      <c r="Q52" s="134">
        <f>DEZ!Q45</f>
        <v>1599.9999999999989</v>
      </c>
      <c r="R52" s="134">
        <f>DEZ!R45</f>
        <v>0</v>
      </c>
      <c r="S52" s="134">
        <f>DEZ!S45</f>
        <v>0</v>
      </c>
      <c r="T52" s="134">
        <f>DEZ!T45</f>
        <v>0</v>
      </c>
      <c r="U52" s="134">
        <f>DEZ!U45</f>
        <v>0</v>
      </c>
    </row>
    <row r="53" spans="1:27" ht="14.25" x14ac:dyDescent="0.2">
      <c r="B53" s="83"/>
      <c r="C53" s="87">
        <f t="shared" ref="C53:L53" si="16">C51-C52</f>
        <v>-1453564.05</v>
      </c>
      <c r="D53" s="87">
        <f t="shared" si="16"/>
        <v>-1453433.2699999998</v>
      </c>
      <c r="E53" s="87">
        <f t="shared" si="16"/>
        <v>-130.78000000000009</v>
      </c>
      <c r="F53" s="88">
        <f t="shared" si="16"/>
        <v>-3938</v>
      </c>
      <c r="G53" s="88">
        <f t="shared" si="16"/>
        <v>-5552</v>
      </c>
      <c r="H53" s="87">
        <f t="shared" si="16"/>
        <v>-28.538972371936097</v>
      </c>
      <c r="I53" s="87">
        <f t="shared" si="16"/>
        <v>-410.44000000001688</v>
      </c>
      <c r="J53" s="125">
        <f t="shared" si="16"/>
        <v>-38.608792986943492</v>
      </c>
      <c r="K53" s="88">
        <f t="shared" si="16"/>
        <v>-2745</v>
      </c>
      <c r="L53" s="89">
        <f t="shared" si="16"/>
        <v>-2.2573023910410071E-2</v>
      </c>
      <c r="M53" s="21"/>
      <c r="N53" s="87">
        <f t="shared" ref="N53:U53" si="17">N51-N52</f>
        <v>1883.9199999999983</v>
      </c>
      <c r="O53" s="87">
        <f t="shared" si="17"/>
        <v>-3066.3599999999969</v>
      </c>
      <c r="P53" s="87">
        <f t="shared" si="17"/>
        <v>0</v>
      </c>
      <c r="Q53" s="87">
        <f t="shared" si="17"/>
        <v>0</v>
      </c>
      <c r="R53" s="87">
        <f t="shared" si="17"/>
        <v>771.99999999999989</v>
      </c>
      <c r="S53" s="87">
        <f t="shared" si="17"/>
        <v>0</v>
      </c>
      <c r="T53" s="87">
        <f t="shared" si="17"/>
        <v>0</v>
      </c>
      <c r="U53" s="87">
        <f t="shared" si="17"/>
        <v>0</v>
      </c>
    </row>
    <row r="54" spans="1:27" ht="14.25" x14ac:dyDescent="0.2">
      <c r="B54" s="84"/>
      <c r="C54" s="85">
        <f>IFERROR(1-(C52/C51),0)</f>
        <v>-0.72076625039832543</v>
      </c>
      <c r="D54" s="85">
        <f t="shared" ref="D54:L54" si="18">IFERROR(1-(D52/D51),0)</f>
        <v>-0.72088225735158429</v>
      </c>
      <c r="E54" s="85">
        <f t="shared" si="18"/>
        <v>-0.25848403992489399</v>
      </c>
      <c r="F54" s="85">
        <f t="shared" si="18"/>
        <v>-0.5667002446395164</v>
      </c>
      <c r="G54" s="85">
        <f t="shared" si="18"/>
        <v>-0.59866292861764081</v>
      </c>
      <c r="H54" s="85">
        <f t="shared" si="18"/>
        <v>-9.8337896024429439E-2</v>
      </c>
      <c r="I54" s="85">
        <f t="shared" si="18"/>
        <v>-1.1197940041748566E-2</v>
      </c>
      <c r="J54" s="85">
        <f t="shared" si="18"/>
        <v>-0.7017105971628872</v>
      </c>
      <c r="K54" s="85">
        <f t="shared" si="18"/>
        <v>-1.6472635621699538E-2</v>
      </c>
      <c r="L54" s="85">
        <f t="shared" si="18"/>
        <v>-0.54131079355745215</v>
      </c>
      <c r="M54" s="21"/>
      <c r="N54" s="85">
        <f t="shared" ref="N54:U54" si="19">IFERROR(1-(N52/N51),0)</f>
        <v>7.1903394984334401E-2</v>
      </c>
      <c r="O54" s="85">
        <f t="shared" si="19"/>
        <v>-0.37947839603190858</v>
      </c>
      <c r="P54" s="85">
        <f t="shared" si="19"/>
        <v>0</v>
      </c>
      <c r="Q54" s="85">
        <f t="shared" si="19"/>
        <v>4.4408920985006262E-16</v>
      </c>
      <c r="R54" s="85">
        <f t="shared" si="19"/>
        <v>1</v>
      </c>
      <c r="S54" s="85">
        <f t="shared" si="19"/>
        <v>0</v>
      </c>
      <c r="T54" s="85">
        <f t="shared" si="19"/>
        <v>0</v>
      </c>
      <c r="U54" s="85">
        <f t="shared" si="19"/>
        <v>0</v>
      </c>
    </row>
    <row r="55" spans="1:27" ht="14.25" x14ac:dyDescent="0.2">
      <c r="M55" s="21"/>
    </row>
    <row r="57" spans="1:27" x14ac:dyDescent="0.2">
      <c r="B57" s="223" t="s">
        <v>191</v>
      </c>
      <c r="C57" s="223"/>
      <c r="D57" s="223"/>
      <c r="E57" s="84"/>
      <c r="F57" s="84"/>
      <c r="G57" s="84"/>
      <c r="H57" s="84"/>
      <c r="I57" s="84"/>
      <c r="J57" s="84"/>
      <c r="K57" s="84"/>
    </row>
    <row r="58" spans="1:27" ht="13.5" thickBot="1" x14ac:dyDescent="0.25">
      <c r="B58" s="77" t="s">
        <v>153</v>
      </c>
      <c r="C58" s="78" t="s">
        <v>75</v>
      </c>
      <c r="D58" s="78" t="s">
        <v>154</v>
      </c>
      <c r="E58" s="78" t="s">
        <v>77</v>
      </c>
      <c r="F58" s="78" t="s">
        <v>78</v>
      </c>
      <c r="G58" s="78" t="s">
        <v>79</v>
      </c>
      <c r="H58" s="78" t="s">
        <v>80</v>
      </c>
      <c r="I58" s="78" t="s">
        <v>81</v>
      </c>
      <c r="J58" s="78" t="s">
        <v>82</v>
      </c>
      <c r="K58" s="78" t="s">
        <v>40</v>
      </c>
      <c r="L58" s="78" t="s">
        <v>83</v>
      </c>
      <c r="M58" s="150"/>
      <c r="N58" s="78" t="s">
        <v>85</v>
      </c>
      <c r="O58" s="78" t="s">
        <v>155</v>
      </c>
      <c r="P58" s="78" t="s">
        <v>87</v>
      </c>
      <c r="Q58" s="78" t="s">
        <v>88</v>
      </c>
      <c r="R58" s="78" t="s">
        <v>89</v>
      </c>
      <c r="S58" s="78" t="s">
        <v>90</v>
      </c>
      <c r="T58" s="78" t="s">
        <v>91</v>
      </c>
      <c r="U58" s="78" t="s">
        <v>92</v>
      </c>
    </row>
    <row r="59" spans="1:27" x14ac:dyDescent="0.2">
      <c r="B59" s="79" t="str">
        <f>B52</f>
        <v>MAR/2023</v>
      </c>
      <c r="C59" s="80">
        <f>C44</f>
        <v>2016692.72</v>
      </c>
      <c r="D59" s="80">
        <f t="shared" ref="D59:L59" si="20">D51</f>
        <v>2016186.7700000003</v>
      </c>
      <c r="E59" s="80">
        <f t="shared" si="20"/>
        <v>505.94999999999993</v>
      </c>
      <c r="F59" s="81">
        <f t="shared" si="20"/>
        <v>6949</v>
      </c>
      <c r="G59" s="81">
        <f t="shared" si="20"/>
        <v>9274</v>
      </c>
      <c r="H59" s="80">
        <f t="shared" si="20"/>
        <v>290.21337170815946</v>
      </c>
      <c r="I59" s="80">
        <f t="shared" si="20"/>
        <v>36653.169999999991</v>
      </c>
      <c r="J59" s="118">
        <f t="shared" si="20"/>
        <v>55.02096326184067</v>
      </c>
      <c r="K59" s="81">
        <f t="shared" si="20"/>
        <v>166640</v>
      </c>
      <c r="L59" s="82">
        <f t="shared" si="20"/>
        <v>4.1700672107537202E-2</v>
      </c>
      <c r="M59" s="150"/>
      <c r="N59" s="80">
        <f t="shared" ref="N59:U59" si="21">N51</f>
        <v>26200.709999999992</v>
      </c>
      <c r="O59" s="80">
        <f t="shared" si="21"/>
        <v>8080.4600000000009</v>
      </c>
      <c r="P59" s="80">
        <f t="shared" si="21"/>
        <v>0</v>
      </c>
      <c r="Q59" s="80">
        <f t="shared" si="21"/>
        <v>1599.9999999999995</v>
      </c>
      <c r="R59" s="80">
        <f t="shared" si="21"/>
        <v>771.99999999999989</v>
      </c>
      <c r="S59" s="80">
        <f t="shared" si="21"/>
        <v>0</v>
      </c>
      <c r="T59" s="80">
        <f t="shared" si="21"/>
        <v>0</v>
      </c>
      <c r="U59" s="80">
        <f t="shared" si="21"/>
        <v>0</v>
      </c>
    </row>
    <row r="60" spans="1:27" ht="14.25" x14ac:dyDescent="0.2">
      <c r="A60" s="128">
        <f ca="1">TODAY()</f>
        <v>45834</v>
      </c>
      <c r="B60" s="138" t="str">
        <f>B45</f>
        <v>ABR/2022</v>
      </c>
      <c r="C60" s="134">
        <f t="shared" ref="C60:K60" ca="1" si="22">SUMIF($A$64:$A$94,"Realizado",C64:C94)</f>
        <v>1192462.82</v>
      </c>
      <c r="D60" s="134">
        <f t="shared" ca="1" si="22"/>
        <v>1192151.3600000003</v>
      </c>
      <c r="E60" s="134">
        <f t="shared" ca="1" si="22"/>
        <v>311.45999999999998</v>
      </c>
      <c r="F60" s="135">
        <f t="shared" ca="1" si="22"/>
        <v>4346</v>
      </c>
      <c r="G60" s="135">
        <f t="shared" ca="1" si="22"/>
        <v>5861</v>
      </c>
      <c r="H60" s="134">
        <f ca="1">C60/F60</f>
        <v>274.38168890934196</v>
      </c>
      <c r="I60" s="134">
        <f t="shared" ca="1" si="22"/>
        <v>20747.849999999995</v>
      </c>
      <c r="J60" s="136">
        <f ca="1">C60/I60</f>
        <v>57.474042852632941</v>
      </c>
      <c r="K60" s="135">
        <f t="shared" ca="1" si="22"/>
        <v>111118</v>
      </c>
      <c r="L60" s="137">
        <f ca="1">F60/K60</f>
        <v>3.9111575082344897E-2</v>
      </c>
      <c r="M60" s="21"/>
      <c r="N60" s="134">
        <f t="shared" ref="N60:U60" ca="1" si="23">SUMIF($A$64:$A$94,"Realizado",N64:N94)</f>
        <v>13826.570000000005</v>
      </c>
      <c r="O60" s="134">
        <f t="shared" ca="1" si="23"/>
        <v>5321.2799999999988</v>
      </c>
      <c r="P60" s="134">
        <f t="shared" ca="1" si="23"/>
        <v>0</v>
      </c>
      <c r="Q60" s="134">
        <f t="shared" ca="1" si="23"/>
        <v>1599.9999999999995</v>
      </c>
      <c r="R60" s="134">
        <f t="shared" ca="1" si="23"/>
        <v>0</v>
      </c>
      <c r="S60" s="134">
        <f t="shared" ca="1" si="23"/>
        <v>0</v>
      </c>
      <c r="T60" s="134">
        <f t="shared" ca="1" si="23"/>
        <v>0</v>
      </c>
      <c r="U60" s="134">
        <f t="shared" ca="1" si="23"/>
        <v>0</v>
      </c>
    </row>
    <row r="61" spans="1:27" x14ac:dyDescent="0.2">
      <c r="B61" s="83"/>
      <c r="C61" s="87">
        <f t="shared" ref="C61:L61" ca="1" si="24">C59-C60</f>
        <v>824229.89999999991</v>
      </c>
      <c r="D61" s="87">
        <f t="shared" ca="1" si="24"/>
        <v>824035.40999999992</v>
      </c>
      <c r="E61" s="87">
        <f t="shared" ca="1" si="24"/>
        <v>194.48999999999995</v>
      </c>
      <c r="F61" s="88">
        <f t="shared" ca="1" si="24"/>
        <v>2603</v>
      </c>
      <c r="G61" s="88">
        <f t="shared" ca="1" si="24"/>
        <v>3413</v>
      </c>
      <c r="H61" s="87">
        <f t="shared" ca="1" si="24"/>
        <v>15.831682798817496</v>
      </c>
      <c r="I61" s="87">
        <f t="shared" ca="1" si="24"/>
        <v>15905.319999999996</v>
      </c>
      <c r="J61" s="125">
        <f t="shared" ca="1" si="24"/>
        <v>-2.4530795907922709</v>
      </c>
      <c r="K61" s="88">
        <f t="shared" ca="1" si="24"/>
        <v>55522</v>
      </c>
      <c r="L61" s="89">
        <f t="shared" ca="1" si="24"/>
        <v>2.5890970251923051E-3</v>
      </c>
      <c r="M61" s="150"/>
      <c r="N61" s="87">
        <f t="shared" ref="N61:U61" ca="1" si="25">N59-N60</f>
        <v>12374.139999999987</v>
      </c>
      <c r="O61" s="87">
        <f t="shared" ca="1" si="25"/>
        <v>2759.1800000000021</v>
      </c>
      <c r="P61" s="87">
        <f t="shared" ca="1" si="25"/>
        <v>0</v>
      </c>
      <c r="Q61" s="87">
        <f t="shared" ca="1" si="25"/>
        <v>0</v>
      </c>
      <c r="R61" s="87">
        <f t="shared" ca="1" si="25"/>
        <v>771.99999999999989</v>
      </c>
      <c r="S61" s="87">
        <f t="shared" ca="1" si="25"/>
        <v>0</v>
      </c>
      <c r="T61" s="87">
        <f t="shared" ca="1" si="25"/>
        <v>0</v>
      </c>
      <c r="U61" s="87">
        <f t="shared" ca="1" si="25"/>
        <v>0</v>
      </c>
    </row>
    <row r="62" spans="1:27" x14ac:dyDescent="0.2">
      <c r="B62" s="84"/>
      <c r="C62" s="85">
        <f ca="1">IFERROR(1-(C60/C59),0)</f>
        <v>0.40870376127504437</v>
      </c>
      <c r="D62" s="85">
        <f t="shared" ref="D62:L62" ca="1" si="26">IFERROR(1-(D60/D59),0)</f>
        <v>0.40870985875976151</v>
      </c>
      <c r="E62" s="85">
        <f t="shared" ca="1" si="26"/>
        <v>0.38440557367328787</v>
      </c>
      <c r="F62" s="85">
        <f t="shared" ca="1" si="26"/>
        <v>0.37458627140595768</v>
      </c>
      <c r="G62" s="85">
        <f t="shared" ca="1" si="26"/>
        <v>0.36801811516066418</v>
      </c>
      <c r="H62" s="85">
        <f t="shared" ca="1" si="26"/>
        <v>5.4551872319439365E-2</v>
      </c>
      <c r="I62" s="85">
        <f t="shared" ca="1" si="26"/>
        <v>0.43394118435049411</v>
      </c>
      <c r="J62" s="85">
        <f t="shared" ca="1" si="26"/>
        <v>-4.4584453731175921E-2</v>
      </c>
      <c r="K62" s="85">
        <f t="shared" ca="1" si="26"/>
        <v>0.33318530964954396</v>
      </c>
      <c r="L62" s="85">
        <f t="shared" ca="1" si="26"/>
        <v>6.2087656969066929E-2</v>
      </c>
      <c r="M62" s="150"/>
      <c r="N62" s="85">
        <f t="shared" ref="N62:U62" ca="1" si="27">IFERROR(1-(N60/N59),0)</f>
        <v>0.47228262134881038</v>
      </c>
      <c r="O62" s="85">
        <f t="shared" ca="1" si="27"/>
        <v>0.34146323352878449</v>
      </c>
      <c r="P62" s="85">
        <f t="shared" ca="1" si="27"/>
        <v>0</v>
      </c>
      <c r="Q62" s="85">
        <f t="shared" ca="1" si="27"/>
        <v>0</v>
      </c>
      <c r="R62" s="85">
        <f t="shared" ca="1" si="27"/>
        <v>1</v>
      </c>
      <c r="S62" s="85">
        <f t="shared" ca="1" si="27"/>
        <v>0</v>
      </c>
      <c r="T62" s="85">
        <f t="shared" ca="1" si="27"/>
        <v>0</v>
      </c>
      <c r="U62" s="85">
        <f t="shared" ca="1" si="27"/>
        <v>0</v>
      </c>
    </row>
    <row r="63" spans="1:27" hidden="1" x14ac:dyDescent="0.2">
      <c r="A63" s="128">
        <f ca="1">TODAY()</f>
        <v>45834</v>
      </c>
    </row>
    <row r="64" spans="1:27" hidden="1" x14ac:dyDescent="0.2">
      <c r="A64" s="17" t="str">
        <f t="shared" ref="A64:A68" ca="1" si="28">IF($A$63&lt;=AA64,"Previsto","Realizado")</f>
        <v>Realizado</v>
      </c>
      <c r="B64" s="17">
        <v>44652</v>
      </c>
      <c r="C64" s="19">
        <f t="shared" ref="C64:C94" si="29">D64+E64</f>
        <v>48264.800000000003</v>
      </c>
      <c r="D64" s="35">
        <f>_xlfn.XLOOKUP($B:$B,'Compilado 2023'!$B:$B,'Compilado 2023'!D:D)</f>
        <v>48264.800000000003</v>
      </c>
      <c r="E64" s="35">
        <f>_xlfn.XLOOKUP($B:$B,'Compilado 2023'!$B:$B,'Compilado 2023'!E:E)</f>
        <v>0</v>
      </c>
      <c r="F64" s="18">
        <f>_xlfn.XLOOKUP($B:$B,'Compilado 2023'!$B:$B,'Compilado 2023'!F:F)</f>
        <v>164</v>
      </c>
      <c r="G64" s="18">
        <f>_xlfn.XLOOKUP($B:$B,'Compilado 2023'!$B:$B,'Compilado 2023'!G:G)</f>
        <v>211</v>
      </c>
      <c r="H64" s="35">
        <f t="shared" ref="H64:H94" si="30">IFERROR(C64/F64,0)</f>
        <v>294.29756097560977</v>
      </c>
      <c r="I64" s="19">
        <f t="shared" ref="I64:I94" si="31">SUM(N64:U64)</f>
        <v>687.97333333333336</v>
      </c>
      <c r="J64" s="122">
        <f t="shared" ref="J64:J94" si="32">IF(I64&gt;0,C64/I64,0)</f>
        <v>70.155044769177096</v>
      </c>
      <c r="K64" s="18">
        <f>_xlfn.XLOOKUP($B:$B,'Compilado 2023'!$B:$B,'Compilado 2023'!K:K)</f>
        <v>3829</v>
      </c>
      <c r="L64" s="54">
        <f t="shared" ref="L64:L94" si="33">IFERROR(F64/K64,0)</f>
        <v>4.2831026377644292E-2</v>
      </c>
      <c r="M64" s="149"/>
      <c r="N64" s="106">
        <f>_xlfn.XLOOKUP($B:$B,'Compilado 2023'!$B:$B,'Compilado 2023'!N:N)</f>
        <v>462.83</v>
      </c>
      <c r="O64" s="106">
        <f>_xlfn.XLOOKUP($B:$B,'Compilado 2023'!$B:$B,'Compilado 2023'!O:O)</f>
        <v>171.81</v>
      </c>
      <c r="P64" s="106">
        <f>_xlfn.XLOOKUP($B:$B,'Compilado 2023'!$B:$B,'Compilado 2023'!P:P)</f>
        <v>0</v>
      </c>
      <c r="Q64" s="106">
        <f>_xlfn.XLOOKUP($B:$B,'Compilado 2023'!$B:$B,'Compilado 2023'!Q:Q)</f>
        <v>53.333333333333336</v>
      </c>
      <c r="R64" s="106">
        <f>_xlfn.XLOOKUP($B:$B,'Compilado 2023'!$B:$B,'Compilado 2023'!R:R)</f>
        <v>0</v>
      </c>
      <c r="S64" s="106">
        <f>_xlfn.XLOOKUP($B:$B,'Compilado 2023'!$B:$B,'Compilado 2023'!T:T)</f>
        <v>0</v>
      </c>
      <c r="T64" s="106">
        <f>_xlfn.XLOOKUP($B:$B,'Compilado 2023'!$B:$B,'Compilado 2023'!U:U)</f>
        <v>0</v>
      </c>
      <c r="U64" s="106">
        <f>_xlfn.XLOOKUP($B:$B,'Compilado 2023'!$B:$B,'Compilado 2023'!V:V)</f>
        <v>0</v>
      </c>
      <c r="V64" s="57"/>
      <c r="W64" s="106">
        <f>_xlfn.XLOOKUP($B:$B,'Compilado 2023'!$B:$B,'Compilado 2023'!X:X)</f>
        <v>0</v>
      </c>
      <c r="X64" s="106">
        <f>_xlfn.XLOOKUP($B:$B,'Compilado 2023'!$B:$B,'Compilado 2023'!Y:Y)</f>
        <v>0</v>
      </c>
      <c r="Y64" s="106">
        <f>_xlfn.XLOOKUP($B:$B,'Compilado 2023'!$B:$B,'Compilado 2023'!Z:Z)</f>
        <v>0</v>
      </c>
      <c r="AA64" s="208">
        <v>45108</v>
      </c>
    </row>
    <row r="65" spans="1:27" hidden="1" x14ac:dyDescent="0.2">
      <c r="A65" s="17" t="str">
        <f t="shared" ca="1" si="28"/>
        <v>Realizado</v>
      </c>
      <c r="B65" s="17">
        <v>44653</v>
      </c>
      <c r="C65" s="19">
        <f t="shared" si="29"/>
        <v>34612.26</v>
      </c>
      <c r="D65" s="35">
        <f>_xlfn.XLOOKUP($B:$B,'Compilado 2023'!$B:$B,'Compilado 2023'!D:D)</f>
        <v>34589.9</v>
      </c>
      <c r="E65" s="35">
        <f>_xlfn.XLOOKUP($B:$B,'Compilado 2023'!$B:$B,'Compilado 2023'!E:E)</f>
        <v>22.36</v>
      </c>
      <c r="F65" s="18">
        <f>_xlfn.XLOOKUP($B:$B,'Compilado 2023'!$B:$B,'Compilado 2023'!F:F)</f>
        <v>124</v>
      </c>
      <c r="G65" s="18">
        <f>_xlfn.XLOOKUP($B:$B,'Compilado 2023'!$B:$B,'Compilado 2023'!G:G)</f>
        <v>173</v>
      </c>
      <c r="H65" s="35">
        <f t="shared" si="30"/>
        <v>279.13112903225806</v>
      </c>
      <c r="I65" s="19">
        <f t="shared" si="31"/>
        <v>605.44333333333338</v>
      </c>
      <c r="J65" s="122">
        <f t="shared" si="32"/>
        <v>57.168455071490314</v>
      </c>
      <c r="K65" s="18">
        <f>_xlfn.XLOOKUP($B:$B,'Compilado 2023'!$B:$B,'Compilado 2023'!K:K)</f>
        <v>2847</v>
      </c>
      <c r="L65" s="54">
        <f t="shared" si="33"/>
        <v>4.3554618897084653E-2</v>
      </c>
      <c r="M65" s="149"/>
      <c r="N65" s="106">
        <f>_xlfn.XLOOKUP($B:$B,'Compilado 2023'!$B:$B,'Compilado 2023'!N:N)</f>
        <v>460.43</v>
      </c>
      <c r="O65" s="106">
        <f>_xlfn.XLOOKUP($B:$B,'Compilado 2023'!$B:$B,'Compilado 2023'!O:O)</f>
        <v>91.68</v>
      </c>
      <c r="P65" s="106">
        <f>_xlfn.XLOOKUP($B:$B,'Compilado 2023'!$B:$B,'Compilado 2023'!P:P)</f>
        <v>0</v>
      </c>
      <c r="Q65" s="106">
        <f>_xlfn.XLOOKUP($B:$B,'Compilado 2023'!$B:$B,'Compilado 2023'!Q:Q)</f>
        <v>53.333333333333336</v>
      </c>
      <c r="R65" s="106">
        <f>_xlfn.XLOOKUP($B:$B,'Compilado 2023'!$B:$B,'Compilado 2023'!R:R)</f>
        <v>0</v>
      </c>
      <c r="S65" s="106">
        <f>_xlfn.XLOOKUP($B:$B,'Compilado 2023'!$B:$B,'Compilado 2023'!T:T)</f>
        <v>0</v>
      </c>
      <c r="T65" s="106">
        <f>_xlfn.XLOOKUP($B:$B,'Compilado 2023'!$B:$B,'Compilado 2023'!U:U)</f>
        <v>0</v>
      </c>
      <c r="U65" s="106">
        <f>_xlfn.XLOOKUP($B:$B,'Compilado 2023'!$B:$B,'Compilado 2023'!V:V)</f>
        <v>0</v>
      </c>
      <c r="V65" s="57"/>
      <c r="W65" s="106">
        <f>_xlfn.XLOOKUP($B:$B,'Compilado 2023'!$B:$B,'Compilado 2023'!X:X)</f>
        <v>0</v>
      </c>
      <c r="X65" s="106">
        <f>_xlfn.XLOOKUP($B:$B,'Compilado 2023'!$B:$B,'Compilado 2023'!Y:Y)</f>
        <v>0</v>
      </c>
      <c r="Y65" s="106">
        <f>_xlfn.XLOOKUP($B:$B,'Compilado 2023'!$B:$B,'Compilado 2023'!Z:Z)</f>
        <v>0</v>
      </c>
      <c r="AA65" s="208">
        <v>45109</v>
      </c>
    </row>
    <row r="66" spans="1:27" hidden="1" x14ac:dyDescent="0.2">
      <c r="A66" s="17" t="str">
        <f t="shared" ca="1" si="28"/>
        <v>Realizado</v>
      </c>
      <c r="B66" s="17">
        <v>44654</v>
      </c>
      <c r="C66" s="19">
        <f t="shared" si="29"/>
        <v>19526.830000000002</v>
      </c>
      <c r="D66" s="35">
        <f>_xlfn.XLOOKUP($B:$B,'Compilado 2023'!$B:$B,'Compilado 2023'!D:D)</f>
        <v>19526.830000000002</v>
      </c>
      <c r="E66" s="35">
        <f>_xlfn.XLOOKUP($B:$B,'Compilado 2023'!$B:$B,'Compilado 2023'!E:E)</f>
        <v>0</v>
      </c>
      <c r="F66" s="18">
        <f>_xlfn.XLOOKUP($B:$B,'Compilado 2023'!$B:$B,'Compilado 2023'!F:F)</f>
        <v>75</v>
      </c>
      <c r="G66" s="18">
        <f>_xlfn.XLOOKUP($B:$B,'Compilado 2023'!$B:$B,'Compilado 2023'!G:G)</f>
        <v>85</v>
      </c>
      <c r="H66" s="35">
        <f t="shared" si="30"/>
        <v>260.35773333333333</v>
      </c>
      <c r="I66" s="19">
        <f t="shared" si="31"/>
        <v>585.83333333333337</v>
      </c>
      <c r="J66" s="122">
        <f t="shared" si="32"/>
        <v>33.331715504978661</v>
      </c>
      <c r="K66" s="18">
        <f>_xlfn.XLOOKUP($B:$B,'Compilado 2023'!$B:$B,'Compilado 2023'!K:K)</f>
        <v>2385</v>
      </c>
      <c r="L66" s="54">
        <f t="shared" si="33"/>
        <v>3.1446540880503145E-2</v>
      </c>
      <c r="M66" s="149"/>
      <c r="N66" s="106">
        <f>_xlfn.XLOOKUP($B:$B,'Compilado 2023'!$B:$B,'Compilado 2023'!N:N)</f>
        <v>437.7</v>
      </c>
      <c r="O66" s="106">
        <f>_xlfn.XLOOKUP($B:$B,'Compilado 2023'!$B:$B,'Compilado 2023'!O:O)</f>
        <v>94.8</v>
      </c>
      <c r="P66" s="106">
        <f>_xlfn.XLOOKUP($B:$B,'Compilado 2023'!$B:$B,'Compilado 2023'!P:P)</f>
        <v>0</v>
      </c>
      <c r="Q66" s="106">
        <f>_xlfn.XLOOKUP($B:$B,'Compilado 2023'!$B:$B,'Compilado 2023'!Q:Q)</f>
        <v>53.333333333333336</v>
      </c>
      <c r="R66" s="106">
        <f>_xlfn.XLOOKUP($B:$B,'Compilado 2023'!$B:$B,'Compilado 2023'!R:R)</f>
        <v>0</v>
      </c>
      <c r="S66" s="106">
        <f>_xlfn.XLOOKUP($B:$B,'Compilado 2023'!$B:$B,'Compilado 2023'!T:T)</f>
        <v>0</v>
      </c>
      <c r="T66" s="106">
        <f>_xlfn.XLOOKUP($B:$B,'Compilado 2023'!$B:$B,'Compilado 2023'!U:U)</f>
        <v>0</v>
      </c>
      <c r="U66" s="106">
        <f>_xlfn.XLOOKUP($B:$B,'Compilado 2023'!$B:$B,'Compilado 2023'!V:V)</f>
        <v>0</v>
      </c>
      <c r="V66" s="57"/>
      <c r="W66" s="106">
        <f>_xlfn.XLOOKUP($B:$B,'Compilado 2023'!$B:$B,'Compilado 2023'!X:X)</f>
        <v>0</v>
      </c>
      <c r="X66" s="106">
        <f>_xlfn.XLOOKUP($B:$B,'Compilado 2023'!$B:$B,'Compilado 2023'!Y:Y)</f>
        <v>0</v>
      </c>
      <c r="Y66" s="106">
        <f>_xlfn.XLOOKUP($B:$B,'Compilado 2023'!$B:$B,'Compilado 2023'!Z:Z)</f>
        <v>0</v>
      </c>
      <c r="AA66" s="208">
        <v>45110</v>
      </c>
    </row>
    <row r="67" spans="1:27" hidden="1" x14ac:dyDescent="0.2">
      <c r="A67" s="17" t="str">
        <f t="shared" ca="1" si="28"/>
        <v>Realizado</v>
      </c>
      <c r="B67" s="17">
        <v>44655</v>
      </c>
      <c r="C67" s="19">
        <f t="shared" si="29"/>
        <v>55338.26</v>
      </c>
      <c r="D67" s="35">
        <f>_xlfn.XLOOKUP($B:$B,'Compilado 2023'!$B:$B,'Compilado 2023'!D:D)</f>
        <v>55338.26</v>
      </c>
      <c r="E67" s="35">
        <f>_xlfn.XLOOKUP($B:$B,'Compilado 2023'!$B:$B,'Compilado 2023'!E:E)</f>
        <v>0</v>
      </c>
      <c r="F67" s="18">
        <f>_xlfn.XLOOKUP($B:$B,'Compilado 2023'!$B:$B,'Compilado 2023'!F:F)</f>
        <v>232</v>
      </c>
      <c r="G67" s="18">
        <f>_xlfn.XLOOKUP($B:$B,'Compilado 2023'!$B:$B,'Compilado 2023'!G:G)</f>
        <v>327</v>
      </c>
      <c r="H67" s="35">
        <f t="shared" si="30"/>
        <v>238.5269827586207</v>
      </c>
      <c r="I67" s="19">
        <f t="shared" si="31"/>
        <v>823.62333333333333</v>
      </c>
      <c r="J67" s="122">
        <f t="shared" si="32"/>
        <v>67.188795849235291</v>
      </c>
      <c r="K67" s="18">
        <f>_xlfn.XLOOKUP($B:$B,'Compilado 2023'!$B:$B,'Compilado 2023'!K:K)</f>
        <v>4984</v>
      </c>
      <c r="L67" s="54">
        <f t="shared" si="33"/>
        <v>4.6548956661316213E-2</v>
      </c>
      <c r="M67" s="149"/>
      <c r="N67" s="106">
        <f>_xlfn.XLOOKUP($B:$B,'Compilado 2023'!$B:$B,'Compilado 2023'!N:N)</f>
        <v>622.75</v>
      </c>
      <c r="O67" s="106">
        <f>_xlfn.XLOOKUP($B:$B,'Compilado 2023'!$B:$B,'Compilado 2023'!O:O)</f>
        <v>147.54</v>
      </c>
      <c r="P67" s="106">
        <f>_xlfn.XLOOKUP($B:$B,'Compilado 2023'!$B:$B,'Compilado 2023'!P:P)</f>
        <v>0</v>
      </c>
      <c r="Q67" s="106">
        <f>_xlfn.XLOOKUP($B:$B,'Compilado 2023'!$B:$B,'Compilado 2023'!Q:Q)</f>
        <v>53.333333333333336</v>
      </c>
      <c r="R67" s="106">
        <f>_xlfn.XLOOKUP($B:$B,'Compilado 2023'!$B:$B,'Compilado 2023'!R:R)</f>
        <v>0</v>
      </c>
      <c r="S67" s="106">
        <f>_xlfn.XLOOKUP($B:$B,'Compilado 2023'!$B:$B,'Compilado 2023'!T:T)</f>
        <v>0</v>
      </c>
      <c r="T67" s="106">
        <f>_xlfn.XLOOKUP($B:$B,'Compilado 2023'!$B:$B,'Compilado 2023'!U:U)</f>
        <v>0</v>
      </c>
      <c r="U67" s="106">
        <f>_xlfn.XLOOKUP($B:$B,'Compilado 2023'!$B:$B,'Compilado 2023'!V:V)</f>
        <v>0</v>
      </c>
      <c r="V67" s="57"/>
      <c r="W67" s="106">
        <f>_xlfn.XLOOKUP($B:$B,'Compilado 2023'!$B:$B,'Compilado 2023'!X:X)</f>
        <v>0</v>
      </c>
      <c r="X67" s="106">
        <f>_xlfn.XLOOKUP($B:$B,'Compilado 2023'!$B:$B,'Compilado 2023'!Y:Y)</f>
        <v>0</v>
      </c>
      <c r="Y67" s="106">
        <f>_xlfn.XLOOKUP($B:$B,'Compilado 2023'!$B:$B,'Compilado 2023'!Z:Z)</f>
        <v>0</v>
      </c>
      <c r="AA67" s="208">
        <v>45111</v>
      </c>
    </row>
    <row r="68" spans="1:27" hidden="1" x14ac:dyDescent="0.2">
      <c r="A68" s="17" t="str">
        <f t="shared" ca="1" si="28"/>
        <v>Realizado</v>
      </c>
      <c r="B68" s="17">
        <v>44656</v>
      </c>
      <c r="C68" s="19">
        <f t="shared" si="29"/>
        <v>37150.1</v>
      </c>
      <c r="D68" s="35">
        <f>_xlfn.XLOOKUP($B:$B,'Compilado 2023'!$B:$B,'Compilado 2023'!D:D)</f>
        <v>37100.36</v>
      </c>
      <c r="E68" s="35">
        <f>_xlfn.XLOOKUP($B:$B,'Compilado 2023'!$B:$B,'Compilado 2023'!E:E)</f>
        <v>49.74</v>
      </c>
      <c r="F68" s="18">
        <f>_xlfn.XLOOKUP($B:$B,'Compilado 2023'!$B:$B,'Compilado 2023'!F:F)</f>
        <v>157</v>
      </c>
      <c r="G68" s="18">
        <f>_xlfn.XLOOKUP($B:$B,'Compilado 2023'!$B:$B,'Compilado 2023'!G:G)</f>
        <v>206</v>
      </c>
      <c r="H68" s="35">
        <f t="shared" si="30"/>
        <v>236.6248407643312</v>
      </c>
      <c r="I68" s="19">
        <f t="shared" si="31"/>
        <v>857.77333333333343</v>
      </c>
      <c r="J68" s="122">
        <f t="shared" si="32"/>
        <v>43.309926476302977</v>
      </c>
      <c r="K68" s="18">
        <f>_xlfn.XLOOKUP($B:$B,'Compilado 2023'!$B:$B,'Compilado 2023'!K:K)</f>
        <v>4064</v>
      </c>
      <c r="L68" s="54">
        <f t="shared" si="33"/>
        <v>3.8631889763779528E-2</v>
      </c>
      <c r="M68" s="149"/>
      <c r="N68" s="106">
        <f>_xlfn.XLOOKUP($B:$B,'Compilado 2023'!$B:$B,'Compilado 2023'!N:N)</f>
        <v>568.38</v>
      </c>
      <c r="O68" s="106">
        <f>_xlfn.XLOOKUP($B:$B,'Compilado 2023'!$B:$B,'Compilado 2023'!O:O)</f>
        <v>236.06</v>
      </c>
      <c r="P68" s="106">
        <f>_xlfn.XLOOKUP($B:$B,'Compilado 2023'!$B:$B,'Compilado 2023'!P:P)</f>
        <v>0</v>
      </c>
      <c r="Q68" s="106">
        <f>_xlfn.XLOOKUP($B:$B,'Compilado 2023'!$B:$B,'Compilado 2023'!Q:Q)</f>
        <v>53.333333333333336</v>
      </c>
      <c r="R68" s="106">
        <f>_xlfn.XLOOKUP($B:$B,'Compilado 2023'!$B:$B,'Compilado 2023'!R:R)</f>
        <v>0</v>
      </c>
      <c r="S68" s="106">
        <f>_xlfn.XLOOKUP($B:$B,'Compilado 2023'!$B:$B,'Compilado 2023'!T:T)</f>
        <v>0</v>
      </c>
      <c r="T68" s="106">
        <f>_xlfn.XLOOKUP($B:$B,'Compilado 2023'!$B:$B,'Compilado 2023'!U:U)</f>
        <v>0</v>
      </c>
      <c r="U68" s="106">
        <f>_xlfn.XLOOKUP($B:$B,'Compilado 2023'!$B:$B,'Compilado 2023'!V:V)</f>
        <v>0</v>
      </c>
      <c r="V68" s="57"/>
      <c r="W68" s="106">
        <f>_xlfn.XLOOKUP($B:$B,'Compilado 2023'!$B:$B,'Compilado 2023'!X:X)</f>
        <v>0</v>
      </c>
      <c r="X68" s="106">
        <f>_xlfn.XLOOKUP($B:$B,'Compilado 2023'!$B:$B,'Compilado 2023'!Y:Y)</f>
        <v>0</v>
      </c>
      <c r="Y68" s="106">
        <f>_xlfn.XLOOKUP($B:$B,'Compilado 2023'!$B:$B,'Compilado 2023'!Z:Z)</f>
        <v>0</v>
      </c>
      <c r="AA68" s="208">
        <v>45112</v>
      </c>
    </row>
    <row r="69" spans="1:27" hidden="1" x14ac:dyDescent="0.2">
      <c r="A69" s="17" t="str">
        <f ca="1">IF($A$63&lt;=AA69,"Previsto","Realizado")</f>
        <v>Realizado</v>
      </c>
      <c r="B69" s="17">
        <v>44657</v>
      </c>
      <c r="C69" s="19">
        <f t="shared" si="29"/>
        <v>48005.71</v>
      </c>
      <c r="D69" s="35">
        <f>_xlfn.XLOOKUP($B:$B,'Compilado 2023'!$B:$B,'Compilado 2023'!D:D)</f>
        <v>48005.71</v>
      </c>
      <c r="E69" s="35">
        <f>_xlfn.XLOOKUP($B:$B,'Compilado 2023'!$B:$B,'Compilado 2023'!E:E)</f>
        <v>0</v>
      </c>
      <c r="F69" s="18">
        <f>_xlfn.XLOOKUP($B:$B,'Compilado 2023'!$B:$B,'Compilado 2023'!F:F)</f>
        <v>201</v>
      </c>
      <c r="G69" s="18">
        <f>_xlfn.XLOOKUP($B:$B,'Compilado 2023'!$B:$B,'Compilado 2023'!G:G)</f>
        <v>256</v>
      </c>
      <c r="H69" s="35">
        <f t="shared" si="30"/>
        <v>238.83437810945273</v>
      </c>
      <c r="I69" s="19">
        <f t="shared" si="31"/>
        <v>905.96333333333325</v>
      </c>
      <c r="J69" s="122">
        <f t="shared" si="32"/>
        <v>52.988579375912934</v>
      </c>
      <c r="K69" s="18">
        <f>_xlfn.XLOOKUP($B:$B,'Compilado 2023'!$B:$B,'Compilado 2023'!K:K)</f>
        <v>4203</v>
      </c>
      <c r="L69" s="54">
        <f t="shared" si="33"/>
        <v>4.7822983583154892E-2</v>
      </c>
      <c r="M69" s="149"/>
      <c r="N69" s="106">
        <f>_xlfn.XLOOKUP($B:$B,'Compilado 2023'!$B:$B,'Compilado 2023'!N:N)</f>
        <v>592.04999999999995</v>
      </c>
      <c r="O69" s="106">
        <f>_xlfn.XLOOKUP($B:$B,'Compilado 2023'!$B:$B,'Compilado 2023'!O:O)</f>
        <v>260.58</v>
      </c>
      <c r="P69" s="106">
        <f>_xlfn.XLOOKUP($B:$B,'Compilado 2023'!$B:$B,'Compilado 2023'!P:P)</f>
        <v>0</v>
      </c>
      <c r="Q69" s="106">
        <f>_xlfn.XLOOKUP($B:$B,'Compilado 2023'!$B:$B,'Compilado 2023'!Q:Q)</f>
        <v>53.333333333333336</v>
      </c>
      <c r="R69" s="106">
        <f>_xlfn.XLOOKUP($B:$B,'Compilado 2023'!$B:$B,'Compilado 2023'!R:R)</f>
        <v>0</v>
      </c>
      <c r="S69" s="106">
        <f>_xlfn.XLOOKUP($B:$B,'Compilado 2023'!$B:$B,'Compilado 2023'!T:T)</f>
        <v>0</v>
      </c>
      <c r="T69" s="106">
        <f>_xlfn.XLOOKUP($B:$B,'Compilado 2023'!$B:$B,'Compilado 2023'!U:U)</f>
        <v>0</v>
      </c>
      <c r="U69" s="106">
        <f>_xlfn.XLOOKUP($B:$B,'Compilado 2023'!$B:$B,'Compilado 2023'!V:V)</f>
        <v>0</v>
      </c>
      <c r="V69" s="57"/>
      <c r="W69" s="106">
        <f>_xlfn.XLOOKUP($B:$B,'Compilado 2023'!$B:$B,'Compilado 2023'!X:X)</f>
        <v>0</v>
      </c>
      <c r="X69" s="106">
        <f>_xlfn.XLOOKUP($B:$B,'Compilado 2023'!$B:$B,'Compilado 2023'!Y:Y)</f>
        <v>0</v>
      </c>
      <c r="Y69" s="106">
        <f>_xlfn.XLOOKUP($B:$B,'Compilado 2023'!$B:$B,'Compilado 2023'!Z:Z)</f>
        <v>0</v>
      </c>
      <c r="AA69" s="208">
        <v>45113</v>
      </c>
    </row>
    <row r="70" spans="1:27" hidden="1" x14ac:dyDescent="0.2">
      <c r="A70" s="17" t="str">
        <f t="shared" ref="A70:A94" ca="1" si="34">IF($A$63&lt;=AA70,"Previsto","Realizado")</f>
        <v>Realizado</v>
      </c>
      <c r="B70" s="17">
        <v>44658</v>
      </c>
      <c r="C70" s="19">
        <f t="shared" si="29"/>
        <v>48798.1</v>
      </c>
      <c r="D70" s="35">
        <f>_xlfn.XLOOKUP($B:$B,'Compilado 2023'!$B:$B,'Compilado 2023'!D:D)</f>
        <v>48798.1</v>
      </c>
      <c r="E70" s="35">
        <f>_xlfn.XLOOKUP($B:$B,'Compilado 2023'!$B:$B,'Compilado 2023'!E:E)</f>
        <v>0</v>
      </c>
      <c r="F70" s="18">
        <f>_xlfn.XLOOKUP($B:$B,'Compilado 2023'!$B:$B,'Compilado 2023'!F:F)</f>
        <v>203</v>
      </c>
      <c r="G70" s="18">
        <f>_xlfn.XLOOKUP($B:$B,'Compilado 2023'!$B:$B,'Compilado 2023'!G:G)</f>
        <v>259</v>
      </c>
      <c r="H70" s="35">
        <f t="shared" si="30"/>
        <v>240.38472906403939</v>
      </c>
      <c r="I70" s="19">
        <f t="shared" si="31"/>
        <v>918.84333333333336</v>
      </c>
      <c r="J70" s="122">
        <f t="shared" si="32"/>
        <v>53.108183114277729</v>
      </c>
      <c r="K70" s="18">
        <f>_xlfn.XLOOKUP($B:$B,'Compilado 2023'!$B:$B,'Compilado 2023'!K:K)</f>
        <v>3938</v>
      </c>
      <c r="L70" s="54">
        <f t="shared" si="33"/>
        <v>5.1549009649568309E-2</v>
      </c>
      <c r="M70" s="149"/>
      <c r="N70" s="106">
        <f>_xlfn.XLOOKUP($B:$B,'Compilado 2023'!$B:$B,'Compilado 2023'!N:N)</f>
        <v>578.59</v>
      </c>
      <c r="O70" s="106">
        <f>_xlfn.XLOOKUP($B:$B,'Compilado 2023'!$B:$B,'Compilado 2023'!O:O)</f>
        <v>286.92</v>
      </c>
      <c r="P70" s="106">
        <f>_xlfn.XLOOKUP($B:$B,'Compilado 2023'!$B:$B,'Compilado 2023'!P:P)</f>
        <v>0</v>
      </c>
      <c r="Q70" s="106">
        <f>_xlfn.XLOOKUP($B:$B,'Compilado 2023'!$B:$B,'Compilado 2023'!Q:Q)</f>
        <v>53.333333333333336</v>
      </c>
      <c r="R70" s="106">
        <f>_xlfn.XLOOKUP($B:$B,'Compilado 2023'!$B:$B,'Compilado 2023'!R:R)</f>
        <v>0</v>
      </c>
      <c r="S70" s="106">
        <f>_xlfn.XLOOKUP($B:$B,'Compilado 2023'!$B:$B,'Compilado 2023'!T:T)</f>
        <v>0</v>
      </c>
      <c r="T70" s="106">
        <f>_xlfn.XLOOKUP($B:$B,'Compilado 2023'!$B:$B,'Compilado 2023'!U:U)</f>
        <v>0</v>
      </c>
      <c r="U70" s="106">
        <f>_xlfn.XLOOKUP($B:$B,'Compilado 2023'!$B:$B,'Compilado 2023'!V:V)</f>
        <v>0</v>
      </c>
      <c r="V70" s="57"/>
      <c r="W70" s="106">
        <f>_xlfn.XLOOKUP($B:$B,'Compilado 2023'!$B:$B,'Compilado 2023'!X:X)</f>
        <v>0</v>
      </c>
      <c r="X70" s="106">
        <f>_xlfn.XLOOKUP($B:$B,'Compilado 2023'!$B:$B,'Compilado 2023'!Y:Y)</f>
        <v>0</v>
      </c>
      <c r="Y70" s="106">
        <f>_xlfn.XLOOKUP($B:$B,'Compilado 2023'!$B:$B,'Compilado 2023'!Z:Z)</f>
        <v>0</v>
      </c>
      <c r="AA70" s="208">
        <v>45114</v>
      </c>
    </row>
    <row r="71" spans="1:27" hidden="1" x14ac:dyDescent="0.2">
      <c r="A71" s="17" t="str">
        <f t="shared" ca="1" si="34"/>
        <v>Realizado</v>
      </c>
      <c r="B71" s="17">
        <v>44659</v>
      </c>
      <c r="C71" s="19">
        <f t="shared" si="29"/>
        <v>48386.76</v>
      </c>
      <c r="D71" s="35">
        <f>_xlfn.XLOOKUP($B:$B,'Compilado 2023'!$B:$B,'Compilado 2023'!D:D)</f>
        <v>48386.76</v>
      </c>
      <c r="E71" s="35">
        <f>_xlfn.XLOOKUP($B:$B,'Compilado 2023'!$B:$B,'Compilado 2023'!E:E)</f>
        <v>0</v>
      </c>
      <c r="F71" s="18">
        <f>_xlfn.XLOOKUP($B:$B,'Compilado 2023'!$B:$B,'Compilado 2023'!F:F)</f>
        <v>197</v>
      </c>
      <c r="G71" s="18">
        <f>_xlfn.XLOOKUP($B:$B,'Compilado 2023'!$B:$B,'Compilado 2023'!G:G)</f>
        <v>263</v>
      </c>
      <c r="H71" s="35">
        <f t="shared" si="30"/>
        <v>245.61807106598985</v>
      </c>
      <c r="I71" s="19">
        <f t="shared" si="31"/>
        <v>737.97333333333336</v>
      </c>
      <c r="J71" s="122">
        <f t="shared" si="32"/>
        <v>65.567084628170846</v>
      </c>
      <c r="K71" s="18">
        <f>_xlfn.XLOOKUP($B:$B,'Compilado 2023'!$B:$B,'Compilado 2023'!K:K)</f>
        <v>3874</v>
      </c>
      <c r="L71" s="54">
        <f t="shared" si="33"/>
        <v>5.0851832731027363E-2</v>
      </c>
      <c r="M71" s="149"/>
      <c r="N71" s="106">
        <f>_xlfn.XLOOKUP($B:$B,'Compilado 2023'!$B:$B,'Compilado 2023'!N:N)</f>
        <v>482.64</v>
      </c>
      <c r="O71" s="106">
        <f>_xlfn.XLOOKUP($B:$B,'Compilado 2023'!$B:$B,'Compilado 2023'!O:O)</f>
        <v>202</v>
      </c>
      <c r="P71" s="106">
        <f>_xlfn.XLOOKUP($B:$B,'Compilado 2023'!$B:$B,'Compilado 2023'!P:P)</f>
        <v>0</v>
      </c>
      <c r="Q71" s="106">
        <f>_xlfn.XLOOKUP($B:$B,'Compilado 2023'!$B:$B,'Compilado 2023'!Q:Q)</f>
        <v>53.333333333333336</v>
      </c>
      <c r="R71" s="106">
        <f>_xlfn.XLOOKUP($B:$B,'Compilado 2023'!$B:$B,'Compilado 2023'!R:R)</f>
        <v>0</v>
      </c>
      <c r="S71" s="106">
        <f>_xlfn.XLOOKUP($B:$B,'Compilado 2023'!$B:$B,'Compilado 2023'!T:T)</f>
        <v>0</v>
      </c>
      <c r="T71" s="106">
        <f>_xlfn.XLOOKUP($B:$B,'Compilado 2023'!$B:$B,'Compilado 2023'!U:U)</f>
        <v>0</v>
      </c>
      <c r="U71" s="106">
        <f>_xlfn.XLOOKUP($B:$B,'Compilado 2023'!$B:$B,'Compilado 2023'!V:V)</f>
        <v>0</v>
      </c>
      <c r="V71" s="57"/>
      <c r="W71" s="106">
        <f>_xlfn.XLOOKUP($B:$B,'Compilado 2023'!$B:$B,'Compilado 2023'!X:X)</f>
        <v>0</v>
      </c>
      <c r="X71" s="106">
        <f>_xlfn.XLOOKUP($B:$B,'Compilado 2023'!$B:$B,'Compilado 2023'!Y:Y)</f>
        <v>0</v>
      </c>
      <c r="Y71" s="106">
        <f>_xlfn.XLOOKUP($B:$B,'Compilado 2023'!$B:$B,'Compilado 2023'!Z:Z)</f>
        <v>0</v>
      </c>
      <c r="AA71" s="208">
        <v>45115</v>
      </c>
    </row>
    <row r="72" spans="1:27" hidden="1" x14ac:dyDescent="0.2">
      <c r="A72" s="17" t="str">
        <f t="shared" ca="1" si="34"/>
        <v>Realizado</v>
      </c>
      <c r="B72" s="17">
        <v>44660</v>
      </c>
      <c r="C72" s="19">
        <f t="shared" si="29"/>
        <v>30618.080000000002</v>
      </c>
      <c r="D72" s="35">
        <f>_xlfn.XLOOKUP($B:$B,'Compilado 2023'!$B:$B,'Compilado 2023'!D:D)</f>
        <v>30586.2</v>
      </c>
      <c r="E72" s="35">
        <f>_xlfn.XLOOKUP($B:$B,'Compilado 2023'!$B:$B,'Compilado 2023'!E:E)</f>
        <v>31.88</v>
      </c>
      <c r="F72" s="18">
        <f>_xlfn.XLOOKUP($B:$B,'Compilado 2023'!$B:$B,'Compilado 2023'!F:F)</f>
        <v>130</v>
      </c>
      <c r="G72" s="18">
        <f>_xlfn.XLOOKUP($B:$B,'Compilado 2023'!$B:$B,'Compilado 2023'!G:G)</f>
        <v>168</v>
      </c>
      <c r="H72" s="35">
        <f t="shared" si="30"/>
        <v>235.52369230769233</v>
      </c>
      <c r="I72" s="19">
        <f t="shared" si="31"/>
        <v>665.07333333333338</v>
      </c>
      <c r="J72" s="122">
        <f t="shared" si="32"/>
        <v>46.03714878559758</v>
      </c>
      <c r="K72" s="18">
        <f>_xlfn.XLOOKUP($B:$B,'Compilado 2023'!$B:$B,'Compilado 2023'!K:K)</f>
        <v>3047</v>
      </c>
      <c r="L72" s="54">
        <f t="shared" si="33"/>
        <v>4.2664916311125699E-2</v>
      </c>
      <c r="M72" s="149"/>
      <c r="N72" s="106">
        <f>_xlfn.XLOOKUP($B:$B,'Compilado 2023'!$B:$B,'Compilado 2023'!N:N)</f>
        <v>408.89</v>
      </c>
      <c r="O72" s="106">
        <f>_xlfn.XLOOKUP($B:$B,'Compilado 2023'!$B:$B,'Compilado 2023'!O:O)</f>
        <v>202.85</v>
      </c>
      <c r="P72" s="106">
        <f>_xlfn.XLOOKUP($B:$B,'Compilado 2023'!$B:$B,'Compilado 2023'!P:P)</f>
        <v>0</v>
      </c>
      <c r="Q72" s="106">
        <f>_xlfn.XLOOKUP($B:$B,'Compilado 2023'!$B:$B,'Compilado 2023'!Q:Q)</f>
        <v>53.333333333333336</v>
      </c>
      <c r="R72" s="106">
        <f>_xlfn.XLOOKUP($B:$B,'Compilado 2023'!$B:$B,'Compilado 2023'!R:R)</f>
        <v>0</v>
      </c>
      <c r="S72" s="106">
        <f>_xlfn.XLOOKUP($B:$B,'Compilado 2023'!$B:$B,'Compilado 2023'!T:T)</f>
        <v>0</v>
      </c>
      <c r="T72" s="106">
        <f>_xlfn.XLOOKUP($B:$B,'Compilado 2023'!$B:$B,'Compilado 2023'!U:U)</f>
        <v>0</v>
      </c>
      <c r="U72" s="106">
        <f>_xlfn.XLOOKUP($B:$B,'Compilado 2023'!$B:$B,'Compilado 2023'!V:V)</f>
        <v>0</v>
      </c>
      <c r="V72" s="57"/>
      <c r="W72" s="106">
        <f>_xlfn.XLOOKUP($B:$B,'Compilado 2023'!$B:$B,'Compilado 2023'!X:X)</f>
        <v>0</v>
      </c>
      <c r="X72" s="106">
        <f>_xlfn.XLOOKUP($B:$B,'Compilado 2023'!$B:$B,'Compilado 2023'!Y:Y)</f>
        <v>0</v>
      </c>
      <c r="Y72" s="106">
        <f>_xlfn.XLOOKUP($B:$B,'Compilado 2023'!$B:$B,'Compilado 2023'!Z:Z)</f>
        <v>0</v>
      </c>
      <c r="AA72" s="208">
        <v>45116</v>
      </c>
    </row>
    <row r="73" spans="1:27" hidden="1" x14ac:dyDescent="0.2">
      <c r="A73" s="17" t="str">
        <f t="shared" ca="1" si="34"/>
        <v>Realizado</v>
      </c>
      <c r="B73" s="17">
        <v>44661</v>
      </c>
      <c r="C73" s="19">
        <f t="shared" si="29"/>
        <v>24846.03</v>
      </c>
      <c r="D73" s="35">
        <f>_xlfn.XLOOKUP($B:$B,'Compilado 2023'!$B:$B,'Compilado 2023'!D:D)</f>
        <v>24846.03</v>
      </c>
      <c r="E73" s="35">
        <f>_xlfn.XLOOKUP($B:$B,'Compilado 2023'!$B:$B,'Compilado 2023'!E:E)</f>
        <v>0</v>
      </c>
      <c r="F73" s="18">
        <f>_xlfn.XLOOKUP($B:$B,'Compilado 2023'!$B:$B,'Compilado 2023'!F:F)</f>
        <v>109</v>
      </c>
      <c r="G73" s="18">
        <f>_xlfn.XLOOKUP($B:$B,'Compilado 2023'!$B:$B,'Compilado 2023'!G:G)</f>
        <v>140</v>
      </c>
      <c r="H73" s="35">
        <f t="shared" si="30"/>
        <v>227.94522935779815</v>
      </c>
      <c r="I73" s="19">
        <f t="shared" si="31"/>
        <v>608.9133333333333</v>
      </c>
      <c r="J73" s="122">
        <f t="shared" si="32"/>
        <v>40.803885610431699</v>
      </c>
      <c r="K73" s="18">
        <f>_xlfn.XLOOKUP($B:$B,'Compilado 2023'!$B:$B,'Compilado 2023'!K:K)</f>
        <v>2670</v>
      </c>
      <c r="L73" s="54">
        <f t="shared" si="33"/>
        <v>4.0823970037453181E-2</v>
      </c>
      <c r="M73" s="149"/>
      <c r="N73" s="106">
        <f>_xlfn.XLOOKUP($B:$B,'Compilado 2023'!$B:$B,'Compilado 2023'!N:N)</f>
        <v>421.13</v>
      </c>
      <c r="O73" s="106">
        <f>_xlfn.XLOOKUP($B:$B,'Compilado 2023'!$B:$B,'Compilado 2023'!O:O)</f>
        <v>134.44999999999999</v>
      </c>
      <c r="P73" s="106">
        <f>_xlfn.XLOOKUP($B:$B,'Compilado 2023'!$B:$B,'Compilado 2023'!P:P)</f>
        <v>0</v>
      </c>
      <c r="Q73" s="106">
        <f>_xlfn.XLOOKUP($B:$B,'Compilado 2023'!$B:$B,'Compilado 2023'!Q:Q)</f>
        <v>53.333333333333336</v>
      </c>
      <c r="R73" s="106">
        <f>_xlfn.XLOOKUP($B:$B,'Compilado 2023'!$B:$B,'Compilado 2023'!R:R)</f>
        <v>0</v>
      </c>
      <c r="S73" s="106">
        <f>_xlfn.XLOOKUP($B:$B,'Compilado 2023'!$B:$B,'Compilado 2023'!T:T)</f>
        <v>0</v>
      </c>
      <c r="T73" s="106">
        <f>_xlfn.XLOOKUP($B:$B,'Compilado 2023'!$B:$B,'Compilado 2023'!U:U)</f>
        <v>0</v>
      </c>
      <c r="U73" s="106">
        <f>_xlfn.XLOOKUP($B:$B,'Compilado 2023'!$B:$B,'Compilado 2023'!V:V)</f>
        <v>0</v>
      </c>
      <c r="V73" s="57"/>
      <c r="W73" s="106">
        <f>_xlfn.XLOOKUP($B:$B,'Compilado 2023'!$B:$B,'Compilado 2023'!X:X)</f>
        <v>0</v>
      </c>
      <c r="X73" s="106">
        <f>_xlfn.XLOOKUP($B:$B,'Compilado 2023'!$B:$B,'Compilado 2023'!Y:Y)</f>
        <v>0</v>
      </c>
      <c r="Y73" s="106">
        <f>_xlfn.XLOOKUP($B:$B,'Compilado 2023'!$B:$B,'Compilado 2023'!Z:Z)</f>
        <v>0</v>
      </c>
      <c r="AA73" s="208">
        <v>45117</v>
      </c>
    </row>
    <row r="74" spans="1:27" hidden="1" x14ac:dyDescent="0.2">
      <c r="A74" s="17" t="str">
        <f t="shared" ca="1" si="34"/>
        <v>Realizado</v>
      </c>
      <c r="B74" s="17">
        <v>44662</v>
      </c>
      <c r="C74" s="19">
        <f t="shared" si="29"/>
        <v>40179.22</v>
      </c>
      <c r="D74" s="35">
        <f>_xlfn.XLOOKUP($B:$B,'Compilado 2023'!$B:$B,'Compilado 2023'!D:D)</f>
        <v>40179.22</v>
      </c>
      <c r="E74" s="35">
        <f>_xlfn.XLOOKUP($B:$B,'Compilado 2023'!$B:$B,'Compilado 2023'!E:E)</f>
        <v>0</v>
      </c>
      <c r="F74" s="18">
        <f>_xlfn.XLOOKUP($B:$B,'Compilado 2023'!$B:$B,'Compilado 2023'!F:F)</f>
        <v>152</v>
      </c>
      <c r="G74" s="18">
        <f>_xlfn.XLOOKUP($B:$B,'Compilado 2023'!$B:$B,'Compilado 2023'!G:G)</f>
        <v>190</v>
      </c>
      <c r="H74" s="35">
        <f t="shared" si="30"/>
        <v>264.33697368421053</v>
      </c>
      <c r="I74" s="19">
        <f t="shared" si="31"/>
        <v>751.52333333333343</v>
      </c>
      <c r="J74" s="122">
        <f t="shared" si="32"/>
        <v>53.4637026129151</v>
      </c>
      <c r="K74" s="18">
        <f>_xlfn.XLOOKUP($B:$B,'Compilado 2023'!$B:$B,'Compilado 2023'!K:K)</f>
        <v>3983</v>
      </c>
      <c r="L74" s="54">
        <f t="shared" si="33"/>
        <v>3.8162189304544313E-2</v>
      </c>
      <c r="M74" s="149"/>
      <c r="N74" s="106">
        <f>_xlfn.XLOOKUP($B:$B,'Compilado 2023'!$B:$B,'Compilado 2023'!N:N)</f>
        <v>502.41</v>
      </c>
      <c r="O74" s="106">
        <f>_xlfn.XLOOKUP($B:$B,'Compilado 2023'!$B:$B,'Compilado 2023'!O:O)</f>
        <v>195.78</v>
      </c>
      <c r="P74" s="106">
        <f>_xlfn.XLOOKUP($B:$B,'Compilado 2023'!$B:$B,'Compilado 2023'!P:P)</f>
        <v>0</v>
      </c>
      <c r="Q74" s="106">
        <f>_xlfn.XLOOKUP($B:$B,'Compilado 2023'!$B:$B,'Compilado 2023'!Q:Q)</f>
        <v>53.333333333333336</v>
      </c>
      <c r="R74" s="106">
        <f>_xlfn.XLOOKUP($B:$B,'Compilado 2023'!$B:$B,'Compilado 2023'!R:R)</f>
        <v>0</v>
      </c>
      <c r="S74" s="106">
        <f>_xlfn.XLOOKUP($B:$B,'Compilado 2023'!$B:$B,'Compilado 2023'!T:T)</f>
        <v>0</v>
      </c>
      <c r="T74" s="106">
        <f>_xlfn.XLOOKUP($B:$B,'Compilado 2023'!$B:$B,'Compilado 2023'!U:U)</f>
        <v>0</v>
      </c>
      <c r="U74" s="106">
        <f>_xlfn.XLOOKUP($B:$B,'Compilado 2023'!$B:$B,'Compilado 2023'!V:V)</f>
        <v>0</v>
      </c>
      <c r="V74" s="57"/>
      <c r="W74" s="106">
        <f>_xlfn.XLOOKUP($B:$B,'Compilado 2023'!$B:$B,'Compilado 2023'!X:X)</f>
        <v>0</v>
      </c>
      <c r="X74" s="106">
        <f>_xlfn.XLOOKUP($B:$B,'Compilado 2023'!$B:$B,'Compilado 2023'!Y:Y)</f>
        <v>0</v>
      </c>
      <c r="Y74" s="106">
        <f>_xlfn.XLOOKUP($B:$B,'Compilado 2023'!$B:$B,'Compilado 2023'!Z:Z)</f>
        <v>0</v>
      </c>
      <c r="AA74" s="208">
        <v>45118</v>
      </c>
    </row>
    <row r="75" spans="1:27" hidden="1" x14ac:dyDescent="0.2">
      <c r="A75" s="17" t="str">
        <f t="shared" ca="1" si="34"/>
        <v>Realizado</v>
      </c>
      <c r="B75" s="17">
        <v>44663</v>
      </c>
      <c r="C75" s="19">
        <f t="shared" si="29"/>
        <v>50744.22</v>
      </c>
      <c r="D75" s="35">
        <f>_xlfn.XLOOKUP($B:$B,'Compilado 2023'!$B:$B,'Compilado 2023'!D:D)</f>
        <v>50744.22</v>
      </c>
      <c r="E75" s="35">
        <f>_xlfn.XLOOKUP($B:$B,'Compilado 2023'!$B:$B,'Compilado 2023'!E:E)</f>
        <v>0</v>
      </c>
      <c r="F75" s="18">
        <f>_xlfn.XLOOKUP($B:$B,'Compilado 2023'!$B:$B,'Compilado 2023'!F:F)</f>
        <v>177</v>
      </c>
      <c r="G75" s="18">
        <f>_xlfn.XLOOKUP($B:$B,'Compilado 2023'!$B:$B,'Compilado 2023'!G:G)</f>
        <v>238</v>
      </c>
      <c r="H75" s="35">
        <f t="shared" si="30"/>
        <v>286.69050847457629</v>
      </c>
      <c r="I75" s="19">
        <f t="shared" si="31"/>
        <v>714.56333333333339</v>
      </c>
      <c r="J75" s="122">
        <f t="shared" si="32"/>
        <v>71.014307105971469</v>
      </c>
      <c r="K75" s="18">
        <f>_xlfn.XLOOKUP($B:$B,'Compilado 2023'!$B:$B,'Compilado 2023'!K:K)</f>
        <v>3978</v>
      </c>
      <c r="L75" s="54">
        <f t="shared" si="33"/>
        <v>4.4494720965309202E-2</v>
      </c>
      <c r="M75" s="149"/>
      <c r="N75" s="106">
        <f>_xlfn.XLOOKUP($B:$B,'Compilado 2023'!$B:$B,'Compilado 2023'!N:N)</f>
        <v>474.42</v>
      </c>
      <c r="O75" s="106">
        <f>_xlfn.XLOOKUP($B:$B,'Compilado 2023'!$B:$B,'Compilado 2023'!O:O)</f>
        <v>186.81</v>
      </c>
      <c r="P75" s="106">
        <f>_xlfn.XLOOKUP($B:$B,'Compilado 2023'!$B:$B,'Compilado 2023'!P:P)</f>
        <v>0</v>
      </c>
      <c r="Q75" s="106">
        <f>_xlfn.XLOOKUP($B:$B,'Compilado 2023'!$B:$B,'Compilado 2023'!Q:Q)</f>
        <v>53.333333333333336</v>
      </c>
      <c r="R75" s="106">
        <f>_xlfn.XLOOKUP($B:$B,'Compilado 2023'!$B:$B,'Compilado 2023'!R:R)</f>
        <v>0</v>
      </c>
      <c r="S75" s="106">
        <f>_xlfn.XLOOKUP($B:$B,'Compilado 2023'!$B:$B,'Compilado 2023'!T:T)</f>
        <v>0</v>
      </c>
      <c r="T75" s="106">
        <f>_xlfn.XLOOKUP($B:$B,'Compilado 2023'!$B:$B,'Compilado 2023'!U:U)</f>
        <v>0</v>
      </c>
      <c r="U75" s="106">
        <f>_xlfn.XLOOKUP($B:$B,'Compilado 2023'!$B:$B,'Compilado 2023'!V:V)</f>
        <v>0</v>
      </c>
      <c r="V75" s="57"/>
      <c r="W75" s="106">
        <f>_xlfn.XLOOKUP($B:$B,'Compilado 2023'!$B:$B,'Compilado 2023'!X:X)</f>
        <v>0</v>
      </c>
      <c r="X75" s="106">
        <f>_xlfn.XLOOKUP($B:$B,'Compilado 2023'!$B:$B,'Compilado 2023'!Y:Y)</f>
        <v>0</v>
      </c>
      <c r="Y75" s="106">
        <f>_xlfn.XLOOKUP($B:$B,'Compilado 2023'!$B:$B,'Compilado 2023'!Z:Z)</f>
        <v>0</v>
      </c>
      <c r="AA75" s="208">
        <v>45119</v>
      </c>
    </row>
    <row r="76" spans="1:27" hidden="1" x14ac:dyDescent="0.2">
      <c r="A76" s="17" t="str">
        <f t="shared" ca="1" si="34"/>
        <v>Realizado</v>
      </c>
      <c r="B76" s="17">
        <v>44664</v>
      </c>
      <c r="C76" s="19">
        <f t="shared" si="29"/>
        <v>39104.629999999997</v>
      </c>
      <c r="D76" s="35">
        <f>_xlfn.XLOOKUP($B:$B,'Compilado 2023'!$B:$B,'Compilado 2023'!D:D)</f>
        <v>39082.35</v>
      </c>
      <c r="E76" s="35">
        <f>_xlfn.XLOOKUP($B:$B,'Compilado 2023'!$B:$B,'Compilado 2023'!E:E)</f>
        <v>22.28</v>
      </c>
      <c r="F76" s="18">
        <f>_xlfn.XLOOKUP($B:$B,'Compilado 2023'!$B:$B,'Compilado 2023'!F:F)</f>
        <v>152</v>
      </c>
      <c r="G76" s="18">
        <f>_xlfn.XLOOKUP($B:$B,'Compilado 2023'!$B:$B,'Compilado 2023'!G:G)</f>
        <v>184</v>
      </c>
      <c r="H76" s="35">
        <f t="shared" si="30"/>
        <v>257.26730263157896</v>
      </c>
      <c r="I76" s="19">
        <f t="shared" si="31"/>
        <v>654.92333333333329</v>
      </c>
      <c r="J76" s="122">
        <f t="shared" si="32"/>
        <v>59.708713997058183</v>
      </c>
      <c r="K76" s="18">
        <f>_xlfn.XLOOKUP($B:$B,'Compilado 2023'!$B:$B,'Compilado 2023'!K:K)</f>
        <v>3557</v>
      </c>
      <c r="L76" s="54">
        <f t="shared" si="33"/>
        <v>4.2732639865054822E-2</v>
      </c>
      <c r="M76" s="149"/>
      <c r="N76" s="106">
        <f>_xlfn.XLOOKUP($B:$B,'Compilado 2023'!$B:$B,'Compilado 2023'!N:N)</f>
        <v>460.7</v>
      </c>
      <c r="O76" s="106">
        <f>_xlfn.XLOOKUP($B:$B,'Compilado 2023'!$B:$B,'Compilado 2023'!O:O)</f>
        <v>140.88999999999999</v>
      </c>
      <c r="P76" s="106">
        <f>_xlfn.XLOOKUP($B:$B,'Compilado 2023'!$B:$B,'Compilado 2023'!P:P)</f>
        <v>0</v>
      </c>
      <c r="Q76" s="106">
        <f>_xlfn.XLOOKUP($B:$B,'Compilado 2023'!$B:$B,'Compilado 2023'!Q:Q)</f>
        <v>53.333333333333336</v>
      </c>
      <c r="R76" s="106">
        <f>_xlfn.XLOOKUP($B:$B,'Compilado 2023'!$B:$B,'Compilado 2023'!R:R)</f>
        <v>0</v>
      </c>
      <c r="S76" s="106">
        <f>_xlfn.XLOOKUP($B:$B,'Compilado 2023'!$B:$B,'Compilado 2023'!T:T)</f>
        <v>0</v>
      </c>
      <c r="T76" s="106">
        <f>_xlfn.XLOOKUP($B:$B,'Compilado 2023'!$B:$B,'Compilado 2023'!U:U)</f>
        <v>0</v>
      </c>
      <c r="U76" s="106">
        <f>_xlfn.XLOOKUP($B:$B,'Compilado 2023'!$B:$B,'Compilado 2023'!V:V)</f>
        <v>0</v>
      </c>
      <c r="V76" s="57"/>
      <c r="W76" s="106">
        <f>_xlfn.XLOOKUP($B:$B,'Compilado 2023'!$B:$B,'Compilado 2023'!X:X)</f>
        <v>0</v>
      </c>
      <c r="X76" s="106">
        <f>_xlfn.XLOOKUP($B:$B,'Compilado 2023'!$B:$B,'Compilado 2023'!Y:Y)</f>
        <v>0</v>
      </c>
      <c r="Y76" s="106">
        <f>_xlfn.XLOOKUP($B:$B,'Compilado 2023'!$B:$B,'Compilado 2023'!Z:Z)</f>
        <v>0</v>
      </c>
      <c r="AA76" s="208">
        <v>45120</v>
      </c>
    </row>
    <row r="77" spans="1:27" hidden="1" x14ac:dyDescent="0.2">
      <c r="A77" s="17" t="str">
        <f t="shared" ca="1" si="34"/>
        <v>Realizado</v>
      </c>
      <c r="B77" s="17">
        <v>44665</v>
      </c>
      <c r="C77" s="19">
        <f t="shared" si="29"/>
        <v>52367.01</v>
      </c>
      <c r="D77" s="35">
        <f>_xlfn.XLOOKUP($B:$B,'Compilado 2023'!$B:$B,'Compilado 2023'!D:D)</f>
        <v>52344.65</v>
      </c>
      <c r="E77" s="35">
        <f>_xlfn.XLOOKUP($B:$B,'Compilado 2023'!$B:$B,'Compilado 2023'!E:E)</f>
        <v>22.36</v>
      </c>
      <c r="F77" s="18">
        <f>_xlfn.XLOOKUP($B:$B,'Compilado 2023'!$B:$B,'Compilado 2023'!F:F)</f>
        <v>195</v>
      </c>
      <c r="G77" s="18">
        <f>_xlfn.XLOOKUP($B:$B,'Compilado 2023'!$B:$B,'Compilado 2023'!G:G)</f>
        <v>255</v>
      </c>
      <c r="H77" s="35">
        <f t="shared" si="30"/>
        <v>268.54876923076927</v>
      </c>
      <c r="I77" s="19">
        <f t="shared" si="31"/>
        <v>686.67333333333329</v>
      </c>
      <c r="J77" s="122">
        <f t="shared" si="32"/>
        <v>76.261895515577521</v>
      </c>
      <c r="K77" s="18">
        <f>_xlfn.XLOOKUP($B:$B,'Compilado 2023'!$B:$B,'Compilado 2023'!K:K)</f>
        <v>3916</v>
      </c>
      <c r="L77" s="54">
        <f t="shared" si="33"/>
        <v>4.979570990806946E-2</v>
      </c>
      <c r="M77" s="149"/>
      <c r="N77" s="106">
        <f>_xlfn.XLOOKUP($B:$B,'Compilado 2023'!$B:$B,'Compilado 2023'!N:N)</f>
        <v>413.14</v>
      </c>
      <c r="O77" s="106">
        <f>_xlfn.XLOOKUP($B:$B,'Compilado 2023'!$B:$B,'Compilado 2023'!O:O)</f>
        <v>220.2</v>
      </c>
      <c r="P77" s="106">
        <f>_xlfn.XLOOKUP($B:$B,'Compilado 2023'!$B:$B,'Compilado 2023'!P:P)</f>
        <v>0</v>
      </c>
      <c r="Q77" s="106">
        <f>_xlfn.XLOOKUP($B:$B,'Compilado 2023'!$B:$B,'Compilado 2023'!Q:Q)</f>
        <v>53.333333333333336</v>
      </c>
      <c r="R77" s="106">
        <f>_xlfn.XLOOKUP($B:$B,'Compilado 2023'!$B:$B,'Compilado 2023'!R:R)</f>
        <v>0</v>
      </c>
      <c r="S77" s="106">
        <f>_xlfn.XLOOKUP($B:$B,'Compilado 2023'!$B:$B,'Compilado 2023'!T:T)</f>
        <v>0</v>
      </c>
      <c r="T77" s="106">
        <f>_xlfn.XLOOKUP($B:$B,'Compilado 2023'!$B:$B,'Compilado 2023'!U:U)</f>
        <v>0</v>
      </c>
      <c r="U77" s="106">
        <f>_xlfn.XLOOKUP($B:$B,'Compilado 2023'!$B:$B,'Compilado 2023'!V:V)</f>
        <v>0</v>
      </c>
      <c r="V77" s="57"/>
      <c r="W77" s="106">
        <f>_xlfn.XLOOKUP($B:$B,'Compilado 2023'!$B:$B,'Compilado 2023'!X:X)</f>
        <v>0</v>
      </c>
      <c r="X77" s="106">
        <f>_xlfn.XLOOKUP($B:$B,'Compilado 2023'!$B:$B,'Compilado 2023'!Y:Y)</f>
        <v>0</v>
      </c>
      <c r="Y77" s="106">
        <f>_xlfn.XLOOKUP($B:$B,'Compilado 2023'!$B:$B,'Compilado 2023'!Z:Z)</f>
        <v>0</v>
      </c>
      <c r="AA77" s="208">
        <v>45121</v>
      </c>
    </row>
    <row r="78" spans="1:27" hidden="1" x14ac:dyDescent="0.2">
      <c r="A78" s="17" t="str">
        <f t="shared" ca="1" si="34"/>
        <v>Realizado</v>
      </c>
      <c r="B78" s="17">
        <v>44666</v>
      </c>
      <c r="C78" s="19">
        <f t="shared" si="29"/>
        <v>20921.53</v>
      </c>
      <c r="D78" s="35">
        <f>_xlfn.XLOOKUP($B:$B,'Compilado 2023'!$B:$B,'Compilado 2023'!D:D)</f>
        <v>20921.53</v>
      </c>
      <c r="E78" s="35">
        <f>_xlfn.XLOOKUP($B:$B,'Compilado 2023'!$B:$B,'Compilado 2023'!E:E)</f>
        <v>0</v>
      </c>
      <c r="F78" s="18">
        <f>_xlfn.XLOOKUP($B:$B,'Compilado 2023'!$B:$B,'Compilado 2023'!F:F)</f>
        <v>78</v>
      </c>
      <c r="G78" s="18">
        <f>_xlfn.XLOOKUP($B:$B,'Compilado 2023'!$B:$B,'Compilado 2023'!G:G)</f>
        <v>106</v>
      </c>
      <c r="H78" s="35">
        <f t="shared" si="30"/>
        <v>268.22474358974358</v>
      </c>
      <c r="I78" s="19">
        <f t="shared" si="31"/>
        <v>604.44333333333338</v>
      </c>
      <c r="J78" s="122">
        <f t="shared" si="32"/>
        <v>34.612888994281235</v>
      </c>
      <c r="K78" s="18">
        <f>_xlfn.XLOOKUP($B:$B,'Compilado 2023'!$B:$B,'Compilado 2023'!K:K)</f>
        <v>2384</v>
      </c>
      <c r="L78" s="54">
        <f t="shared" si="33"/>
        <v>3.2718120805369129E-2</v>
      </c>
      <c r="M78" s="149"/>
      <c r="N78" s="106">
        <f>_xlfn.XLOOKUP($B:$B,'Compilado 2023'!$B:$B,'Compilado 2023'!N:N)</f>
        <v>395.37</v>
      </c>
      <c r="O78" s="106">
        <f>_xlfn.XLOOKUP($B:$B,'Compilado 2023'!$B:$B,'Compilado 2023'!O:O)</f>
        <v>155.74</v>
      </c>
      <c r="P78" s="106">
        <f>_xlfn.XLOOKUP($B:$B,'Compilado 2023'!$B:$B,'Compilado 2023'!P:P)</f>
        <v>0</v>
      </c>
      <c r="Q78" s="106">
        <f>_xlfn.XLOOKUP($B:$B,'Compilado 2023'!$B:$B,'Compilado 2023'!Q:Q)</f>
        <v>53.333333333333336</v>
      </c>
      <c r="R78" s="106">
        <f>_xlfn.XLOOKUP($B:$B,'Compilado 2023'!$B:$B,'Compilado 2023'!R:R)</f>
        <v>0</v>
      </c>
      <c r="S78" s="106">
        <f>_xlfn.XLOOKUP($B:$B,'Compilado 2023'!$B:$B,'Compilado 2023'!T:T)</f>
        <v>0</v>
      </c>
      <c r="T78" s="106">
        <f>_xlfn.XLOOKUP($B:$B,'Compilado 2023'!$B:$B,'Compilado 2023'!U:U)</f>
        <v>0</v>
      </c>
      <c r="U78" s="106">
        <f>_xlfn.XLOOKUP($B:$B,'Compilado 2023'!$B:$B,'Compilado 2023'!V:V)</f>
        <v>0</v>
      </c>
      <c r="V78" s="57"/>
      <c r="W78" s="106">
        <f>_xlfn.XLOOKUP($B:$B,'Compilado 2023'!$B:$B,'Compilado 2023'!X:X)</f>
        <v>0</v>
      </c>
      <c r="X78" s="106">
        <f>_xlfn.XLOOKUP($B:$B,'Compilado 2023'!$B:$B,'Compilado 2023'!Y:Y)</f>
        <v>0</v>
      </c>
      <c r="Y78" s="106">
        <f>_xlfn.XLOOKUP($B:$B,'Compilado 2023'!$B:$B,'Compilado 2023'!Z:Z)</f>
        <v>0</v>
      </c>
      <c r="AA78" s="208">
        <v>45122</v>
      </c>
    </row>
    <row r="79" spans="1:27" hidden="1" x14ac:dyDescent="0.2">
      <c r="A79" s="17" t="str">
        <f t="shared" ca="1" si="34"/>
        <v>Realizado</v>
      </c>
      <c r="B79" s="17">
        <v>44667</v>
      </c>
      <c r="C79" s="19">
        <f t="shared" si="29"/>
        <v>27300.05</v>
      </c>
      <c r="D79" s="35">
        <f>_xlfn.XLOOKUP($B:$B,'Compilado 2023'!$B:$B,'Compilado 2023'!D:D)</f>
        <v>27300.05</v>
      </c>
      <c r="E79" s="35">
        <f>_xlfn.XLOOKUP($B:$B,'Compilado 2023'!$B:$B,'Compilado 2023'!E:E)</f>
        <v>0</v>
      </c>
      <c r="F79" s="18">
        <f>_xlfn.XLOOKUP($B:$B,'Compilado 2023'!$B:$B,'Compilado 2023'!F:F)</f>
        <v>114</v>
      </c>
      <c r="G79" s="18">
        <f>_xlfn.XLOOKUP($B:$B,'Compilado 2023'!$B:$B,'Compilado 2023'!G:G)</f>
        <v>165</v>
      </c>
      <c r="H79" s="35">
        <f t="shared" si="30"/>
        <v>239.47412280701755</v>
      </c>
      <c r="I79" s="19">
        <f t="shared" si="31"/>
        <v>558.07333333333338</v>
      </c>
      <c r="J79" s="122">
        <f t="shared" si="32"/>
        <v>48.918391848144203</v>
      </c>
      <c r="K79" s="18">
        <f>_xlfn.XLOOKUP($B:$B,'Compilado 2023'!$B:$B,'Compilado 2023'!K:K)</f>
        <v>2545</v>
      </c>
      <c r="L79" s="54">
        <f t="shared" si="33"/>
        <v>4.4793713163064831E-2</v>
      </c>
      <c r="M79" s="149"/>
      <c r="N79" s="106">
        <f>_xlfn.XLOOKUP($B:$B,'Compilado 2023'!$B:$B,'Compilado 2023'!N:N)</f>
        <v>440.05</v>
      </c>
      <c r="O79" s="106">
        <f>_xlfn.XLOOKUP($B:$B,'Compilado 2023'!$B:$B,'Compilado 2023'!O:O)</f>
        <v>64.69</v>
      </c>
      <c r="P79" s="106">
        <f>_xlfn.XLOOKUP($B:$B,'Compilado 2023'!$B:$B,'Compilado 2023'!P:P)</f>
        <v>0</v>
      </c>
      <c r="Q79" s="106">
        <f>_xlfn.XLOOKUP($B:$B,'Compilado 2023'!$B:$B,'Compilado 2023'!Q:Q)</f>
        <v>53.333333333333336</v>
      </c>
      <c r="R79" s="106">
        <f>_xlfn.XLOOKUP($B:$B,'Compilado 2023'!$B:$B,'Compilado 2023'!R:R)</f>
        <v>0</v>
      </c>
      <c r="S79" s="106">
        <f>_xlfn.XLOOKUP($B:$B,'Compilado 2023'!$B:$B,'Compilado 2023'!T:T)</f>
        <v>0</v>
      </c>
      <c r="T79" s="106">
        <f>_xlfn.XLOOKUP($B:$B,'Compilado 2023'!$B:$B,'Compilado 2023'!U:U)</f>
        <v>0</v>
      </c>
      <c r="U79" s="106">
        <f>_xlfn.XLOOKUP($B:$B,'Compilado 2023'!$B:$B,'Compilado 2023'!V:V)</f>
        <v>0</v>
      </c>
      <c r="V79" s="57"/>
      <c r="W79" s="106">
        <f>_xlfn.XLOOKUP($B:$B,'Compilado 2023'!$B:$B,'Compilado 2023'!X:X)</f>
        <v>0</v>
      </c>
      <c r="X79" s="106">
        <f>_xlfn.XLOOKUP($B:$B,'Compilado 2023'!$B:$B,'Compilado 2023'!Y:Y)</f>
        <v>0</v>
      </c>
      <c r="Y79" s="106">
        <f>_xlfn.XLOOKUP($B:$B,'Compilado 2023'!$B:$B,'Compilado 2023'!Z:Z)</f>
        <v>0</v>
      </c>
      <c r="AA79" s="208">
        <v>45123</v>
      </c>
    </row>
    <row r="80" spans="1:27" hidden="1" x14ac:dyDescent="0.2">
      <c r="A80" s="17" t="str">
        <f t="shared" ca="1" si="34"/>
        <v>Realizado</v>
      </c>
      <c r="B80" s="17">
        <v>44668</v>
      </c>
      <c r="C80" s="19">
        <f t="shared" si="29"/>
        <v>16434.91</v>
      </c>
      <c r="D80" s="35">
        <f>_xlfn.XLOOKUP($B:$B,'Compilado 2023'!$B:$B,'Compilado 2023'!D:D)</f>
        <v>16409.150000000001</v>
      </c>
      <c r="E80" s="35">
        <f>_xlfn.XLOOKUP($B:$B,'Compilado 2023'!$B:$B,'Compilado 2023'!E:E)</f>
        <v>25.76</v>
      </c>
      <c r="F80" s="18">
        <f>_xlfn.XLOOKUP($B:$B,'Compilado 2023'!$B:$B,'Compilado 2023'!F:F)</f>
        <v>68</v>
      </c>
      <c r="G80" s="18">
        <f>_xlfn.XLOOKUP($B:$B,'Compilado 2023'!$B:$B,'Compilado 2023'!G:G)</f>
        <v>91</v>
      </c>
      <c r="H80" s="35">
        <f t="shared" si="30"/>
        <v>241.68985294117647</v>
      </c>
      <c r="I80" s="19">
        <f t="shared" si="31"/>
        <v>524.87333333333333</v>
      </c>
      <c r="J80" s="122">
        <f t="shared" si="32"/>
        <v>31.312145152481232</v>
      </c>
      <c r="K80" s="18">
        <f>_xlfn.XLOOKUP($B:$B,'Compilado 2023'!$B:$B,'Compilado 2023'!K:K)</f>
        <v>2089</v>
      </c>
      <c r="L80" s="54">
        <f t="shared" si="33"/>
        <v>3.2551460028721876E-2</v>
      </c>
      <c r="M80" s="149"/>
      <c r="N80" s="106">
        <f>_xlfn.XLOOKUP($B:$B,'Compilado 2023'!$B:$B,'Compilado 2023'!N:N)</f>
        <v>401.75</v>
      </c>
      <c r="O80" s="106">
        <f>_xlfn.XLOOKUP($B:$B,'Compilado 2023'!$B:$B,'Compilado 2023'!O:O)</f>
        <v>69.790000000000006</v>
      </c>
      <c r="P80" s="106">
        <f>_xlfn.XLOOKUP($B:$B,'Compilado 2023'!$B:$B,'Compilado 2023'!P:P)</f>
        <v>0</v>
      </c>
      <c r="Q80" s="106">
        <f>_xlfn.XLOOKUP($B:$B,'Compilado 2023'!$B:$B,'Compilado 2023'!Q:Q)</f>
        <v>53.333333333333336</v>
      </c>
      <c r="R80" s="106">
        <f>_xlfn.XLOOKUP($B:$B,'Compilado 2023'!$B:$B,'Compilado 2023'!R:R)</f>
        <v>0</v>
      </c>
      <c r="S80" s="106">
        <f>_xlfn.XLOOKUP($B:$B,'Compilado 2023'!$B:$B,'Compilado 2023'!T:T)</f>
        <v>0</v>
      </c>
      <c r="T80" s="106">
        <f>_xlfn.XLOOKUP($B:$B,'Compilado 2023'!$B:$B,'Compilado 2023'!U:U)</f>
        <v>0</v>
      </c>
      <c r="U80" s="106">
        <f>_xlfn.XLOOKUP($B:$B,'Compilado 2023'!$B:$B,'Compilado 2023'!V:V)</f>
        <v>0</v>
      </c>
      <c r="V80" s="57"/>
      <c r="W80" s="106">
        <f>_xlfn.XLOOKUP($B:$B,'Compilado 2023'!$B:$B,'Compilado 2023'!X:X)</f>
        <v>0</v>
      </c>
      <c r="X80" s="106">
        <f>_xlfn.XLOOKUP($B:$B,'Compilado 2023'!$B:$B,'Compilado 2023'!Y:Y)</f>
        <v>0</v>
      </c>
      <c r="Y80" s="106">
        <f>_xlfn.XLOOKUP($B:$B,'Compilado 2023'!$B:$B,'Compilado 2023'!Z:Z)</f>
        <v>0</v>
      </c>
      <c r="AA80" s="208">
        <v>45124</v>
      </c>
    </row>
    <row r="81" spans="1:27" hidden="1" x14ac:dyDescent="0.2">
      <c r="A81" s="17" t="str">
        <f t="shared" ca="1" si="34"/>
        <v>Realizado</v>
      </c>
      <c r="B81" s="17">
        <v>44669</v>
      </c>
      <c r="C81" s="19">
        <f t="shared" si="29"/>
        <v>33019.06</v>
      </c>
      <c r="D81" s="35">
        <f>_xlfn.XLOOKUP($B:$B,'Compilado 2023'!$B:$B,'Compilado 2023'!D:D)</f>
        <v>33019.06</v>
      </c>
      <c r="E81" s="35">
        <f>_xlfn.XLOOKUP($B:$B,'Compilado 2023'!$B:$B,'Compilado 2023'!E:E)</f>
        <v>0</v>
      </c>
      <c r="F81" s="18">
        <f>_xlfn.XLOOKUP($B:$B,'Compilado 2023'!$B:$B,'Compilado 2023'!F:F)</f>
        <v>117</v>
      </c>
      <c r="G81" s="18">
        <f>_xlfn.XLOOKUP($B:$B,'Compilado 2023'!$B:$B,'Compilado 2023'!G:G)</f>
        <v>141</v>
      </c>
      <c r="H81" s="35">
        <f t="shared" si="30"/>
        <v>282.214188034188</v>
      </c>
      <c r="I81" s="19">
        <f t="shared" si="31"/>
        <v>693.99333333333334</v>
      </c>
      <c r="J81" s="122">
        <f t="shared" si="32"/>
        <v>47.578353298302574</v>
      </c>
      <c r="K81" s="18">
        <f>_xlfn.XLOOKUP($B:$B,'Compilado 2023'!$B:$B,'Compilado 2023'!K:K)</f>
        <v>4088</v>
      </c>
      <c r="L81" s="54">
        <f t="shared" si="33"/>
        <v>2.8620352250489235E-2</v>
      </c>
      <c r="M81" s="149"/>
      <c r="N81" s="106">
        <f>_xlfn.XLOOKUP($B:$B,'Compilado 2023'!$B:$B,'Compilado 2023'!N:N)</f>
        <v>491.95</v>
      </c>
      <c r="O81" s="106">
        <f>_xlfn.XLOOKUP($B:$B,'Compilado 2023'!$B:$B,'Compilado 2023'!O:O)</f>
        <v>148.71</v>
      </c>
      <c r="P81" s="106">
        <f>_xlfn.XLOOKUP($B:$B,'Compilado 2023'!$B:$B,'Compilado 2023'!P:P)</f>
        <v>0</v>
      </c>
      <c r="Q81" s="106">
        <f>_xlfn.XLOOKUP($B:$B,'Compilado 2023'!$B:$B,'Compilado 2023'!Q:Q)</f>
        <v>53.333333333333336</v>
      </c>
      <c r="R81" s="106">
        <f>_xlfn.XLOOKUP($B:$B,'Compilado 2023'!$B:$B,'Compilado 2023'!R:R)</f>
        <v>0</v>
      </c>
      <c r="S81" s="106">
        <f>_xlfn.XLOOKUP($B:$B,'Compilado 2023'!$B:$B,'Compilado 2023'!T:T)</f>
        <v>0</v>
      </c>
      <c r="T81" s="106">
        <f>_xlfn.XLOOKUP($B:$B,'Compilado 2023'!$B:$B,'Compilado 2023'!U:U)</f>
        <v>0</v>
      </c>
      <c r="U81" s="106">
        <f>_xlfn.XLOOKUP($B:$B,'Compilado 2023'!$B:$B,'Compilado 2023'!V:V)</f>
        <v>0</v>
      </c>
      <c r="V81" s="57"/>
      <c r="W81" s="106">
        <f>_xlfn.XLOOKUP($B:$B,'Compilado 2023'!$B:$B,'Compilado 2023'!X:X)</f>
        <v>0</v>
      </c>
      <c r="X81" s="106">
        <f>_xlfn.XLOOKUP($B:$B,'Compilado 2023'!$B:$B,'Compilado 2023'!Y:Y)</f>
        <v>0</v>
      </c>
      <c r="Y81" s="106">
        <f>_xlfn.XLOOKUP($B:$B,'Compilado 2023'!$B:$B,'Compilado 2023'!Z:Z)</f>
        <v>0</v>
      </c>
      <c r="AA81" s="208">
        <v>45125</v>
      </c>
    </row>
    <row r="82" spans="1:27" hidden="1" x14ac:dyDescent="0.2">
      <c r="A82" s="17" t="str">
        <f t="shared" ca="1" si="34"/>
        <v>Realizado</v>
      </c>
      <c r="B82" s="17">
        <v>44670</v>
      </c>
      <c r="C82" s="19">
        <f t="shared" si="29"/>
        <v>48457.27</v>
      </c>
      <c r="D82" s="35">
        <f>_xlfn.XLOOKUP($B:$B,'Compilado 2023'!$B:$B,'Compilado 2023'!D:D)</f>
        <v>48457.27</v>
      </c>
      <c r="E82" s="35">
        <f>_xlfn.XLOOKUP($B:$B,'Compilado 2023'!$B:$B,'Compilado 2023'!E:E)</f>
        <v>0</v>
      </c>
      <c r="F82" s="18">
        <f>_xlfn.XLOOKUP($B:$B,'Compilado 2023'!$B:$B,'Compilado 2023'!F:F)</f>
        <v>166</v>
      </c>
      <c r="G82" s="18">
        <f>_xlfn.XLOOKUP($B:$B,'Compilado 2023'!$B:$B,'Compilado 2023'!G:G)</f>
        <v>259</v>
      </c>
      <c r="H82" s="35">
        <f t="shared" si="30"/>
        <v>291.91126506024096</v>
      </c>
      <c r="I82" s="19">
        <f t="shared" si="31"/>
        <v>833.96333333333348</v>
      </c>
      <c r="J82" s="122">
        <f t="shared" si="32"/>
        <v>58.104796773639116</v>
      </c>
      <c r="K82" s="18">
        <f>_xlfn.XLOOKUP($B:$B,'Compilado 2023'!$B:$B,'Compilado 2023'!K:K)</f>
        <v>4263</v>
      </c>
      <c r="L82" s="54">
        <f t="shared" si="33"/>
        <v>3.8939713816561104E-2</v>
      </c>
      <c r="M82" s="149"/>
      <c r="N82" s="106">
        <f>_xlfn.XLOOKUP($B:$B,'Compilado 2023'!$B:$B,'Compilado 2023'!N:N)</f>
        <v>500.47</v>
      </c>
      <c r="O82" s="106">
        <f>_xlfn.XLOOKUP($B:$B,'Compilado 2023'!$B:$B,'Compilado 2023'!O:O)</f>
        <v>280.16000000000003</v>
      </c>
      <c r="P82" s="106">
        <f>_xlfn.XLOOKUP($B:$B,'Compilado 2023'!$B:$B,'Compilado 2023'!P:P)</f>
        <v>0</v>
      </c>
      <c r="Q82" s="106">
        <f>_xlfn.XLOOKUP($B:$B,'Compilado 2023'!$B:$B,'Compilado 2023'!Q:Q)</f>
        <v>53.333333333333336</v>
      </c>
      <c r="R82" s="106">
        <f>_xlfn.XLOOKUP($B:$B,'Compilado 2023'!$B:$B,'Compilado 2023'!R:R)</f>
        <v>0</v>
      </c>
      <c r="S82" s="106">
        <f>_xlfn.XLOOKUP($B:$B,'Compilado 2023'!$B:$B,'Compilado 2023'!T:T)</f>
        <v>0</v>
      </c>
      <c r="T82" s="106">
        <f>_xlfn.XLOOKUP($B:$B,'Compilado 2023'!$B:$B,'Compilado 2023'!U:U)</f>
        <v>0</v>
      </c>
      <c r="U82" s="106">
        <f>_xlfn.XLOOKUP($B:$B,'Compilado 2023'!$B:$B,'Compilado 2023'!V:V)</f>
        <v>0</v>
      </c>
      <c r="V82" s="57"/>
      <c r="W82" s="106">
        <f>_xlfn.XLOOKUP($B:$B,'Compilado 2023'!$B:$B,'Compilado 2023'!X:X)</f>
        <v>0</v>
      </c>
      <c r="X82" s="106">
        <f>_xlfn.XLOOKUP($B:$B,'Compilado 2023'!$B:$B,'Compilado 2023'!Y:Y)</f>
        <v>0</v>
      </c>
      <c r="Y82" s="106">
        <f>_xlfn.XLOOKUP($B:$B,'Compilado 2023'!$B:$B,'Compilado 2023'!Z:Z)</f>
        <v>0</v>
      </c>
      <c r="AA82" s="208">
        <v>45126</v>
      </c>
    </row>
    <row r="83" spans="1:27" hidden="1" x14ac:dyDescent="0.2">
      <c r="A83" s="17" t="str">
        <f t="shared" ca="1" si="34"/>
        <v>Realizado</v>
      </c>
      <c r="B83" s="17">
        <v>44671</v>
      </c>
      <c r="C83" s="19">
        <f t="shared" si="29"/>
        <v>34555.19</v>
      </c>
      <c r="D83" s="35">
        <f>_xlfn.XLOOKUP($B:$B,'Compilado 2023'!$B:$B,'Compilado 2023'!D:D)</f>
        <v>34555.19</v>
      </c>
      <c r="E83" s="35">
        <f>_xlfn.XLOOKUP($B:$B,'Compilado 2023'!$B:$B,'Compilado 2023'!E:E)</f>
        <v>0</v>
      </c>
      <c r="F83" s="18">
        <f>_xlfn.XLOOKUP($B:$B,'Compilado 2023'!$B:$B,'Compilado 2023'!F:F)</f>
        <v>130</v>
      </c>
      <c r="G83" s="18">
        <f>_xlfn.XLOOKUP($B:$B,'Compilado 2023'!$B:$B,'Compilado 2023'!G:G)</f>
        <v>163</v>
      </c>
      <c r="H83" s="35">
        <f t="shared" si="30"/>
        <v>265.80915384615389</v>
      </c>
      <c r="I83" s="19">
        <f t="shared" si="31"/>
        <v>718.44333333333338</v>
      </c>
      <c r="J83" s="122">
        <f t="shared" si="32"/>
        <v>48.097307604867929</v>
      </c>
      <c r="K83" s="18">
        <f>_xlfn.XLOOKUP($B:$B,'Compilado 2023'!$B:$B,'Compilado 2023'!K:K)</f>
        <v>3810</v>
      </c>
      <c r="L83" s="54">
        <f t="shared" si="33"/>
        <v>3.4120734908136482E-2</v>
      </c>
      <c r="M83" s="149"/>
      <c r="N83" s="106">
        <f>_xlfn.XLOOKUP($B:$B,'Compilado 2023'!$B:$B,'Compilado 2023'!N:N)</f>
        <v>467.95</v>
      </c>
      <c r="O83" s="106">
        <f>_xlfn.XLOOKUP($B:$B,'Compilado 2023'!$B:$B,'Compilado 2023'!O:O)</f>
        <v>197.16</v>
      </c>
      <c r="P83" s="106">
        <f>_xlfn.XLOOKUP($B:$B,'Compilado 2023'!$B:$B,'Compilado 2023'!P:P)</f>
        <v>0</v>
      </c>
      <c r="Q83" s="106">
        <f>_xlfn.XLOOKUP($B:$B,'Compilado 2023'!$B:$B,'Compilado 2023'!Q:Q)</f>
        <v>53.333333333333336</v>
      </c>
      <c r="R83" s="106">
        <f>_xlfn.XLOOKUP($B:$B,'Compilado 2023'!$B:$B,'Compilado 2023'!R:R)</f>
        <v>0</v>
      </c>
      <c r="S83" s="106">
        <f>_xlfn.XLOOKUP($B:$B,'Compilado 2023'!$B:$B,'Compilado 2023'!T:T)</f>
        <v>0</v>
      </c>
      <c r="T83" s="106">
        <f>_xlfn.XLOOKUP($B:$B,'Compilado 2023'!$B:$B,'Compilado 2023'!U:U)</f>
        <v>0</v>
      </c>
      <c r="U83" s="106">
        <f>_xlfn.XLOOKUP($B:$B,'Compilado 2023'!$B:$B,'Compilado 2023'!V:V)</f>
        <v>0</v>
      </c>
      <c r="V83" s="57"/>
      <c r="W83" s="106">
        <f>_xlfn.XLOOKUP($B:$B,'Compilado 2023'!$B:$B,'Compilado 2023'!X:X)</f>
        <v>0</v>
      </c>
      <c r="X83" s="106">
        <f>_xlfn.XLOOKUP($B:$B,'Compilado 2023'!$B:$B,'Compilado 2023'!Y:Y)</f>
        <v>0</v>
      </c>
      <c r="Y83" s="106">
        <f>_xlfn.XLOOKUP($B:$B,'Compilado 2023'!$B:$B,'Compilado 2023'!Z:Z)</f>
        <v>0</v>
      </c>
      <c r="AA83" s="208">
        <v>45127</v>
      </c>
    </row>
    <row r="84" spans="1:27" hidden="1" x14ac:dyDescent="0.2">
      <c r="A84" s="17" t="str">
        <f t="shared" ca="1" si="34"/>
        <v>Realizado</v>
      </c>
      <c r="B84" s="17">
        <v>44672</v>
      </c>
      <c r="C84" s="19">
        <f t="shared" si="29"/>
        <v>23262.320000000003</v>
      </c>
      <c r="D84" s="35">
        <f>_xlfn.XLOOKUP($B:$B,'Compilado 2023'!$B:$B,'Compilado 2023'!D:D)</f>
        <v>23240.240000000002</v>
      </c>
      <c r="E84" s="35">
        <f>_xlfn.XLOOKUP($B:$B,'Compilado 2023'!$B:$B,'Compilado 2023'!E:E)</f>
        <v>22.08</v>
      </c>
      <c r="F84" s="18">
        <f>_xlfn.XLOOKUP($B:$B,'Compilado 2023'!$B:$B,'Compilado 2023'!F:F)</f>
        <v>83</v>
      </c>
      <c r="G84" s="18">
        <f>_xlfn.XLOOKUP($B:$B,'Compilado 2023'!$B:$B,'Compilado 2023'!G:G)</f>
        <v>103</v>
      </c>
      <c r="H84" s="35">
        <f t="shared" si="30"/>
        <v>280.26891566265067</v>
      </c>
      <c r="I84" s="19">
        <f t="shared" si="31"/>
        <v>745.37333333333333</v>
      </c>
      <c r="J84" s="122">
        <f t="shared" si="32"/>
        <v>31.208951219075903</v>
      </c>
      <c r="K84" s="18">
        <f>_xlfn.XLOOKUP($B:$B,'Compilado 2023'!$B:$B,'Compilado 2023'!K:K)</f>
        <v>2858</v>
      </c>
      <c r="L84" s="54">
        <f t="shared" si="33"/>
        <v>2.9041287613715886E-2</v>
      </c>
      <c r="M84" s="149"/>
      <c r="N84" s="106">
        <f>_xlfn.XLOOKUP($B:$B,'Compilado 2023'!$B:$B,'Compilado 2023'!N:N)</f>
        <v>411.67</v>
      </c>
      <c r="O84" s="106">
        <f>_xlfn.XLOOKUP($B:$B,'Compilado 2023'!$B:$B,'Compilado 2023'!O:O)</f>
        <v>280.37</v>
      </c>
      <c r="P84" s="106">
        <f>_xlfn.XLOOKUP($B:$B,'Compilado 2023'!$B:$B,'Compilado 2023'!P:P)</f>
        <v>0</v>
      </c>
      <c r="Q84" s="106">
        <f>_xlfn.XLOOKUP($B:$B,'Compilado 2023'!$B:$B,'Compilado 2023'!Q:Q)</f>
        <v>53.333333333333336</v>
      </c>
      <c r="R84" s="106">
        <f>_xlfn.XLOOKUP($B:$B,'Compilado 2023'!$B:$B,'Compilado 2023'!R:R)</f>
        <v>0</v>
      </c>
      <c r="S84" s="106">
        <f>_xlfn.XLOOKUP($B:$B,'Compilado 2023'!$B:$B,'Compilado 2023'!T:T)</f>
        <v>0</v>
      </c>
      <c r="T84" s="106">
        <f>_xlfn.XLOOKUP($B:$B,'Compilado 2023'!$B:$B,'Compilado 2023'!U:U)</f>
        <v>0</v>
      </c>
      <c r="U84" s="106">
        <f>_xlfn.XLOOKUP($B:$B,'Compilado 2023'!$B:$B,'Compilado 2023'!V:V)</f>
        <v>0</v>
      </c>
      <c r="V84" s="57"/>
      <c r="W84" s="106">
        <f>_xlfn.XLOOKUP($B:$B,'Compilado 2023'!$B:$B,'Compilado 2023'!X:X)</f>
        <v>0</v>
      </c>
      <c r="X84" s="106">
        <f>_xlfn.XLOOKUP($B:$B,'Compilado 2023'!$B:$B,'Compilado 2023'!Y:Y)</f>
        <v>0</v>
      </c>
      <c r="Y84" s="106">
        <f>_xlfn.XLOOKUP($B:$B,'Compilado 2023'!$B:$B,'Compilado 2023'!Z:Z)</f>
        <v>0</v>
      </c>
      <c r="AA84" s="208">
        <v>45128</v>
      </c>
    </row>
    <row r="85" spans="1:27" hidden="1" x14ac:dyDescent="0.2">
      <c r="A85" s="17" t="str">
        <f t="shared" ca="1" si="34"/>
        <v>Realizado</v>
      </c>
      <c r="B85" s="17">
        <v>44673</v>
      </c>
      <c r="C85" s="19">
        <f t="shared" si="29"/>
        <v>34228.5</v>
      </c>
      <c r="D85" s="35">
        <f>_xlfn.XLOOKUP($B:$B,'Compilado 2023'!$B:$B,'Compilado 2023'!D:D)</f>
        <v>34228.5</v>
      </c>
      <c r="E85" s="35">
        <f>_xlfn.XLOOKUP($B:$B,'Compilado 2023'!$B:$B,'Compilado 2023'!E:E)</f>
        <v>0</v>
      </c>
      <c r="F85" s="18">
        <f>_xlfn.XLOOKUP($B:$B,'Compilado 2023'!$B:$B,'Compilado 2023'!F:F)</f>
        <v>133</v>
      </c>
      <c r="G85" s="18">
        <f>_xlfn.XLOOKUP($B:$B,'Compilado 2023'!$B:$B,'Compilado 2023'!G:G)</f>
        <v>175</v>
      </c>
      <c r="H85" s="35">
        <f t="shared" si="30"/>
        <v>257.35714285714283</v>
      </c>
      <c r="I85" s="19">
        <f t="shared" si="31"/>
        <v>768.94333333333338</v>
      </c>
      <c r="J85" s="122">
        <f t="shared" si="32"/>
        <v>44.513683279652163</v>
      </c>
      <c r="K85" s="18">
        <f>_xlfn.XLOOKUP($B:$B,'Compilado 2023'!$B:$B,'Compilado 2023'!K:K)</f>
        <v>3489</v>
      </c>
      <c r="L85" s="54">
        <f t="shared" si="33"/>
        <v>3.8119805101748352E-2</v>
      </c>
      <c r="M85" s="149"/>
      <c r="N85" s="106">
        <f>_xlfn.XLOOKUP($B:$B,'Compilado 2023'!$B:$B,'Compilado 2023'!N:N)</f>
        <v>438.18</v>
      </c>
      <c r="O85" s="106">
        <f>_xlfn.XLOOKUP($B:$B,'Compilado 2023'!$B:$B,'Compilado 2023'!O:O)</f>
        <v>277.43</v>
      </c>
      <c r="P85" s="106">
        <f>_xlfn.XLOOKUP($B:$B,'Compilado 2023'!$B:$B,'Compilado 2023'!P:P)</f>
        <v>0</v>
      </c>
      <c r="Q85" s="106">
        <f>_xlfn.XLOOKUP($B:$B,'Compilado 2023'!$B:$B,'Compilado 2023'!Q:Q)</f>
        <v>53.333333333333336</v>
      </c>
      <c r="R85" s="106">
        <f>_xlfn.XLOOKUP($B:$B,'Compilado 2023'!$B:$B,'Compilado 2023'!R:R)</f>
        <v>0</v>
      </c>
      <c r="S85" s="106">
        <f>_xlfn.XLOOKUP($B:$B,'Compilado 2023'!$B:$B,'Compilado 2023'!T:T)</f>
        <v>0</v>
      </c>
      <c r="T85" s="106">
        <f>_xlfn.XLOOKUP($B:$B,'Compilado 2023'!$B:$B,'Compilado 2023'!U:U)</f>
        <v>0</v>
      </c>
      <c r="U85" s="106">
        <f>_xlfn.XLOOKUP($B:$B,'Compilado 2023'!$B:$B,'Compilado 2023'!V:V)</f>
        <v>0</v>
      </c>
      <c r="V85" s="57"/>
      <c r="W85" s="106">
        <f>_xlfn.XLOOKUP($B:$B,'Compilado 2023'!$B:$B,'Compilado 2023'!X:X)</f>
        <v>0</v>
      </c>
      <c r="X85" s="106">
        <f>_xlfn.XLOOKUP($B:$B,'Compilado 2023'!$B:$B,'Compilado 2023'!Y:Y)</f>
        <v>0</v>
      </c>
      <c r="Y85" s="106">
        <f>_xlfn.XLOOKUP($B:$B,'Compilado 2023'!$B:$B,'Compilado 2023'!Z:Z)</f>
        <v>0</v>
      </c>
      <c r="AA85" s="208">
        <v>45129</v>
      </c>
    </row>
    <row r="86" spans="1:27" hidden="1" x14ac:dyDescent="0.2">
      <c r="A86" s="17" t="str">
        <f t="shared" ca="1" si="34"/>
        <v>Realizado</v>
      </c>
      <c r="B86" s="17">
        <v>44674</v>
      </c>
      <c r="C86" s="19">
        <f t="shared" si="29"/>
        <v>14434.7</v>
      </c>
      <c r="D86" s="35">
        <f>_xlfn.XLOOKUP($B:$B,'Compilado 2023'!$B:$B,'Compilado 2023'!D:D)</f>
        <v>14434.7</v>
      </c>
      <c r="E86" s="35">
        <f>_xlfn.XLOOKUP($B:$B,'Compilado 2023'!$B:$B,'Compilado 2023'!E:E)</f>
        <v>0</v>
      </c>
      <c r="F86" s="18">
        <f>_xlfn.XLOOKUP($B:$B,'Compilado 2023'!$B:$B,'Compilado 2023'!F:F)</f>
        <v>55</v>
      </c>
      <c r="G86" s="18">
        <f>_xlfn.XLOOKUP($B:$B,'Compilado 2023'!$B:$B,'Compilado 2023'!G:G)</f>
        <v>75</v>
      </c>
      <c r="H86" s="35">
        <f t="shared" si="30"/>
        <v>262.4490909090909</v>
      </c>
      <c r="I86" s="19">
        <f t="shared" si="31"/>
        <v>760.68333333333328</v>
      </c>
      <c r="J86" s="122">
        <f t="shared" si="32"/>
        <v>18.975964593238537</v>
      </c>
      <c r="K86" s="18">
        <f>_xlfn.XLOOKUP($B:$B,'Compilado 2023'!$B:$B,'Compilado 2023'!K:K)</f>
        <v>2872</v>
      </c>
      <c r="L86" s="54">
        <f t="shared" si="33"/>
        <v>1.9150417827298049E-2</v>
      </c>
      <c r="M86" s="149"/>
      <c r="N86" s="106">
        <f>_xlfn.XLOOKUP($B:$B,'Compilado 2023'!$B:$B,'Compilado 2023'!N:N)</f>
        <v>424.52</v>
      </c>
      <c r="O86" s="106">
        <f>_xlfn.XLOOKUP($B:$B,'Compilado 2023'!$B:$B,'Compilado 2023'!O:O)</f>
        <v>282.83</v>
      </c>
      <c r="P86" s="106">
        <f>_xlfn.XLOOKUP($B:$B,'Compilado 2023'!$B:$B,'Compilado 2023'!P:P)</f>
        <v>0</v>
      </c>
      <c r="Q86" s="106">
        <f>_xlfn.XLOOKUP($B:$B,'Compilado 2023'!$B:$B,'Compilado 2023'!Q:Q)</f>
        <v>53.333333333333336</v>
      </c>
      <c r="R86" s="106">
        <f>_xlfn.XLOOKUP($B:$B,'Compilado 2023'!$B:$B,'Compilado 2023'!R:R)</f>
        <v>0</v>
      </c>
      <c r="S86" s="106">
        <f>_xlfn.XLOOKUP($B:$B,'Compilado 2023'!$B:$B,'Compilado 2023'!T:T)</f>
        <v>0</v>
      </c>
      <c r="T86" s="106">
        <f>_xlfn.XLOOKUP($B:$B,'Compilado 2023'!$B:$B,'Compilado 2023'!U:U)</f>
        <v>0</v>
      </c>
      <c r="U86" s="106">
        <f>_xlfn.XLOOKUP($B:$B,'Compilado 2023'!$B:$B,'Compilado 2023'!V:V)</f>
        <v>0</v>
      </c>
      <c r="V86" s="57"/>
      <c r="W86" s="106">
        <f>_xlfn.XLOOKUP($B:$B,'Compilado 2023'!$B:$B,'Compilado 2023'!X:X)</f>
        <v>0</v>
      </c>
      <c r="X86" s="106">
        <f>_xlfn.XLOOKUP($B:$B,'Compilado 2023'!$B:$B,'Compilado 2023'!Y:Y)</f>
        <v>0</v>
      </c>
      <c r="Y86" s="106">
        <f>_xlfn.XLOOKUP($B:$B,'Compilado 2023'!$B:$B,'Compilado 2023'!Z:Z)</f>
        <v>0</v>
      </c>
      <c r="AA86" s="208">
        <v>45130</v>
      </c>
    </row>
    <row r="87" spans="1:27" hidden="1" x14ac:dyDescent="0.2">
      <c r="A87" s="17" t="str">
        <f t="shared" ca="1" si="34"/>
        <v>Realizado</v>
      </c>
      <c r="B87" s="17">
        <v>44675</v>
      </c>
      <c r="C87" s="19">
        <f t="shared" si="29"/>
        <v>22858.3</v>
      </c>
      <c r="D87" s="35">
        <f>_xlfn.XLOOKUP($B:$B,'Compilado 2023'!$B:$B,'Compilado 2023'!D:D)</f>
        <v>22858.3</v>
      </c>
      <c r="E87" s="35">
        <f>_xlfn.XLOOKUP($B:$B,'Compilado 2023'!$B:$B,'Compilado 2023'!E:E)</f>
        <v>0</v>
      </c>
      <c r="F87" s="18">
        <f>_xlfn.XLOOKUP($B:$B,'Compilado 2023'!$B:$B,'Compilado 2023'!F:F)</f>
        <v>87</v>
      </c>
      <c r="G87" s="18">
        <f>_xlfn.XLOOKUP($B:$B,'Compilado 2023'!$B:$B,'Compilado 2023'!G:G)</f>
        <v>107</v>
      </c>
      <c r="H87" s="35">
        <f t="shared" si="30"/>
        <v>262.73908045977009</v>
      </c>
      <c r="I87" s="19">
        <f t="shared" si="31"/>
        <v>604.69333333333338</v>
      </c>
      <c r="J87" s="122">
        <f t="shared" si="32"/>
        <v>37.801475127888509</v>
      </c>
      <c r="K87" s="18">
        <f>_xlfn.XLOOKUP($B:$B,'Compilado 2023'!$B:$B,'Compilado 2023'!K:K)</f>
        <v>2756</v>
      </c>
      <c r="L87" s="54">
        <f t="shared" si="33"/>
        <v>3.1567489114658925E-2</v>
      </c>
      <c r="M87" s="149"/>
      <c r="N87" s="106">
        <f>_xlfn.XLOOKUP($B:$B,'Compilado 2023'!$B:$B,'Compilado 2023'!N:N)</f>
        <v>330.33</v>
      </c>
      <c r="O87" s="106">
        <f>_xlfn.XLOOKUP($B:$B,'Compilado 2023'!$B:$B,'Compilado 2023'!O:O)</f>
        <v>221.03</v>
      </c>
      <c r="P87" s="106">
        <f>_xlfn.XLOOKUP($B:$B,'Compilado 2023'!$B:$B,'Compilado 2023'!P:P)</f>
        <v>0</v>
      </c>
      <c r="Q87" s="106">
        <f>_xlfn.XLOOKUP($B:$B,'Compilado 2023'!$B:$B,'Compilado 2023'!Q:Q)</f>
        <v>53.333333333333336</v>
      </c>
      <c r="R87" s="106">
        <f>_xlfn.XLOOKUP($B:$B,'Compilado 2023'!$B:$B,'Compilado 2023'!R:R)</f>
        <v>0</v>
      </c>
      <c r="S87" s="106">
        <f>_xlfn.XLOOKUP($B:$B,'Compilado 2023'!$B:$B,'Compilado 2023'!T:T)</f>
        <v>0</v>
      </c>
      <c r="T87" s="106">
        <f>_xlfn.XLOOKUP($B:$B,'Compilado 2023'!$B:$B,'Compilado 2023'!U:U)</f>
        <v>0</v>
      </c>
      <c r="U87" s="106">
        <f>_xlfn.XLOOKUP($B:$B,'Compilado 2023'!$B:$B,'Compilado 2023'!V:V)</f>
        <v>0</v>
      </c>
      <c r="V87" s="57"/>
      <c r="W87" s="106">
        <f>_xlfn.XLOOKUP($B:$B,'Compilado 2023'!$B:$B,'Compilado 2023'!X:X)</f>
        <v>0</v>
      </c>
      <c r="X87" s="106">
        <f>_xlfn.XLOOKUP($B:$B,'Compilado 2023'!$B:$B,'Compilado 2023'!Y:Y)</f>
        <v>0</v>
      </c>
      <c r="Y87" s="106">
        <f>_xlfn.XLOOKUP($B:$B,'Compilado 2023'!$B:$B,'Compilado 2023'!Z:Z)</f>
        <v>0</v>
      </c>
      <c r="AA87" s="208">
        <v>45131</v>
      </c>
    </row>
    <row r="88" spans="1:27" hidden="1" x14ac:dyDescent="0.2">
      <c r="A88" s="17" t="str">
        <f t="shared" ca="1" si="34"/>
        <v>Realizado</v>
      </c>
      <c r="B88" s="17">
        <v>44676</v>
      </c>
      <c r="C88" s="19">
        <f t="shared" si="29"/>
        <v>60267.72</v>
      </c>
      <c r="D88" s="35">
        <f>_xlfn.XLOOKUP($B:$B,'Compilado 2023'!$B:$B,'Compilado 2023'!D:D)</f>
        <v>60245.74</v>
      </c>
      <c r="E88" s="35">
        <f>_xlfn.XLOOKUP($B:$B,'Compilado 2023'!$B:$B,'Compilado 2023'!E:E)</f>
        <v>21.98</v>
      </c>
      <c r="F88" s="18">
        <f>_xlfn.XLOOKUP($B:$B,'Compilado 2023'!$B:$B,'Compilado 2023'!F:F)</f>
        <v>209</v>
      </c>
      <c r="G88" s="18">
        <f>_xlfn.XLOOKUP($B:$B,'Compilado 2023'!$B:$B,'Compilado 2023'!G:G)</f>
        <v>316</v>
      </c>
      <c r="H88" s="35">
        <f t="shared" si="30"/>
        <v>288.36229665071772</v>
      </c>
      <c r="I88" s="19">
        <f t="shared" si="31"/>
        <v>634.58333333333337</v>
      </c>
      <c r="J88" s="122">
        <f t="shared" si="32"/>
        <v>94.972112934996716</v>
      </c>
      <c r="K88" s="18">
        <f>_xlfn.XLOOKUP($B:$B,'Compilado 2023'!$B:$B,'Compilado 2023'!K:K)</f>
        <v>4527</v>
      </c>
      <c r="L88" s="54">
        <f t="shared" si="33"/>
        <v>4.6167439805610777E-2</v>
      </c>
      <c r="M88" s="149"/>
      <c r="N88" s="106">
        <f>_xlfn.XLOOKUP($B:$B,'Compilado 2023'!$B:$B,'Compilado 2023'!N:N)</f>
        <v>467.18</v>
      </c>
      <c r="O88" s="106">
        <f>_xlfn.XLOOKUP($B:$B,'Compilado 2023'!$B:$B,'Compilado 2023'!O:O)</f>
        <v>114.07</v>
      </c>
      <c r="P88" s="106">
        <f>_xlfn.XLOOKUP($B:$B,'Compilado 2023'!$B:$B,'Compilado 2023'!P:P)</f>
        <v>0</v>
      </c>
      <c r="Q88" s="106">
        <f>_xlfn.XLOOKUP($B:$B,'Compilado 2023'!$B:$B,'Compilado 2023'!Q:Q)</f>
        <v>53.333333333333336</v>
      </c>
      <c r="R88" s="106">
        <f>_xlfn.XLOOKUP($B:$B,'Compilado 2023'!$B:$B,'Compilado 2023'!R:R)</f>
        <v>0</v>
      </c>
      <c r="S88" s="106">
        <f>_xlfn.XLOOKUP($B:$B,'Compilado 2023'!$B:$B,'Compilado 2023'!T:T)</f>
        <v>0</v>
      </c>
      <c r="T88" s="106">
        <f>_xlfn.XLOOKUP($B:$B,'Compilado 2023'!$B:$B,'Compilado 2023'!U:U)</f>
        <v>0</v>
      </c>
      <c r="U88" s="106">
        <f>_xlfn.XLOOKUP($B:$B,'Compilado 2023'!$B:$B,'Compilado 2023'!V:V)</f>
        <v>0</v>
      </c>
      <c r="V88" s="57"/>
      <c r="W88" s="106">
        <f>_xlfn.XLOOKUP($B:$B,'Compilado 2023'!$B:$B,'Compilado 2023'!X:X)</f>
        <v>0</v>
      </c>
      <c r="X88" s="106">
        <f>_xlfn.XLOOKUP($B:$B,'Compilado 2023'!$B:$B,'Compilado 2023'!Y:Y)</f>
        <v>0</v>
      </c>
      <c r="Y88" s="106">
        <f>_xlfn.XLOOKUP($B:$B,'Compilado 2023'!$B:$B,'Compilado 2023'!Z:Z)</f>
        <v>0</v>
      </c>
      <c r="AA88" s="208">
        <v>45132</v>
      </c>
    </row>
    <row r="89" spans="1:27" hidden="1" x14ac:dyDescent="0.2">
      <c r="A89" s="17" t="str">
        <f t="shared" ca="1" si="34"/>
        <v>Realizado</v>
      </c>
      <c r="B89" s="17">
        <v>44677</v>
      </c>
      <c r="C89" s="19">
        <f t="shared" si="29"/>
        <v>43606.53</v>
      </c>
      <c r="D89" s="35">
        <f>_xlfn.XLOOKUP($B:$B,'Compilado 2023'!$B:$B,'Compilado 2023'!D:D)</f>
        <v>43606.53</v>
      </c>
      <c r="E89" s="35">
        <f>_xlfn.XLOOKUP($B:$B,'Compilado 2023'!$B:$B,'Compilado 2023'!E:E)</f>
        <v>0</v>
      </c>
      <c r="F89" s="18">
        <f>_xlfn.XLOOKUP($B:$B,'Compilado 2023'!$B:$B,'Compilado 2023'!F:F)</f>
        <v>132</v>
      </c>
      <c r="G89" s="18">
        <f>_xlfn.XLOOKUP($B:$B,'Compilado 2023'!$B:$B,'Compilado 2023'!G:G)</f>
        <v>173</v>
      </c>
      <c r="H89" s="35">
        <f t="shared" si="30"/>
        <v>330.35249999999996</v>
      </c>
      <c r="I89" s="19">
        <f t="shared" si="31"/>
        <v>592.08333333333337</v>
      </c>
      <c r="J89" s="122">
        <f t="shared" si="32"/>
        <v>73.649311752287119</v>
      </c>
      <c r="K89" s="18">
        <f>_xlfn.XLOOKUP($B:$B,'Compilado 2023'!$B:$B,'Compilado 2023'!K:K)</f>
        <v>4594</v>
      </c>
      <c r="L89" s="54">
        <f t="shared" si="33"/>
        <v>2.8733130169786677E-2</v>
      </c>
      <c r="M89" s="149"/>
      <c r="N89" s="106">
        <f>_xlfn.XLOOKUP($B:$B,'Compilado 2023'!$B:$B,'Compilado 2023'!N:N)</f>
        <v>430.53</v>
      </c>
      <c r="O89" s="106">
        <f>_xlfn.XLOOKUP($B:$B,'Compilado 2023'!$B:$B,'Compilado 2023'!O:O)</f>
        <v>108.22</v>
      </c>
      <c r="P89" s="106">
        <f>_xlfn.XLOOKUP($B:$B,'Compilado 2023'!$B:$B,'Compilado 2023'!P:P)</f>
        <v>0</v>
      </c>
      <c r="Q89" s="106">
        <f>_xlfn.XLOOKUP($B:$B,'Compilado 2023'!$B:$B,'Compilado 2023'!Q:Q)</f>
        <v>53.333333333333336</v>
      </c>
      <c r="R89" s="106">
        <f>_xlfn.XLOOKUP($B:$B,'Compilado 2023'!$B:$B,'Compilado 2023'!R:R)</f>
        <v>0</v>
      </c>
      <c r="S89" s="106">
        <f>_xlfn.XLOOKUP($B:$B,'Compilado 2023'!$B:$B,'Compilado 2023'!T:T)</f>
        <v>0</v>
      </c>
      <c r="T89" s="106">
        <f>_xlfn.XLOOKUP($B:$B,'Compilado 2023'!$B:$B,'Compilado 2023'!U:U)</f>
        <v>0</v>
      </c>
      <c r="U89" s="106">
        <f>_xlfn.XLOOKUP($B:$B,'Compilado 2023'!$B:$B,'Compilado 2023'!V:V)</f>
        <v>0</v>
      </c>
      <c r="V89" s="57"/>
      <c r="W89" s="106">
        <f>_xlfn.XLOOKUP($B:$B,'Compilado 2023'!$B:$B,'Compilado 2023'!X:X)</f>
        <v>0</v>
      </c>
      <c r="X89" s="106">
        <f>_xlfn.XLOOKUP($B:$B,'Compilado 2023'!$B:$B,'Compilado 2023'!Y:Y)</f>
        <v>0</v>
      </c>
      <c r="Y89" s="106">
        <f>_xlfn.XLOOKUP($B:$B,'Compilado 2023'!$B:$B,'Compilado 2023'!Z:Z)</f>
        <v>0</v>
      </c>
      <c r="AA89" s="208">
        <v>45133</v>
      </c>
    </row>
    <row r="90" spans="1:27" hidden="1" x14ac:dyDescent="0.2">
      <c r="A90" s="17" t="str">
        <f t="shared" ca="1" si="34"/>
        <v>Realizado</v>
      </c>
      <c r="B90" s="17">
        <v>44678</v>
      </c>
      <c r="C90" s="19">
        <f t="shared" si="29"/>
        <v>62249.99</v>
      </c>
      <c r="D90" s="35">
        <f>_xlfn.XLOOKUP($B:$B,'Compilado 2023'!$B:$B,'Compilado 2023'!D:D)</f>
        <v>62249.99</v>
      </c>
      <c r="E90" s="35">
        <f>_xlfn.XLOOKUP($B:$B,'Compilado 2023'!$B:$B,'Compilado 2023'!E:E)</f>
        <v>0</v>
      </c>
      <c r="F90" s="18">
        <f>_xlfn.XLOOKUP($B:$B,'Compilado 2023'!$B:$B,'Compilado 2023'!F:F)</f>
        <v>175</v>
      </c>
      <c r="G90" s="18">
        <f>_xlfn.XLOOKUP($B:$B,'Compilado 2023'!$B:$B,'Compilado 2023'!G:G)</f>
        <v>265</v>
      </c>
      <c r="H90" s="35">
        <f t="shared" si="30"/>
        <v>355.71422857142858</v>
      </c>
      <c r="I90" s="19">
        <f t="shared" si="31"/>
        <v>626.85333333333335</v>
      </c>
      <c r="J90" s="122">
        <f t="shared" si="32"/>
        <v>99.305510060832944</v>
      </c>
      <c r="K90" s="18">
        <f>_xlfn.XLOOKUP($B:$B,'Compilado 2023'!$B:$B,'Compilado 2023'!K:K)</f>
        <v>5394</v>
      </c>
      <c r="L90" s="54">
        <f t="shared" si="33"/>
        <v>3.2443455691509082E-2</v>
      </c>
      <c r="M90" s="149"/>
      <c r="N90" s="106">
        <f>_xlfn.XLOOKUP($B:$B,'Compilado 2023'!$B:$B,'Compilado 2023'!N:N)</f>
        <v>451.69</v>
      </c>
      <c r="O90" s="106">
        <f>_xlfn.XLOOKUP($B:$B,'Compilado 2023'!$B:$B,'Compilado 2023'!O:O)</f>
        <v>121.83</v>
      </c>
      <c r="P90" s="106">
        <f>_xlfn.XLOOKUP($B:$B,'Compilado 2023'!$B:$B,'Compilado 2023'!P:P)</f>
        <v>0</v>
      </c>
      <c r="Q90" s="106">
        <f>_xlfn.XLOOKUP($B:$B,'Compilado 2023'!$B:$B,'Compilado 2023'!Q:Q)</f>
        <v>53.333333333333336</v>
      </c>
      <c r="R90" s="106">
        <f>_xlfn.XLOOKUP($B:$B,'Compilado 2023'!$B:$B,'Compilado 2023'!R:R)</f>
        <v>0</v>
      </c>
      <c r="S90" s="106">
        <f>_xlfn.XLOOKUP($B:$B,'Compilado 2023'!$B:$B,'Compilado 2023'!T:T)</f>
        <v>0</v>
      </c>
      <c r="T90" s="106">
        <f>_xlfn.XLOOKUP($B:$B,'Compilado 2023'!$B:$B,'Compilado 2023'!U:U)</f>
        <v>0</v>
      </c>
      <c r="U90" s="106">
        <f>_xlfn.XLOOKUP($B:$B,'Compilado 2023'!$B:$B,'Compilado 2023'!V:V)</f>
        <v>0</v>
      </c>
      <c r="V90" s="57"/>
      <c r="W90" s="106">
        <f>_xlfn.XLOOKUP($B:$B,'Compilado 2023'!$B:$B,'Compilado 2023'!X:X)</f>
        <v>0</v>
      </c>
      <c r="X90" s="106">
        <f>_xlfn.XLOOKUP($B:$B,'Compilado 2023'!$B:$B,'Compilado 2023'!Y:Y)</f>
        <v>0</v>
      </c>
      <c r="Y90" s="106">
        <f>_xlfn.XLOOKUP($B:$B,'Compilado 2023'!$B:$B,'Compilado 2023'!Z:Z)</f>
        <v>0</v>
      </c>
      <c r="AA90" s="208">
        <v>45134</v>
      </c>
    </row>
    <row r="91" spans="1:27" hidden="1" x14ac:dyDescent="0.2">
      <c r="A91" s="17" t="str">
        <f t="shared" ca="1" si="34"/>
        <v>Realizado</v>
      </c>
      <c r="B91" s="17">
        <v>44679</v>
      </c>
      <c r="C91" s="19">
        <f t="shared" si="29"/>
        <v>68461.149999999994</v>
      </c>
      <c r="D91" s="35">
        <f>_xlfn.XLOOKUP($B:$B,'Compilado 2023'!$B:$B,'Compilado 2023'!D:D)</f>
        <v>68393.11</v>
      </c>
      <c r="E91" s="35">
        <f>_xlfn.XLOOKUP($B:$B,'Compilado 2023'!$B:$B,'Compilado 2023'!E:E)</f>
        <v>68.040000000000006</v>
      </c>
      <c r="F91" s="18">
        <f>_xlfn.XLOOKUP($B:$B,'Compilado 2023'!$B:$B,'Compilado 2023'!F:F)</f>
        <v>187</v>
      </c>
      <c r="G91" s="18">
        <f>_xlfn.XLOOKUP($B:$B,'Compilado 2023'!$B:$B,'Compilado 2023'!G:G)</f>
        <v>314</v>
      </c>
      <c r="H91" s="35">
        <f t="shared" si="30"/>
        <v>366.10240641711226</v>
      </c>
      <c r="I91" s="19">
        <f t="shared" si="31"/>
        <v>679.44333333333338</v>
      </c>
      <c r="J91" s="122">
        <f t="shared" si="32"/>
        <v>100.76064719647945</v>
      </c>
      <c r="K91" s="18">
        <f>_xlfn.XLOOKUP($B:$B,'Compilado 2023'!$B:$B,'Compilado 2023'!K:K)</f>
        <v>5106</v>
      </c>
      <c r="L91" s="54">
        <f t="shared" si="33"/>
        <v>3.6623580101840969E-2</v>
      </c>
      <c r="M91" s="149"/>
      <c r="N91" s="106">
        <f>_xlfn.XLOOKUP($B:$B,'Compilado 2023'!$B:$B,'Compilado 2023'!N:N)</f>
        <v>474.62</v>
      </c>
      <c r="O91" s="106">
        <f>_xlfn.XLOOKUP($B:$B,'Compilado 2023'!$B:$B,'Compilado 2023'!O:O)</f>
        <v>151.49</v>
      </c>
      <c r="P91" s="106">
        <f>_xlfn.XLOOKUP($B:$B,'Compilado 2023'!$B:$B,'Compilado 2023'!P:P)</f>
        <v>0</v>
      </c>
      <c r="Q91" s="106">
        <f>_xlfn.XLOOKUP($B:$B,'Compilado 2023'!$B:$B,'Compilado 2023'!Q:Q)</f>
        <v>53.333333333333336</v>
      </c>
      <c r="R91" s="106">
        <f>_xlfn.XLOOKUP($B:$B,'Compilado 2023'!$B:$B,'Compilado 2023'!R:R)</f>
        <v>0</v>
      </c>
      <c r="S91" s="106">
        <f>_xlfn.XLOOKUP($B:$B,'Compilado 2023'!$B:$B,'Compilado 2023'!T:T)</f>
        <v>0</v>
      </c>
      <c r="T91" s="106">
        <f>_xlfn.XLOOKUP($B:$B,'Compilado 2023'!$B:$B,'Compilado 2023'!U:U)</f>
        <v>0</v>
      </c>
      <c r="U91" s="106">
        <f>_xlfn.XLOOKUP($B:$B,'Compilado 2023'!$B:$B,'Compilado 2023'!V:V)</f>
        <v>0</v>
      </c>
      <c r="V91" s="57"/>
      <c r="W91" s="106">
        <f>_xlfn.XLOOKUP($B:$B,'Compilado 2023'!$B:$B,'Compilado 2023'!X:X)</f>
        <v>0</v>
      </c>
      <c r="X91" s="106">
        <f>_xlfn.XLOOKUP($B:$B,'Compilado 2023'!$B:$B,'Compilado 2023'!Y:Y)</f>
        <v>0</v>
      </c>
      <c r="Y91" s="106">
        <f>_xlfn.XLOOKUP($B:$B,'Compilado 2023'!$B:$B,'Compilado 2023'!Z:Z)</f>
        <v>0</v>
      </c>
      <c r="AA91" s="208">
        <v>45135</v>
      </c>
    </row>
    <row r="92" spans="1:27" hidden="1" x14ac:dyDescent="0.2">
      <c r="A92" s="17" t="str">
        <f t="shared" ca="1" si="34"/>
        <v>Realizado</v>
      </c>
      <c r="B92" s="17">
        <v>44680</v>
      </c>
      <c r="C92" s="19">
        <f t="shared" si="29"/>
        <v>65289.740000000005</v>
      </c>
      <c r="D92" s="35">
        <f>_xlfn.XLOOKUP($B:$B,'Compilado 2023'!$B:$B,'Compilado 2023'!D:D)</f>
        <v>65264.76</v>
      </c>
      <c r="E92" s="35">
        <f>_xlfn.XLOOKUP($B:$B,'Compilado 2023'!$B:$B,'Compilado 2023'!E:E)</f>
        <v>24.98</v>
      </c>
      <c r="F92" s="18">
        <f>_xlfn.XLOOKUP($B:$B,'Compilado 2023'!$B:$B,'Compilado 2023'!F:F)</f>
        <v>203</v>
      </c>
      <c r="G92" s="18">
        <f>_xlfn.XLOOKUP($B:$B,'Compilado 2023'!$B:$B,'Compilado 2023'!G:G)</f>
        <v>294</v>
      </c>
      <c r="H92" s="35">
        <f t="shared" si="30"/>
        <v>321.62433497536949</v>
      </c>
      <c r="I92" s="19">
        <f t="shared" si="31"/>
        <v>673.85333333333335</v>
      </c>
      <c r="J92" s="122">
        <f t="shared" si="32"/>
        <v>96.890134351688801</v>
      </c>
      <c r="K92" s="18">
        <f>_xlfn.XLOOKUP($B:$B,'Compilado 2023'!$B:$B,'Compilado 2023'!K:K)</f>
        <v>4967</v>
      </c>
      <c r="L92" s="54">
        <f t="shared" si="33"/>
        <v>4.0869740285886851E-2</v>
      </c>
      <c r="M92" s="149"/>
      <c r="N92" s="106">
        <f>_xlfn.XLOOKUP($B:$B,'Compilado 2023'!$B:$B,'Compilado 2023'!N:N)</f>
        <v>464.01</v>
      </c>
      <c r="O92" s="106">
        <f>_xlfn.XLOOKUP($B:$B,'Compilado 2023'!$B:$B,'Compilado 2023'!O:O)</f>
        <v>156.51</v>
      </c>
      <c r="P92" s="106">
        <f>_xlfn.XLOOKUP($B:$B,'Compilado 2023'!$B:$B,'Compilado 2023'!P:P)</f>
        <v>0</v>
      </c>
      <c r="Q92" s="106">
        <f>_xlfn.XLOOKUP($B:$B,'Compilado 2023'!$B:$B,'Compilado 2023'!Q:Q)</f>
        <v>53.333333333333336</v>
      </c>
      <c r="R92" s="106">
        <f>_xlfn.XLOOKUP($B:$B,'Compilado 2023'!$B:$B,'Compilado 2023'!R:R)</f>
        <v>0</v>
      </c>
      <c r="S92" s="106">
        <f>_xlfn.XLOOKUP($B:$B,'Compilado 2023'!$B:$B,'Compilado 2023'!T:T)</f>
        <v>0</v>
      </c>
      <c r="T92" s="106">
        <f>_xlfn.XLOOKUP($B:$B,'Compilado 2023'!$B:$B,'Compilado 2023'!U:U)</f>
        <v>0</v>
      </c>
      <c r="U92" s="106">
        <f>_xlfn.XLOOKUP($B:$B,'Compilado 2023'!$B:$B,'Compilado 2023'!V:V)</f>
        <v>0</v>
      </c>
      <c r="V92" s="57"/>
      <c r="W92" s="106">
        <f>_xlfn.XLOOKUP($B:$B,'Compilado 2023'!$B:$B,'Compilado 2023'!X:X)</f>
        <v>0</v>
      </c>
      <c r="X92" s="106">
        <f>_xlfn.XLOOKUP($B:$B,'Compilado 2023'!$B:$B,'Compilado 2023'!Y:Y)</f>
        <v>0</v>
      </c>
      <c r="Y92" s="106">
        <f>_xlfn.XLOOKUP($B:$B,'Compilado 2023'!$B:$B,'Compilado 2023'!Z:Z)</f>
        <v>0</v>
      </c>
      <c r="AA92" s="208">
        <v>45136</v>
      </c>
    </row>
    <row r="93" spans="1:27" hidden="1" x14ac:dyDescent="0.2">
      <c r="A93" s="17" t="str">
        <f t="shared" ca="1" si="34"/>
        <v>Realizado</v>
      </c>
      <c r="B93" s="17">
        <v>44681</v>
      </c>
      <c r="C93" s="19">
        <f t="shared" si="29"/>
        <v>39173.85</v>
      </c>
      <c r="D93" s="35">
        <f>_xlfn.XLOOKUP($B:$B,'Compilado 2023'!$B:$B,'Compilado 2023'!D:D)</f>
        <v>39173.85</v>
      </c>
      <c r="E93" s="35">
        <f>_xlfn.XLOOKUP($B:$B,'Compilado 2023'!$B:$B,'Compilado 2023'!E:E)</f>
        <v>0</v>
      </c>
      <c r="F93" s="18">
        <f>_xlfn.XLOOKUP($B:$B,'Compilado 2023'!$B:$B,'Compilado 2023'!F:F)</f>
        <v>141</v>
      </c>
      <c r="G93" s="18">
        <f>_xlfn.XLOOKUP($B:$B,'Compilado 2023'!$B:$B,'Compilado 2023'!G:G)</f>
        <v>159</v>
      </c>
      <c r="H93" s="35">
        <f t="shared" si="30"/>
        <v>277.8287234042553</v>
      </c>
      <c r="I93" s="19">
        <f t="shared" si="31"/>
        <v>522.45333333333338</v>
      </c>
      <c r="J93" s="122">
        <f t="shared" si="32"/>
        <v>74.980572427521423</v>
      </c>
      <c r="K93" s="18">
        <f>_xlfn.XLOOKUP($B:$B,'Compilado 2023'!$B:$B,'Compilado 2023'!K:K)</f>
        <v>4101</v>
      </c>
      <c r="L93" s="54">
        <f t="shared" si="33"/>
        <v>3.4381858083394293E-2</v>
      </c>
      <c r="M93" s="149"/>
      <c r="N93" s="106">
        <f>_xlfn.XLOOKUP($B:$B,'Compilado 2023'!$B:$B,'Compilado 2023'!N:N)</f>
        <v>350.24</v>
      </c>
      <c r="O93" s="106">
        <f>_xlfn.XLOOKUP($B:$B,'Compilado 2023'!$B:$B,'Compilado 2023'!O:O)</f>
        <v>118.88</v>
      </c>
      <c r="P93" s="106">
        <f>_xlfn.XLOOKUP($B:$B,'Compilado 2023'!$B:$B,'Compilado 2023'!P:P)</f>
        <v>0</v>
      </c>
      <c r="Q93" s="106">
        <f>_xlfn.XLOOKUP($B:$B,'Compilado 2023'!$B:$B,'Compilado 2023'!Q:Q)</f>
        <v>53.333333333333336</v>
      </c>
      <c r="R93" s="106">
        <f>_xlfn.XLOOKUP($B:$B,'Compilado 2023'!$B:$B,'Compilado 2023'!R:R)</f>
        <v>0</v>
      </c>
      <c r="S93" s="106">
        <f>_xlfn.XLOOKUP($B:$B,'Compilado 2023'!$B:$B,'Compilado 2023'!T:T)</f>
        <v>0</v>
      </c>
      <c r="T93" s="106">
        <f>_xlfn.XLOOKUP($B:$B,'Compilado 2023'!$B:$B,'Compilado 2023'!U:U)</f>
        <v>0</v>
      </c>
      <c r="U93" s="106">
        <f>_xlfn.XLOOKUP($B:$B,'Compilado 2023'!$B:$B,'Compilado 2023'!V:V)</f>
        <v>0</v>
      </c>
      <c r="V93" s="57"/>
      <c r="W93" s="106">
        <f>_xlfn.XLOOKUP($B:$B,'Compilado 2023'!$B:$B,'Compilado 2023'!X:X)</f>
        <v>0</v>
      </c>
      <c r="X93" s="106">
        <f>_xlfn.XLOOKUP($B:$B,'Compilado 2023'!$B:$B,'Compilado 2023'!Y:Y)</f>
        <v>0</v>
      </c>
      <c r="Y93" s="106">
        <f>_xlfn.XLOOKUP($B:$B,'Compilado 2023'!$B:$B,'Compilado 2023'!Z:Z)</f>
        <v>0</v>
      </c>
      <c r="AA93" s="208">
        <v>45137</v>
      </c>
    </row>
    <row r="94" spans="1:27" hidden="1" x14ac:dyDescent="0.2">
      <c r="A94" s="17" t="str">
        <f t="shared" ca="1" si="34"/>
        <v>Realizado</v>
      </c>
      <c r="C94" s="19">
        <f t="shared" si="29"/>
        <v>0</v>
      </c>
      <c r="D94" s="35">
        <f>_xlfn.XLOOKUP($B:$B,'Compilado 2023'!$B:$B,'Compilado 2023'!D:D)</f>
        <v>0</v>
      </c>
      <c r="E94" s="35">
        <f>_xlfn.XLOOKUP($B:$B,'Compilado 2023'!$B:$B,'Compilado 2023'!E:E)</f>
        <v>0</v>
      </c>
      <c r="F94" s="18">
        <f>_xlfn.XLOOKUP($B:$B,'Compilado 2023'!$B:$B,'Compilado 2023'!F:F)</f>
        <v>0</v>
      </c>
      <c r="G94" s="18">
        <f>_xlfn.XLOOKUP($B:$B,'Compilado 2023'!$B:$B,'Compilado 2023'!G:G)</f>
        <v>0</v>
      </c>
      <c r="H94" s="35">
        <f t="shared" si="30"/>
        <v>0</v>
      </c>
      <c r="I94" s="19">
        <f t="shared" si="31"/>
        <v>0</v>
      </c>
      <c r="J94" s="122">
        <f t="shared" si="32"/>
        <v>0</v>
      </c>
      <c r="K94" s="18">
        <f>_xlfn.XLOOKUP($B:$B,'Compilado 2023'!$B:$B,'Compilado 2023'!K:K)</f>
        <v>0</v>
      </c>
      <c r="L94" s="54">
        <f t="shared" si="33"/>
        <v>0</v>
      </c>
      <c r="M94" s="149"/>
      <c r="N94" s="106">
        <f>_xlfn.XLOOKUP($B:$B,'Compilado 2023'!$B:$B,'Compilado 2023'!N:N)</f>
        <v>0</v>
      </c>
      <c r="O94" s="106">
        <f>_xlfn.XLOOKUP($B:$B,'Compilado 2023'!$B:$B,'Compilado 2023'!O:O)</f>
        <v>0</v>
      </c>
      <c r="P94" s="106">
        <f>_xlfn.XLOOKUP($B:$B,'Compilado 2023'!$B:$B,'Compilado 2023'!P:P)</f>
        <v>0</v>
      </c>
      <c r="Q94" s="106">
        <f>_xlfn.XLOOKUP($B:$B,'Compilado 2023'!$B:$B,'Compilado 2023'!Q:Q)</f>
        <v>0</v>
      </c>
      <c r="R94" s="106">
        <f>_xlfn.XLOOKUP($B:$B,'Compilado 2023'!$B:$B,'Compilado 2023'!R:R)</f>
        <v>0</v>
      </c>
      <c r="S94" s="106">
        <f>_xlfn.XLOOKUP($B:$B,'Compilado 2023'!$B:$B,'Compilado 2023'!T:T)</f>
        <v>0</v>
      </c>
      <c r="T94" s="106">
        <f>_xlfn.XLOOKUP($B:$B,'Compilado 2023'!$B:$B,'Compilado 2023'!U:U)</f>
        <v>0</v>
      </c>
      <c r="U94" s="106">
        <f>_xlfn.XLOOKUP($B:$B,'Compilado 2023'!$B:$B,'Compilado 2023'!V:V)</f>
        <v>0</v>
      </c>
      <c r="V94" s="57"/>
      <c r="W94" s="106">
        <f>_xlfn.XLOOKUP($B:$B,'Compilado 2023'!$B:$B,'Compilado 2023'!X:X)</f>
        <v>0</v>
      </c>
      <c r="X94" s="106">
        <f>_xlfn.XLOOKUP($B:$B,'Compilado 2023'!$B:$B,'Compilado 2023'!Y:Y)</f>
        <v>0</v>
      </c>
      <c r="Y94" s="106">
        <f>_xlfn.XLOOKUP($B:$B,'Compilado 2023'!$B:$B,'Compilado 2023'!Z:Z)</f>
        <v>0</v>
      </c>
      <c r="AA94" s="208">
        <v>45138</v>
      </c>
    </row>
  </sheetData>
  <mergeCells count="3">
    <mergeCell ref="B41:D41"/>
    <mergeCell ref="B49:D49"/>
    <mergeCell ref="B57:D57"/>
  </mergeCells>
  <conditionalFormatting sqref="A64:A94">
    <cfRule type="cellIs" dxfId="237" priority="25" operator="equal">
      <formula>"Realizado"</formula>
    </cfRule>
    <cfRule type="cellIs" dxfId="236" priority="26" operator="equal">
      <formula>TODAY()</formula>
    </cfRule>
    <cfRule type="cellIs" dxfId="235" priority="23" operator="equal">
      <formula>"Realizado"</formula>
    </cfRule>
    <cfRule type="cellIs" dxfId="234" priority="24" operator="equal">
      <formula>TODAY()</formula>
    </cfRule>
  </conditionalFormatting>
  <conditionalFormatting sqref="B64:B93">
    <cfRule type="cellIs" dxfId="233" priority="43" operator="equal">
      <formula>TODAY()</formula>
    </cfRule>
  </conditionalFormatting>
  <conditionalFormatting sqref="B4:H34">
    <cfRule type="cellIs" dxfId="232" priority="51" operator="equal">
      <formula>TODAY()</formula>
    </cfRule>
  </conditionalFormatting>
  <conditionalFormatting sqref="C65:D93">
    <cfRule type="cellIs" dxfId="231" priority="21" operator="equal">
      <formula>$A$1</formula>
    </cfRule>
    <cfRule type="cellIs" dxfId="230" priority="22" operator="equal">
      <formula>TODAY()</formula>
    </cfRule>
  </conditionalFormatting>
  <conditionalFormatting sqref="C64:H94">
    <cfRule type="cellIs" dxfId="229" priority="1" operator="equal">
      <formula>TODAY()</formula>
    </cfRule>
  </conditionalFormatting>
  <conditionalFormatting sqref="C94:H94">
    <cfRule type="cellIs" dxfId="228" priority="18" operator="equal">
      <formula>$A$1</formula>
    </cfRule>
  </conditionalFormatting>
  <conditionalFormatting sqref="C46:L46">
    <cfRule type="cellIs" dxfId="227" priority="49" operator="lessThan">
      <formula>0</formula>
    </cfRule>
  </conditionalFormatting>
  <conditionalFormatting sqref="C47:L47">
    <cfRule type="cellIs" dxfId="226" priority="34" operator="lessThan">
      <formula>0</formula>
    </cfRule>
  </conditionalFormatting>
  <conditionalFormatting sqref="C53:L53">
    <cfRule type="cellIs" dxfId="225" priority="47" operator="lessThan">
      <formula>0</formula>
    </cfRule>
  </conditionalFormatting>
  <conditionalFormatting sqref="C54:L54">
    <cfRule type="cellIs" dxfId="224" priority="35" operator="lessThan">
      <formula>0</formula>
    </cfRule>
  </conditionalFormatting>
  <conditionalFormatting sqref="C61:L61">
    <cfRule type="cellIs" dxfId="223" priority="41" operator="lessThan">
      <formula>0</formula>
    </cfRule>
  </conditionalFormatting>
  <conditionalFormatting sqref="C62:L62">
    <cfRule type="cellIs" dxfId="222" priority="36" operator="lessThan">
      <formula>0</formula>
    </cfRule>
  </conditionalFormatting>
  <conditionalFormatting sqref="N4:Q34">
    <cfRule type="cellIs" dxfId="221" priority="76" operator="equal">
      <formula>TODAY()</formula>
    </cfRule>
  </conditionalFormatting>
  <conditionalFormatting sqref="N53:U53">
    <cfRule type="cellIs" dxfId="220" priority="29" operator="lessThan">
      <formula>0</formula>
    </cfRule>
  </conditionalFormatting>
  <conditionalFormatting sqref="N54:U54">
    <cfRule type="cellIs" dxfId="219" priority="28" operator="lessThan">
      <formula>0</formula>
    </cfRule>
  </conditionalFormatting>
  <conditionalFormatting sqref="N61:U61">
    <cfRule type="cellIs" dxfId="218" priority="31" operator="lessThan">
      <formula>0</formula>
    </cfRule>
  </conditionalFormatting>
  <conditionalFormatting sqref="N62:U62">
    <cfRule type="cellIs" dxfId="217" priority="30" operator="lessThan">
      <formula>0</formula>
    </cfRule>
  </conditionalFormatting>
  <conditionalFormatting sqref="N64:U94">
    <cfRule type="cellIs" dxfId="216" priority="5" operator="equal">
      <formula>TODAY()</formula>
    </cfRule>
  </conditionalFormatting>
  <conditionalFormatting sqref="R4 R5:S34">
    <cfRule type="cellIs" dxfId="215" priority="75" operator="equal">
      <formula>TODAY()</formula>
    </cfRule>
  </conditionalFormatting>
  <conditionalFormatting sqref="S4:U34">
    <cfRule type="cellIs" dxfId="214" priority="66" operator="equal">
      <formula>TODAY()</formula>
    </cfRule>
  </conditionalFormatting>
  <conditionalFormatting sqref="W4:Y34">
    <cfRule type="cellIs" dxfId="213" priority="64" operator="equal">
      <formula>TODAY()</formula>
    </cfRule>
  </conditionalFormatting>
  <conditionalFormatting sqref="W64:Y94">
    <cfRule type="cellIs" dxfId="212" priority="3" operator="equal">
      <formula>TODAY()</formula>
    </cfRule>
  </conditionalFormatting>
  <conditionalFormatting sqref="AA4:AA34">
    <cfRule type="cellIs" dxfId="211" priority="69" operator="equal">
      <formula>TODAY()</formula>
    </cfRule>
  </conditionalFormatting>
  <conditionalFormatting sqref="AA64:AA94">
    <cfRule type="cellIs" dxfId="210" priority="19" operator="equal">
      <formula>TODAY()</formula>
    </cfRule>
  </conditionalFormatting>
  <printOptions horizontalCentered="1" gridLines="1"/>
  <pageMargins left="0.7" right="0.7" top="0.75" bottom="0.75" header="0" footer="0"/>
  <pageSetup paperSize="9" fitToWidth="0" pageOrder="overThenDown" orientation="landscape" cellComments="atEnd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93D66-082E-47D5-A062-A7FBDD2CD3AA}">
  <sheetPr codeName="Planilha9">
    <outlinePr summaryBelow="0" summaryRight="0"/>
    <pageSetUpPr fitToPage="1"/>
  </sheetPr>
  <dimension ref="A1:AG94"/>
  <sheetViews>
    <sheetView showGridLines="0" topLeftCell="K1" workbookViewId="0">
      <pane ySplit="3" topLeftCell="A48" activePane="bottomLeft" state="frozen"/>
      <selection activeCell="L60" sqref="L60"/>
      <selection pane="bottomLeft" activeCell="L60" sqref="L60"/>
    </sheetView>
  </sheetViews>
  <sheetFormatPr defaultColWidth="0" defaultRowHeight="12.75" x14ac:dyDescent="0.2"/>
  <cols>
    <col min="1" max="1" width="14" customWidth="1"/>
    <col min="2" max="2" width="11.7109375" customWidth="1"/>
    <col min="3" max="3" width="18.7109375" customWidth="1"/>
    <col min="4" max="4" width="16.140625" bestFit="1" customWidth="1"/>
    <col min="5" max="5" width="11.7109375" customWidth="1"/>
    <col min="6" max="6" width="8.5703125" bestFit="1" customWidth="1"/>
    <col min="7" max="7" width="9" bestFit="1" customWidth="1"/>
    <col min="8" max="8" width="15.140625" customWidth="1"/>
    <col min="9" max="9" width="15.28515625" customWidth="1"/>
    <col min="10" max="10" width="12.42578125" bestFit="1" customWidth="1"/>
    <col min="11" max="11" width="12" customWidth="1"/>
    <col min="12" max="12" width="10.42578125" bestFit="1" customWidth="1"/>
    <col min="13" max="13" width="0.42578125" customWidth="1"/>
    <col min="14" max="15" width="12.7109375" bestFit="1" customWidth="1"/>
    <col min="16" max="16" width="10.42578125" bestFit="1" customWidth="1"/>
    <col min="17" max="17" width="11.7109375" bestFit="1" customWidth="1"/>
    <col min="18" max="18" width="10.42578125" bestFit="1" customWidth="1"/>
    <col min="19" max="19" width="10.140625" customWidth="1"/>
    <col min="20" max="20" width="7.85546875" bestFit="1" customWidth="1"/>
    <col min="21" max="21" width="10.42578125" bestFit="1" customWidth="1"/>
    <col min="22" max="22" width="1.140625" customWidth="1"/>
    <col min="23" max="25" width="10.42578125" bestFit="1" customWidth="1"/>
    <col min="26" max="26" width="0.7109375" customWidth="1"/>
    <col min="27" max="27" width="36" customWidth="1"/>
    <col min="28" max="33" width="0" hidden="1" customWidth="1"/>
    <col min="34" max="16384" width="12.5703125" hidden="1"/>
  </cols>
  <sheetData>
    <row r="1" spans="1:27" s="8" customFormat="1" ht="59.25" x14ac:dyDescent="0.75">
      <c r="A1" s="6"/>
      <c r="B1" s="6"/>
      <c r="C1" s="7" t="s">
        <v>69</v>
      </c>
      <c r="D1" s="6"/>
      <c r="E1" s="6"/>
      <c r="F1" s="6"/>
      <c r="G1" s="6"/>
      <c r="H1" s="6"/>
      <c r="I1" s="6"/>
      <c r="J1" s="6"/>
      <c r="K1" s="6"/>
      <c r="L1" s="6"/>
      <c r="M1" s="75" t="s">
        <v>184</v>
      </c>
      <c r="N1" s="49">
        <f ca="1">TODAY()</f>
        <v>45834</v>
      </c>
      <c r="O1" s="50">
        <f>MONTH(B4)</f>
        <v>5</v>
      </c>
      <c r="P1" s="50">
        <f>YEAR(B4)</f>
        <v>2023</v>
      </c>
      <c r="Q1" s="49"/>
      <c r="R1" s="49"/>
      <c r="S1" s="49"/>
      <c r="T1" s="49"/>
      <c r="U1" s="36"/>
      <c r="V1" s="75" t="s">
        <v>185</v>
      </c>
      <c r="W1" s="36"/>
      <c r="X1" s="36"/>
      <c r="Y1" s="36"/>
      <c r="Z1" s="36"/>
      <c r="AA1" s="51" t="s">
        <v>73</v>
      </c>
    </row>
    <row r="2" spans="1:27" s="10" customFormat="1" ht="24" thickBot="1" x14ac:dyDescent="0.25">
      <c r="A2" s="43"/>
      <c r="B2" s="11" t="str">
        <f>_xlfn.CONCAT(_xlfn.XLOOKUP(O1,Referencia!$B$1:$B$13,Referencia!$A$1:$A$13)," ",P1)</f>
        <v>Maio 2023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</row>
    <row r="3" spans="1:27" s="9" customFormat="1" ht="16.5" x14ac:dyDescent="0.35">
      <c r="A3" s="15" t="s">
        <v>74</v>
      </c>
      <c r="B3" s="13" t="s">
        <v>20</v>
      </c>
      <c r="C3" s="13" t="s">
        <v>75</v>
      </c>
      <c r="D3" s="13" t="s">
        <v>76</v>
      </c>
      <c r="E3" s="13" t="s">
        <v>77</v>
      </c>
      <c r="F3" s="13" t="s">
        <v>78</v>
      </c>
      <c r="G3" s="13" t="s">
        <v>79</v>
      </c>
      <c r="H3" s="13" t="s">
        <v>80</v>
      </c>
      <c r="I3" s="13" t="s">
        <v>81</v>
      </c>
      <c r="J3" s="13" t="s">
        <v>82</v>
      </c>
      <c r="K3" s="13" t="s">
        <v>40</v>
      </c>
      <c r="L3" s="13" t="s">
        <v>83</v>
      </c>
      <c r="M3" s="37"/>
      <c r="N3" s="13" t="s">
        <v>85</v>
      </c>
      <c r="O3" s="13" t="s">
        <v>155</v>
      </c>
      <c r="P3" s="13" t="s">
        <v>87</v>
      </c>
      <c r="Q3" s="13" t="s">
        <v>88</v>
      </c>
      <c r="R3" s="13" t="s">
        <v>89</v>
      </c>
      <c r="S3" s="13" t="s">
        <v>90</v>
      </c>
      <c r="T3" s="13" t="s">
        <v>91</v>
      </c>
      <c r="U3" s="13" t="s">
        <v>92</v>
      </c>
      <c r="V3" s="56"/>
      <c r="W3" s="13" t="s">
        <v>88</v>
      </c>
      <c r="X3" s="13" t="s">
        <v>91</v>
      </c>
      <c r="Y3" s="13" t="s">
        <v>92</v>
      </c>
      <c r="Z3" s="37"/>
      <c r="AA3" s="14" t="s">
        <v>73</v>
      </c>
    </row>
    <row r="4" spans="1:27" s="2" customFormat="1" x14ac:dyDescent="0.2">
      <c r="A4" s="16" t="str">
        <f t="shared" ref="A4:A34" si="0">TEXT(B4,"DDDD")</f>
        <v>segunda-feira</v>
      </c>
      <c r="B4" s="17">
        <v>45047</v>
      </c>
      <c r="C4" s="19">
        <f>D4+E4</f>
        <v>42406.14</v>
      </c>
      <c r="D4" s="35">
        <f>_xlfn.XLOOKUP($B:$B,'Compilado 2023'!$B:$B,'Compilado 2023'!D:D)</f>
        <v>42344.4</v>
      </c>
      <c r="E4" s="35">
        <f>_xlfn.XLOOKUP($B:$B,'Compilado 2023'!$B:$B,'Compilado 2023'!E:E)</f>
        <v>61.74</v>
      </c>
      <c r="F4" s="18">
        <f>_xlfn.XLOOKUP($B:$B,'Compilado 2023'!$B:$B,'Compilado 2023'!F:F)</f>
        <v>140</v>
      </c>
      <c r="G4" s="18">
        <f>_xlfn.XLOOKUP($B:$B,'Compilado 2023'!$B:$B,'Compilado 2023'!G:G)</f>
        <v>162</v>
      </c>
      <c r="H4" s="35">
        <f>IFERROR(C4/F4,0)</f>
        <v>302.90100000000001</v>
      </c>
      <c r="I4" s="19">
        <f>SUM(N4:U4)</f>
        <v>1443.3529032258061</v>
      </c>
      <c r="J4" s="122">
        <f t="shared" ref="J4:J34" si="1">IF(I4&gt;0,C4/I4,0)</f>
        <v>29.380299097486727</v>
      </c>
      <c r="K4" s="18">
        <f>_xlfn.XLOOKUP($B:$B,'Compilado 2023'!$B:$B,'Compilado 2023'!K:K)</f>
        <v>4948</v>
      </c>
      <c r="L4" s="54">
        <f t="shared" ref="L4:L34" si="2">IFERROR(F4/K4,0)</f>
        <v>2.8294260307194827E-2</v>
      </c>
      <c r="M4" s="38"/>
      <c r="N4" s="106">
        <f>_xlfn.XLOOKUP($B:$B,'Compilado 2023'!$B:$B,'Compilado 2023'!N:N)</f>
        <v>1106.3599999999999</v>
      </c>
      <c r="O4" s="106">
        <f>_xlfn.XLOOKUP($B:$B,'Compilado 2023'!$B:$B,'Compilado 2023'!O:O)</f>
        <v>233.27</v>
      </c>
      <c r="P4" s="106">
        <f>_xlfn.XLOOKUP($B:$B,'Compilado 2023'!$B:$B,'Compilado 2023'!P:P)</f>
        <v>0</v>
      </c>
      <c r="Q4" s="106">
        <f>_xlfn.XLOOKUP($B:$B,'Compilado 2023'!$B:$B,'Compilado 2023'!Q:Q)</f>
        <v>51.612903225806448</v>
      </c>
      <c r="R4" s="106">
        <f>_xlfn.XLOOKUP($B:$B,'Compilado 2023'!$B:$B,'Compilado 2023'!R:R)</f>
        <v>52.11</v>
      </c>
      <c r="S4" s="106">
        <f>_xlfn.XLOOKUP($B:$B,'Compilado 2023'!$B:$B,'Compilado 2023'!S:S)</f>
        <v>0</v>
      </c>
      <c r="T4" s="106">
        <f>_xlfn.XLOOKUP($B:$B,'Compilado 2023'!$B:$B,'Compilado 2023'!U:U)</f>
        <v>0</v>
      </c>
      <c r="U4" s="106">
        <f>_xlfn.XLOOKUP($B:$B,'Compilado 2023'!$B:$B,'Compilado 2023'!V:V)</f>
        <v>0</v>
      </c>
      <c r="V4" s="57"/>
      <c r="W4" s="106">
        <f>_xlfn.XLOOKUP($B:$B,'Compilado 2023'!$B:$B,'Compilado 2023'!X:X)</f>
        <v>0</v>
      </c>
      <c r="X4" s="106">
        <f>_xlfn.XLOOKUP($B:$B,'Compilado 2023'!$B:$B,'Compilado 2023'!Y:Y)</f>
        <v>0</v>
      </c>
      <c r="Y4" s="106">
        <f>_xlfn.XLOOKUP($B:$B,'Compilado 2023'!$B:$B,'Compilado 2023'!Z:Z)</f>
        <v>0</v>
      </c>
      <c r="Z4" s="38"/>
      <c r="AA4" s="107">
        <f>_xlfn.XLOOKUP($B:$B,'Compilado 2023'!$B:$B,'Compilado 2023'!AA:AA)</f>
        <v>0</v>
      </c>
    </row>
    <row r="5" spans="1:27" s="2" customFormat="1" x14ac:dyDescent="0.2">
      <c r="A5" s="16" t="str">
        <f t="shared" si="0"/>
        <v>terça-feira</v>
      </c>
      <c r="B5" s="17">
        <f>B4+1</f>
        <v>45048</v>
      </c>
      <c r="C5" s="19">
        <f t="shared" ref="C5:C34" si="3">D5+E5</f>
        <v>112788.95</v>
      </c>
      <c r="D5" s="35">
        <f>_xlfn.XLOOKUP($B:$B,'Compilado 2023'!$B:$B,'Compilado 2023'!D:D)</f>
        <v>112788.95</v>
      </c>
      <c r="E5" s="35">
        <f>_xlfn.XLOOKUP($B:$B,'Compilado 2023'!$B:$B,'Compilado 2023'!E:E)</f>
        <v>0</v>
      </c>
      <c r="F5" s="18">
        <f>_xlfn.XLOOKUP($B:$B,'Compilado 2023'!$B:$B,'Compilado 2023'!F:F)</f>
        <v>319</v>
      </c>
      <c r="G5" s="18">
        <f>_xlfn.XLOOKUP($B:$B,'Compilado 2023'!$B:$B,'Compilado 2023'!G:G)</f>
        <v>456</v>
      </c>
      <c r="H5" s="35">
        <f t="shared" ref="H5:H34" si="4">IFERROR(C5/F5,0)</f>
        <v>353.57037617554857</v>
      </c>
      <c r="I5" s="19">
        <f t="shared" ref="I5:I34" si="5">SUM(N5:U5)</f>
        <v>2764.0229032258062</v>
      </c>
      <c r="J5" s="122">
        <f t="shared" si="1"/>
        <v>40.806083722521791</v>
      </c>
      <c r="K5" s="18">
        <f>_xlfn.XLOOKUP($B:$B,'Compilado 2023'!$B:$B,'Compilado 2023'!K:K)</f>
        <v>8840</v>
      </c>
      <c r="L5" s="54">
        <f t="shared" si="2"/>
        <v>3.608597285067873E-2</v>
      </c>
      <c r="M5" s="38"/>
      <c r="N5" s="106">
        <f>_xlfn.XLOOKUP($B:$B,'Compilado 2023'!$B:$B,'Compilado 2023'!N:N)</f>
        <v>2322.44</v>
      </c>
      <c r="O5" s="106">
        <f>_xlfn.XLOOKUP($B:$B,'Compilado 2023'!$B:$B,'Compilado 2023'!O:O)</f>
        <v>239.97</v>
      </c>
      <c r="P5" s="106">
        <f>_xlfn.XLOOKUP($B:$B,'Compilado 2023'!$B:$B,'Compilado 2023'!P:P)</f>
        <v>0</v>
      </c>
      <c r="Q5" s="106">
        <f>_xlfn.XLOOKUP($B:$B,'Compilado 2023'!$B:$B,'Compilado 2023'!Q:Q)</f>
        <v>51.612903225806448</v>
      </c>
      <c r="R5" s="106">
        <f>_xlfn.XLOOKUP($B:$B,'Compilado 2023'!$B:$B,'Compilado 2023'!R:R)</f>
        <v>150</v>
      </c>
      <c r="S5" s="106">
        <f>_xlfn.XLOOKUP($B:$B,'Compilado 2023'!$B:$B,'Compilado 2023'!S:S)</f>
        <v>0</v>
      </c>
      <c r="T5" s="106">
        <f>_xlfn.XLOOKUP($B:$B,'Compilado 2023'!$B:$B,'Compilado 2023'!U:U)</f>
        <v>0</v>
      </c>
      <c r="U5" s="106">
        <f>_xlfn.XLOOKUP($B:$B,'Compilado 2023'!$B:$B,'Compilado 2023'!V:V)</f>
        <v>0</v>
      </c>
      <c r="V5" s="57"/>
      <c r="W5" s="106">
        <f>_xlfn.XLOOKUP($B:$B,'Compilado 2023'!$B:$B,'Compilado 2023'!X:X)</f>
        <v>0</v>
      </c>
      <c r="X5" s="106">
        <f>_xlfn.XLOOKUP($B:$B,'Compilado 2023'!$B:$B,'Compilado 2023'!Y:Y)</f>
        <v>0</v>
      </c>
      <c r="Y5" s="106">
        <f>_xlfn.XLOOKUP($B:$B,'Compilado 2023'!$B:$B,'Compilado 2023'!Z:Z)</f>
        <v>0</v>
      </c>
      <c r="Z5" s="38"/>
      <c r="AA5" s="107" t="str">
        <f>_xlfn.XLOOKUP($B:$B,'Compilado 2023'!$B:$B,'Compilado 2023'!AA:AA)</f>
        <v>Ativou Banner Dia das Mães na Home do site</v>
      </c>
    </row>
    <row r="6" spans="1:27" x14ac:dyDescent="0.2">
      <c r="A6" s="16" t="str">
        <f t="shared" si="0"/>
        <v>quarta-feira</v>
      </c>
      <c r="B6" s="17">
        <f t="shared" ref="B6:B34" si="6">B5+1</f>
        <v>45049</v>
      </c>
      <c r="C6" s="19">
        <f t="shared" si="3"/>
        <v>120576.68</v>
      </c>
      <c r="D6" s="35">
        <f>_xlfn.XLOOKUP($B:$B,'Compilado 2023'!$B:$B,'Compilado 2023'!D:D)</f>
        <v>120576.68</v>
      </c>
      <c r="E6" s="35">
        <f>_xlfn.XLOOKUP($B:$B,'Compilado 2023'!$B:$B,'Compilado 2023'!E:E)</f>
        <v>0</v>
      </c>
      <c r="F6" s="18">
        <f>_xlfn.XLOOKUP($B:$B,'Compilado 2023'!$B:$B,'Compilado 2023'!F:F)</f>
        <v>359</v>
      </c>
      <c r="G6" s="18">
        <f>_xlfn.XLOOKUP($B:$B,'Compilado 2023'!$B:$B,'Compilado 2023'!G:G)</f>
        <v>438</v>
      </c>
      <c r="H6" s="35">
        <f t="shared" si="4"/>
        <v>335.86818941504174</v>
      </c>
      <c r="I6" s="19">
        <f t="shared" si="5"/>
        <v>2868.222903225806</v>
      </c>
      <c r="J6" s="122">
        <f t="shared" si="1"/>
        <v>42.038810813619449</v>
      </c>
      <c r="K6" s="18">
        <f>_xlfn.XLOOKUP($B:$B,'Compilado 2023'!$B:$B,'Compilado 2023'!K:K)</f>
        <v>0</v>
      </c>
      <c r="L6" s="54">
        <f t="shared" si="2"/>
        <v>0</v>
      </c>
      <c r="M6" s="38"/>
      <c r="N6" s="106">
        <f>_xlfn.XLOOKUP($B:$B,'Compilado 2023'!$B:$B,'Compilado 2023'!N:N)</f>
        <v>2455.9699999999998</v>
      </c>
      <c r="O6" s="106">
        <f>_xlfn.XLOOKUP($B:$B,'Compilado 2023'!$B:$B,'Compilado 2023'!O:O)</f>
        <v>239.81</v>
      </c>
      <c r="P6" s="106">
        <f>_xlfn.XLOOKUP($B:$B,'Compilado 2023'!$B:$B,'Compilado 2023'!P:P)</f>
        <v>0</v>
      </c>
      <c r="Q6" s="106">
        <f>_xlfn.XLOOKUP($B:$B,'Compilado 2023'!$B:$B,'Compilado 2023'!Q:Q)</f>
        <v>51.612903225806448</v>
      </c>
      <c r="R6" s="106">
        <f>_xlfn.XLOOKUP($B:$B,'Compilado 2023'!$B:$B,'Compilado 2023'!R:R)</f>
        <v>120.83</v>
      </c>
      <c r="S6" s="106">
        <f>_xlfn.XLOOKUP($B:$B,'Compilado 2023'!$B:$B,'Compilado 2023'!S:S)</f>
        <v>0</v>
      </c>
      <c r="T6" s="106">
        <f>_xlfn.XLOOKUP($B:$B,'Compilado 2023'!$B:$B,'Compilado 2023'!U:U)</f>
        <v>0</v>
      </c>
      <c r="U6" s="106">
        <f>_xlfn.XLOOKUP($B:$B,'Compilado 2023'!$B:$B,'Compilado 2023'!V:V)</f>
        <v>0</v>
      </c>
      <c r="V6" s="57"/>
      <c r="W6" s="106">
        <f>_xlfn.XLOOKUP($B:$B,'Compilado 2023'!$B:$B,'Compilado 2023'!X:X)</f>
        <v>0</v>
      </c>
      <c r="X6" s="106">
        <f>_xlfn.XLOOKUP($B:$B,'Compilado 2023'!$B:$B,'Compilado 2023'!Y:Y)</f>
        <v>0</v>
      </c>
      <c r="Y6" s="106">
        <f>_xlfn.XLOOKUP($B:$B,'Compilado 2023'!$B:$B,'Compilado 2023'!Z:Z)</f>
        <v>0</v>
      </c>
      <c r="Z6" s="38"/>
      <c r="AA6" s="107" t="str">
        <f>_xlfn.XLOOKUP($B:$B,'Compilado 2023'!$B:$B,'Compilado 2023'!AA:AA)</f>
        <v xml:space="preserve">Reativou a campanha de franquias no google Ads </v>
      </c>
    </row>
    <row r="7" spans="1:27" x14ac:dyDescent="0.2">
      <c r="A7" s="16" t="str">
        <f t="shared" si="0"/>
        <v>quinta-feira</v>
      </c>
      <c r="B7" s="17">
        <f t="shared" si="6"/>
        <v>45050</v>
      </c>
      <c r="C7" s="19">
        <f t="shared" si="3"/>
        <v>120773.06</v>
      </c>
      <c r="D7" s="35">
        <f>_xlfn.XLOOKUP($B:$B,'Compilado 2023'!$B:$B,'Compilado 2023'!D:D)</f>
        <v>120724.16</v>
      </c>
      <c r="E7" s="35">
        <f>_xlfn.XLOOKUP($B:$B,'Compilado 2023'!$B:$B,'Compilado 2023'!E:E)</f>
        <v>48.9</v>
      </c>
      <c r="F7" s="18">
        <f>_xlfn.XLOOKUP($B:$B,'Compilado 2023'!$B:$B,'Compilado 2023'!F:F)</f>
        <v>385</v>
      </c>
      <c r="G7" s="18">
        <f>_xlfn.XLOOKUP($B:$B,'Compilado 2023'!$B:$B,'Compilado 2023'!G:G)</f>
        <v>465</v>
      </c>
      <c r="H7" s="35">
        <f t="shared" si="4"/>
        <v>313.69625974025973</v>
      </c>
      <c r="I7" s="19">
        <f t="shared" si="5"/>
        <v>2068.7429032258065</v>
      </c>
      <c r="J7" s="122">
        <f t="shared" si="1"/>
        <v>58.379927158506575</v>
      </c>
      <c r="K7" s="18">
        <f>_xlfn.XLOOKUP($B:$B,'Compilado 2023'!$B:$B,'Compilado 2023'!K:K)</f>
        <v>8727</v>
      </c>
      <c r="L7" s="54">
        <f t="shared" si="2"/>
        <v>4.4115961957144491E-2</v>
      </c>
      <c r="M7" s="38"/>
      <c r="N7" s="106">
        <f>_xlfn.XLOOKUP($B:$B,'Compilado 2023'!$B:$B,'Compilado 2023'!N:N)</f>
        <v>1673.25</v>
      </c>
      <c r="O7" s="106">
        <f>_xlfn.XLOOKUP($B:$B,'Compilado 2023'!$B:$B,'Compilado 2023'!O:O)</f>
        <v>247.47</v>
      </c>
      <c r="P7" s="106">
        <f>_xlfn.XLOOKUP($B:$B,'Compilado 2023'!$B:$B,'Compilado 2023'!P:P)</f>
        <v>0</v>
      </c>
      <c r="Q7" s="106">
        <f>_xlfn.XLOOKUP($B:$B,'Compilado 2023'!$B:$B,'Compilado 2023'!Q:Q)</f>
        <v>51.612903225806448</v>
      </c>
      <c r="R7" s="106">
        <f>_xlfn.XLOOKUP($B:$B,'Compilado 2023'!$B:$B,'Compilado 2023'!R:R)</f>
        <v>96.41</v>
      </c>
      <c r="S7" s="106">
        <f>_xlfn.XLOOKUP($B:$B,'Compilado 2023'!$B:$B,'Compilado 2023'!S:S)</f>
        <v>0</v>
      </c>
      <c r="T7" s="106">
        <f>_xlfn.XLOOKUP($B:$B,'Compilado 2023'!$B:$B,'Compilado 2023'!U:U)</f>
        <v>0</v>
      </c>
      <c r="U7" s="106">
        <f>_xlfn.XLOOKUP($B:$B,'Compilado 2023'!$B:$B,'Compilado 2023'!V:V)</f>
        <v>0</v>
      </c>
      <c r="V7" s="57"/>
      <c r="W7" s="106">
        <f>_xlfn.XLOOKUP($B:$B,'Compilado 2023'!$B:$B,'Compilado 2023'!X:X)</f>
        <v>0</v>
      </c>
      <c r="X7" s="106">
        <f>_xlfn.XLOOKUP($B:$B,'Compilado 2023'!$B:$B,'Compilado 2023'!Y:Y)</f>
        <v>0</v>
      </c>
      <c r="Y7" s="106">
        <f>_xlfn.XLOOKUP($B:$B,'Compilado 2023'!$B:$B,'Compilado 2023'!Z:Z)</f>
        <v>0</v>
      </c>
      <c r="Z7" s="38"/>
      <c r="AA7" s="107">
        <f>_xlfn.XLOOKUP($B:$B,'Compilado 2023'!$B:$B,'Compilado 2023'!AA:AA)</f>
        <v>0</v>
      </c>
    </row>
    <row r="8" spans="1:27" s="2" customFormat="1" x14ac:dyDescent="0.2">
      <c r="A8" s="16" t="str">
        <f t="shared" si="0"/>
        <v>sexta-feira</v>
      </c>
      <c r="B8" s="17">
        <f t="shared" si="6"/>
        <v>45051</v>
      </c>
      <c r="C8" s="19">
        <f t="shared" si="3"/>
        <v>162231.12</v>
      </c>
      <c r="D8" s="35">
        <f>_xlfn.XLOOKUP($B:$B,'Compilado 2023'!$B:$B,'Compilado 2023'!D:D)</f>
        <v>162168.91</v>
      </c>
      <c r="E8" s="35">
        <f>_xlfn.XLOOKUP($B:$B,'Compilado 2023'!$B:$B,'Compilado 2023'!E:E)</f>
        <v>62.21</v>
      </c>
      <c r="F8" s="18">
        <f>_xlfn.XLOOKUP($B:$B,'Compilado 2023'!$B:$B,'Compilado 2023'!F:F)</f>
        <v>430</v>
      </c>
      <c r="G8" s="18">
        <f>_xlfn.XLOOKUP($B:$B,'Compilado 2023'!$B:$B,'Compilado 2023'!G:G)</f>
        <v>686</v>
      </c>
      <c r="H8" s="35">
        <f t="shared" si="4"/>
        <v>377.28167441860467</v>
      </c>
      <c r="I8" s="19">
        <f t="shared" si="5"/>
        <v>1935.1229032258063</v>
      </c>
      <c r="J8" s="122">
        <f t="shared" si="1"/>
        <v>83.835047236309578</v>
      </c>
      <c r="K8" s="18">
        <f>_xlfn.XLOOKUP($B:$B,'Compilado 2023'!$B:$B,'Compilado 2023'!K:K)</f>
        <v>8992</v>
      </c>
      <c r="L8" s="54">
        <f t="shared" si="2"/>
        <v>4.7820284697508895E-2</v>
      </c>
      <c r="M8" s="38"/>
      <c r="N8" s="106">
        <f>_xlfn.XLOOKUP($B:$B,'Compilado 2023'!$B:$B,'Compilado 2023'!N:N)</f>
        <v>1517.77</v>
      </c>
      <c r="O8" s="106">
        <f>_xlfn.XLOOKUP($B:$B,'Compilado 2023'!$B:$B,'Compilado 2023'!O:O)</f>
        <v>294.55</v>
      </c>
      <c r="P8" s="106">
        <f>_xlfn.XLOOKUP($B:$B,'Compilado 2023'!$B:$B,'Compilado 2023'!P:P)</f>
        <v>0</v>
      </c>
      <c r="Q8" s="106">
        <f>_xlfn.XLOOKUP($B:$B,'Compilado 2023'!$B:$B,'Compilado 2023'!Q:Q)</f>
        <v>51.612903225806448</v>
      </c>
      <c r="R8" s="106">
        <f>_xlfn.XLOOKUP($B:$B,'Compilado 2023'!$B:$B,'Compilado 2023'!R:R)</f>
        <v>71.19</v>
      </c>
      <c r="S8" s="106">
        <f>_xlfn.XLOOKUP($B:$B,'Compilado 2023'!$B:$B,'Compilado 2023'!S:S)</f>
        <v>0</v>
      </c>
      <c r="T8" s="106">
        <f>_xlfn.XLOOKUP($B:$B,'Compilado 2023'!$B:$B,'Compilado 2023'!U:U)</f>
        <v>0</v>
      </c>
      <c r="U8" s="106">
        <f>_xlfn.XLOOKUP($B:$B,'Compilado 2023'!$B:$B,'Compilado 2023'!V:V)</f>
        <v>0</v>
      </c>
      <c r="V8" s="57"/>
      <c r="W8" s="106">
        <f>_xlfn.XLOOKUP($B:$B,'Compilado 2023'!$B:$B,'Compilado 2023'!X:X)</f>
        <v>0</v>
      </c>
      <c r="X8" s="106">
        <f>_xlfn.XLOOKUP($B:$B,'Compilado 2023'!$B:$B,'Compilado 2023'!Y:Y)</f>
        <v>0</v>
      </c>
      <c r="Y8" s="106">
        <f>_xlfn.XLOOKUP($B:$B,'Compilado 2023'!$B:$B,'Compilado 2023'!Z:Z)</f>
        <v>0</v>
      </c>
      <c r="Z8" s="38"/>
      <c r="AA8" s="107">
        <f>_xlfn.XLOOKUP($B:$B,'Compilado 2023'!$B:$B,'Compilado 2023'!AA:AA)</f>
        <v>0</v>
      </c>
    </row>
    <row r="9" spans="1:27" s="2" customFormat="1" x14ac:dyDescent="0.2">
      <c r="A9" s="16" t="str">
        <f t="shared" si="0"/>
        <v>sábado</v>
      </c>
      <c r="B9" s="17">
        <f t="shared" si="6"/>
        <v>45052</v>
      </c>
      <c r="C9" s="19">
        <f t="shared" si="3"/>
        <v>87353.95</v>
      </c>
      <c r="D9" s="35">
        <f>_xlfn.XLOOKUP($B:$B,'Compilado 2023'!$B:$B,'Compilado 2023'!D:D)</f>
        <v>87353.95</v>
      </c>
      <c r="E9" s="35">
        <f>_xlfn.XLOOKUP($B:$B,'Compilado 2023'!$B:$B,'Compilado 2023'!E:E)</f>
        <v>0</v>
      </c>
      <c r="F9" s="18">
        <f>_xlfn.XLOOKUP($B:$B,'Compilado 2023'!$B:$B,'Compilado 2023'!F:F)</f>
        <v>312</v>
      </c>
      <c r="G9" s="18">
        <f>_xlfn.XLOOKUP($B:$B,'Compilado 2023'!$B:$B,'Compilado 2023'!G:G)</f>
        <v>348</v>
      </c>
      <c r="H9" s="35">
        <f t="shared" si="4"/>
        <v>279.98060897435897</v>
      </c>
      <c r="I9" s="19">
        <f t="shared" si="5"/>
        <v>1598.0929032258064</v>
      </c>
      <c r="J9" s="122">
        <f t="shared" si="1"/>
        <v>54.661371578381328</v>
      </c>
      <c r="K9" s="18">
        <f>_xlfn.XLOOKUP($B:$B,'Compilado 2023'!$B:$B,'Compilado 2023'!K:K)</f>
        <v>6631</v>
      </c>
      <c r="L9" s="54">
        <f t="shared" si="2"/>
        <v>4.7051726738048562E-2</v>
      </c>
      <c r="M9" s="38"/>
      <c r="N9" s="106">
        <f>_xlfn.XLOOKUP($B:$B,'Compilado 2023'!$B:$B,'Compilado 2023'!N:N)</f>
        <v>1202.47</v>
      </c>
      <c r="O9" s="106">
        <f>_xlfn.XLOOKUP($B:$B,'Compilado 2023'!$B:$B,'Compilado 2023'!O:O)</f>
        <v>285.54000000000002</v>
      </c>
      <c r="P9" s="106">
        <f>_xlfn.XLOOKUP($B:$B,'Compilado 2023'!$B:$B,'Compilado 2023'!P:P)</f>
        <v>0</v>
      </c>
      <c r="Q9" s="106">
        <f>_xlfn.XLOOKUP($B:$B,'Compilado 2023'!$B:$B,'Compilado 2023'!Q:Q)</f>
        <v>51.612903225806448</v>
      </c>
      <c r="R9" s="106">
        <f>_xlfn.XLOOKUP($B:$B,'Compilado 2023'!$B:$B,'Compilado 2023'!R:R)</f>
        <v>58.47</v>
      </c>
      <c r="S9" s="106">
        <f>_xlfn.XLOOKUP($B:$B,'Compilado 2023'!$B:$B,'Compilado 2023'!S:S)</f>
        <v>0</v>
      </c>
      <c r="T9" s="106">
        <f>_xlfn.XLOOKUP($B:$B,'Compilado 2023'!$B:$B,'Compilado 2023'!U:U)</f>
        <v>0</v>
      </c>
      <c r="U9" s="106">
        <f>_xlfn.XLOOKUP($B:$B,'Compilado 2023'!$B:$B,'Compilado 2023'!V:V)</f>
        <v>0</v>
      </c>
      <c r="V9" s="57"/>
      <c r="W9" s="106">
        <f>_xlfn.XLOOKUP($B:$B,'Compilado 2023'!$B:$B,'Compilado 2023'!X:X)</f>
        <v>0</v>
      </c>
      <c r="X9" s="106">
        <f>_xlfn.XLOOKUP($B:$B,'Compilado 2023'!$B:$B,'Compilado 2023'!Y:Y)</f>
        <v>0</v>
      </c>
      <c r="Y9" s="106">
        <f>_xlfn.XLOOKUP($B:$B,'Compilado 2023'!$B:$B,'Compilado 2023'!Z:Z)</f>
        <v>0</v>
      </c>
      <c r="Z9" s="38"/>
      <c r="AA9" s="107">
        <f>_xlfn.XLOOKUP($B:$B,'Compilado 2023'!$B:$B,'Compilado 2023'!AA:AA)</f>
        <v>0</v>
      </c>
    </row>
    <row r="10" spans="1:27" s="2" customFormat="1" x14ac:dyDescent="0.2">
      <c r="A10" s="16" t="str">
        <f t="shared" si="0"/>
        <v>domingo</v>
      </c>
      <c r="B10" s="17">
        <f t="shared" si="6"/>
        <v>45053</v>
      </c>
      <c r="C10" s="19">
        <f t="shared" si="3"/>
        <v>78208.12</v>
      </c>
      <c r="D10" s="35">
        <f>_xlfn.XLOOKUP($B:$B,'Compilado 2023'!$B:$B,'Compilado 2023'!D:D)</f>
        <v>78208.12</v>
      </c>
      <c r="E10" s="35">
        <f>_xlfn.XLOOKUP($B:$B,'Compilado 2023'!$B:$B,'Compilado 2023'!E:E)</f>
        <v>0</v>
      </c>
      <c r="F10" s="18">
        <f>_xlfn.XLOOKUP($B:$B,'Compilado 2023'!$B:$B,'Compilado 2023'!F:F)</f>
        <v>260</v>
      </c>
      <c r="G10" s="18">
        <f>_xlfn.XLOOKUP($B:$B,'Compilado 2023'!$B:$B,'Compilado 2023'!G:G)</f>
        <v>294</v>
      </c>
      <c r="H10" s="35">
        <f t="shared" si="4"/>
        <v>300.80046153846155</v>
      </c>
      <c r="I10" s="19">
        <f t="shared" si="5"/>
        <v>1629.9129032258063</v>
      </c>
      <c r="J10" s="122">
        <f t="shared" si="1"/>
        <v>47.983005622702976</v>
      </c>
      <c r="K10" s="18">
        <f>_xlfn.XLOOKUP($B:$B,'Compilado 2023'!$B:$B,'Compilado 2023'!K:K)</f>
        <v>6344</v>
      </c>
      <c r="L10" s="54">
        <f t="shared" si="2"/>
        <v>4.0983606557377046E-2</v>
      </c>
      <c r="M10" s="38"/>
      <c r="N10" s="106">
        <f>_xlfn.XLOOKUP($B:$B,'Compilado 2023'!$B:$B,'Compilado 2023'!N:N)</f>
        <v>1282.32</v>
      </c>
      <c r="O10" s="106">
        <f>_xlfn.XLOOKUP($B:$B,'Compilado 2023'!$B:$B,'Compilado 2023'!O:O)</f>
        <v>238.1</v>
      </c>
      <c r="P10" s="106">
        <f>_xlfn.XLOOKUP($B:$B,'Compilado 2023'!$B:$B,'Compilado 2023'!P:P)</f>
        <v>0</v>
      </c>
      <c r="Q10" s="106">
        <f>_xlfn.XLOOKUP($B:$B,'Compilado 2023'!$B:$B,'Compilado 2023'!Q:Q)</f>
        <v>51.612903225806448</v>
      </c>
      <c r="R10" s="106">
        <f>_xlfn.XLOOKUP($B:$B,'Compilado 2023'!$B:$B,'Compilado 2023'!R:R)</f>
        <v>57.88</v>
      </c>
      <c r="S10" s="106">
        <f>_xlfn.XLOOKUP($B:$B,'Compilado 2023'!$B:$B,'Compilado 2023'!S:S)</f>
        <v>0</v>
      </c>
      <c r="T10" s="106">
        <f>_xlfn.XLOOKUP($B:$B,'Compilado 2023'!$B:$B,'Compilado 2023'!U:U)</f>
        <v>0</v>
      </c>
      <c r="U10" s="106">
        <f>_xlfn.XLOOKUP($B:$B,'Compilado 2023'!$B:$B,'Compilado 2023'!V:V)</f>
        <v>0</v>
      </c>
      <c r="V10" s="57"/>
      <c r="W10" s="106">
        <f>_xlfn.XLOOKUP($B:$B,'Compilado 2023'!$B:$B,'Compilado 2023'!X:X)</f>
        <v>0</v>
      </c>
      <c r="X10" s="106">
        <f>_xlfn.XLOOKUP($B:$B,'Compilado 2023'!$B:$B,'Compilado 2023'!Y:Y)</f>
        <v>0</v>
      </c>
      <c r="Y10" s="106">
        <f>_xlfn.XLOOKUP($B:$B,'Compilado 2023'!$B:$B,'Compilado 2023'!Z:Z)</f>
        <v>0</v>
      </c>
      <c r="Z10" s="38"/>
      <c r="AA10" s="107">
        <f>_xlfn.XLOOKUP($B:$B,'Compilado 2023'!$B:$B,'Compilado 2023'!AA:AA)</f>
        <v>0</v>
      </c>
    </row>
    <row r="11" spans="1:27" s="2" customFormat="1" x14ac:dyDescent="0.2">
      <c r="A11" s="16" t="str">
        <f t="shared" si="0"/>
        <v>segunda-feira</v>
      </c>
      <c r="B11" s="17">
        <f t="shared" si="6"/>
        <v>45054</v>
      </c>
      <c r="C11" s="19">
        <f t="shared" si="3"/>
        <v>229192.53999999998</v>
      </c>
      <c r="D11" s="35">
        <f>_xlfn.XLOOKUP($B:$B,'Compilado 2023'!$B:$B,'Compilado 2023'!D:D)</f>
        <v>229170.33</v>
      </c>
      <c r="E11" s="35">
        <f>_xlfn.XLOOKUP($B:$B,'Compilado 2023'!$B:$B,'Compilado 2023'!E:E)</f>
        <v>22.21</v>
      </c>
      <c r="F11" s="18">
        <f>_xlfn.XLOOKUP($B:$B,'Compilado 2023'!$B:$B,'Compilado 2023'!F:F)</f>
        <v>664</v>
      </c>
      <c r="G11" s="18">
        <f>_xlfn.XLOOKUP($B:$B,'Compilado 2023'!$B:$B,'Compilado 2023'!G:G)</f>
        <v>963</v>
      </c>
      <c r="H11" s="35">
        <f t="shared" si="4"/>
        <v>345.16948795180718</v>
      </c>
      <c r="I11" s="19">
        <f t="shared" si="5"/>
        <v>2756.4029032258068</v>
      </c>
      <c r="J11" s="122">
        <f t="shared" si="1"/>
        <v>83.149143302590815</v>
      </c>
      <c r="K11" s="18">
        <f>_xlfn.XLOOKUP($B:$B,'Compilado 2023'!$B:$B,'Compilado 2023'!K:K)</f>
        <v>0</v>
      </c>
      <c r="L11" s="54">
        <f t="shared" si="2"/>
        <v>0</v>
      </c>
      <c r="M11" s="38"/>
      <c r="N11" s="106">
        <f>_xlfn.XLOOKUP($B:$B,'Compilado 2023'!$B:$B,'Compilado 2023'!N:N)</f>
        <v>2356.86</v>
      </c>
      <c r="O11" s="106">
        <f>_xlfn.XLOOKUP($B:$B,'Compilado 2023'!$B:$B,'Compilado 2023'!O:O)</f>
        <v>322.42</v>
      </c>
      <c r="P11" s="106">
        <f>_xlfn.XLOOKUP($B:$B,'Compilado 2023'!$B:$B,'Compilado 2023'!P:P)</f>
        <v>0</v>
      </c>
      <c r="Q11" s="106">
        <f>_xlfn.XLOOKUP($B:$B,'Compilado 2023'!$B:$B,'Compilado 2023'!Q:Q)</f>
        <v>51.612903225806448</v>
      </c>
      <c r="R11" s="106">
        <f>_xlfn.XLOOKUP($B:$B,'Compilado 2023'!$B:$B,'Compilado 2023'!R:R)</f>
        <v>25.51</v>
      </c>
      <c r="S11" s="106">
        <f>_xlfn.XLOOKUP($B:$B,'Compilado 2023'!$B:$B,'Compilado 2023'!S:S)</f>
        <v>0</v>
      </c>
      <c r="T11" s="106">
        <f>_xlfn.XLOOKUP($B:$B,'Compilado 2023'!$B:$B,'Compilado 2023'!U:U)</f>
        <v>0</v>
      </c>
      <c r="U11" s="106">
        <f>_xlfn.XLOOKUP($B:$B,'Compilado 2023'!$B:$B,'Compilado 2023'!V:V)</f>
        <v>0</v>
      </c>
      <c r="V11" s="57"/>
      <c r="W11" s="106">
        <f>_xlfn.XLOOKUP($B:$B,'Compilado 2023'!$B:$B,'Compilado 2023'!X:X)</f>
        <v>0</v>
      </c>
      <c r="X11" s="106">
        <f>_xlfn.XLOOKUP($B:$B,'Compilado 2023'!$B:$B,'Compilado 2023'!Y:Y)</f>
        <v>0</v>
      </c>
      <c r="Y11" s="106">
        <f>_xlfn.XLOOKUP($B:$B,'Compilado 2023'!$B:$B,'Compilado 2023'!Z:Z)</f>
        <v>0</v>
      </c>
      <c r="Z11" s="38"/>
      <c r="AA11" s="107">
        <f>_xlfn.XLOOKUP($B:$B,'Compilado 2023'!$B:$B,'Compilado 2023'!AA:AA)</f>
        <v>0</v>
      </c>
    </row>
    <row r="12" spans="1:27" s="2" customFormat="1" x14ac:dyDescent="0.2">
      <c r="A12" s="16" t="str">
        <f t="shared" si="0"/>
        <v>terça-feira</v>
      </c>
      <c r="B12" s="17">
        <f t="shared" si="6"/>
        <v>45055</v>
      </c>
      <c r="C12" s="19">
        <f t="shared" si="3"/>
        <v>242645.95</v>
      </c>
      <c r="D12" s="35">
        <f>_xlfn.XLOOKUP($B:$B,'Compilado 2023'!$B:$B,'Compilado 2023'!D:D)</f>
        <v>242645.95</v>
      </c>
      <c r="E12" s="35">
        <f>_xlfn.XLOOKUP($B:$B,'Compilado 2023'!$B:$B,'Compilado 2023'!E:E)</f>
        <v>0</v>
      </c>
      <c r="F12" s="18">
        <f>_xlfn.XLOOKUP($B:$B,'Compilado 2023'!$B:$B,'Compilado 2023'!F:F)</f>
        <v>753</v>
      </c>
      <c r="G12" s="18">
        <f>_xlfn.XLOOKUP($B:$B,'Compilado 2023'!$B:$B,'Compilado 2023'!G:G)</f>
        <v>990</v>
      </c>
      <c r="H12" s="35">
        <f t="shared" si="4"/>
        <v>322.2389774236388</v>
      </c>
      <c r="I12" s="19">
        <f t="shared" si="5"/>
        <v>2798.5929032258064</v>
      </c>
      <c r="J12" s="122">
        <f t="shared" si="1"/>
        <v>86.702839030397541</v>
      </c>
      <c r="K12" s="18">
        <f>_xlfn.XLOOKUP($B:$B,'Compilado 2023'!$B:$B,'Compilado 2023'!K:K)</f>
        <v>0</v>
      </c>
      <c r="L12" s="54">
        <f t="shared" si="2"/>
        <v>0</v>
      </c>
      <c r="M12" s="38"/>
      <c r="N12" s="106">
        <f>_xlfn.XLOOKUP($B:$B,'Compilado 2023'!$B:$B,'Compilado 2023'!N:N)</f>
        <v>2350.35</v>
      </c>
      <c r="O12" s="106">
        <f>_xlfn.XLOOKUP($B:$B,'Compilado 2023'!$B:$B,'Compilado 2023'!O:O)</f>
        <v>365.06</v>
      </c>
      <c r="P12" s="106">
        <f>_xlfn.XLOOKUP($B:$B,'Compilado 2023'!$B:$B,'Compilado 2023'!P:P)</f>
        <v>0</v>
      </c>
      <c r="Q12" s="106">
        <f>_xlfn.XLOOKUP($B:$B,'Compilado 2023'!$B:$B,'Compilado 2023'!Q:Q)</f>
        <v>51.612903225806448</v>
      </c>
      <c r="R12" s="106">
        <f>_xlfn.XLOOKUP($B:$B,'Compilado 2023'!$B:$B,'Compilado 2023'!R:R)</f>
        <v>31.57</v>
      </c>
      <c r="S12" s="106">
        <f>_xlfn.XLOOKUP($B:$B,'Compilado 2023'!$B:$B,'Compilado 2023'!S:S)</f>
        <v>0</v>
      </c>
      <c r="T12" s="106">
        <f>_xlfn.XLOOKUP($B:$B,'Compilado 2023'!$B:$B,'Compilado 2023'!U:U)</f>
        <v>0</v>
      </c>
      <c r="U12" s="106">
        <f>_xlfn.XLOOKUP($B:$B,'Compilado 2023'!$B:$B,'Compilado 2023'!V:V)</f>
        <v>0</v>
      </c>
      <c r="V12" s="57"/>
      <c r="W12" s="106">
        <f>_xlfn.XLOOKUP($B:$B,'Compilado 2023'!$B:$B,'Compilado 2023'!X:X)</f>
        <v>0</v>
      </c>
      <c r="X12" s="106">
        <f>_xlfn.XLOOKUP($B:$B,'Compilado 2023'!$B:$B,'Compilado 2023'!Y:Y)</f>
        <v>0</v>
      </c>
      <c r="Y12" s="106">
        <f>_xlfn.XLOOKUP($B:$B,'Compilado 2023'!$B:$B,'Compilado 2023'!Z:Z)</f>
        <v>0</v>
      </c>
      <c r="Z12" s="38"/>
      <c r="AA12" s="107">
        <f>_xlfn.XLOOKUP($B:$B,'Compilado 2023'!$B:$B,'Compilado 2023'!AA:AA)</f>
        <v>0</v>
      </c>
    </row>
    <row r="13" spans="1:27" x14ac:dyDescent="0.2">
      <c r="A13" s="16" t="str">
        <f t="shared" si="0"/>
        <v>quarta-feira</v>
      </c>
      <c r="B13" s="17">
        <f t="shared" si="6"/>
        <v>45056</v>
      </c>
      <c r="C13" s="19">
        <f t="shared" si="3"/>
        <v>299456.12</v>
      </c>
      <c r="D13" s="35">
        <f>_xlfn.XLOOKUP($B:$B,'Compilado 2023'!$B:$B,'Compilado 2023'!D:D)</f>
        <v>299456.12</v>
      </c>
      <c r="E13" s="35">
        <f>_xlfn.XLOOKUP($B:$B,'Compilado 2023'!$B:$B,'Compilado 2023'!E:E)</f>
        <v>0</v>
      </c>
      <c r="F13" s="18">
        <f>_xlfn.XLOOKUP($B:$B,'Compilado 2023'!$B:$B,'Compilado 2023'!F:F)</f>
        <v>875</v>
      </c>
      <c r="G13" s="18">
        <f>_xlfn.XLOOKUP($B:$B,'Compilado 2023'!$B:$B,'Compilado 2023'!G:G)</f>
        <v>1191</v>
      </c>
      <c r="H13" s="35">
        <f t="shared" si="4"/>
        <v>342.23556571428571</v>
      </c>
      <c r="I13" s="19">
        <f t="shared" si="5"/>
        <v>3777.6129032258063</v>
      </c>
      <c r="J13" s="122">
        <f t="shared" si="1"/>
        <v>79.271256126927739</v>
      </c>
      <c r="K13" s="18">
        <f>_xlfn.XLOOKUP($B:$B,'Compilado 2023'!$B:$B,'Compilado 2023'!K:K)</f>
        <v>0</v>
      </c>
      <c r="L13" s="54">
        <f t="shared" si="2"/>
        <v>0</v>
      </c>
      <c r="M13" s="38"/>
      <c r="N13" s="106">
        <f>_xlfn.XLOOKUP($B:$B,'Compilado 2023'!$B:$B,'Compilado 2023'!N:N)</f>
        <v>3269.82</v>
      </c>
      <c r="O13" s="106">
        <f>_xlfn.XLOOKUP($B:$B,'Compilado 2023'!$B:$B,'Compilado 2023'!O:O)</f>
        <v>429.85</v>
      </c>
      <c r="P13" s="106">
        <f>_xlfn.XLOOKUP($B:$B,'Compilado 2023'!$B:$B,'Compilado 2023'!P:P)</f>
        <v>0</v>
      </c>
      <c r="Q13" s="106">
        <f>_xlfn.XLOOKUP($B:$B,'Compilado 2023'!$B:$B,'Compilado 2023'!Q:Q)</f>
        <v>51.612903225806448</v>
      </c>
      <c r="R13" s="106">
        <f>_xlfn.XLOOKUP($B:$B,'Compilado 2023'!$B:$B,'Compilado 2023'!R:R)</f>
        <v>26.33</v>
      </c>
      <c r="S13" s="106">
        <f>_xlfn.XLOOKUP($B:$B,'Compilado 2023'!$B:$B,'Compilado 2023'!S:S)</f>
        <v>0</v>
      </c>
      <c r="T13" s="106">
        <f>_xlfn.XLOOKUP($B:$B,'Compilado 2023'!$B:$B,'Compilado 2023'!U:U)</f>
        <v>0</v>
      </c>
      <c r="U13" s="106">
        <f>_xlfn.XLOOKUP($B:$B,'Compilado 2023'!$B:$B,'Compilado 2023'!V:V)</f>
        <v>0</v>
      </c>
      <c r="V13" s="57"/>
      <c r="W13" s="106">
        <f>_xlfn.XLOOKUP($B:$B,'Compilado 2023'!$B:$B,'Compilado 2023'!X:X)</f>
        <v>0</v>
      </c>
      <c r="X13" s="106">
        <f>_xlfn.XLOOKUP($B:$B,'Compilado 2023'!$B:$B,'Compilado 2023'!Y:Y)</f>
        <v>0</v>
      </c>
      <c r="Y13" s="106">
        <f>_xlfn.XLOOKUP($B:$B,'Compilado 2023'!$B:$B,'Compilado 2023'!Z:Z)</f>
        <v>0</v>
      </c>
      <c r="Z13" s="38"/>
      <c r="AA13" s="107" t="str">
        <f>_xlfn.XLOOKUP($B:$B,'Compilado 2023'!$B:$B,'Compilado 2023'!AA:AA)</f>
        <v>Ativou as melhorias de Mães: Menu mães, filtro na página, banner nas categorias</v>
      </c>
    </row>
    <row r="14" spans="1:27" x14ac:dyDescent="0.2">
      <c r="A14" s="16" t="str">
        <f t="shared" si="0"/>
        <v>quinta-feira</v>
      </c>
      <c r="B14" s="17">
        <f t="shared" si="6"/>
        <v>45057</v>
      </c>
      <c r="C14" s="19">
        <f t="shared" si="3"/>
        <v>305603.63</v>
      </c>
      <c r="D14" s="35">
        <f>_xlfn.XLOOKUP($B:$B,'Compilado 2023'!$B:$B,'Compilado 2023'!D:D)</f>
        <v>305603.63</v>
      </c>
      <c r="E14" s="35">
        <f>_xlfn.XLOOKUP($B:$B,'Compilado 2023'!$B:$B,'Compilado 2023'!E:E)</f>
        <v>0</v>
      </c>
      <c r="F14" s="18">
        <f>_xlfn.XLOOKUP($B:$B,'Compilado 2023'!$B:$B,'Compilado 2023'!F:F)</f>
        <v>909</v>
      </c>
      <c r="G14" s="18">
        <f>_xlfn.XLOOKUP($B:$B,'Compilado 2023'!$B:$B,'Compilado 2023'!G:G)</f>
        <v>1282</v>
      </c>
      <c r="H14" s="35">
        <f t="shared" si="4"/>
        <v>336.1976127612761</v>
      </c>
      <c r="I14" s="19">
        <f t="shared" si="5"/>
        <v>5053.7629032258073</v>
      </c>
      <c r="J14" s="122">
        <f t="shared" si="1"/>
        <v>60.470511943671475</v>
      </c>
      <c r="K14" s="18">
        <f>_xlfn.XLOOKUP($B:$B,'Compilado 2023'!$B:$B,'Compilado 2023'!K:K)</f>
        <v>0</v>
      </c>
      <c r="L14" s="54">
        <f t="shared" si="2"/>
        <v>0</v>
      </c>
      <c r="M14" s="38"/>
      <c r="N14" s="106">
        <f>_xlfn.XLOOKUP($B:$B,'Compilado 2023'!$B:$B,'Compilado 2023'!N:N)</f>
        <v>4506.1000000000004</v>
      </c>
      <c r="O14" s="106">
        <f>_xlfn.XLOOKUP($B:$B,'Compilado 2023'!$B:$B,'Compilado 2023'!O:O)</f>
        <v>483.97</v>
      </c>
      <c r="P14" s="106">
        <f>_xlfn.XLOOKUP($B:$B,'Compilado 2023'!$B:$B,'Compilado 2023'!P:P)</f>
        <v>0</v>
      </c>
      <c r="Q14" s="106">
        <f>_xlfn.XLOOKUP($B:$B,'Compilado 2023'!$B:$B,'Compilado 2023'!Q:Q)</f>
        <v>51.612903225806448</v>
      </c>
      <c r="R14" s="106">
        <f>_xlfn.XLOOKUP($B:$B,'Compilado 2023'!$B:$B,'Compilado 2023'!R:R)</f>
        <v>12.08</v>
      </c>
      <c r="S14" s="106">
        <f>_xlfn.XLOOKUP($B:$B,'Compilado 2023'!$B:$B,'Compilado 2023'!S:S)</f>
        <v>0</v>
      </c>
      <c r="T14" s="106">
        <f>_xlfn.XLOOKUP($B:$B,'Compilado 2023'!$B:$B,'Compilado 2023'!U:U)</f>
        <v>0</v>
      </c>
      <c r="U14" s="106">
        <f>_xlfn.XLOOKUP($B:$B,'Compilado 2023'!$B:$B,'Compilado 2023'!V:V)</f>
        <v>0</v>
      </c>
      <c r="V14" s="57"/>
      <c r="W14" s="106">
        <f>_xlfn.XLOOKUP($B:$B,'Compilado 2023'!$B:$B,'Compilado 2023'!X:X)</f>
        <v>0</v>
      </c>
      <c r="X14" s="106">
        <f>_xlfn.XLOOKUP($B:$B,'Compilado 2023'!$B:$B,'Compilado 2023'!Y:Y)</f>
        <v>0</v>
      </c>
      <c r="Y14" s="106">
        <f>_xlfn.XLOOKUP($B:$B,'Compilado 2023'!$B:$B,'Compilado 2023'!Z:Z)</f>
        <v>0</v>
      </c>
      <c r="Z14" s="38"/>
      <c r="AA14" s="107" t="str">
        <f>_xlfn.XLOOKUP($B:$B,'Compilado 2023'!$B:$B,'Compilado 2023'!AA:AA)</f>
        <v>Site ficou fora do ar: 21:23h até 00:34h</v>
      </c>
    </row>
    <row r="15" spans="1:27" s="2" customFormat="1" x14ac:dyDescent="0.2">
      <c r="A15" s="16" t="str">
        <f t="shared" si="0"/>
        <v>sexta-feira</v>
      </c>
      <c r="B15" s="17">
        <f t="shared" si="6"/>
        <v>45058</v>
      </c>
      <c r="C15" s="19">
        <f t="shared" si="3"/>
        <v>527321.22</v>
      </c>
      <c r="D15" s="35">
        <f>_xlfn.XLOOKUP($B:$B,'Compilado 2023'!$B:$B,'Compilado 2023'!D:D)</f>
        <v>527299.01</v>
      </c>
      <c r="E15" s="35">
        <f>_xlfn.XLOOKUP($B:$B,'Compilado 2023'!$B:$B,'Compilado 2023'!E:E)</f>
        <v>22.21</v>
      </c>
      <c r="F15" s="18">
        <f>_xlfn.XLOOKUP($B:$B,'Compilado 2023'!$B:$B,'Compilado 2023'!F:F)</f>
        <v>1596</v>
      </c>
      <c r="G15" s="18">
        <f>_xlfn.XLOOKUP($B:$B,'Compilado 2023'!$B:$B,'Compilado 2023'!G:G)</f>
        <v>1998</v>
      </c>
      <c r="H15" s="35">
        <f t="shared" si="4"/>
        <v>330.40176691729323</v>
      </c>
      <c r="I15" s="19">
        <f t="shared" si="5"/>
        <v>2953.7929032258066</v>
      </c>
      <c r="J15" s="122">
        <f t="shared" si="1"/>
        <v>178.52342302810666</v>
      </c>
      <c r="K15" s="18">
        <f>_xlfn.XLOOKUP($B:$B,'Compilado 2023'!$B:$B,'Compilado 2023'!K:K)</f>
        <v>0</v>
      </c>
      <c r="L15" s="54">
        <f t="shared" si="2"/>
        <v>0</v>
      </c>
      <c r="M15" s="38"/>
      <c r="N15" s="106">
        <f>_xlfn.XLOOKUP($B:$B,'Compilado 2023'!$B:$B,'Compilado 2023'!N:N)</f>
        <v>2374.61</v>
      </c>
      <c r="O15" s="106">
        <f>_xlfn.XLOOKUP($B:$B,'Compilado 2023'!$B:$B,'Compilado 2023'!O:O)</f>
        <v>489.52</v>
      </c>
      <c r="P15" s="106">
        <f>_xlfn.XLOOKUP($B:$B,'Compilado 2023'!$B:$B,'Compilado 2023'!P:P)</f>
        <v>0</v>
      </c>
      <c r="Q15" s="106">
        <f>_xlfn.XLOOKUP($B:$B,'Compilado 2023'!$B:$B,'Compilado 2023'!Q:Q)</f>
        <v>51.612903225806448</v>
      </c>
      <c r="R15" s="106">
        <f>_xlfn.XLOOKUP($B:$B,'Compilado 2023'!$B:$B,'Compilado 2023'!R:R)</f>
        <v>38.049999999999997</v>
      </c>
      <c r="S15" s="106">
        <f>_xlfn.XLOOKUP($B:$B,'Compilado 2023'!$B:$B,'Compilado 2023'!S:S)</f>
        <v>0</v>
      </c>
      <c r="T15" s="106">
        <f>_xlfn.XLOOKUP($B:$B,'Compilado 2023'!$B:$B,'Compilado 2023'!U:U)</f>
        <v>0</v>
      </c>
      <c r="U15" s="106">
        <f>_xlfn.XLOOKUP($B:$B,'Compilado 2023'!$B:$B,'Compilado 2023'!V:V)</f>
        <v>0</v>
      </c>
      <c r="V15" s="57"/>
      <c r="W15" s="106">
        <f>_xlfn.XLOOKUP($B:$B,'Compilado 2023'!$B:$B,'Compilado 2023'!X:X)</f>
        <v>0</v>
      </c>
      <c r="X15" s="106">
        <f>_xlfn.XLOOKUP($B:$B,'Compilado 2023'!$B:$B,'Compilado 2023'!Y:Y)</f>
        <v>0</v>
      </c>
      <c r="Y15" s="106">
        <f>_xlfn.XLOOKUP($B:$B,'Compilado 2023'!$B:$B,'Compilado 2023'!Z:Z)</f>
        <v>0</v>
      </c>
      <c r="Z15" s="38"/>
      <c r="AA15" s="107" t="str">
        <f>_xlfn.XLOOKUP($B:$B,'Compilado 2023'!$B:$B,'Compilado 2023'!AA:AA)</f>
        <v xml:space="preserve">Disparo de SMS Especial Mães </v>
      </c>
    </row>
    <row r="16" spans="1:27" s="2" customFormat="1" x14ac:dyDescent="0.2">
      <c r="A16" s="16" t="str">
        <f t="shared" si="0"/>
        <v>sábado</v>
      </c>
      <c r="B16" s="17">
        <f t="shared" si="6"/>
        <v>45059</v>
      </c>
      <c r="C16" s="19">
        <f t="shared" si="3"/>
        <v>570509.35</v>
      </c>
      <c r="D16" s="35">
        <f>_xlfn.XLOOKUP($B:$B,'Compilado 2023'!$B:$B,'Compilado 2023'!D:D)</f>
        <v>570509.35</v>
      </c>
      <c r="E16" s="35">
        <f>_xlfn.XLOOKUP($B:$B,'Compilado 2023'!$B:$B,'Compilado 2023'!E:E)</f>
        <v>0</v>
      </c>
      <c r="F16" s="18">
        <f>_xlfn.XLOOKUP($B:$B,'Compilado 2023'!$B:$B,'Compilado 2023'!F:F)</f>
        <v>1824</v>
      </c>
      <c r="G16" s="18">
        <f>_xlfn.XLOOKUP($B:$B,'Compilado 2023'!$B:$B,'Compilado 2023'!G:G)</f>
        <v>2038</v>
      </c>
      <c r="H16" s="35">
        <f t="shared" si="4"/>
        <v>312.77924890350874</v>
      </c>
      <c r="I16" s="19">
        <f t="shared" si="5"/>
        <v>5625.202903225806</v>
      </c>
      <c r="J16" s="122">
        <f t="shared" si="1"/>
        <v>101.42022604603969</v>
      </c>
      <c r="K16" s="18">
        <f>_xlfn.XLOOKUP($B:$B,'Compilado 2023'!$B:$B,'Compilado 2023'!K:K)</f>
        <v>0</v>
      </c>
      <c r="L16" s="54">
        <f t="shared" si="2"/>
        <v>0</v>
      </c>
      <c r="M16" s="38"/>
      <c r="N16" s="106">
        <f>_xlfn.XLOOKUP($B:$B,'Compilado 2023'!$B:$B,'Compilado 2023'!N:N)</f>
        <v>5078.95</v>
      </c>
      <c r="O16" s="106">
        <f>_xlfn.XLOOKUP($B:$B,'Compilado 2023'!$B:$B,'Compilado 2023'!O:O)</f>
        <v>491.74</v>
      </c>
      <c r="P16" s="106">
        <f>_xlfn.XLOOKUP($B:$B,'Compilado 2023'!$B:$B,'Compilado 2023'!P:P)</f>
        <v>0</v>
      </c>
      <c r="Q16" s="106">
        <f>_xlfn.XLOOKUP($B:$B,'Compilado 2023'!$B:$B,'Compilado 2023'!Q:Q)</f>
        <v>51.612903225806448</v>
      </c>
      <c r="R16" s="106">
        <f>_xlfn.XLOOKUP($B:$B,'Compilado 2023'!$B:$B,'Compilado 2023'!R:R)</f>
        <v>2.9</v>
      </c>
      <c r="S16" s="106">
        <f>_xlfn.XLOOKUP($B:$B,'Compilado 2023'!$B:$B,'Compilado 2023'!S:S)</f>
        <v>0</v>
      </c>
      <c r="T16" s="106">
        <f>_xlfn.XLOOKUP($B:$B,'Compilado 2023'!$B:$B,'Compilado 2023'!U:U)</f>
        <v>0</v>
      </c>
      <c r="U16" s="106">
        <f>_xlfn.XLOOKUP($B:$B,'Compilado 2023'!$B:$B,'Compilado 2023'!V:V)</f>
        <v>0</v>
      </c>
      <c r="V16" s="57"/>
      <c r="W16" s="106">
        <f>_xlfn.XLOOKUP($B:$B,'Compilado 2023'!$B:$B,'Compilado 2023'!X:X)</f>
        <v>0</v>
      </c>
      <c r="X16" s="106">
        <f>_xlfn.XLOOKUP($B:$B,'Compilado 2023'!$B:$B,'Compilado 2023'!Y:Y)</f>
        <v>0</v>
      </c>
      <c r="Y16" s="106">
        <f>_xlfn.XLOOKUP($B:$B,'Compilado 2023'!$B:$B,'Compilado 2023'!Z:Z)</f>
        <v>0</v>
      </c>
      <c r="Z16" s="38"/>
      <c r="AA16" s="107">
        <f>_xlfn.XLOOKUP($B:$B,'Compilado 2023'!$B:$B,'Compilado 2023'!AA:AA)</f>
        <v>0</v>
      </c>
    </row>
    <row r="17" spans="1:27" s="2" customFormat="1" x14ac:dyDescent="0.2">
      <c r="A17" s="16" t="str">
        <f t="shared" si="0"/>
        <v>domingo</v>
      </c>
      <c r="B17" s="17">
        <f t="shared" si="6"/>
        <v>45060</v>
      </c>
      <c r="C17" s="19">
        <f t="shared" si="3"/>
        <v>513678.94</v>
      </c>
      <c r="D17" s="35">
        <f>_xlfn.XLOOKUP($B:$B,'Compilado 2023'!$B:$B,'Compilado 2023'!D:D)</f>
        <v>513678.94</v>
      </c>
      <c r="E17" s="35">
        <f>_xlfn.XLOOKUP($B:$B,'Compilado 2023'!$B:$B,'Compilado 2023'!E:E)</f>
        <v>0</v>
      </c>
      <c r="F17" s="18">
        <f>_xlfn.XLOOKUP($B:$B,'Compilado 2023'!$B:$B,'Compilado 2023'!F:F)</f>
        <v>1648</v>
      </c>
      <c r="G17" s="18">
        <f>_xlfn.XLOOKUP($B:$B,'Compilado 2023'!$B:$B,'Compilado 2023'!G:G)</f>
        <v>1893</v>
      </c>
      <c r="H17" s="35">
        <f t="shared" si="4"/>
        <v>311.69838592233009</v>
      </c>
      <c r="I17" s="19">
        <f t="shared" si="5"/>
        <v>4132.4429032258067</v>
      </c>
      <c r="J17" s="122">
        <f t="shared" si="1"/>
        <v>124.30394128350073</v>
      </c>
      <c r="K17" s="18">
        <f>_xlfn.XLOOKUP($B:$B,'Compilado 2023'!$B:$B,'Compilado 2023'!K:K)</f>
        <v>0</v>
      </c>
      <c r="L17" s="54">
        <f t="shared" si="2"/>
        <v>0</v>
      </c>
      <c r="M17" s="38"/>
      <c r="N17" s="106">
        <f>_xlfn.XLOOKUP($B:$B,'Compilado 2023'!$B:$B,'Compilado 2023'!N:N)</f>
        <v>3910.66</v>
      </c>
      <c r="O17" s="106">
        <f>_xlfn.XLOOKUP($B:$B,'Compilado 2023'!$B:$B,'Compilado 2023'!O:O)</f>
        <v>170.17</v>
      </c>
      <c r="P17" s="106">
        <f>_xlfn.XLOOKUP($B:$B,'Compilado 2023'!$B:$B,'Compilado 2023'!P:P)</f>
        <v>0</v>
      </c>
      <c r="Q17" s="106">
        <f>_xlfn.XLOOKUP($B:$B,'Compilado 2023'!$B:$B,'Compilado 2023'!Q:Q)</f>
        <v>51.612903225806448</v>
      </c>
      <c r="R17" s="106">
        <f>_xlfn.XLOOKUP($B:$B,'Compilado 2023'!$B:$B,'Compilado 2023'!R:R)</f>
        <v>0</v>
      </c>
      <c r="S17" s="106">
        <f>_xlfn.XLOOKUP($B:$B,'Compilado 2023'!$B:$B,'Compilado 2023'!S:S)</f>
        <v>0</v>
      </c>
      <c r="T17" s="106">
        <f>_xlfn.XLOOKUP($B:$B,'Compilado 2023'!$B:$B,'Compilado 2023'!U:U)</f>
        <v>0</v>
      </c>
      <c r="U17" s="106">
        <f>_xlfn.XLOOKUP($B:$B,'Compilado 2023'!$B:$B,'Compilado 2023'!V:V)</f>
        <v>0</v>
      </c>
      <c r="V17" s="57"/>
      <c r="W17" s="106">
        <f>_xlfn.XLOOKUP($B:$B,'Compilado 2023'!$B:$B,'Compilado 2023'!X:X)</f>
        <v>0</v>
      </c>
      <c r="X17" s="106">
        <f>_xlfn.XLOOKUP($B:$B,'Compilado 2023'!$B:$B,'Compilado 2023'!Y:Y)</f>
        <v>0</v>
      </c>
      <c r="Y17" s="106">
        <f>_xlfn.XLOOKUP($B:$B,'Compilado 2023'!$B:$B,'Compilado 2023'!Z:Z)</f>
        <v>0</v>
      </c>
      <c r="Z17" s="38"/>
      <c r="AA17" s="107" t="str">
        <f>_xlfn.XLOOKUP($B:$B,'Compilado 2023'!$B:$B,'Compilado 2023'!AA:AA)</f>
        <v>Dia das Mães 2023</v>
      </c>
    </row>
    <row r="18" spans="1:27" s="2" customFormat="1" x14ac:dyDescent="0.2">
      <c r="A18" s="16" t="str">
        <f t="shared" si="0"/>
        <v>segunda-feira</v>
      </c>
      <c r="B18" s="17">
        <f t="shared" si="6"/>
        <v>45061</v>
      </c>
      <c r="C18" s="19">
        <f t="shared" si="3"/>
        <v>157142.85999999999</v>
      </c>
      <c r="D18" s="35">
        <f>_xlfn.XLOOKUP($B:$B,'Compilado 2023'!$B:$B,'Compilado 2023'!D:D)</f>
        <v>157142.85999999999</v>
      </c>
      <c r="E18" s="35">
        <f>_xlfn.XLOOKUP($B:$B,'Compilado 2023'!$B:$B,'Compilado 2023'!E:E)</f>
        <v>0</v>
      </c>
      <c r="F18" s="18">
        <f>_xlfn.XLOOKUP($B:$B,'Compilado 2023'!$B:$B,'Compilado 2023'!F:F)</f>
        <v>653</v>
      </c>
      <c r="G18" s="18">
        <f>_xlfn.XLOOKUP($B:$B,'Compilado 2023'!$B:$B,'Compilado 2023'!G:G)</f>
        <v>948</v>
      </c>
      <c r="H18" s="35">
        <f t="shared" si="4"/>
        <v>240.64756508422661</v>
      </c>
      <c r="I18" s="19">
        <f t="shared" si="5"/>
        <v>972.27290322580654</v>
      </c>
      <c r="J18" s="122">
        <f t="shared" si="1"/>
        <v>161.62423068526491</v>
      </c>
      <c r="K18" s="18">
        <f>_xlfn.XLOOKUP($B:$B,'Compilado 2023'!$B:$B,'Compilado 2023'!K:K)</f>
        <v>8833</v>
      </c>
      <c r="L18" s="54">
        <f t="shared" si="2"/>
        <v>7.3927318012000448E-2</v>
      </c>
      <c r="M18" s="38"/>
      <c r="N18" s="106">
        <f>_xlfn.XLOOKUP($B:$B,'Compilado 2023'!$B:$B,'Compilado 2023'!N:N)</f>
        <v>720.2</v>
      </c>
      <c r="O18" s="106">
        <f>_xlfn.XLOOKUP($B:$B,'Compilado 2023'!$B:$B,'Compilado 2023'!O:O)</f>
        <v>197.7</v>
      </c>
      <c r="P18" s="106">
        <f>_xlfn.XLOOKUP($B:$B,'Compilado 2023'!$B:$B,'Compilado 2023'!P:P)</f>
        <v>0</v>
      </c>
      <c r="Q18" s="106">
        <f>_xlfn.XLOOKUP($B:$B,'Compilado 2023'!$B:$B,'Compilado 2023'!Q:Q)</f>
        <v>51.612903225806448</v>
      </c>
      <c r="R18" s="106">
        <f>_xlfn.XLOOKUP($B:$B,'Compilado 2023'!$B:$B,'Compilado 2023'!R:R)</f>
        <v>2.76</v>
      </c>
      <c r="S18" s="106">
        <f>_xlfn.XLOOKUP($B:$B,'Compilado 2023'!$B:$B,'Compilado 2023'!S:S)</f>
        <v>0</v>
      </c>
      <c r="T18" s="106">
        <f>_xlfn.XLOOKUP($B:$B,'Compilado 2023'!$B:$B,'Compilado 2023'!U:U)</f>
        <v>0</v>
      </c>
      <c r="U18" s="106">
        <f>_xlfn.XLOOKUP($B:$B,'Compilado 2023'!$B:$B,'Compilado 2023'!V:V)</f>
        <v>0</v>
      </c>
      <c r="V18" s="57"/>
      <c r="W18" s="106">
        <f>_xlfn.XLOOKUP($B:$B,'Compilado 2023'!$B:$B,'Compilado 2023'!X:X)</f>
        <v>0</v>
      </c>
      <c r="X18" s="106">
        <f>_xlfn.XLOOKUP($B:$B,'Compilado 2023'!$B:$B,'Compilado 2023'!Y:Y)</f>
        <v>0</v>
      </c>
      <c r="Y18" s="106">
        <f>_xlfn.XLOOKUP($B:$B,'Compilado 2023'!$B:$B,'Compilado 2023'!Z:Z)</f>
        <v>0</v>
      </c>
      <c r="Z18" s="38"/>
      <c r="AA18" s="107" t="str">
        <f>_xlfn.XLOOKUP($B:$B,'Compilado 2023'!$B:$B,'Compilado 2023'!AA:AA)</f>
        <v xml:space="preserve">Ativou Voucher Experience Shopping Ibirapuera </v>
      </c>
    </row>
    <row r="19" spans="1:27" s="2" customFormat="1" x14ac:dyDescent="0.2">
      <c r="A19" s="16" t="str">
        <f t="shared" si="0"/>
        <v>terça-feira</v>
      </c>
      <c r="B19" s="17">
        <f t="shared" si="6"/>
        <v>45062</v>
      </c>
      <c r="C19" s="19">
        <f t="shared" si="3"/>
        <v>129970.04</v>
      </c>
      <c r="D19" s="35">
        <f>_xlfn.XLOOKUP($B:$B,'Compilado 2023'!$B:$B,'Compilado 2023'!D:D)</f>
        <v>129970.04</v>
      </c>
      <c r="E19" s="35">
        <f>_xlfn.XLOOKUP($B:$B,'Compilado 2023'!$B:$B,'Compilado 2023'!E:E)</f>
        <v>0</v>
      </c>
      <c r="F19" s="18">
        <f>_xlfn.XLOOKUP($B:$B,'Compilado 2023'!$B:$B,'Compilado 2023'!F:F)</f>
        <v>619</v>
      </c>
      <c r="G19" s="18">
        <f>_xlfn.XLOOKUP($B:$B,'Compilado 2023'!$B:$B,'Compilado 2023'!G:G)</f>
        <v>872</v>
      </c>
      <c r="H19" s="35">
        <f t="shared" si="4"/>
        <v>209.96775444264944</v>
      </c>
      <c r="I19" s="19">
        <f t="shared" si="5"/>
        <v>1020.8829032258064</v>
      </c>
      <c r="J19" s="122">
        <f t="shared" si="1"/>
        <v>127.31140818336563</v>
      </c>
      <c r="K19" s="18">
        <f>_xlfn.XLOOKUP($B:$B,'Compilado 2023'!$B:$B,'Compilado 2023'!K:K)</f>
        <v>7942</v>
      </c>
      <c r="L19" s="54">
        <f t="shared" si="2"/>
        <v>7.7940065474691511E-2</v>
      </c>
      <c r="M19" s="38"/>
      <c r="N19" s="106">
        <f>_xlfn.XLOOKUP($B:$B,'Compilado 2023'!$B:$B,'Compilado 2023'!N:N)</f>
        <v>680.41</v>
      </c>
      <c r="O19" s="106">
        <f>_xlfn.XLOOKUP($B:$B,'Compilado 2023'!$B:$B,'Compilado 2023'!O:O)</f>
        <v>287.60000000000002</v>
      </c>
      <c r="P19" s="106">
        <f>_xlfn.XLOOKUP($B:$B,'Compilado 2023'!$B:$B,'Compilado 2023'!P:P)</f>
        <v>0</v>
      </c>
      <c r="Q19" s="106">
        <f>_xlfn.XLOOKUP($B:$B,'Compilado 2023'!$B:$B,'Compilado 2023'!Q:Q)</f>
        <v>51.612903225806448</v>
      </c>
      <c r="R19" s="106">
        <f>_xlfn.XLOOKUP($B:$B,'Compilado 2023'!$B:$B,'Compilado 2023'!R:R)</f>
        <v>1.26</v>
      </c>
      <c r="S19" s="106">
        <f>_xlfn.XLOOKUP($B:$B,'Compilado 2023'!$B:$B,'Compilado 2023'!S:S)</f>
        <v>0</v>
      </c>
      <c r="T19" s="106">
        <f>_xlfn.XLOOKUP($B:$B,'Compilado 2023'!$B:$B,'Compilado 2023'!U:U)</f>
        <v>0</v>
      </c>
      <c r="U19" s="106">
        <f>_xlfn.XLOOKUP($B:$B,'Compilado 2023'!$B:$B,'Compilado 2023'!V:V)</f>
        <v>0</v>
      </c>
      <c r="V19" s="57"/>
      <c r="W19" s="106">
        <f>_xlfn.XLOOKUP($B:$B,'Compilado 2023'!$B:$B,'Compilado 2023'!X:X)</f>
        <v>0</v>
      </c>
      <c r="X19" s="106">
        <f>_xlfn.XLOOKUP($B:$B,'Compilado 2023'!$B:$B,'Compilado 2023'!Y:Y)</f>
        <v>0</v>
      </c>
      <c r="Y19" s="106">
        <f>_xlfn.XLOOKUP($B:$B,'Compilado 2023'!$B:$B,'Compilado 2023'!Z:Z)</f>
        <v>0</v>
      </c>
      <c r="Z19" s="38"/>
      <c r="AA19" s="107">
        <f>_xlfn.XLOOKUP($B:$B,'Compilado 2023'!$B:$B,'Compilado 2023'!AA:AA)</f>
        <v>0</v>
      </c>
    </row>
    <row r="20" spans="1:27" x14ac:dyDescent="0.2">
      <c r="A20" s="16" t="str">
        <f t="shared" si="0"/>
        <v>quarta-feira</v>
      </c>
      <c r="B20" s="17">
        <f t="shared" si="6"/>
        <v>45063</v>
      </c>
      <c r="C20" s="19">
        <f t="shared" si="3"/>
        <v>82948.320000000007</v>
      </c>
      <c r="D20" s="35">
        <f>_xlfn.XLOOKUP($B:$B,'Compilado 2023'!$B:$B,'Compilado 2023'!D:D)</f>
        <v>82948.320000000007</v>
      </c>
      <c r="E20" s="35">
        <f>_xlfn.XLOOKUP($B:$B,'Compilado 2023'!$B:$B,'Compilado 2023'!E:E)</f>
        <v>0</v>
      </c>
      <c r="F20" s="18">
        <f>_xlfn.XLOOKUP($B:$B,'Compilado 2023'!$B:$B,'Compilado 2023'!F:F)</f>
        <v>333</v>
      </c>
      <c r="G20" s="18">
        <f>_xlfn.XLOOKUP($B:$B,'Compilado 2023'!$B:$B,'Compilado 2023'!G:G)</f>
        <v>412</v>
      </c>
      <c r="H20" s="35">
        <f t="shared" si="4"/>
        <v>249.09405405405408</v>
      </c>
      <c r="I20" s="19">
        <f t="shared" si="5"/>
        <v>855.6929032258065</v>
      </c>
      <c r="J20" s="122">
        <f t="shared" si="1"/>
        <v>96.937019913686257</v>
      </c>
      <c r="K20" s="18">
        <f>_xlfn.XLOOKUP($B:$B,'Compilado 2023'!$B:$B,'Compilado 2023'!K:K)</f>
        <v>6354</v>
      </c>
      <c r="L20" s="54">
        <f t="shared" si="2"/>
        <v>5.2407932011331447E-2</v>
      </c>
      <c r="M20" s="38"/>
      <c r="N20" s="106">
        <f>_xlfn.XLOOKUP($B:$B,'Compilado 2023'!$B:$B,'Compilado 2023'!N:N)</f>
        <v>632.01</v>
      </c>
      <c r="O20" s="106">
        <f>_xlfn.XLOOKUP($B:$B,'Compilado 2023'!$B:$B,'Compilado 2023'!O:O)</f>
        <v>168.73</v>
      </c>
      <c r="P20" s="106">
        <f>_xlfn.XLOOKUP($B:$B,'Compilado 2023'!$B:$B,'Compilado 2023'!P:P)</f>
        <v>0</v>
      </c>
      <c r="Q20" s="106">
        <f>_xlfn.XLOOKUP($B:$B,'Compilado 2023'!$B:$B,'Compilado 2023'!Q:Q)</f>
        <v>51.612903225806448</v>
      </c>
      <c r="R20" s="106">
        <f>_xlfn.XLOOKUP($B:$B,'Compilado 2023'!$B:$B,'Compilado 2023'!R:R)</f>
        <v>3.34</v>
      </c>
      <c r="S20" s="106">
        <f>_xlfn.XLOOKUP($B:$B,'Compilado 2023'!$B:$B,'Compilado 2023'!S:S)</f>
        <v>0</v>
      </c>
      <c r="T20" s="106">
        <f>_xlfn.XLOOKUP($B:$B,'Compilado 2023'!$B:$B,'Compilado 2023'!U:U)</f>
        <v>0</v>
      </c>
      <c r="U20" s="106">
        <f>_xlfn.XLOOKUP($B:$B,'Compilado 2023'!$B:$B,'Compilado 2023'!V:V)</f>
        <v>0</v>
      </c>
      <c r="V20" s="57"/>
      <c r="W20" s="106">
        <f>_xlfn.XLOOKUP($B:$B,'Compilado 2023'!$B:$B,'Compilado 2023'!X:X)</f>
        <v>0</v>
      </c>
      <c r="X20" s="106">
        <f>_xlfn.XLOOKUP($B:$B,'Compilado 2023'!$B:$B,'Compilado 2023'!Y:Y)</f>
        <v>0</v>
      </c>
      <c r="Y20" s="106">
        <f>_xlfn.XLOOKUP($B:$B,'Compilado 2023'!$B:$B,'Compilado 2023'!Z:Z)</f>
        <v>0</v>
      </c>
      <c r="Z20" s="38"/>
      <c r="AA20" s="107" t="str">
        <f>_xlfn.XLOOKUP($B:$B,'Compilado 2023'!$B:$B,'Compilado 2023'!AA:AA)</f>
        <v>Encerrou Voucher Experience Shopping Ibirapuera</v>
      </c>
    </row>
    <row r="21" spans="1:27" x14ac:dyDescent="0.2">
      <c r="A21" s="16" t="str">
        <f t="shared" si="0"/>
        <v>quinta-feira</v>
      </c>
      <c r="B21" s="17">
        <f t="shared" si="6"/>
        <v>45064</v>
      </c>
      <c r="C21" s="19">
        <f t="shared" si="3"/>
        <v>56528.28</v>
      </c>
      <c r="D21" s="35">
        <f>_xlfn.XLOOKUP($B:$B,'Compilado 2023'!$B:$B,'Compilado 2023'!D:D)</f>
        <v>56505.78</v>
      </c>
      <c r="E21" s="35">
        <f>_xlfn.XLOOKUP($B:$B,'Compilado 2023'!$B:$B,'Compilado 2023'!E:E)</f>
        <v>22.5</v>
      </c>
      <c r="F21" s="18">
        <f>_xlfn.XLOOKUP($B:$B,'Compilado 2023'!$B:$B,'Compilado 2023'!F:F)</f>
        <v>213</v>
      </c>
      <c r="G21" s="18">
        <f>_xlfn.XLOOKUP($B:$B,'Compilado 2023'!$B:$B,'Compilado 2023'!G:G)</f>
        <v>239</v>
      </c>
      <c r="H21" s="35">
        <f t="shared" si="4"/>
        <v>265.39098591549293</v>
      </c>
      <c r="I21" s="19">
        <f t="shared" si="5"/>
        <v>674.54290322580653</v>
      </c>
      <c r="J21" s="122">
        <f t="shared" si="1"/>
        <v>83.802349308946603</v>
      </c>
      <c r="K21" s="18">
        <f>_xlfn.XLOOKUP($B:$B,'Compilado 2023'!$B:$B,'Compilado 2023'!K:K)</f>
        <v>5749</v>
      </c>
      <c r="L21" s="54">
        <f t="shared" si="2"/>
        <v>3.7049921725517479E-2</v>
      </c>
      <c r="M21" s="38"/>
      <c r="N21" s="106">
        <f>_xlfn.XLOOKUP($B:$B,'Compilado 2023'!$B:$B,'Compilado 2023'!N:N)</f>
        <v>426.97</v>
      </c>
      <c r="O21" s="106">
        <f>_xlfn.XLOOKUP($B:$B,'Compilado 2023'!$B:$B,'Compilado 2023'!O:O)</f>
        <v>194.51</v>
      </c>
      <c r="P21" s="106">
        <f>_xlfn.XLOOKUP($B:$B,'Compilado 2023'!$B:$B,'Compilado 2023'!P:P)</f>
        <v>0</v>
      </c>
      <c r="Q21" s="106">
        <f>_xlfn.XLOOKUP($B:$B,'Compilado 2023'!$B:$B,'Compilado 2023'!Q:Q)</f>
        <v>51.612903225806448</v>
      </c>
      <c r="R21" s="106">
        <f>_xlfn.XLOOKUP($B:$B,'Compilado 2023'!$B:$B,'Compilado 2023'!R:R)</f>
        <v>1.45</v>
      </c>
      <c r="S21" s="106">
        <f>_xlfn.XLOOKUP($B:$B,'Compilado 2023'!$B:$B,'Compilado 2023'!S:S)</f>
        <v>0</v>
      </c>
      <c r="T21" s="106">
        <f>_xlfn.XLOOKUP($B:$B,'Compilado 2023'!$B:$B,'Compilado 2023'!U:U)</f>
        <v>0</v>
      </c>
      <c r="U21" s="106">
        <f>_xlfn.XLOOKUP($B:$B,'Compilado 2023'!$B:$B,'Compilado 2023'!V:V)</f>
        <v>0</v>
      </c>
      <c r="V21" s="57"/>
      <c r="W21" s="106">
        <f>_xlfn.XLOOKUP($B:$B,'Compilado 2023'!$B:$B,'Compilado 2023'!X:X)</f>
        <v>0</v>
      </c>
      <c r="X21" s="106">
        <f>_xlfn.XLOOKUP($B:$B,'Compilado 2023'!$B:$B,'Compilado 2023'!Y:Y)</f>
        <v>0</v>
      </c>
      <c r="Y21" s="106">
        <f>_xlfn.XLOOKUP($B:$B,'Compilado 2023'!$B:$B,'Compilado 2023'!Z:Z)</f>
        <v>0</v>
      </c>
      <c r="Z21" s="38"/>
      <c r="AA21" s="107">
        <f>_xlfn.XLOOKUP($B:$B,'Compilado 2023'!$B:$B,'Compilado 2023'!AA:AA)</f>
        <v>0</v>
      </c>
    </row>
    <row r="22" spans="1:27" s="2" customFormat="1" x14ac:dyDescent="0.2">
      <c r="A22" s="16" t="str">
        <f t="shared" si="0"/>
        <v>sexta-feira</v>
      </c>
      <c r="B22" s="17">
        <f t="shared" si="6"/>
        <v>45065</v>
      </c>
      <c r="C22" s="19">
        <f t="shared" si="3"/>
        <v>80530.759999999995</v>
      </c>
      <c r="D22" s="35">
        <f>_xlfn.XLOOKUP($B:$B,'Compilado 2023'!$B:$B,'Compilado 2023'!D:D)</f>
        <v>80530.759999999995</v>
      </c>
      <c r="E22" s="35">
        <f>_xlfn.XLOOKUP($B:$B,'Compilado 2023'!$B:$B,'Compilado 2023'!E:E)</f>
        <v>0</v>
      </c>
      <c r="F22" s="18">
        <f>_xlfn.XLOOKUP($B:$B,'Compilado 2023'!$B:$B,'Compilado 2023'!F:F)</f>
        <v>241</v>
      </c>
      <c r="G22" s="18">
        <f>_xlfn.XLOOKUP($B:$B,'Compilado 2023'!$B:$B,'Compilado 2023'!G:G)</f>
        <v>306</v>
      </c>
      <c r="H22" s="35">
        <f t="shared" si="4"/>
        <v>334.1525311203319</v>
      </c>
      <c r="I22" s="19">
        <f t="shared" si="5"/>
        <v>510.41290322580647</v>
      </c>
      <c r="J22" s="122">
        <f t="shared" si="1"/>
        <v>157.77571352731499</v>
      </c>
      <c r="K22" s="18">
        <f>_xlfn.XLOOKUP($B:$B,'Compilado 2023'!$B:$B,'Compilado 2023'!K:K)</f>
        <v>5291</v>
      </c>
      <c r="L22" s="54">
        <f t="shared" si="2"/>
        <v>4.5549045549045548E-2</v>
      </c>
      <c r="M22" s="38"/>
      <c r="N22" s="106">
        <f>_xlfn.XLOOKUP($B:$B,'Compilado 2023'!$B:$B,'Compilado 2023'!N:N)</f>
        <v>361.34</v>
      </c>
      <c r="O22" s="106">
        <f>_xlfn.XLOOKUP($B:$B,'Compilado 2023'!$B:$B,'Compilado 2023'!O:O)</f>
        <v>96.03</v>
      </c>
      <c r="P22" s="106">
        <f>_xlfn.XLOOKUP($B:$B,'Compilado 2023'!$B:$B,'Compilado 2023'!P:P)</f>
        <v>0</v>
      </c>
      <c r="Q22" s="106">
        <f>_xlfn.XLOOKUP($B:$B,'Compilado 2023'!$B:$B,'Compilado 2023'!Q:Q)</f>
        <v>51.612903225806448</v>
      </c>
      <c r="R22" s="106">
        <f>_xlfn.XLOOKUP($B:$B,'Compilado 2023'!$B:$B,'Compilado 2023'!R:R)</f>
        <v>1.43</v>
      </c>
      <c r="S22" s="106">
        <f>_xlfn.XLOOKUP($B:$B,'Compilado 2023'!$B:$B,'Compilado 2023'!S:S)</f>
        <v>0</v>
      </c>
      <c r="T22" s="106">
        <f>_xlfn.XLOOKUP($B:$B,'Compilado 2023'!$B:$B,'Compilado 2023'!U:U)</f>
        <v>0</v>
      </c>
      <c r="U22" s="106">
        <f>_xlfn.XLOOKUP($B:$B,'Compilado 2023'!$B:$B,'Compilado 2023'!V:V)</f>
        <v>0</v>
      </c>
      <c r="V22" s="57"/>
      <c r="W22" s="106">
        <f>_xlfn.XLOOKUP($B:$B,'Compilado 2023'!$B:$B,'Compilado 2023'!X:X)</f>
        <v>0</v>
      </c>
      <c r="X22" s="106">
        <f>_xlfn.XLOOKUP($B:$B,'Compilado 2023'!$B:$B,'Compilado 2023'!Y:Y)</f>
        <v>0</v>
      </c>
      <c r="Y22" s="106">
        <f>_xlfn.XLOOKUP($B:$B,'Compilado 2023'!$B:$B,'Compilado 2023'!Z:Z)</f>
        <v>0</v>
      </c>
      <c r="Z22" s="38"/>
      <c r="AA22" s="107" t="str">
        <f>_xlfn.XLOOKUP($B:$B,'Compilado 2023'!$B:$B,'Compilado 2023'!AA:AA)</f>
        <v xml:space="preserve">Ativou novos banners na Home (Teste genético / Spa e Mães) </v>
      </c>
    </row>
    <row r="23" spans="1:27" s="2" customFormat="1" x14ac:dyDescent="0.2">
      <c r="A23" s="16" t="str">
        <f t="shared" si="0"/>
        <v>sábado</v>
      </c>
      <c r="B23" s="17">
        <f t="shared" si="6"/>
        <v>45066</v>
      </c>
      <c r="C23" s="19">
        <f t="shared" si="3"/>
        <v>39327.93</v>
      </c>
      <c r="D23" s="35">
        <f>_xlfn.XLOOKUP($B:$B,'Compilado 2023'!$B:$B,'Compilado 2023'!D:D)</f>
        <v>39327.93</v>
      </c>
      <c r="E23" s="35">
        <f>_xlfn.XLOOKUP($B:$B,'Compilado 2023'!$B:$B,'Compilado 2023'!E:E)</f>
        <v>0</v>
      </c>
      <c r="F23" s="18">
        <f>_xlfn.XLOOKUP($B:$B,'Compilado 2023'!$B:$B,'Compilado 2023'!F:F)</f>
        <v>161</v>
      </c>
      <c r="G23" s="18">
        <f>_xlfn.XLOOKUP($B:$B,'Compilado 2023'!$B:$B,'Compilado 2023'!G:G)</f>
        <v>168</v>
      </c>
      <c r="H23" s="35">
        <f t="shared" si="4"/>
        <v>244.27285714285713</v>
      </c>
      <c r="I23" s="19">
        <f t="shared" si="5"/>
        <v>530.11290322580635</v>
      </c>
      <c r="J23" s="122">
        <f t="shared" si="1"/>
        <v>74.187837648705397</v>
      </c>
      <c r="K23" s="18">
        <f>_xlfn.XLOOKUP($B:$B,'Compilado 2023'!$B:$B,'Compilado 2023'!K:K)</f>
        <v>3979</v>
      </c>
      <c r="L23" s="54">
        <f t="shared" si="2"/>
        <v>4.046242774566474E-2</v>
      </c>
      <c r="M23" s="38"/>
      <c r="N23" s="106">
        <f>_xlfn.XLOOKUP($B:$B,'Compilado 2023'!$B:$B,'Compilado 2023'!N:N)</f>
        <v>372.43</v>
      </c>
      <c r="O23" s="106">
        <f>_xlfn.XLOOKUP($B:$B,'Compilado 2023'!$B:$B,'Compilado 2023'!O:O)</f>
        <v>104.64</v>
      </c>
      <c r="P23" s="106">
        <f>_xlfn.XLOOKUP($B:$B,'Compilado 2023'!$B:$B,'Compilado 2023'!P:P)</f>
        <v>0</v>
      </c>
      <c r="Q23" s="106">
        <f>_xlfn.XLOOKUP($B:$B,'Compilado 2023'!$B:$B,'Compilado 2023'!Q:Q)</f>
        <v>51.612903225806448</v>
      </c>
      <c r="R23" s="106">
        <f>_xlfn.XLOOKUP($B:$B,'Compilado 2023'!$B:$B,'Compilado 2023'!R:R)</f>
        <v>1.43</v>
      </c>
      <c r="S23" s="106">
        <f>_xlfn.XLOOKUP($B:$B,'Compilado 2023'!$B:$B,'Compilado 2023'!S:S)</f>
        <v>0</v>
      </c>
      <c r="T23" s="106">
        <f>_xlfn.XLOOKUP($B:$B,'Compilado 2023'!$B:$B,'Compilado 2023'!U:U)</f>
        <v>0</v>
      </c>
      <c r="U23" s="106">
        <f>_xlfn.XLOOKUP($B:$B,'Compilado 2023'!$B:$B,'Compilado 2023'!V:V)</f>
        <v>0</v>
      </c>
      <c r="V23" s="57"/>
      <c r="W23" s="106">
        <f>_xlfn.XLOOKUP($B:$B,'Compilado 2023'!$B:$B,'Compilado 2023'!X:X)</f>
        <v>0</v>
      </c>
      <c r="X23" s="106">
        <f>_xlfn.XLOOKUP($B:$B,'Compilado 2023'!$B:$B,'Compilado 2023'!Y:Y)</f>
        <v>0</v>
      </c>
      <c r="Y23" s="106">
        <f>_xlfn.XLOOKUP($B:$B,'Compilado 2023'!$B:$B,'Compilado 2023'!Z:Z)</f>
        <v>0</v>
      </c>
      <c r="Z23" s="38"/>
      <c r="AA23" s="107">
        <f>_xlfn.XLOOKUP($B:$B,'Compilado 2023'!$B:$B,'Compilado 2023'!AA:AA)</f>
        <v>0</v>
      </c>
    </row>
    <row r="24" spans="1:27" s="2" customFormat="1" x14ac:dyDescent="0.2">
      <c r="A24" s="16" t="str">
        <f t="shared" si="0"/>
        <v>domingo</v>
      </c>
      <c r="B24" s="17">
        <f t="shared" si="6"/>
        <v>45067</v>
      </c>
      <c r="C24" s="19">
        <f t="shared" si="3"/>
        <v>32806.550000000003</v>
      </c>
      <c r="D24" s="35">
        <f>_xlfn.XLOOKUP($B:$B,'Compilado 2023'!$B:$B,'Compilado 2023'!D:D)</f>
        <v>32806.550000000003</v>
      </c>
      <c r="E24" s="35">
        <f>_xlfn.XLOOKUP($B:$B,'Compilado 2023'!$B:$B,'Compilado 2023'!E:E)</f>
        <v>0</v>
      </c>
      <c r="F24" s="18">
        <f>_xlfn.XLOOKUP($B:$B,'Compilado 2023'!$B:$B,'Compilado 2023'!F:F)</f>
        <v>119</v>
      </c>
      <c r="G24" s="18">
        <f>_xlfn.XLOOKUP($B:$B,'Compilado 2023'!$B:$B,'Compilado 2023'!G:G)</f>
        <v>136</v>
      </c>
      <c r="H24" s="35">
        <f t="shared" si="4"/>
        <v>275.68529411764706</v>
      </c>
      <c r="I24" s="19">
        <f t="shared" si="5"/>
        <v>453.2629032258065</v>
      </c>
      <c r="J24" s="122">
        <f t="shared" si="1"/>
        <v>72.378634488992006</v>
      </c>
      <c r="K24" s="18">
        <f>_xlfn.XLOOKUP($B:$B,'Compilado 2023'!$B:$B,'Compilado 2023'!K:K)</f>
        <v>3383</v>
      </c>
      <c r="L24" s="54">
        <f t="shared" si="2"/>
        <v>3.5175879396984924E-2</v>
      </c>
      <c r="M24" s="38"/>
      <c r="N24" s="106">
        <f>_xlfn.XLOOKUP($B:$B,'Compilado 2023'!$B:$B,'Compilado 2023'!N:N)</f>
        <v>297.41000000000003</v>
      </c>
      <c r="O24" s="106">
        <f>_xlfn.XLOOKUP($B:$B,'Compilado 2023'!$B:$B,'Compilado 2023'!O:O)</f>
        <v>101.63</v>
      </c>
      <c r="P24" s="106">
        <f>_xlfn.XLOOKUP($B:$B,'Compilado 2023'!$B:$B,'Compilado 2023'!P:P)</f>
        <v>0</v>
      </c>
      <c r="Q24" s="106">
        <f>_xlfn.XLOOKUP($B:$B,'Compilado 2023'!$B:$B,'Compilado 2023'!Q:Q)</f>
        <v>51.612903225806448</v>
      </c>
      <c r="R24" s="106">
        <f>_xlfn.XLOOKUP($B:$B,'Compilado 2023'!$B:$B,'Compilado 2023'!R:R)</f>
        <v>2.61</v>
      </c>
      <c r="S24" s="106">
        <f>_xlfn.XLOOKUP($B:$B,'Compilado 2023'!$B:$B,'Compilado 2023'!S:S)</f>
        <v>0</v>
      </c>
      <c r="T24" s="106">
        <f>_xlfn.XLOOKUP($B:$B,'Compilado 2023'!$B:$B,'Compilado 2023'!U:U)</f>
        <v>0</v>
      </c>
      <c r="U24" s="106">
        <f>_xlfn.XLOOKUP($B:$B,'Compilado 2023'!$B:$B,'Compilado 2023'!V:V)</f>
        <v>0</v>
      </c>
      <c r="V24" s="57"/>
      <c r="W24" s="106">
        <f>_xlfn.XLOOKUP($B:$B,'Compilado 2023'!$B:$B,'Compilado 2023'!X:X)</f>
        <v>0</v>
      </c>
      <c r="X24" s="106">
        <f>_xlfn.XLOOKUP($B:$B,'Compilado 2023'!$B:$B,'Compilado 2023'!Y:Y)</f>
        <v>0</v>
      </c>
      <c r="Y24" s="106">
        <f>_xlfn.XLOOKUP($B:$B,'Compilado 2023'!$B:$B,'Compilado 2023'!Z:Z)</f>
        <v>0</v>
      </c>
      <c r="Z24" s="38"/>
      <c r="AA24" s="107">
        <f>_xlfn.XLOOKUP($B:$B,'Compilado 2023'!$B:$B,'Compilado 2023'!AA:AA)</f>
        <v>0</v>
      </c>
    </row>
    <row r="25" spans="1:27" s="2" customFormat="1" x14ac:dyDescent="0.2">
      <c r="A25" s="16" t="str">
        <f t="shared" si="0"/>
        <v>segunda-feira</v>
      </c>
      <c r="B25" s="17">
        <f t="shared" si="6"/>
        <v>45068</v>
      </c>
      <c r="C25" s="19">
        <f t="shared" si="3"/>
        <v>73944.570000000007</v>
      </c>
      <c r="D25" s="35">
        <f>_xlfn.XLOOKUP($B:$B,'Compilado 2023'!$B:$B,'Compilado 2023'!D:D)</f>
        <v>73944.570000000007</v>
      </c>
      <c r="E25" s="35">
        <f>_xlfn.XLOOKUP($B:$B,'Compilado 2023'!$B:$B,'Compilado 2023'!E:E)</f>
        <v>0</v>
      </c>
      <c r="F25" s="18">
        <f>_xlfn.XLOOKUP($B:$B,'Compilado 2023'!$B:$B,'Compilado 2023'!F:F)</f>
        <v>230</v>
      </c>
      <c r="G25" s="18">
        <f>_xlfn.XLOOKUP($B:$B,'Compilado 2023'!$B:$B,'Compilado 2023'!G:G)</f>
        <v>273</v>
      </c>
      <c r="H25" s="35">
        <f t="shared" si="4"/>
        <v>321.49813043478264</v>
      </c>
      <c r="I25" s="19">
        <f t="shared" si="5"/>
        <v>517.82290322580639</v>
      </c>
      <c r="J25" s="122">
        <f t="shared" si="1"/>
        <v>142.7989560511098</v>
      </c>
      <c r="K25" s="18">
        <f>_xlfn.XLOOKUP($B:$B,'Compilado 2023'!$B:$B,'Compilado 2023'!K:K)</f>
        <v>5743</v>
      </c>
      <c r="L25" s="54">
        <f t="shared" si="2"/>
        <v>4.0048755006094373E-2</v>
      </c>
      <c r="M25" s="38"/>
      <c r="N25" s="106">
        <f>_xlfn.XLOOKUP($B:$B,'Compilado 2023'!$B:$B,'Compilado 2023'!N:N)</f>
        <v>346.89</v>
      </c>
      <c r="O25" s="106">
        <f>_xlfn.XLOOKUP($B:$B,'Compilado 2023'!$B:$B,'Compilado 2023'!O:O)</f>
        <v>119.32</v>
      </c>
      <c r="P25" s="106">
        <f>_xlfn.XLOOKUP($B:$B,'Compilado 2023'!$B:$B,'Compilado 2023'!P:P)</f>
        <v>0</v>
      </c>
      <c r="Q25" s="106">
        <f>_xlfn.XLOOKUP($B:$B,'Compilado 2023'!$B:$B,'Compilado 2023'!Q:Q)</f>
        <v>51.612903225806448</v>
      </c>
      <c r="R25" s="106">
        <f>_xlfn.XLOOKUP($B:$B,'Compilado 2023'!$B:$B,'Compilado 2023'!R:R)</f>
        <v>0</v>
      </c>
      <c r="S25" s="106">
        <f>_xlfn.XLOOKUP($B:$B,'Compilado 2023'!$B:$B,'Compilado 2023'!S:S)</f>
        <v>0</v>
      </c>
      <c r="T25" s="106">
        <f>_xlfn.XLOOKUP($B:$B,'Compilado 2023'!$B:$B,'Compilado 2023'!U:U)</f>
        <v>0</v>
      </c>
      <c r="U25" s="106">
        <f>_xlfn.XLOOKUP($B:$B,'Compilado 2023'!$B:$B,'Compilado 2023'!V:V)</f>
        <v>0</v>
      </c>
      <c r="V25" s="57"/>
      <c r="W25" s="106">
        <f>_xlfn.XLOOKUP($B:$B,'Compilado 2023'!$B:$B,'Compilado 2023'!X:X)</f>
        <v>0</v>
      </c>
      <c r="X25" s="106">
        <f>_xlfn.XLOOKUP($B:$B,'Compilado 2023'!$B:$B,'Compilado 2023'!Y:Y)</f>
        <v>0</v>
      </c>
      <c r="Y25" s="106">
        <f>_xlfn.XLOOKUP($B:$B,'Compilado 2023'!$B:$B,'Compilado 2023'!Z:Z)</f>
        <v>0</v>
      </c>
      <c r="Z25" s="38"/>
      <c r="AA25" s="107" t="str">
        <f>_xlfn.XLOOKUP($B:$B,'Compilado 2023'!$B:$B,'Compilado 2023'!AA:AA)</f>
        <v xml:space="preserve">Inicio Sorteio de 50 Indian Head no instagram (Ativou banner na Home, e-mail e Insta). </v>
      </c>
    </row>
    <row r="26" spans="1:27" s="2" customFormat="1" x14ac:dyDescent="0.2">
      <c r="A26" s="16" t="str">
        <f t="shared" si="0"/>
        <v>terça-feira</v>
      </c>
      <c r="B26" s="17">
        <f t="shared" si="6"/>
        <v>45069</v>
      </c>
      <c r="C26" s="19">
        <f t="shared" si="3"/>
        <v>64301.17</v>
      </c>
      <c r="D26" s="35">
        <f>_xlfn.XLOOKUP($B:$B,'Compilado 2023'!$B:$B,'Compilado 2023'!D:D)</f>
        <v>64277.84</v>
      </c>
      <c r="E26" s="35">
        <f>_xlfn.XLOOKUP($B:$B,'Compilado 2023'!$B:$B,'Compilado 2023'!E:E)</f>
        <v>23.33</v>
      </c>
      <c r="F26" s="18">
        <f>_xlfn.XLOOKUP($B:$B,'Compilado 2023'!$B:$B,'Compilado 2023'!F:F)</f>
        <v>219</v>
      </c>
      <c r="G26" s="18">
        <f>_xlfn.XLOOKUP($B:$B,'Compilado 2023'!$B:$B,'Compilado 2023'!G:G)</f>
        <v>264</v>
      </c>
      <c r="H26" s="35">
        <f t="shared" si="4"/>
        <v>293.61264840182645</v>
      </c>
      <c r="I26" s="19">
        <f t="shared" si="5"/>
        <v>605.46290322580649</v>
      </c>
      <c r="J26" s="122">
        <f t="shared" si="1"/>
        <v>106.20166761235737</v>
      </c>
      <c r="K26" s="18">
        <f>_xlfn.XLOOKUP($B:$B,'Compilado 2023'!$B:$B,'Compilado 2023'!K:K)</f>
        <v>6136</v>
      </c>
      <c r="L26" s="54">
        <f t="shared" si="2"/>
        <v>3.5691003911342896E-2</v>
      </c>
      <c r="M26" s="38"/>
      <c r="N26" s="106">
        <f>_xlfn.XLOOKUP($B:$B,'Compilado 2023'!$B:$B,'Compilado 2023'!N:N)</f>
        <v>414.94</v>
      </c>
      <c r="O26" s="106">
        <f>_xlfn.XLOOKUP($B:$B,'Compilado 2023'!$B:$B,'Compilado 2023'!O:O)</f>
        <v>137.79</v>
      </c>
      <c r="P26" s="106">
        <f>_xlfn.XLOOKUP($B:$B,'Compilado 2023'!$B:$B,'Compilado 2023'!P:P)</f>
        <v>0</v>
      </c>
      <c r="Q26" s="106">
        <f>_xlfn.XLOOKUP($B:$B,'Compilado 2023'!$B:$B,'Compilado 2023'!Q:Q)</f>
        <v>51.612903225806448</v>
      </c>
      <c r="R26" s="106">
        <f>_xlfn.XLOOKUP($B:$B,'Compilado 2023'!$B:$B,'Compilado 2023'!R:R)</f>
        <v>1.1200000000000001</v>
      </c>
      <c r="S26" s="106">
        <f>_xlfn.XLOOKUP($B:$B,'Compilado 2023'!$B:$B,'Compilado 2023'!S:S)</f>
        <v>0</v>
      </c>
      <c r="T26" s="106">
        <f>_xlfn.XLOOKUP($B:$B,'Compilado 2023'!$B:$B,'Compilado 2023'!U:U)</f>
        <v>0</v>
      </c>
      <c r="U26" s="106">
        <f>_xlfn.XLOOKUP($B:$B,'Compilado 2023'!$B:$B,'Compilado 2023'!V:V)</f>
        <v>0</v>
      </c>
      <c r="V26" s="57"/>
      <c r="W26" s="106">
        <f>_xlfn.XLOOKUP($B:$B,'Compilado 2023'!$B:$B,'Compilado 2023'!X:X)</f>
        <v>0</v>
      </c>
      <c r="X26" s="106">
        <f>_xlfn.XLOOKUP($B:$B,'Compilado 2023'!$B:$B,'Compilado 2023'!Y:Y)</f>
        <v>0</v>
      </c>
      <c r="Y26" s="106">
        <f>_xlfn.XLOOKUP($B:$B,'Compilado 2023'!$B:$B,'Compilado 2023'!Z:Z)</f>
        <v>0</v>
      </c>
      <c r="Z26" s="38"/>
      <c r="AA26" s="107">
        <f>_xlfn.XLOOKUP($B:$B,'Compilado 2023'!$B:$B,'Compilado 2023'!AA:AA)</f>
        <v>0</v>
      </c>
    </row>
    <row r="27" spans="1:27" x14ac:dyDescent="0.2">
      <c r="A27" s="16" t="str">
        <f t="shared" si="0"/>
        <v>quarta-feira</v>
      </c>
      <c r="B27" s="17">
        <f t="shared" si="6"/>
        <v>45070</v>
      </c>
      <c r="C27" s="19">
        <f t="shared" si="3"/>
        <v>63601.87</v>
      </c>
      <c r="D27" s="35">
        <f>_xlfn.XLOOKUP($B:$B,'Compilado 2023'!$B:$B,'Compilado 2023'!D:D)</f>
        <v>63557.29</v>
      </c>
      <c r="E27" s="35">
        <f>_xlfn.XLOOKUP($B:$B,'Compilado 2023'!$B:$B,'Compilado 2023'!E:E)</f>
        <v>44.58</v>
      </c>
      <c r="F27" s="18">
        <f>_xlfn.XLOOKUP($B:$B,'Compilado 2023'!$B:$B,'Compilado 2023'!F:F)</f>
        <v>246</v>
      </c>
      <c r="G27" s="18">
        <f>_xlfn.XLOOKUP($B:$B,'Compilado 2023'!$B:$B,'Compilado 2023'!G:G)</f>
        <v>303</v>
      </c>
      <c r="H27" s="35">
        <f t="shared" si="4"/>
        <v>258.54418699186994</v>
      </c>
      <c r="I27" s="19">
        <f t="shared" si="5"/>
        <v>688.50290322580645</v>
      </c>
      <c r="J27" s="122">
        <f t="shared" si="1"/>
        <v>92.377054188166099</v>
      </c>
      <c r="K27" s="18">
        <f>_xlfn.XLOOKUP($B:$B,'Compilado 2023'!$B:$B,'Compilado 2023'!K:K)</f>
        <v>6345</v>
      </c>
      <c r="L27" s="54">
        <f t="shared" si="2"/>
        <v>3.8770685579196218E-2</v>
      </c>
      <c r="M27" s="38"/>
      <c r="N27" s="106">
        <f>_xlfn.XLOOKUP($B:$B,'Compilado 2023'!$B:$B,'Compilado 2023'!N:N)</f>
        <v>439.74</v>
      </c>
      <c r="O27" s="106">
        <f>_xlfn.XLOOKUP($B:$B,'Compilado 2023'!$B:$B,'Compilado 2023'!O:O)</f>
        <v>190.57</v>
      </c>
      <c r="P27" s="106">
        <f>_xlfn.XLOOKUP($B:$B,'Compilado 2023'!$B:$B,'Compilado 2023'!P:P)</f>
        <v>0</v>
      </c>
      <c r="Q27" s="106">
        <f>_xlfn.XLOOKUP($B:$B,'Compilado 2023'!$B:$B,'Compilado 2023'!Q:Q)</f>
        <v>51.612903225806448</v>
      </c>
      <c r="R27" s="106">
        <f>_xlfn.XLOOKUP($B:$B,'Compilado 2023'!$B:$B,'Compilado 2023'!R:R)</f>
        <v>6.58</v>
      </c>
      <c r="S27" s="106">
        <f>_xlfn.XLOOKUP($B:$B,'Compilado 2023'!$B:$B,'Compilado 2023'!S:S)</f>
        <v>0</v>
      </c>
      <c r="T27" s="106">
        <f>_xlfn.XLOOKUP($B:$B,'Compilado 2023'!$B:$B,'Compilado 2023'!U:U)</f>
        <v>0</v>
      </c>
      <c r="U27" s="106">
        <f>_xlfn.XLOOKUP($B:$B,'Compilado 2023'!$B:$B,'Compilado 2023'!V:V)</f>
        <v>0</v>
      </c>
      <c r="V27" s="57"/>
      <c r="W27" s="106">
        <f>_xlfn.XLOOKUP($B:$B,'Compilado 2023'!$B:$B,'Compilado 2023'!X:X)</f>
        <v>0</v>
      </c>
      <c r="X27" s="106">
        <f>_xlfn.XLOOKUP($B:$B,'Compilado 2023'!$B:$B,'Compilado 2023'!Y:Y)</f>
        <v>0</v>
      </c>
      <c r="Y27" s="106">
        <f>_xlfn.XLOOKUP($B:$B,'Compilado 2023'!$B:$B,'Compilado 2023'!Z:Z)</f>
        <v>0</v>
      </c>
      <c r="Z27" s="38"/>
      <c r="AA27" s="107" t="str">
        <f>_xlfn.XLOOKUP($B:$B,'Compilado 2023'!$B:$B,'Compilado 2023'!AA:AA)</f>
        <v>Inicio Voucher Experience Mogi das Cruzes</v>
      </c>
    </row>
    <row r="28" spans="1:27" x14ac:dyDescent="0.2">
      <c r="A28" s="16" t="str">
        <f t="shared" si="0"/>
        <v>quinta-feira</v>
      </c>
      <c r="B28" s="17">
        <f t="shared" si="6"/>
        <v>45071</v>
      </c>
      <c r="C28" s="19">
        <f t="shared" si="3"/>
        <v>76398.84</v>
      </c>
      <c r="D28" s="35">
        <f>_xlfn.XLOOKUP($B:$B,'Compilado 2023'!$B:$B,'Compilado 2023'!D:D)</f>
        <v>76398.84</v>
      </c>
      <c r="E28" s="35">
        <f>_xlfn.XLOOKUP($B:$B,'Compilado 2023'!$B:$B,'Compilado 2023'!E:E)</f>
        <v>0</v>
      </c>
      <c r="F28" s="18">
        <f>_xlfn.XLOOKUP($B:$B,'Compilado 2023'!$B:$B,'Compilado 2023'!F:F)</f>
        <v>273</v>
      </c>
      <c r="G28" s="18">
        <f>_xlfn.XLOOKUP($B:$B,'Compilado 2023'!$B:$B,'Compilado 2023'!G:G)</f>
        <v>391</v>
      </c>
      <c r="H28" s="35">
        <f t="shared" si="4"/>
        <v>279.84923076923076</v>
      </c>
      <c r="I28" s="19">
        <f t="shared" si="5"/>
        <v>771.01290322580644</v>
      </c>
      <c r="J28" s="122">
        <f t="shared" si="1"/>
        <v>99.088925334917619</v>
      </c>
      <c r="K28" s="18">
        <f>_xlfn.XLOOKUP($B:$B,'Compilado 2023'!$B:$B,'Compilado 2023'!K:K)</f>
        <v>6574</v>
      </c>
      <c r="L28" s="54">
        <f t="shared" si="2"/>
        <v>4.1527228475813811E-2</v>
      </c>
      <c r="M28" s="38"/>
      <c r="N28" s="106">
        <f>_xlfn.XLOOKUP($B:$B,'Compilado 2023'!$B:$B,'Compilado 2023'!N:N)</f>
        <v>483.56</v>
      </c>
      <c r="O28" s="106">
        <f>_xlfn.XLOOKUP($B:$B,'Compilado 2023'!$B:$B,'Compilado 2023'!O:O)</f>
        <v>234.83</v>
      </c>
      <c r="P28" s="106">
        <f>_xlfn.XLOOKUP($B:$B,'Compilado 2023'!$B:$B,'Compilado 2023'!P:P)</f>
        <v>0</v>
      </c>
      <c r="Q28" s="106">
        <f>_xlfn.XLOOKUP($B:$B,'Compilado 2023'!$B:$B,'Compilado 2023'!Q:Q)</f>
        <v>51.612903225806448</v>
      </c>
      <c r="R28" s="106">
        <f>_xlfn.XLOOKUP($B:$B,'Compilado 2023'!$B:$B,'Compilado 2023'!R:R)</f>
        <v>1.01</v>
      </c>
      <c r="S28" s="106">
        <f>_xlfn.XLOOKUP($B:$B,'Compilado 2023'!$B:$B,'Compilado 2023'!S:S)</f>
        <v>0</v>
      </c>
      <c r="T28" s="106">
        <f>_xlfn.XLOOKUP($B:$B,'Compilado 2023'!$B:$B,'Compilado 2023'!U:U)</f>
        <v>0</v>
      </c>
      <c r="U28" s="106">
        <f>_xlfn.XLOOKUP($B:$B,'Compilado 2023'!$B:$B,'Compilado 2023'!V:V)</f>
        <v>0</v>
      </c>
      <c r="V28" s="57"/>
      <c r="W28" s="106">
        <f>_xlfn.XLOOKUP($B:$B,'Compilado 2023'!$B:$B,'Compilado 2023'!X:X)</f>
        <v>0</v>
      </c>
      <c r="X28" s="106">
        <f>_xlfn.XLOOKUP($B:$B,'Compilado 2023'!$B:$B,'Compilado 2023'!Y:Y)</f>
        <v>0</v>
      </c>
      <c r="Y28" s="106">
        <f>_xlfn.XLOOKUP($B:$B,'Compilado 2023'!$B:$B,'Compilado 2023'!Z:Z)</f>
        <v>0</v>
      </c>
      <c r="Z28" s="38"/>
      <c r="AA28" s="107" t="str">
        <f>_xlfn.XLOOKUP($B:$B,'Compilado 2023'!$B:$B,'Compilado 2023'!AA:AA)</f>
        <v>Deploy: Selos Footer, Imagens no checkout e Validador de Voucher para 5 dias</v>
      </c>
    </row>
    <row r="29" spans="1:27" s="2" customFormat="1" x14ac:dyDescent="0.2">
      <c r="A29" s="16" t="str">
        <f t="shared" si="0"/>
        <v>sexta-feira</v>
      </c>
      <c r="B29" s="17">
        <f t="shared" si="6"/>
        <v>45072</v>
      </c>
      <c r="C29" s="19">
        <f t="shared" si="3"/>
        <v>77451</v>
      </c>
      <c r="D29" s="35">
        <f>_xlfn.XLOOKUP($B:$B,'Compilado 2023'!$B:$B,'Compilado 2023'!D:D)</f>
        <v>77451</v>
      </c>
      <c r="E29" s="35">
        <f>_xlfn.XLOOKUP($B:$B,'Compilado 2023'!$B:$B,'Compilado 2023'!E:E)</f>
        <v>0</v>
      </c>
      <c r="F29" s="18">
        <f>_xlfn.XLOOKUP($B:$B,'Compilado 2023'!$B:$B,'Compilado 2023'!F:F)</f>
        <v>291</v>
      </c>
      <c r="G29" s="18">
        <f>_xlfn.XLOOKUP($B:$B,'Compilado 2023'!$B:$B,'Compilado 2023'!G:G)</f>
        <v>345</v>
      </c>
      <c r="H29" s="35">
        <f t="shared" si="4"/>
        <v>266.15463917525773</v>
      </c>
      <c r="I29" s="19">
        <f t="shared" si="5"/>
        <v>650.47290322580648</v>
      </c>
      <c r="J29" s="122">
        <f t="shared" si="1"/>
        <v>119.06875692424271</v>
      </c>
      <c r="K29" s="18">
        <f>_xlfn.XLOOKUP($B:$B,'Compilado 2023'!$B:$B,'Compilado 2023'!K:K)</f>
        <v>6805</v>
      </c>
      <c r="L29" s="54">
        <f t="shared" si="2"/>
        <v>4.276267450404115E-2</v>
      </c>
      <c r="M29" s="38"/>
      <c r="N29" s="106">
        <f>_xlfn.XLOOKUP($B:$B,'Compilado 2023'!$B:$B,'Compilado 2023'!N:N)</f>
        <v>367.61</v>
      </c>
      <c r="O29" s="106">
        <f>_xlfn.XLOOKUP($B:$B,'Compilado 2023'!$B:$B,'Compilado 2023'!O:O)</f>
        <v>230.14</v>
      </c>
      <c r="P29" s="106">
        <f>_xlfn.XLOOKUP($B:$B,'Compilado 2023'!$B:$B,'Compilado 2023'!P:P)</f>
        <v>0</v>
      </c>
      <c r="Q29" s="106">
        <f>_xlfn.XLOOKUP($B:$B,'Compilado 2023'!$B:$B,'Compilado 2023'!Q:Q)</f>
        <v>51.612903225806448</v>
      </c>
      <c r="R29" s="106">
        <f>_xlfn.XLOOKUP($B:$B,'Compilado 2023'!$B:$B,'Compilado 2023'!R:R)</f>
        <v>1.1100000000000001</v>
      </c>
      <c r="S29" s="106">
        <f>_xlfn.XLOOKUP($B:$B,'Compilado 2023'!$B:$B,'Compilado 2023'!S:S)</f>
        <v>0</v>
      </c>
      <c r="T29" s="106">
        <f>_xlfn.XLOOKUP($B:$B,'Compilado 2023'!$B:$B,'Compilado 2023'!U:U)</f>
        <v>0</v>
      </c>
      <c r="U29" s="106">
        <f>_xlfn.XLOOKUP($B:$B,'Compilado 2023'!$B:$B,'Compilado 2023'!V:V)</f>
        <v>0</v>
      </c>
      <c r="V29" s="57"/>
      <c r="W29" s="106">
        <f>_xlfn.XLOOKUP($B:$B,'Compilado 2023'!$B:$B,'Compilado 2023'!X:X)</f>
        <v>0</v>
      </c>
      <c r="X29" s="106">
        <f>_xlfn.XLOOKUP($B:$B,'Compilado 2023'!$B:$B,'Compilado 2023'!Y:Y)</f>
        <v>0</v>
      </c>
      <c r="Y29" s="106">
        <f>_xlfn.XLOOKUP($B:$B,'Compilado 2023'!$B:$B,'Compilado 2023'!Z:Z)</f>
        <v>0</v>
      </c>
      <c r="Z29" s="38"/>
      <c r="AA29" s="107">
        <f>_xlfn.XLOOKUP($B:$B,'Compilado 2023'!$B:$B,'Compilado 2023'!AA:AA)</f>
        <v>0</v>
      </c>
    </row>
    <row r="30" spans="1:27" s="2" customFormat="1" x14ac:dyDescent="0.2">
      <c r="A30" s="16" t="str">
        <f t="shared" si="0"/>
        <v>sábado</v>
      </c>
      <c r="B30" s="17">
        <f t="shared" si="6"/>
        <v>45073</v>
      </c>
      <c r="C30" s="19">
        <f t="shared" si="3"/>
        <v>55588.34</v>
      </c>
      <c r="D30" s="35">
        <f>_xlfn.XLOOKUP($B:$B,'Compilado 2023'!$B:$B,'Compilado 2023'!D:D)</f>
        <v>55449.1</v>
      </c>
      <c r="E30" s="35">
        <f>_xlfn.XLOOKUP($B:$B,'Compilado 2023'!$B:$B,'Compilado 2023'!E:E)</f>
        <v>139.24</v>
      </c>
      <c r="F30" s="18">
        <f>_xlfn.XLOOKUP($B:$B,'Compilado 2023'!$B:$B,'Compilado 2023'!F:F)</f>
        <v>207</v>
      </c>
      <c r="G30" s="18">
        <f>_xlfn.XLOOKUP($B:$B,'Compilado 2023'!$B:$B,'Compilado 2023'!G:G)</f>
        <v>248</v>
      </c>
      <c r="H30" s="35">
        <f t="shared" si="4"/>
        <v>268.54270531400965</v>
      </c>
      <c r="I30" s="19">
        <f t="shared" si="5"/>
        <v>647.12290322580645</v>
      </c>
      <c r="J30" s="122">
        <f t="shared" si="1"/>
        <v>85.900745782448453</v>
      </c>
      <c r="K30" s="18">
        <f>_xlfn.XLOOKUP($B:$B,'Compilado 2023'!$B:$B,'Compilado 2023'!K:K)</f>
        <v>4432</v>
      </c>
      <c r="L30" s="54">
        <f t="shared" si="2"/>
        <v>4.6705776173285196E-2</v>
      </c>
      <c r="M30" s="38"/>
      <c r="N30" s="106">
        <f>_xlfn.XLOOKUP($B:$B,'Compilado 2023'!$B:$B,'Compilado 2023'!N:N)</f>
        <v>365.87</v>
      </c>
      <c r="O30" s="106">
        <f>_xlfn.XLOOKUP($B:$B,'Compilado 2023'!$B:$B,'Compilado 2023'!O:O)</f>
        <v>229.64</v>
      </c>
      <c r="P30" s="106">
        <f>_xlfn.XLOOKUP($B:$B,'Compilado 2023'!$B:$B,'Compilado 2023'!P:P)</f>
        <v>0</v>
      </c>
      <c r="Q30" s="106">
        <f>_xlfn.XLOOKUP($B:$B,'Compilado 2023'!$B:$B,'Compilado 2023'!Q:Q)</f>
        <v>51.612903225806448</v>
      </c>
      <c r="R30" s="106">
        <f>_xlfn.XLOOKUP($B:$B,'Compilado 2023'!$B:$B,'Compilado 2023'!R:R)</f>
        <v>0</v>
      </c>
      <c r="S30" s="106">
        <f>_xlfn.XLOOKUP($B:$B,'Compilado 2023'!$B:$B,'Compilado 2023'!S:S)</f>
        <v>0</v>
      </c>
      <c r="T30" s="106">
        <f>_xlfn.XLOOKUP($B:$B,'Compilado 2023'!$B:$B,'Compilado 2023'!U:U)</f>
        <v>0</v>
      </c>
      <c r="U30" s="106">
        <f>_xlfn.XLOOKUP($B:$B,'Compilado 2023'!$B:$B,'Compilado 2023'!V:V)</f>
        <v>0</v>
      </c>
      <c r="V30" s="57"/>
      <c r="W30" s="106">
        <f>_xlfn.XLOOKUP($B:$B,'Compilado 2023'!$B:$B,'Compilado 2023'!X:X)</f>
        <v>0</v>
      </c>
      <c r="X30" s="106">
        <f>_xlfn.XLOOKUP($B:$B,'Compilado 2023'!$B:$B,'Compilado 2023'!Y:Y)</f>
        <v>0</v>
      </c>
      <c r="Y30" s="106">
        <f>_xlfn.XLOOKUP($B:$B,'Compilado 2023'!$B:$B,'Compilado 2023'!Z:Z)</f>
        <v>0</v>
      </c>
      <c r="Z30" s="38"/>
      <c r="AA30" s="107">
        <f>_xlfn.XLOOKUP($B:$B,'Compilado 2023'!$B:$B,'Compilado 2023'!AA:AA)</f>
        <v>0</v>
      </c>
    </row>
    <row r="31" spans="1:27" s="2" customFormat="1" x14ac:dyDescent="0.2">
      <c r="A31" s="16" t="str">
        <f t="shared" si="0"/>
        <v>domingo</v>
      </c>
      <c r="B31" s="17">
        <f t="shared" si="6"/>
        <v>45074</v>
      </c>
      <c r="C31" s="19">
        <f t="shared" si="3"/>
        <v>35907.269999999997</v>
      </c>
      <c r="D31" s="35">
        <f>_xlfn.XLOOKUP($B:$B,'Compilado 2023'!$B:$B,'Compilado 2023'!D:D)</f>
        <v>35907.269999999997</v>
      </c>
      <c r="E31" s="35">
        <f>_xlfn.XLOOKUP($B:$B,'Compilado 2023'!$B:$B,'Compilado 2023'!E:E)</f>
        <v>0</v>
      </c>
      <c r="F31" s="18">
        <f>_xlfn.XLOOKUP($B:$B,'Compilado 2023'!$B:$B,'Compilado 2023'!F:F)</f>
        <v>128</v>
      </c>
      <c r="G31" s="18">
        <f>_xlfn.XLOOKUP($B:$B,'Compilado 2023'!$B:$B,'Compilado 2023'!G:G)</f>
        <v>152</v>
      </c>
      <c r="H31" s="35">
        <f t="shared" si="4"/>
        <v>280.52554687499997</v>
      </c>
      <c r="I31" s="19">
        <f t="shared" si="5"/>
        <v>669.39290322580644</v>
      </c>
      <c r="J31" s="122">
        <f t="shared" si="1"/>
        <v>53.641545685594743</v>
      </c>
      <c r="K31" s="18">
        <f>_xlfn.XLOOKUP($B:$B,'Compilado 2023'!$B:$B,'Compilado 2023'!K:K)</f>
        <v>3985</v>
      </c>
      <c r="L31" s="54">
        <f t="shared" si="2"/>
        <v>3.2120451693851942E-2</v>
      </c>
      <c r="M31" s="38"/>
      <c r="N31" s="106">
        <f>_xlfn.XLOOKUP($B:$B,'Compilado 2023'!$B:$B,'Compilado 2023'!N:N)</f>
        <v>397.45</v>
      </c>
      <c r="O31" s="106">
        <f>_xlfn.XLOOKUP($B:$B,'Compilado 2023'!$B:$B,'Compilado 2023'!O:O)</f>
        <v>218.2</v>
      </c>
      <c r="P31" s="106">
        <f>_xlfn.XLOOKUP($B:$B,'Compilado 2023'!$B:$B,'Compilado 2023'!P:P)</f>
        <v>0</v>
      </c>
      <c r="Q31" s="106">
        <f>_xlfn.XLOOKUP($B:$B,'Compilado 2023'!$B:$B,'Compilado 2023'!Q:Q)</f>
        <v>51.612903225806448</v>
      </c>
      <c r="R31" s="106">
        <f>_xlfn.XLOOKUP($B:$B,'Compilado 2023'!$B:$B,'Compilado 2023'!R:R)</f>
        <v>2.13</v>
      </c>
      <c r="S31" s="106">
        <f>_xlfn.XLOOKUP($B:$B,'Compilado 2023'!$B:$B,'Compilado 2023'!S:S)</f>
        <v>0</v>
      </c>
      <c r="T31" s="106">
        <f>_xlfn.XLOOKUP($B:$B,'Compilado 2023'!$B:$B,'Compilado 2023'!U:U)</f>
        <v>0</v>
      </c>
      <c r="U31" s="106">
        <f>_xlfn.XLOOKUP($B:$B,'Compilado 2023'!$B:$B,'Compilado 2023'!V:V)</f>
        <v>0</v>
      </c>
      <c r="V31" s="57"/>
      <c r="W31" s="106">
        <f>_xlfn.XLOOKUP($B:$B,'Compilado 2023'!$B:$B,'Compilado 2023'!X:X)</f>
        <v>0</v>
      </c>
      <c r="X31" s="106">
        <f>_xlfn.XLOOKUP($B:$B,'Compilado 2023'!$B:$B,'Compilado 2023'!Y:Y)</f>
        <v>0</v>
      </c>
      <c r="Y31" s="106">
        <f>_xlfn.XLOOKUP($B:$B,'Compilado 2023'!$B:$B,'Compilado 2023'!Z:Z)</f>
        <v>0</v>
      </c>
      <c r="Z31" s="38"/>
      <c r="AA31" s="107">
        <f>_xlfn.XLOOKUP($B:$B,'Compilado 2023'!$B:$B,'Compilado 2023'!AA:AA)</f>
        <v>0</v>
      </c>
    </row>
    <row r="32" spans="1:27" s="2" customFormat="1" x14ac:dyDescent="0.2">
      <c r="A32" s="16" t="str">
        <f t="shared" si="0"/>
        <v>segunda-feira</v>
      </c>
      <c r="B32" s="17">
        <f t="shared" si="6"/>
        <v>45075</v>
      </c>
      <c r="C32" s="19">
        <f t="shared" si="3"/>
        <v>85134.89</v>
      </c>
      <c r="D32" s="35">
        <f>_xlfn.XLOOKUP($B:$B,'Compilado 2023'!$B:$B,'Compilado 2023'!D:D)</f>
        <v>85087.69</v>
      </c>
      <c r="E32" s="35">
        <f>_xlfn.XLOOKUP($B:$B,'Compilado 2023'!$B:$B,'Compilado 2023'!E:E)</f>
        <v>47.2</v>
      </c>
      <c r="F32" s="18">
        <f>_xlfn.XLOOKUP($B:$B,'Compilado 2023'!$B:$B,'Compilado 2023'!F:F)</f>
        <v>288</v>
      </c>
      <c r="G32" s="18">
        <f>_xlfn.XLOOKUP($B:$B,'Compilado 2023'!$B:$B,'Compilado 2023'!G:G)</f>
        <v>371</v>
      </c>
      <c r="H32" s="35">
        <f t="shared" si="4"/>
        <v>295.60725694444443</v>
      </c>
      <c r="I32" s="19">
        <f t="shared" si="5"/>
        <v>727.92290322580641</v>
      </c>
      <c r="J32" s="122">
        <f t="shared" si="1"/>
        <v>116.95591610419572</v>
      </c>
      <c r="K32" s="18">
        <f>_xlfn.XLOOKUP($B:$B,'Compilado 2023'!$B:$B,'Compilado 2023'!K:K)</f>
        <v>6289</v>
      </c>
      <c r="L32" s="54">
        <f t="shared" si="2"/>
        <v>4.5794243917951977E-2</v>
      </c>
      <c r="M32" s="38"/>
      <c r="N32" s="106">
        <f>_xlfn.XLOOKUP($B:$B,'Compilado 2023'!$B:$B,'Compilado 2023'!N:N)</f>
        <v>471.42</v>
      </c>
      <c r="O32" s="106">
        <f>_xlfn.XLOOKUP($B:$B,'Compilado 2023'!$B:$B,'Compilado 2023'!O:O)</f>
        <v>203.37</v>
      </c>
      <c r="P32" s="106">
        <f>_xlfn.XLOOKUP($B:$B,'Compilado 2023'!$B:$B,'Compilado 2023'!P:P)</f>
        <v>0</v>
      </c>
      <c r="Q32" s="106">
        <f>_xlfn.XLOOKUP($B:$B,'Compilado 2023'!$B:$B,'Compilado 2023'!Q:Q)</f>
        <v>51.612903225806448</v>
      </c>
      <c r="R32" s="106">
        <f>_xlfn.XLOOKUP($B:$B,'Compilado 2023'!$B:$B,'Compilado 2023'!R:R)</f>
        <v>1.52</v>
      </c>
      <c r="S32" s="106">
        <f>_xlfn.XLOOKUP($B:$B,'Compilado 2023'!$B:$B,'Compilado 2023'!S:S)</f>
        <v>0</v>
      </c>
      <c r="T32" s="106">
        <f>_xlfn.XLOOKUP($B:$B,'Compilado 2023'!$B:$B,'Compilado 2023'!U:U)</f>
        <v>0</v>
      </c>
      <c r="U32" s="106">
        <f>_xlfn.XLOOKUP($B:$B,'Compilado 2023'!$B:$B,'Compilado 2023'!V:V)</f>
        <v>0</v>
      </c>
      <c r="V32" s="57"/>
      <c r="W32" s="106">
        <f>_xlfn.XLOOKUP($B:$B,'Compilado 2023'!$B:$B,'Compilado 2023'!X:X)</f>
        <v>0</v>
      </c>
      <c r="X32" s="106">
        <f>_xlfn.XLOOKUP($B:$B,'Compilado 2023'!$B:$B,'Compilado 2023'!Y:Y)</f>
        <v>0</v>
      </c>
      <c r="Y32" s="106">
        <f>_xlfn.XLOOKUP($B:$B,'Compilado 2023'!$B:$B,'Compilado 2023'!Z:Z)</f>
        <v>0</v>
      </c>
      <c r="Z32" s="38"/>
      <c r="AA32" s="107" t="str">
        <f>_xlfn.XLOOKUP($B:$B,'Compilado 2023'!$B:$B,'Compilado 2023'!AA:AA)</f>
        <v xml:space="preserve">Fim Sorteio de 50 Indian Head no insta (Desativou os banners do site). </v>
      </c>
    </row>
    <row r="33" spans="1:27" s="2" customFormat="1" x14ac:dyDescent="0.2">
      <c r="A33" s="16" t="str">
        <f t="shared" si="0"/>
        <v>terça-feira</v>
      </c>
      <c r="B33" s="17">
        <f t="shared" si="6"/>
        <v>45076</v>
      </c>
      <c r="C33" s="19">
        <f t="shared" si="3"/>
        <v>71453.259999999995</v>
      </c>
      <c r="D33" s="35">
        <f>_xlfn.XLOOKUP($B:$B,'Compilado 2023'!$B:$B,'Compilado 2023'!D:D)</f>
        <v>71428.23</v>
      </c>
      <c r="E33" s="35">
        <f>_xlfn.XLOOKUP($B:$B,'Compilado 2023'!$B:$B,'Compilado 2023'!E:E)</f>
        <v>25.03</v>
      </c>
      <c r="F33" s="18">
        <f>_xlfn.XLOOKUP($B:$B,'Compilado 2023'!$B:$B,'Compilado 2023'!F:F)</f>
        <v>233</v>
      </c>
      <c r="G33" s="18">
        <f>_xlfn.XLOOKUP($B:$B,'Compilado 2023'!$B:$B,'Compilado 2023'!G:G)</f>
        <v>265</v>
      </c>
      <c r="H33" s="35">
        <f t="shared" si="4"/>
        <v>306.66635193133044</v>
      </c>
      <c r="I33" s="19">
        <f t="shared" si="5"/>
        <v>600.10290322580647</v>
      </c>
      <c r="J33" s="122">
        <f t="shared" si="1"/>
        <v>119.06834580520866</v>
      </c>
      <c r="K33" s="18">
        <f>_xlfn.XLOOKUP($B:$B,'Compilado 2023'!$B:$B,'Compilado 2023'!K:K)</f>
        <v>5843</v>
      </c>
      <c r="L33" s="54">
        <f t="shared" si="2"/>
        <v>3.9876775628957729E-2</v>
      </c>
      <c r="M33" s="38"/>
      <c r="N33" s="106">
        <f>_xlfn.XLOOKUP($B:$B,'Compilado 2023'!$B:$B,'Compilado 2023'!N:N)</f>
        <v>422.43</v>
      </c>
      <c r="O33" s="106">
        <f>_xlfn.XLOOKUP($B:$B,'Compilado 2023'!$B:$B,'Compilado 2023'!O:O)</f>
        <v>125.06</v>
      </c>
      <c r="P33" s="106">
        <f>_xlfn.XLOOKUP($B:$B,'Compilado 2023'!$B:$B,'Compilado 2023'!P:P)</f>
        <v>0</v>
      </c>
      <c r="Q33" s="106">
        <f>_xlfn.XLOOKUP($B:$B,'Compilado 2023'!$B:$B,'Compilado 2023'!Q:Q)</f>
        <v>51.612903225806448</v>
      </c>
      <c r="R33" s="106">
        <f>_xlfn.XLOOKUP($B:$B,'Compilado 2023'!$B:$B,'Compilado 2023'!R:R)</f>
        <v>1</v>
      </c>
      <c r="S33" s="106">
        <f>_xlfn.XLOOKUP($B:$B,'Compilado 2023'!$B:$B,'Compilado 2023'!S:S)</f>
        <v>0</v>
      </c>
      <c r="T33" s="106">
        <f>_xlfn.XLOOKUP($B:$B,'Compilado 2023'!$B:$B,'Compilado 2023'!U:U)</f>
        <v>0</v>
      </c>
      <c r="U33" s="106">
        <f>_xlfn.XLOOKUP($B:$B,'Compilado 2023'!$B:$B,'Compilado 2023'!V:V)</f>
        <v>0</v>
      </c>
      <c r="V33" s="57"/>
      <c r="W33" s="106">
        <f>_xlfn.XLOOKUP($B:$B,'Compilado 2023'!$B:$B,'Compilado 2023'!X:X)</f>
        <v>0</v>
      </c>
      <c r="X33" s="106">
        <f>_xlfn.XLOOKUP($B:$B,'Compilado 2023'!$B:$B,'Compilado 2023'!Y:Y)</f>
        <v>0</v>
      </c>
      <c r="Y33" s="106">
        <f>_xlfn.XLOOKUP($B:$B,'Compilado 2023'!$B:$B,'Compilado 2023'!Z:Z)</f>
        <v>0</v>
      </c>
      <c r="Z33" s="38"/>
      <c r="AA33" s="107">
        <f>_xlfn.XLOOKUP($B:$B,'Compilado 2023'!$B:$B,'Compilado 2023'!AA:AA)</f>
        <v>0</v>
      </c>
    </row>
    <row r="34" spans="1:27" x14ac:dyDescent="0.2">
      <c r="A34" s="16" t="str">
        <f t="shared" si="0"/>
        <v>quarta-feira</v>
      </c>
      <c r="B34" s="17">
        <f t="shared" si="6"/>
        <v>45077</v>
      </c>
      <c r="C34" s="19">
        <f t="shared" si="3"/>
        <v>79730.649999999994</v>
      </c>
      <c r="D34" s="35">
        <f>_xlfn.XLOOKUP($B:$B,'Compilado 2023'!$B:$B,'Compilado 2023'!D:D)</f>
        <v>79730.649999999994</v>
      </c>
      <c r="E34" s="35">
        <f>_xlfn.XLOOKUP($B:$B,'Compilado 2023'!$B:$B,'Compilado 2023'!E:E)</f>
        <v>0</v>
      </c>
      <c r="F34" s="18">
        <f>_xlfn.XLOOKUP($B:$B,'Compilado 2023'!$B:$B,'Compilado 2023'!F:F)</f>
        <v>265</v>
      </c>
      <c r="G34" s="18">
        <f>_xlfn.XLOOKUP($B:$B,'Compilado 2023'!$B:$B,'Compilado 2023'!G:G)</f>
        <v>300</v>
      </c>
      <c r="H34" s="35">
        <f t="shared" si="4"/>
        <v>300.87037735849054</v>
      </c>
      <c r="I34" s="19">
        <f t="shared" si="5"/>
        <v>557.33290322580649</v>
      </c>
      <c r="J34" s="122">
        <f t="shared" si="1"/>
        <v>143.05749676454448</v>
      </c>
      <c r="K34" s="18">
        <f>_xlfn.XLOOKUP($B:$B,'Compilado 2023'!$B:$B,'Compilado 2023'!K:K)</f>
        <v>5640</v>
      </c>
      <c r="L34" s="54">
        <f t="shared" si="2"/>
        <v>4.6985815602836878E-2</v>
      </c>
      <c r="M34" s="38"/>
      <c r="N34" s="106">
        <f>_xlfn.XLOOKUP($B:$B,'Compilado 2023'!$B:$B,'Compilado 2023'!N:N)</f>
        <v>373.62</v>
      </c>
      <c r="O34" s="106">
        <f>_xlfn.XLOOKUP($B:$B,'Compilado 2023'!$B:$B,'Compilado 2023'!O:O)</f>
        <v>131.03</v>
      </c>
      <c r="P34" s="106">
        <f>_xlfn.XLOOKUP($B:$B,'Compilado 2023'!$B:$B,'Compilado 2023'!P:P)</f>
        <v>0</v>
      </c>
      <c r="Q34" s="106">
        <f>_xlfn.XLOOKUP($B:$B,'Compilado 2023'!$B:$B,'Compilado 2023'!Q:Q)</f>
        <v>51.612903225806448</v>
      </c>
      <c r="R34" s="106">
        <f>_xlfn.XLOOKUP($B:$B,'Compilado 2023'!$B:$B,'Compilado 2023'!R:R)</f>
        <v>1.07</v>
      </c>
      <c r="S34" s="106">
        <f>_xlfn.XLOOKUP($B:$B,'Compilado 2023'!$B:$B,'Compilado 2023'!S:S)</f>
        <v>0</v>
      </c>
      <c r="T34" s="106">
        <f>_xlfn.XLOOKUP($B:$B,'Compilado 2023'!$B:$B,'Compilado 2023'!U:U)</f>
        <v>0</v>
      </c>
      <c r="U34" s="106">
        <f>_xlfn.XLOOKUP($B:$B,'Compilado 2023'!$B:$B,'Compilado 2023'!V:V)</f>
        <v>0</v>
      </c>
      <c r="V34" s="57"/>
      <c r="W34" s="106">
        <f>_xlfn.XLOOKUP($B:$B,'Compilado 2023'!$B:$B,'Compilado 2023'!X:X)</f>
        <v>0</v>
      </c>
      <c r="X34" s="106">
        <f>_xlfn.XLOOKUP($B:$B,'Compilado 2023'!$B:$B,'Compilado 2023'!Y:Y)</f>
        <v>0</v>
      </c>
      <c r="Y34" s="106">
        <f>_xlfn.XLOOKUP($B:$B,'Compilado 2023'!$B:$B,'Compilado 2023'!Z:Z)</f>
        <v>0</v>
      </c>
      <c r="Z34" s="38"/>
      <c r="AA34" s="107">
        <f>_xlfn.XLOOKUP($B:$B,'Compilado 2023'!$B:$B,'Compilado 2023'!AA:AA)</f>
        <v>0</v>
      </c>
    </row>
    <row r="35" spans="1:27" s="61" customFormat="1" ht="12" x14ac:dyDescent="0.2">
      <c r="A35" s="90" t="s">
        <v>186</v>
      </c>
      <c r="B35" s="91">
        <f>COUNTA(B4:B33)</f>
        <v>30</v>
      </c>
      <c r="C35" s="92">
        <f>SUM(C4:C34)</f>
        <v>4675512.3699999982</v>
      </c>
      <c r="D35" s="92">
        <f>SUM(D4:D34)</f>
        <v>4674993.22</v>
      </c>
      <c r="E35" s="92">
        <f>SUM(E4:E34)</f>
        <v>519.15</v>
      </c>
      <c r="F35" s="93">
        <f>SUM(F4:F34)</f>
        <v>15193</v>
      </c>
      <c r="G35" s="93">
        <f>SUM(G4:G34)</f>
        <v>19197</v>
      </c>
      <c r="H35" s="92">
        <f>C35/F35</f>
        <v>307.74122095701955</v>
      </c>
      <c r="I35" s="92">
        <f>SUM(I4:I34)</f>
        <v>52857.61</v>
      </c>
      <c r="J35" s="123">
        <f>C35/I35</f>
        <v>88.454857682744233</v>
      </c>
      <c r="K35" s="93">
        <f>SUM(K4:K34)</f>
        <v>143805</v>
      </c>
      <c r="L35" s="94">
        <f>IFERROR(F35/K35,0)</f>
        <v>0.10565001216925698</v>
      </c>
      <c r="M35" s="95"/>
      <c r="N35" s="92">
        <f t="shared" ref="N35:U35" si="7">SUM(N4:N34)</f>
        <v>42982.23</v>
      </c>
      <c r="O35" s="92">
        <f t="shared" si="7"/>
        <v>7502.23</v>
      </c>
      <c r="P35" s="92">
        <f t="shared" si="7"/>
        <v>0</v>
      </c>
      <c r="Q35" s="92">
        <f t="shared" si="7"/>
        <v>1599.9999999999989</v>
      </c>
      <c r="R35" s="92">
        <f t="shared" si="7"/>
        <v>773.15000000000009</v>
      </c>
      <c r="S35" s="92">
        <f t="shared" si="7"/>
        <v>0</v>
      </c>
      <c r="T35" s="92">
        <f t="shared" si="7"/>
        <v>0</v>
      </c>
      <c r="U35" s="92">
        <f t="shared" si="7"/>
        <v>0</v>
      </c>
      <c r="V35" s="97">
        <f t="shared" ref="V35:Y35" si="8">SUM(V4:V33)</f>
        <v>0</v>
      </c>
      <c r="W35" s="96">
        <f t="shared" si="8"/>
        <v>0</v>
      </c>
      <c r="X35" s="92">
        <f t="shared" si="8"/>
        <v>0</v>
      </c>
      <c r="Y35" s="92">
        <f t="shared" si="8"/>
        <v>0</v>
      </c>
      <c r="Z35" s="95"/>
      <c r="AA35" s="98"/>
    </row>
    <row r="36" spans="1:27" ht="6.75" customHeight="1" x14ac:dyDescent="0.2">
      <c r="M36" s="21"/>
    </row>
    <row r="37" spans="1:27" s="34" customFormat="1" ht="15.75" x14ac:dyDescent="0.3">
      <c r="A37" s="99" t="str">
        <f>ABR!A38</f>
        <v>Média Abril 2023</v>
      </c>
      <c r="B37" s="100"/>
      <c r="C37" s="101">
        <f>ABR!C38</f>
        <v>67223.090666666671</v>
      </c>
      <c r="D37" s="101">
        <f>ABR!D38</f>
        <v>67961.044137931036</v>
      </c>
      <c r="E37" s="101">
        <f>ABR!E38</f>
        <v>17.44655172413793</v>
      </c>
      <c r="F37" s="102">
        <f>ABR!F38</f>
        <v>234.13793103448276</v>
      </c>
      <c r="G37" s="102">
        <f>ABR!G38</f>
        <v>313.31034482758622</v>
      </c>
      <c r="H37" s="103">
        <f>ABR!H38</f>
        <v>297.91988944995035</v>
      </c>
      <c r="I37" s="101">
        <f>ABR!I38</f>
        <v>1246.3712643678159</v>
      </c>
      <c r="J37" s="124">
        <f>ABR!J38</f>
        <v>53.935045350041463</v>
      </c>
      <c r="K37" s="104">
        <f>ABR!K38</f>
        <v>5598.7586206896549</v>
      </c>
      <c r="L37" s="105">
        <f>ABR!L38</f>
        <v>4.1819615185632285E-2</v>
      </c>
      <c r="M37" s="21"/>
      <c r="N37"/>
      <c r="O37"/>
      <c r="P37"/>
      <c r="Q37"/>
      <c r="R37"/>
      <c r="S37"/>
      <c r="T37"/>
      <c r="U37"/>
      <c r="V37"/>
      <c r="W37"/>
      <c r="X37"/>
      <c r="Y37"/>
      <c r="Z37"/>
      <c r="AA37"/>
    </row>
    <row r="38" spans="1:27" s="34" customFormat="1" ht="15.75" x14ac:dyDescent="0.3">
      <c r="A38" s="99" t="str">
        <f>_xlfn.CONCAT("Média ",B2)</f>
        <v>Média Maio 2023</v>
      </c>
      <c r="B38" s="100"/>
      <c r="C38" s="101">
        <f>AVERAGE(C4:C34)</f>
        <v>150822.97967741929</v>
      </c>
      <c r="D38" s="101">
        <f>AVERAGE(D5:D34)</f>
        <v>154421.62733333331</v>
      </c>
      <c r="E38" s="101">
        <f>AVERAGE(E5:E34)</f>
        <v>15.246999999999998</v>
      </c>
      <c r="F38" s="102">
        <f>AVERAGE(F5:F34)</f>
        <v>501.76666666666665</v>
      </c>
      <c r="G38" s="102">
        <f>AVERAGE(G5:G34)</f>
        <v>634.5</v>
      </c>
      <c r="H38" s="103">
        <f>H35</f>
        <v>307.74122095701955</v>
      </c>
      <c r="I38" s="101">
        <f>AVERAGE(I5:I34)</f>
        <v>1713.8085698924731</v>
      </c>
      <c r="J38" s="124">
        <f>IFERROR(C38/I38,0)</f>
        <v>88.004566161600039</v>
      </c>
      <c r="K38" s="104">
        <f>AVERAGE(K5:K34)</f>
        <v>4628.5666666666666</v>
      </c>
      <c r="L38" s="105">
        <f>IFERROR(F38/K38,0)</f>
        <v>0.10840649013013387</v>
      </c>
      <c r="M38" s="21"/>
      <c r="N38"/>
      <c r="O38"/>
      <c r="P38"/>
      <c r="Q38"/>
      <c r="R38"/>
      <c r="S38"/>
      <c r="T38"/>
      <c r="U38"/>
      <c r="V38"/>
      <c r="W38"/>
      <c r="X38"/>
      <c r="Y38"/>
      <c r="Z38"/>
      <c r="AA38"/>
    </row>
    <row r="39" spans="1:27" ht="15.75" customHeight="1" x14ac:dyDescent="0.2">
      <c r="M39" s="21"/>
    </row>
    <row r="40" spans="1:27" ht="15.75" customHeight="1" x14ac:dyDescent="0.2">
      <c r="M40" s="21"/>
    </row>
    <row r="41" spans="1:27" ht="14.25" x14ac:dyDescent="0.2">
      <c r="B41" s="223" t="s">
        <v>192</v>
      </c>
      <c r="C41" s="223"/>
      <c r="D41" s="223"/>
      <c r="E41" s="76"/>
      <c r="F41" s="76"/>
      <c r="G41" s="76"/>
      <c r="H41" s="76"/>
      <c r="I41" s="76"/>
      <c r="J41" s="76"/>
      <c r="K41" s="76"/>
      <c r="L41" s="76"/>
      <c r="M41" s="21"/>
    </row>
    <row r="42" spans="1:27" ht="15.75" customHeight="1" x14ac:dyDescent="0.2"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21"/>
    </row>
    <row r="43" spans="1:27" ht="15" customHeight="1" thickBot="1" x14ac:dyDescent="0.25">
      <c r="B43" s="77" t="s">
        <v>153</v>
      </c>
      <c r="C43" s="78" t="s">
        <v>75</v>
      </c>
      <c r="D43" s="78" t="s">
        <v>154</v>
      </c>
      <c r="E43" s="78" t="s">
        <v>77</v>
      </c>
      <c r="F43" s="78" t="s">
        <v>78</v>
      </c>
      <c r="G43" s="78" t="s">
        <v>79</v>
      </c>
      <c r="H43" s="78" t="s">
        <v>80</v>
      </c>
      <c r="I43" s="78" t="s">
        <v>81</v>
      </c>
      <c r="J43" s="78" t="s">
        <v>82</v>
      </c>
      <c r="K43" s="78" t="s">
        <v>40</v>
      </c>
      <c r="L43" s="78" t="s">
        <v>83</v>
      </c>
      <c r="M43" s="21"/>
      <c r="N43" s="78" t="s">
        <v>85</v>
      </c>
      <c r="O43" s="78" t="s">
        <v>155</v>
      </c>
      <c r="P43" s="78" t="s">
        <v>87</v>
      </c>
      <c r="Q43" s="78" t="s">
        <v>88</v>
      </c>
      <c r="R43" s="78" t="s">
        <v>89</v>
      </c>
      <c r="S43" s="78" t="s">
        <v>90</v>
      </c>
      <c r="T43" s="78" t="s">
        <v>91</v>
      </c>
      <c r="U43" s="78" t="s">
        <v>92</v>
      </c>
    </row>
    <row r="44" spans="1:27" s="20" customFormat="1" ht="14.25" x14ac:dyDescent="0.2">
      <c r="B44" s="79" t="str">
        <f>_xlfn.CONCAT(_xlfn.XLOOKUP(O1,Referencia!B1:B13,Referencia!C1:C13),"/",P1)</f>
        <v>MAI/2023</v>
      </c>
      <c r="C44" s="80">
        <f>C35</f>
        <v>4675512.3699999982</v>
      </c>
      <c r="D44" s="80">
        <f t="shared" ref="D44:K44" si="9">D35</f>
        <v>4674993.22</v>
      </c>
      <c r="E44" s="80">
        <f t="shared" si="9"/>
        <v>519.15</v>
      </c>
      <c r="F44" s="81">
        <f t="shared" si="9"/>
        <v>15193</v>
      </c>
      <c r="G44" s="81">
        <f t="shared" si="9"/>
        <v>19197</v>
      </c>
      <c r="H44" s="80">
        <f>C44/F44</f>
        <v>307.74122095701955</v>
      </c>
      <c r="I44" s="80">
        <f t="shared" si="9"/>
        <v>52857.61</v>
      </c>
      <c r="J44" s="118">
        <f>C44/I44</f>
        <v>88.454857682744233</v>
      </c>
      <c r="K44" s="81">
        <f t="shared" si="9"/>
        <v>143805</v>
      </c>
      <c r="L44" s="82">
        <f>F44/K44</f>
        <v>0.10565001216925698</v>
      </c>
      <c r="M44" s="150"/>
      <c r="N44" s="134">
        <f>N35</f>
        <v>42982.23</v>
      </c>
      <c r="O44" s="134">
        <f>O35</f>
        <v>7502.23</v>
      </c>
      <c r="P44" s="134">
        <f t="shared" ref="P44:U44" si="10">P35</f>
        <v>0</v>
      </c>
      <c r="Q44" s="134">
        <f t="shared" si="10"/>
        <v>1599.9999999999989</v>
      </c>
      <c r="R44" s="134">
        <f t="shared" si="10"/>
        <v>773.15000000000009</v>
      </c>
      <c r="S44" s="134">
        <f t="shared" si="10"/>
        <v>0</v>
      </c>
      <c r="T44" s="134">
        <f t="shared" si="10"/>
        <v>0</v>
      </c>
      <c r="U44" s="134">
        <f t="shared" si="10"/>
        <v>0</v>
      </c>
      <c r="V44"/>
      <c r="W44"/>
      <c r="X44"/>
      <c r="Y44"/>
      <c r="Z44"/>
      <c r="AA44"/>
    </row>
    <row r="45" spans="1:27" s="206" customFormat="1" ht="14.25" x14ac:dyDescent="0.2">
      <c r="B45" s="138" t="str">
        <f>_xlfn.CONCAT(_xlfn.XLOOKUP(O1,Referencia!B1:B13,Referencia!C1:C13),"/",(P1-1))</f>
        <v>MAI/2022</v>
      </c>
      <c r="C45" s="134">
        <f>SUM(C64:C94)</f>
        <v>2504733.5500000003</v>
      </c>
      <c r="D45" s="134">
        <f>SUM(D64:D94)</f>
        <v>2504557.9200000004</v>
      </c>
      <c r="E45" s="134">
        <f>SUM(E64:E94)</f>
        <v>175.63000000000002</v>
      </c>
      <c r="F45" s="135">
        <f>SUM(F64:F94)</f>
        <v>8271</v>
      </c>
      <c r="G45" s="135">
        <f>SUM(G64:G94)</f>
        <v>10149</v>
      </c>
      <c r="H45" s="134">
        <f>C45/F45</f>
        <v>302.83321847418694</v>
      </c>
      <c r="I45" s="134">
        <f>SUM(I64:I94)</f>
        <v>23421.31</v>
      </c>
      <c r="J45" s="136">
        <f>C45/I45</f>
        <v>106.94250449697306</v>
      </c>
      <c r="K45" s="135">
        <f>SUM(K64:K94)</f>
        <v>145178</v>
      </c>
      <c r="L45" s="137">
        <f>F45/K45</f>
        <v>5.6971441954015073E-2</v>
      </c>
      <c r="M45" s="207"/>
      <c r="N45" s="134">
        <f>SUM(N64:N94)</f>
        <v>14885.130000000001</v>
      </c>
      <c r="O45" s="134">
        <f t="shared" ref="O45:V45" si="11">SUM(O64:O94)</f>
        <v>6936.1800000000021</v>
      </c>
      <c r="P45" s="134">
        <f t="shared" si="11"/>
        <v>0</v>
      </c>
      <c r="Q45" s="134">
        <f t="shared" si="11"/>
        <v>1599.9999999999989</v>
      </c>
      <c r="R45" s="134">
        <f t="shared" si="11"/>
        <v>0</v>
      </c>
      <c r="S45" s="134">
        <f t="shared" si="11"/>
        <v>0</v>
      </c>
      <c r="T45" s="134">
        <f t="shared" si="11"/>
        <v>0</v>
      </c>
      <c r="U45" s="134">
        <f t="shared" si="11"/>
        <v>0</v>
      </c>
      <c r="V45" s="134">
        <f t="shared" si="11"/>
        <v>0</v>
      </c>
      <c r="W45" s="204"/>
      <c r="X45" s="204"/>
      <c r="Y45" s="204"/>
      <c r="Z45" s="204"/>
      <c r="AA45" s="204"/>
    </row>
    <row r="46" spans="1:27" s="20" customFormat="1" ht="14.25" x14ac:dyDescent="0.2">
      <c r="B46" s="83"/>
      <c r="C46" s="87">
        <f>C44-C45</f>
        <v>2170778.819999998</v>
      </c>
      <c r="D46" s="87">
        <f t="shared" ref="D46:L46" si="12">D44-D45</f>
        <v>2170435.2999999993</v>
      </c>
      <c r="E46" s="87">
        <f t="shared" si="12"/>
        <v>343.52</v>
      </c>
      <c r="F46" s="88">
        <f t="shared" si="12"/>
        <v>6922</v>
      </c>
      <c r="G46" s="88">
        <f t="shared" si="12"/>
        <v>9048</v>
      </c>
      <c r="H46" s="87">
        <f t="shared" si="12"/>
        <v>4.9080024828326145</v>
      </c>
      <c r="I46" s="87">
        <f t="shared" si="12"/>
        <v>29436.3</v>
      </c>
      <c r="J46" s="125">
        <f t="shared" si="12"/>
        <v>-18.487646814228825</v>
      </c>
      <c r="K46" s="88">
        <f t="shared" si="12"/>
        <v>-1373</v>
      </c>
      <c r="L46" s="89">
        <f t="shared" si="12"/>
        <v>4.8678570215241912E-2</v>
      </c>
      <c r="M46" s="21"/>
      <c r="N46"/>
      <c r="O46"/>
      <c r="P46"/>
      <c r="Q46"/>
      <c r="R46"/>
      <c r="S46"/>
      <c r="T46"/>
      <c r="U46"/>
      <c r="V46"/>
      <c r="W46"/>
      <c r="X46"/>
      <c r="Y46"/>
      <c r="Z46"/>
      <c r="AA46"/>
    </row>
    <row r="47" spans="1:27" ht="14.25" x14ac:dyDescent="0.2">
      <c r="B47" s="84"/>
      <c r="C47" s="85">
        <f>IFERROR(1-(C45/C44),0)</f>
        <v>0.46428683066450716</v>
      </c>
      <c r="D47" s="85">
        <f t="shared" ref="D47:L47" si="13">IFERROR(1-(D45/D44),0)</f>
        <v>0.46426490860237002</v>
      </c>
      <c r="E47" s="85">
        <f t="shared" si="13"/>
        <v>0.66169700471925252</v>
      </c>
      <c r="F47" s="85">
        <f t="shared" si="13"/>
        <v>0.45560455472915162</v>
      </c>
      <c r="G47" s="85">
        <f t="shared" si="13"/>
        <v>0.47132364431942486</v>
      </c>
      <c r="H47" s="85">
        <f t="shared" si="13"/>
        <v>1.5948472770627276E-2</v>
      </c>
      <c r="I47" s="85">
        <f t="shared" si="13"/>
        <v>0.55689805119830427</v>
      </c>
      <c r="J47" s="85">
        <f t="shared" si="13"/>
        <v>-0.20900657463649264</v>
      </c>
      <c r="K47" s="85">
        <f t="shared" si="13"/>
        <v>-9.5476513334029622E-3</v>
      </c>
      <c r="L47" s="85">
        <f t="shared" si="13"/>
        <v>0.46075309614973103</v>
      </c>
      <c r="M47" s="21"/>
    </row>
    <row r="48" spans="1:27" ht="15.75" customHeight="1" x14ac:dyDescent="0.2"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</row>
    <row r="49" spans="1:27" ht="14.25" x14ac:dyDescent="0.2">
      <c r="B49" s="223" t="s">
        <v>189</v>
      </c>
      <c r="C49" s="223"/>
      <c r="D49" s="223"/>
      <c r="E49" s="84"/>
      <c r="F49" s="84"/>
      <c r="G49" s="84"/>
      <c r="H49" s="84"/>
      <c r="I49" s="84"/>
      <c r="J49" s="84"/>
      <c r="K49" s="84"/>
      <c r="L49" s="84"/>
      <c r="M49" s="21"/>
    </row>
    <row r="50" spans="1:27" ht="15" customHeight="1" thickBot="1" x14ac:dyDescent="0.25">
      <c r="B50" s="77" t="s">
        <v>153</v>
      </c>
      <c r="C50" s="78" t="s">
        <v>75</v>
      </c>
      <c r="D50" s="78" t="s">
        <v>154</v>
      </c>
      <c r="E50" s="78" t="s">
        <v>77</v>
      </c>
      <c r="F50" s="78" t="s">
        <v>78</v>
      </c>
      <c r="G50" s="78" t="s">
        <v>79</v>
      </c>
      <c r="H50" s="78" t="s">
        <v>80</v>
      </c>
      <c r="I50" s="78" t="s">
        <v>81</v>
      </c>
      <c r="J50" s="78" t="s">
        <v>82</v>
      </c>
      <c r="K50" s="78" t="s">
        <v>40</v>
      </c>
      <c r="L50" s="78" t="s">
        <v>83</v>
      </c>
      <c r="M50" s="21"/>
      <c r="N50" s="78" t="s">
        <v>85</v>
      </c>
      <c r="O50" s="78" t="s">
        <v>155</v>
      </c>
      <c r="P50" s="78" t="s">
        <v>87</v>
      </c>
      <c r="Q50" s="78" t="s">
        <v>88</v>
      </c>
      <c r="R50" s="78" t="s">
        <v>89</v>
      </c>
      <c r="S50" s="78" t="s">
        <v>90</v>
      </c>
      <c r="T50" s="78" t="s">
        <v>91</v>
      </c>
      <c r="U50" s="78" t="s">
        <v>92</v>
      </c>
    </row>
    <row r="51" spans="1:27" ht="14.25" x14ac:dyDescent="0.2">
      <c r="B51" s="79" t="str">
        <f>B44</f>
        <v>MAI/2023</v>
      </c>
      <c r="C51" s="80">
        <f>C44</f>
        <v>4675512.3699999982</v>
      </c>
      <c r="D51" s="80">
        <f t="shared" ref="D51:U51" si="14">D44</f>
        <v>4674993.22</v>
      </c>
      <c r="E51" s="80">
        <f t="shared" si="14"/>
        <v>519.15</v>
      </c>
      <c r="F51" s="81">
        <f t="shared" si="14"/>
        <v>15193</v>
      </c>
      <c r="G51" s="81">
        <f t="shared" si="14"/>
        <v>19197</v>
      </c>
      <c r="H51" s="80">
        <f t="shared" si="14"/>
        <v>307.74122095701955</v>
      </c>
      <c r="I51" s="80">
        <f t="shared" si="14"/>
        <v>52857.61</v>
      </c>
      <c r="J51" s="118">
        <f t="shared" si="14"/>
        <v>88.454857682744233</v>
      </c>
      <c r="K51" s="81">
        <f t="shared" si="14"/>
        <v>143805</v>
      </c>
      <c r="L51" s="82">
        <f t="shared" si="14"/>
        <v>0.10565001216925698</v>
      </c>
      <c r="M51" s="21"/>
      <c r="N51" s="80">
        <f t="shared" si="14"/>
        <v>42982.23</v>
      </c>
      <c r="O51" s="80">
        <f t="shared" si="14"/>
        <v>7502.23</v>
      </c>
      <c r="P51" s="80">
        <f t="shared" si="14"/>
        <v>0</v>
      </c>
      <c r="Q51" s="80">
        <f t="shared" si="14"/>
        <v>1599.9999999999989</v>
      </c>
      <c r="R51" s="80">
        <f t="shared" si="14"/>
        <v>773.15000000000009</v>
      </c>
      <c r="S51" s="80">
        <f t="shared" si="14"/>
        <v>0</v>
      </c>
      <c r="T51" s="80">
        <f t="shared" si="14"/>
        <v>0</v>
      </c>
      <c r="U51" s="80">
        <f t="shared" si="14"/>
        <v>0</v>
      </c>
    </row>
    <row r="52" spans="1:27" s="204" customFormat="1" ht="14.25" x14ac:dyDescent="0.2">
      <c r="B52" s="138" t="str">
        <f>ABR!B51</f>
        <v>ABR/2023</v>
      </c>
      <c r="C52" s="134">
        <f>DEZ!C45</f>
        <v>3470256.77</v>
      </c>
      <c r="D52" s="134">
        <f>DEZ!D45</f>
        <v>3469620.04</v>
      </c>
      <c r="E52" s="134">
        <f>DEZ!E45</f>
        <v>636.73</v>
      </c>
      <c r="F52" s="135">
        <f>DEZ!F45</f>
        <v>10887</v>
      </c>
      <c r="G52" s="135">
        <f>DEZ!G45</f>
        <v>14826</v>
      </c>
      <c r="H52" s="134">
        <f>DEZ!H45</f>
        <v>318.75234408009555</v>
      </c>
      <c r="I52" s="134">
        <f>DEZ!I45</f>
        <v>37063.610000000008</v>
      </c>
      <c r="J52" s="136">
        <f>DEZ!J45</f>
        <v>93.629756248784162</v>
      </c>
      <c r="K52" s="135">
        <f>DEZ!K45</f>
        <v>169385</v>
      </c>
      <c r="L52" s="137">
        <f>DEZ!L45</f>
        <v>6.4273696017947274E-2</v>
      </c>
      <c r="M52" s="205">
        <f>DEZ!M45</f>
        <v>0</v>
      </c>
      <c r="N52" s="134">
        <f>DEZ!N45</f>
        <v>24316.789999999994</v>
      </c>
      <c r="O52" s="134">
        <f>DEZ!O45</f>
        <v>11146.819999999998</v>
      </c>
      <c r="P52" s="134">
        <f>DEZ!P45</f>
        <v>0</v>
      </c>
      <c r="Q52" s="134">
        <f>DEZ!Q45</f>
        <v>1599.9999999999989</v>
      </c>
      <c r="R52" s="134">
        <f>DEZ!R45</f>
        <v>0</v>
      </c>
      <c r="S52" s="134">
        <f>DEZ!S45</f>
        <v>0</v>
      </c>
      <c r="T52" s="134">
        <f>DEZ!T45</f>
        <v>0</v>
      </c>
      <c r="U52" s="134">
        <f>DEZ!U45</f>
        <v>0</v>
      </c>
    </row>
    <row r="53" spans="1:27" ht="14.25" x14ac:dyDescent="0.2">
      <c r="B53" s="83"/>
      <c r="C53" s="87">
        <f t="shared" ref="C53:L53" si="15">C51-C52</f>
        <v>1205255.5999999982</v>
      </c>
      <c r="D53" s="87">
        <f t="shared" si="15"/>
        <v>1205373.1799999997</v>
      </c>
      <c r="E53" s="87">
        <f t="shared" si="15"/>
        <v>-117.58000000000004</v>
      </c>
      <c r="F53" s="88">
        <f t="shared" si="15"/>
        <v>4306</v>
      </c>
      <c r="G53" s="88">
        <f t="shared" si="15"/>
        <v>4371</v>
      </c>
      <c r="H53" s="87">
        <f t="shared" si="15"/>
        <v>-11.011123123076004</v>
      </c>
      <c r="I53" s="87">
        <f t="shared" si="15"/>
        <v>15793.999999999993</v>
      </c>
      <c r="J53" s="125">
        <f t="shared" si="15"/>
        <v>-5.1748985660399285</v>
      </c>
      <c r="K53" s="88">
        <f t="shared" si="15"/>
        <v>-25580</v>
      </c>
      <c r="L53" s="89">
        <f t="shared" si="15"/>
        <v>4.1376316151309711E-2</v>
      </c>
      <c r="M53" s="21"/>
      <c r="N53" s="87">
        <f t="shared" ref="N53:U53" si="16">N51-N52</f>
        <v>18665.44000000001</v>
      </c>
      <c r="O53" s="87">
        <f t="shared" si="16"/>
        <v>-3644.5899999999983</v>
      </c>
      <c r="P53" s="87">
        <f t="shared" si="16"/>
        <v>0</v>
      </c>
      <c r="Q53" s="87">
        <f t="shared" si="16"/>
        <v>0</v>
      </c>
      <c r="R53" s="87">
        <f t="shared" si="16"/>
        <v>773.15000000000009</v>
      </c>
      <c r="S53" s="87">
        <f t="shared" si="16"/>
        <v>0</v>
      </c>
      <c r="T53" s="87">
        <f t="shared" si="16"/>
        <v>0</v>
      </c>
      <c r="U53" s="87">
        <f t="shared" si="16"/>
        <v>0</v>
      </c>
    </row>
    <row r="54" spans="1:27" ht="14.25" x14ac:dyDescent="0.2">
      <c r="B54" s="84"/>
      <c r="C54" s="85">
        <f>IFERROR(1-(C52/C51),0)</f>
        <v>0.25778043230799941</v>
      </c>
      <c r="D54" s="85">
        <f t="shared" ref="D54:L54" si="17">IFERROR(1-(D52/D51),0)</f>
        <v>0.25783420922266065</v>
      </c>
      <c r="E54" s="85">
        <f t="shared" si="17"/>
        <v>-0.2264856014639316</v>
      </c>
      <c r="F54" s="85">
        <f t="shared" si="17"/>
        <v>0.28341999605081292</v>
      </c>
      <c r="G54" s="85">
        <f t="shared" si="17"/>
        <v>0.22769182684794498</v>
      </c>
      <c r="H54" s="85">
        <f t="shared" si="17"/>
        <v>-3.5780462197535279E-2</v>
      </c>
      <c r="I54" s="85">
        <f t="shared" si="17"/>
        <v>0.29880276463502597</v>
      </c>
      <c r="J54" s="85">
        <f t="shared" si="17"/>
        <v>-5.8503271630377052E-2</v>
      </c>
      <c r="K54" s="85">
        <f t="shared" si="17"/>
        <v>-0.1778797677410382</v>
      </c>
      <c r="L54" s="85">
        <f t="shared" si="17"/>
        <v>0.39163569697486289</v>
      </c>
      <c r="M54" s="21"/>
      <c r="N54" s="85">
        <f t="shared" ref="N54:U54" si="18">IFERROR(1-(N52/N51),0)</f>
        <v>0.43425946024671147</v>
      </c>
      <c r="O54" s="85">
        <f t="shared" si="18"/>
        <v>-0.48580088853580849</v>
      </c>
      <c r="P54" s="85">
        <f t="shared" si="18"/>
        <v>0</v>
      </c>
      <c r="Q54" s="85">
        <f t="shared" si="18"/>
        <v>0</v>
      </c>
      <c r="R54" s="85">
        <f t="shared" si="18"/>
        <v>1</v>
      </c>
      <c r="S54" s="85">
        <f t="shared" si="18"/>
        <v>0</v>
      </c>
      <c r="T54" s="85">
        <f t="shared" si="18"/>
        <v>0</v>
      </c>
      <c r="U54" s="85">
        <f t="shared" si="18"/>
        <v>0</v>
      </c>
    </row>
    <row r="55" spans="1:27" ht="14.25" x14ac:dyDescent="0.2">
      <c r="M55" s="21"/>
    </row>
    <row r="57" spans="1:27" x14ac:dyDescent="0.2">
      <c r="B57" s="223" t="s">
        <v>191</v>
      </c>
      <c r="C57" s="223"/>
      <c r="D57" s="223"/>
      <c r="E57" s="84"/>
      <c r="F57" s="84"/>
      <c r="G57" s="84"/>
      <c r="H57" s="84"/>
      <c r="I57" s="84"/>
      <c r="J57" s="84"/>
      <c r="K57" s="84"/>
      <c r="L57" s="84"/>
      <c r="M57" s="150"/>
    </row>
    <row r="58" spans="1:27" ht="13.5" thickBot="1" x14ac:dyDescent="0.25">
      <c r="B58" s="77" t="s">
        <v>153</v>
      </c>
      <c r="C58" s="78" t="s">
        <v>75</v>
      </c>
      <c r="D58" s="78" t="s">
        <v>154</v>
      </c>
      <c r="E58" s="78" t="s">
        <v>77</v>
      </c>
      <c r="F58" s="78" t="s">
        <v>78</v>
      </c>
      <c r="G58" s="78" t="s">
        <v>79</v>
      </c>
      <c r="H58" s="78" t="s">
        <v>80</v>
      </c>
      <c r="I58" s="78" t="s">
        <v>81</v>
      </c>
      <c r="J58" s="78" t="s">
        <v>82</v>
      </c>
      <c r="K58" s="78" t="s">
        <v>40</v>
      </c>
      <c r="L58" s="78" t="s">
        <v>83</v>
      </c>
      <c r="M58" s="150"/>
      <c r="N58" s="78" t="s">
        <v>85</v>
      </c>
      <c r="O58" s="78" t="s">
        <v>155</v>
      </c>
      <c r="P58" s="78" t="s">
        <v>87</v>
      </c>
      <c r="Q58" s="78" t="s">
        <v>88</v>
      </c>
      <c r="R58" s="78" t="s">
        <v>89</v>
      </c>
      <c r="S58" s="78" t="s">
        <v>90</v>
      </c>
      <c r="T58" s="78" t="s">
        <v>91</v>
      </c>
      <c r="U58" s="78" t="s">
        <v>92</v>
      </c>
    </row>
    <row r="59" spans="1:27" x14ac:dyDescent="0.2">
      <c r="B59" s="79" t="str">
        <f>B52</f>
        <v>ABR/2023</v>
      </c>
      <c r="C59" s="80">
        <f>C44</f>
        <v>4675512.3699999982</v>
      </c>
      <c r="D59" s="80">
        <f t="shared" ref="D59:L59" si="19">D51</f>
        <v>4674993.22</v>
      </c>
      <c r="E59" s="80">
        <f t="shared" si="19"/>
        <v>519.15</v>
      </c>
      <c r="F59" s="81">
        <f t="shared" si="19"/>
        <v>15193</v>
      </c>
      <c r="G59" s="81">
        <f t="shared" si="19"/>
        <v>19197</v>
      </c>
      <c r="H59" s="80">
        <f t="shared" si="19"/>
        <v>307.74122095701955</v>
      </c>
      <c r="I59" s="80">
        <f t="shared" si="19"/>
        <v>52857.61</v>
      </c>
      <c r="J59" s="118">
        <f t="shared" si="19"/>
        <v>88.454857682744233</v>
      </c>
      <c r="K59" s="81">
        <f t="shared" si="19"/>
        <v>143805</v>
      </c>
      <c r="L59" s="82">
        <f t="shared" si="19"/>
        <v>0.10565001216925698</v>
      </c>
      <c r="M59" s="150"/>
      <c r="N59" s="80">
        <f t="shared" ref="N59:U59" si="20">N51</f>
        <v>42982.23</v>
      </c>
      <c r="O59" s="80">
        <f t="shared" si="20"/>
        <v>7502.23</v>
      </c>
      <c r="P59" s="80">
        <f t="shared" si="20"/>
        <v>0</v>
      </c>
      <c r="Q59" s="80">
        <f t="shared" si="20"/>
        <v>1599.9999999999989</v>
      </c>
      <c r="R59" s="80">
        <f t="shared" si="20"/>
        <v>773.15000000000009</v>
      </c>
      <c r="S59" s="80">
        <f t="shared" si="20"/>
        <v>0</v>
      </c>
      <c r="T59" s="80">
        <f t="shared" si="20"/>
        <v>0</v>
      </c>
      <c r="U59" s="80">
        <f t="shared" si="20"/>
        <v>0</v>
      </c>
    </row>
    <row r="60" spans="1:27" ht="14.25" x14ac:dyDescent="0.2">
      <c r="A60" s="128">
        <f ca="1">TODAY()</f>
        <v>45834</v>
      </c>
      <c r="B60" s="138" t="str">
        <f>B45</f>
        <v>MAI/2022</v>
      </c>
      <c r="C60" s="134">
        <f t="shared" ref="C60:K60" ca="1" si="21">SUMIF($A$64:$A$94,"Realizado",C64:C94)</f>
        <v>2504733.5500000003</v>
      </c>
      <c r="D60" s="134">
        <f t="shared" ca="1" si="21"/>
        <v>2504557.9200000004</v>
      </c>
      <c r="E60" s="134">
        <f t="shared" ca="1" si="21"/>
        <v>175.63000000000002</v>
      </c>
      <c r="F60" s="135">
        <f t="shared" ca="1" si="21"/>
        <v>8271</v>
      </c>
      <c r="G60" s="135">
        <f t="shared" ca="1" si="21"/>
        <v>10149</v>
      </c>
      <c r="H60" s="134">
        <f ca="1">C60/F60</f>
        <v>302.83321847418694</v>
      </c>
      <c r="I60" s="134">
        <f t="shared" ca="1" si="21"/>
        <v>23421.31</v>
      </c>
      <c r="J60" s="136">
        <f ca="1">C60/I60</f>
        <v>106.94250449697306</v>
      </c>
      <c r="K60" s="135">
        <f t="shared" ca="1" si="21"/>
        <v>145178</v>
      </c>
      <c r="L60" s="137">
        <f ca="1">F60/K60</f>
        <v>5.6971441954015073E-2</v>
      </c>
      <c r="M60" s="21"/>
      <c r="N60" s="134">
        <f t="shared" ref="N60:U60" ca="1" si="22">SUMIF($A$64:$A$94,"Realizado",N64:N94)</f>
        <v>14885.130000000001</v>
      </c>
      <c r="O60" s="134">
        <f t="shared" ca="1" si="22"/>
        <v>6936.1800000000021</v>
      </c>
      <c r="P60" s="134">
        <f t="shared" ca="1" si="22"/>
        <v>0</v>
      </c>
      <c r="Q60" s="134">
        <f t="shared" ca="1" si="22"/>
        <v>1599.9999999999989</v>
      </c>
      <c r="R60" s="134">
        <f t="shared" ca="1" si="22"/>
        <v>0</v>
      </c>
      <c r="S60" s="134">
        <f t="shared" ca="1" si="22"/>
        <v>0</v>
      </c>
      <c r="T60" s="134">
        <f t="shared" ca="1" si="22"/>
        <v>0</v>
      </c>
      <c r="U60" s="134">
        <f t="shared" ca="1" si="22"/>
        <v>0</v>
      </c>
    </row>
    <row r="61" spans="1:27" x14ac:dyDescent="0.2">
      <c r="B61" s="83"/>
      <c r="C61" s="87">
        <f t="shared" ref="C61:L61" ca="1" si="23">C59-C60</f>
        <v>2170778.819999998</v>
      </c>
      <c r="D61" s="87">
        <f t="shared" ca="1" si="23"/>
        <v>2170435.2999999993</v>
      </c>
      <c r="E61" s="87">
        <f t="shared" ca="1" si="23"/>
        <v>343.52</v>
      </c>
      <c r="F61" s="88">
        <f t="shared" ca="1" si="23"/>
        <v>6922</v>
      </c>
      <c r="G61" s="88">
        <f t="shared" ca="1" si="23"/>
        <v>9048</v>
      </c>
      <c r="H61" s="87">
        <f t="shared" ca="1" si="23"/>
        <v>4.9080024828326145</v>
      </c>
      <c r="I61" s="87">
        <f t="shared" ca="1" si="23"/>
        <v>29436.3</v>
      </c>
      <c r="J61" s="125">
        <f t="shared" ca="1" si="23"/>
        <v>-18.487646814228825</v>
      </c>
      <c r="K61" s="88">
        <f t="shared" ca="1" si="23"/>
        <v>-1373</v>
      </c>
      <c r="L61" s="89">
        <f t="shared" ca="1" si="23"/>
        <v>4.8678570215241912E-2</v>
      </c>
      <c r="M61" s="150"/>
      <c r="N61" s="87">
        <f t="shared" ref="N61:U61" ca="1" si="24">N59-N60</f>
        <v>28097.100000000002</v>
      </c>
      <c r="O61" s="87">
        <f t="shared" ca="1" si="24"/>
        <v>566.04999999999745</v>
      </c>
      <c r="P61" s="87">
        <f t="shared" ca="1" si="24"/>
        <v>0</v>
      </c>
      <c r="Q61" s="87">
        <f t="shared" ca="1" si="24"/>
        <v>0</v>
      </c>
      <c r="R61" s="87">
        <f t="shared" ca="1" si="24"/>
        <v>773.15000000000009</v>
      </c>
      <c r="S61" s="87">
        <f t="shared" ca="1" si="24"/>
        <v>0</v>
      </c>
      <c r="T61" s="87">
        <f t="shared" ca="1" si="24"/>
        <v>0</v>
      </c>
      <c r="U61" s="87">
        <f t="shared" ca="1" si="24"/>
        <v>0</v>
      </c>
    </row>
    <row r="62" spans="1:27" x14ac:dyDescent="0.2">
      <c r="B62" s="84"/>
      <c r="C62" s="85">
        <f ca="1">IFERROR(1-(C60/C59),0)</f>
        <v>0.46428683066450716</v>
      </c>
      <c r="D62" s="85">
        <f t="shared" ref="D62:L62" ca="1" si="25">IFERROR(1-(D60/D59),0)</f>
        <v>0.46426490860237002</v>
      </c>
      <c r="E62" s="85">
        <f t="shared" ca="1" si="25"/>
        <v>0.66169700471925252</v>
      </c>
      <c r="F62" s="85">
        <f t="shared" ca="1" si="25"/>
        <v>0.45560455472915162</v>
      </c>
      <c r="G62" s="85">
        <f t="shared" ca="1" si="25"/>
        <v>0.47132364431942486</v>
      </c>
      <c r="H62" s="85">
        <f t="shared" ca="1" si="25"/>
        <v>1.5948472770627276E-2</v>
      </c>
      <c r="I62" s="85">
        <f t="shared" ca="1" si="25"/>
        <v>0.55689805119830427</v>
      </c>
      <c r="J62" s="85">
        <f t="shared" ca="1" si="25"/>
        <v>-0.20900657463649264</v>
      </c>
      <c r="K62" s="85">
        <f t="shared" ca="1" si="25"/>
        <v>-9.5476513334029622E-3</v>
      </c>
      <c r="L62" s="85">
        <f t="shared" ca="1" si="25"/>
        <v>0.46075309614973103</v>
      </c>
      <c r="M62" s="150"/>
      <c r="N62" s="85">
        <f t="shared" ref="N62:U62" ca="1" si="26">IFERROR(1-(N60/N59),0)</f>
        <v>0.65369107186853737</v>
      </c>
      <c r="O62" s="85">
        <f t="shared" ca="1" si="26"/>
        <v>7.5450899265951277E-2</v>
      </c>
      <c r="P62" s="85">
        <f t="shared" ca="1" si="26"/>
        <v>0</v>
      </c>
      <c r="Q62" s="85">
        <f t="shared" ca="1" si="26"/>
        <v>0</v>
      </c>
      <c r="R62" s="85">
        <f t="shared" ca="1" si="26"/>
        <v>1</v>
      </c>
      <c r="S62" s="85">
        <f t="shared" ca="1" si="26"/>
        <v>0</v>
      </c>
      <c r="T62" s="85">
        <f t="shared" ca="1" si="26"/>
        <v>0</v>
      </c>
      <c r="U62" s="85">
        <f t="shared" ca="1" si="26"/>
        <v>0</v>
      </c>
    </row>
    <row r="63" spans="1:27" x14ac:dyDescent="0.2">
      <c r="A63" s="128">
        <f ca="1">TODAY()</f>
        <v>45834</v>
      </c>
      <c r="M63" s="148"/>
    </row>
    <row r="64" spans="1:27" hidden="1" x14ac:dyDescent="0.2">
      <c r="A64" s="17" t="str">
        <f t="shared" ref="A64:A68" ca="1" si="27">IF($A$63&lt;=AA64,"Previsto","Realizado")</f>
        <v>Realizado</v>
      </c>
      <c r="B64" s="17">
        <v>44682</v>
      </c>
      <c r="C64" s="19">
        <f t="shared" ref="C64:C94" si="28">D64+E64</f>
        <v>42443.15</v>
      </c>
      <c r="D64" s="35">
        <f>_xlfn.XLOOKUP($B:$B,'Compilado 2023'!$B:$B,'Compilado 2023'!D:D)</f>
        <v>42378.51</v>
      </c>
      <c r="E64" s="35">
        <f>_xlfn.XLOOKUP($B:$B,'Compilado 2023'!$B:$B,'Compilado 2023'!E:E)</f>
        <v>64.64</v>
      </c>
      <c r="F64" s="18">
        <f>_xlfn.XLOOKUP($B:$B,'Compilado 2023'!$B:$B,'Compilado 2023'!F:F)</f>
        <v>129</v>
      </c>
      <c r="G64" s="18">
        <f>_xlfn.XLOOKUP($B:$B,'Compilado 2023'!$B:$B,'Compilado 2023'!G:G)</f>
        <v>151</v>
      </c>
      <c r="H64" s="35">
        <f t="shared" ref="H64:H94" si="29">IFERROR(C64/F64,0)</f>
        <v>329.01666666666665</v>
      </c>
      <c r="I64" s="19">
        <f t="shared" ref="I64:I94" si="30">SUM(N64:U64)</f>
        <v>636.38290322580644</v>
      </c>
      <c r="J64" s="122">
        <f t="shared" ref="J64:J94" si="31">IF(I64&gt;0,C64/I64,0)</f>
        <v>66.694359299812902</v>
      </c>
      <c r="K64" s="18">
        <f>_xlfn.XLOOKUP($B:$B,'Compilado 2023'!$B:$B,'Compilado 2023'!K:K)</f>
        <v>3994</v>
      </c>
      <c r="L64" s="54">
        <f t="shared" ref="L64:L94" si="32">IFERROR(F64/K64,0)</f>
        <v>3.229844767150726E-2</v>
      </c>
      <c r="M64" s="149"/>
      <c r="N64" s="106">
        <f>_xlfn.XLOOKUP($B:$B,'Compilado 2023'!$B:$B,'Compilado 2023'!N:N)</f>
        <v>453.69</v>
      </c>
      <c r="O64" s="106">
        <f>_xlfn.XLOOKUP($B:$B,'Compilado 2023'!$B:$B,'Compilado 2023'!O:O)</f>
        <v>131.08000000000001</v>
      </c>
      <c r="P64" s="106">
        <f>_xlfn.XLOOKUP($B:$B,'Compilado 2023'!$B:$B,'Compilado 2023'!P:P)</f>
        <v>0</v>
      </c>
      <c r="Q64" s="106">
        <f>_xlfn.XLOOKUP($B:$B,'Compilado 2023'!$B:$B,'Compilado 2023'!Q:Q)</f>
        <v>51.612903225806448</v>
      </c>
      <c r="R64" s="106">
        <f>_xlfn.XLOOKUP($B:$B,'Compilado 2023'!$B:$B,'Compilado 2023'!R:R)</f>
        <v>0</v>
      </c>
      <c r="S64" s="106">
        <f>_xlfn.XLOOKUP($B:$B,'Compilado 2023'!$B:$B,'Compilado 2023'!T:T)</f>
        <v>0</v>
      </c>
      <c r="T64" s="106">
        <f>_xlfn.XLOOKUP($B:$B,'Compilado 2023'!$B:$B,'Compilado 2023'!U:U)</f>
        <v>0</v>
      </c>
      <c r="U64" s="106">
        <f>_xlfn.XLOOKUP($B:$B,'Compilado 2023'!$B:$B,'Compilado 2023'!V:V)</f>
        <v>0</v>
      </c>
      <c r="V64" s="57"/>
      <c r="W64" s="106">
        <f>_xlfn.XLOOKUP($B:$B,'Compilado 2023'!$B:$B,'Compilado 2023'!X:X)</f>
        <v>0</v>
      </c>
      <c r="X64" s="106">
        <f>_xlfn.XLOOKUP($B:$B,'Compilado 2023'!$B:$B,'Compilado 2023'!Y:Y)</f>
        <v>0</v>
      </c>
      <c r="Y64" s="106">
        <f>_xlfn.XLOOKUP($B:$B,'Compilado 2023'!$B:$B,'Compilado 2023'!Z:Z)</f>
        <v>0</v>
      </c>
      <c r="AA64" s="208">
        <v>45108</v>
      </c>
    </row>
    <row r="65" spans="1:27" hidden="1" x14ac:dyDescent="0.2">
      <c r="A65" s="17" t="str">
        <f t="shared" ca="1" si="27"/>
        <v>Realizado</v>
      </c>
      <c r="B65" s="17">
        <v>44683</v>
      </c>
      <c r="C65" s="19">
        <f t="shared" si="28"/>
        <v>154579.30000000002</v>
      </c>
      <c r="D65" s="35">
        <f>_xlfn.XLOOKUP($B:$B,'Compilado 2023'!$B:$B,'Compilado 2023'!D:D)</f>
        <v>154554.23000000001</v>
      </c>
      <c r="E65" s="35">
        <f>_xlfn.XLOOKUP($B:$B,'Compilado 2023'!$B:$B,'Compilado 2023'!E:E)</f>
        <v>25.07</v>
      </c>
      <c r="F65" s="18">
        <f>_xlfn.XLOOKUP($B:$B,'Compilado 2023'!$B:$B,'Compilado 2023'!F:F)</f>
        <v>408</v>
      </c>
      <c r="G65" s="18">
        <f>_xlfn.XLOOKUP($B:$B,'Compilado 2023'!$B:$B,'Compilado 2023'!G:G)</f>
        <v>625</v>
      </c>
      <c r="H65" s="35">
        <f t="shared" si="29"/>
        <v>378.87083333333339</v>
      </c>
      <c r="I65" s="19">
        <f t="shared" si="30"/>
        <v>723.41290322580642</v>
      </c>
      <c r="J65" s="122">
        <f t="shared" si="31"/>
        <v>213.68059556403787</v>
      </c>
      <c r="K65" s="18">
        <f>_xlfn.XLOOKUP($B:$B,'Compilado 2023'!$B:$B,'Compilado 2023'!K:K)</f>
        <v>8254</v>
      </c>
      <c r="L65" s="54">
        <f t="shared" si="32"/>
        <v>4.9430579113157257E-2</v>
      </c>
      <c r="M65" s="149"/>
      <c r="N65" s="106">
        <f>_xlfn.XLOOKUP($B:$B,'Compilado 2023'!$B:$B,'Compilado 2023'!N:N)</f>
        <v>482.9</v>
      </c>
      <c r="O65" s="106">
        <f>_xlfn.XLOOKUP($B:$B,'Compilado 2023'!$B:$B,'Compilado 2023'!O:O)</f>
        <v>188.9</v>
      </c>
      <c r="P65" s="106">
        <f>_xlfn.XLOOKUP($B:$B,'Compilado 2023'!$B:$B,'Compilado 2023'!P:P)</f>
        <v>0</v>
      </c>
      <c r="Q65" s="106">
        <f>_xlfn.XLOOKUP($B:$B,'Compilado 2023'!$B:$B,'Compilado 2023'!Q:Q)</f>
        <v>51.612903225806448</v>
      </c>
      <c r="R65" s="106">
        <f>_xlfn.XLOOKUP($B:$B,'Compilado 2023'!$B:$B,'Compilado 2023'!R:R)</f>
        <v>0</v>
      </c>
      <c r="S65" s="106">
        <f>_xlfn.XLOOKUP($B:$B,'Compilado 2023'!$B:$B,'Compilado 2023'!T:T)</f>
        <v>0</v>
      </c>
      <c r="T65" s="106">
        <f>_xlfn.XLOOKUP($B:$B,'Compilado 2023'!$B:$B,'Compilado 2023'!U:U)</f>
        <v>0</v>
      </c>
      <c r="U65" s="106">
        <f>_xlfn.XLOOKUP($B:$B,'Compilado 2023'!$B:$B,'Compilado 2023'!V:V)</f>
        <v>0</v>
      </c>
      <c r="V65" s="57"/>
      <c r="W65" s="106">
        <f>_xlfn.XLOOKUP($B:$B,'Compilado 2023'!$B:$B,'Compilado 2023'!X:X)</f>
        <v>0</v>
      </c>
      <c r="X65" s="106">
        <f>_xlfn.XLOOKUP($B:$B,'Compilado 2023'!$B:$B,'Compilado 2023'!Y:Y)</f>
        <v>0</v>
      </c>
      <c r="Y65" s="106">
        <f>_xlfn.XLOOKUP($B:$B,'Compilado 2023'!$B:$B,'Compilado 2023'!Z:Z)</f>
        <v>0</v>
      </c>
      <c r="AA65" s="208">
        <v>45109</v>
      </c>
    </row>
    <row r="66" spans="1:27" hidden="1" x14ac:dyDescent="0.2">
      <c r="A66" s="17" t="str">
        <f t="shared" ca="1" si="27"/>
        <v>Realizado</v>
      </c>
      <c r="B66" s="17">
        <v>44684</v>
      </c>
      <c r="C66" s="19">
        <f t="shared" si="28"/>
        <v>149914.43</v>
      </c>
      <c r="D66" s="35">
        <f>_xlfn.XLOOKUP($B:$B,'Compilado 2023'!$B:$B,'Compilado 2023'!D:D)</f>
        <v>149914.43</v>
      </c>
      <c r="E66" s="35">
        <f>_xlfn.XLOOKUP($B:$B,'Compilado 2023'!$B:$B,'Compilado 2023'!E:E)</f>
        <v>0</v>
      </c>
      <c r="F66" s="18">
        <f>_xlfn.XLOOKUP($B:$B,'Compilado 2023'!$B:$B,'Compilado 2023'!F:F)</f>
        <v>452</v>
      </c>
      <c r="G66" s="18">
        <f>_xlfn.XLOOKUP($B:$B,'Compilado 2023'!$B:$B,'Compilado 2023'!G:G)</f>
        <v>553</v>
      </c>
      <c r="H66" s="35">
        <f t="shared" si="29"/>
        <v>331.66909292035399</v>
      </c>
      <c r="I66" s="19">
        <f t="shared" si="30"/>
        <v>766.41290322580642</v>
      </c>
      <c r="J66" s="122">
        <f t="shared" si="31"/>
        <v>195.60530540262977</v>
      </c>
      <c r="K66" s="18">
        <f>_xlfn.XLOOKUP($B:$B,'Compilado 2023'!$B:$B,'Compilado 2023'!K:K)</f>
        <v>8428</v>
      </c>
      <c r="L66" s="54">
        <f t="shared" si="32"/>
        <v>5.3630754627432366E-2</v>
      </c>
      <c r="M66" s="149"/>
      <c r="N66" s="106">
        <f>_xlfn.XLOOKUP($B:$B,'Compilado 2023'!$B:$B,'Compilado 2023'!N:N)</f>
        <v>517.55999999999995</v>
      </c>
      <c r="O66" s="106">
        <f>_xlfn.XLOOKUP($B:$B,'Compilado 2023'!$B:$B,'Compilado 2023'!O:O)</f>
        <v>197.24</v>
      </c>
      <c r="P66" s="106">
        <f>_xlfn.XLOOKUP($B:$B,'Compilado 2023'!$B:$B,'Compilado 2023'!P:P)</f>
        <v>0</v>
      </c>
      <c r="Q66" s="106">
        <f>_xlfn.XLOOKUP($B:$B,'Compilado 2023'!$B:$B,'Compilado 2023'!Q:Q)</f>
        <v>51.612903225806448</v>
      </c>
      <c r="R66" s="106">
        <f>_xlfn.XLOOKUP($B:$B,'Compilado 2023'!$B:$B,'Compilado 2023'!R:R)</f>
        <v>0</v>
      </c>
      <c r="S66" s="106">
        <f>_xlfn.XLOOKUP($B:$B,'Compilado 2023'!$B:$B,'Compilado 2023'!T:T)</f>
        <v>0</v>
      </c>
      <c r="T66" s="106">
        <f>_xlfn.XLOOKUP($B:$B,'Compilado 2023'!$B:$B,'Compilado 2023'!U:U)</f>
        <v>0</v>
      </c>
      <c r="U66" s="106">
        <f>_xlfn.XLOOKUP($B:$B,'Compilado 2023'!$B:$B,'Compilado 2023'!V:V)</f>
        <v>0</v>
      </c>
      <c r="V66" s="57"/>
      <c r="W66" s="106">
        <f>_xlfn.XLOOKUP($B:$B,'Compilado 2023'!$B:$B,'Compilado 2023'!X:X)</f>
        <v>0</v>
      </c>
      <c r="X66" s="106">
        <f>_xlfn.XLOOKUP($B:$B,'Compilado 2023'!$B:$B,'Compilado 2023'!Y:Y)</f>
        <v>0</v>
      </c>
      <c r="Y66" s="106">
        <f>_xlfn.XLOOKUP($B:$B,'Compilado 2023'!$B:$B,'Compilado 2023'!Z:Z)</f>
        <v>0</v>
      </c>
      <c r="AA66" s="208">
        <v>45110</v>
      </c>
    </row>
    <row r="67" spans="1:27" hidden="1" x14ac:dyDescent="0.2">
      <c r="A67" s="17" t="str">
        <f t="shared" ca="1" si="27"/>
        <v>Realizado</v>
      </c>
      <c r="B67" s="17">
        <v>44685</v>
      </c>
      <c r="C67" s="19">
        <f t="shared" si="28"/>
        <v>164851.48000000001</v>
      </c>
      <c r="D67" s="35">
        <f>_xlfn.XLOOKUP($B:$B,'Compilado 2023'!$B:$B,'Compilado 2023'!D:D)</f>
        <v>164851.48000000001</v>
      </c>
      <c r="E67" s="35">
        <f>_xlfn.XLOOKUP($B:$B,'Compilado 2023'!$B:$B,'Compilado 2023'!E:E)</f>
        <v>0</v>
      </c>
      <c r="F67" s="18">
        <f>_xlfn.XLOOKUP($B:$B,'Compilado 2023'!$B:$B,'Compilado 2023'!F:F)</f>
        <v>483</v>
      </c>
      <c r="G67" s="18">
        <f>_xlfn.XLOOKUP($B:$B,'Compilado 2023'!$B:$B,'Compilado 2023'!G:G)</f>
        <v>688</v>
      </c>
      <c r="H67" s="35">
        <f t="shared" si="29"/>
        <v>341.30741200828157</v>
      </c>
      <c r="I67" s="19">
        <f t="shared" si="30"/>
        <v>834.31290322580651</v>
      </c>
      <c r="J67" s="122">
        <f t="shared" si="31"/>
        <v>197.58951271473146</v>
      </c>
      <c r="K67" s="18">
        <f>_xlfn.XLOOKUP($B:$B,'Compilado 2023'!$B:$B,'Compilado 2023'!K:K)</f>
        <v>7985</v>
      </c>
      <c r="L67" s="54">
        <f t="shared" si="32"/>
        <v>6.0488415779586725E-2</v>
      </c>
      <c r="M67" s="149"/>
      <c r="N67" s="106">
        <f>_xlfn.XLOOKUP($B:$B,'Compilado 2023'!$B:$B,'Compilado 2023'!N:N)</f>
        <v>537.1</v>
      </c>
      <c r="O67" s="106">
        <f>_xlfn.XLOOKUP($B:$B,'Compilado 2023'!$B:$B,'Compilado 2023'!O:O)</f>
        <v>245.6</v>
      </c>
      <c r="P67" s="106">
        <f>_xlfn.XLOOKUP($B:$B,'Compilado 2023'!$B:$B,'Compilado 2023'!P:P)</f>
        <v>0</v>
      </c>
      <c r="Q67" s="106">
        <f>_xlfn.XLOOKUP($B:$B,'Compilado 2023'!$B:$B,'Compilado 2023'!Q:Q)</f>
        <v>51.612903225806448</v>
      </c>
      <c r="R67" s="106">
        <f>_xlfn.XLOOKUP($B:$B,'Compilado 2023'!$B:$B,'Compilado 2023'!R:R)</f>
        <v>0</v>
      </c>
      <c r="S67" s="106">
        <f>_xlfn.XLOOKUP($B:$B,'Compilado 2023'!$B:$B,'Compilado 2023'!T:T)</f>
        <v>0</v>
      </c>
      <c r="T67" s="106">
        <f>_xlfn.XLOOKUP($B:$B,'Compilado 2023'!$B:$B,'Compilado 2023'!U:U)</f>
        <v>0</v>
      </c>
      <c r="U67" s="106">
        <f>_xlfn.XLOOKUP($B:$B,'Compilado 2023'!$B:$B,'Compilado 2023'!V:V)</f>
        <v>0</v>
      </c>
      <c r="V67" s="57"/>
      <c r="W67" s="106">
        <f>_xlfn.XLOOKUP($B:$B,'Compilado 2023'!$B:$B,'Compilado 2023'!X:X)</f>
        <v>0</v>
      </c>
      <c r="X67" s="106">
        <f>_xlfn.XLOOKUP($B:$B,'Compilado 2023'!$B:$B,'Compilado 2023'!Y:Y)</f>
        <v>0</v>
      </c>
      <c r="Y67" s="106">
        <f>_xlfn.XLOOKUP($B:$B,'Compilado 2023'!$B:$B,'Compilado 2023'!Z:Z)</f>
        <v>0</v>
      </c>
      <c r="AA67" s="208">
        <v>45111</v>
      </c>
    </row>
    <row r="68" spans="1:27" hidden="1" x14ac:dyDescent="0.2">
      <c r="A68" s="17" t="str">
        <f t="shared" ca="1" si="27"/>
        <v>Realizado</v>
      </c>
      <c r="B68" s="17">
        <v>44686</v>
      </c>
      <c r="C68" s="19">
        <f t="shared" si="28"/>
        <v>187138.48</v>
      </c>
      <c r="D68" s="35">
        <f>_xlfn.XLOOKUP($B:$B,'Compilado 2023'!$B:$B,'Compilado 2023'!D:D)</f>
        <v>187103.48</v>
      </c>
      <c r="E68" s="35">
        <f>_xlfn.XLOOKUP($B:$B,'Compilado 2023'!$B:$B,'Compilado 2023'!E:E)</f>
        <v>35</v>
      </c>
      <c r="F68" s="18">
        <f>_xlfn.XLOOKUP($B:$B,'Compilado 2023'!$B:$B,'Compilado 2023'!F:F)</f>
        <v>569</v>
      </c>
      <c r="G68" s="18">
        <f>_xlfn.XLOOKUP($B:$B,'Compilado 2023'!$B:$B,'Compilado 2023'!G:G)</f>
        <v>731</v>
      </c>
      <c r="H68" s="35">
        <f t="shared" si="29"/>
        <v>328.89012302284709</v>
      </c>
      <c r="I68" s="19">
        <f t="shared" si="30"/>
        <v>870.26290322580655</v>
      </c>
      <c r="J68" s="122">
        <f t="shared" si="31"/>
        <v>215.03671971576998</v>
      </c>
      <c r="K68" s="18">
        <f>_xlfn.XLOOKUP($B:$B,'Compilado 2023'!$B:$B,'Compilado 2023'!K:K)</f>
        <v>7952</v>
      </c>
      <c r="L68" s="54">
        <f t="shared" si="32"/>
        <v>7.155432595573441E-2</v>
      </c>
      <c r="M68" s="149"/>
      <c r="N68" s="106">
        <f>_xlfn.XLOOKUP($B:$B,'Compilado 2023'!$B:$B,'Compilado 2023'!N:N)</f>
        <v>512.34</v>
      </c>
      <c r="O68" s="106">
        <f>_xlfn.XLOOKUP($B:$B,'Compilado 2023'!$B:$B,'Compilado 2023'!O:O)</f>
        <v>306.31</v>
      </c>
      <c r="P68" s="106">
        <f>_xlfn.XLOOKUP($B:$B,'Compilado 2023'!$B:$B,'Compilado 2023'!P:P)</f>
        <v>0</v>
      </c>
      <c r="Q68" s="106">
        <f>_xlfn.XLOOKUP($B:$B,'Compilado 2023'!$B:$B,'Compilado 2023'!Q:Q)</f>
        <v>51.612903225806448</v>
      </c>
      <c r="R68" s="106">
        <f>_xlfn.XLOOKUP($B:$B,'Compilado 2023'!$B:$B,'Compilado 2023'!R:R)</f>
        <v>0</v>
      </c>
      <c r="S68" s="106">
        <f>_xlfn.XLOOKUP($B:$B,'Compilado 2023'!$B:$B,'Compilado 2023'!T:T)</f>
        <v>0</v>
      </c>
      <c r="T68" s="106">
        <f>_xlfn.XLOOKUP($B:$B,'Compilado 2023'!$B:$B,'Compilado 2023'!U:U)</f>
        <v>0</v>
      </c>
      <c r="U68" s="106">
        <f>_xlfn.XLOOKUP($B:$B,'Compilado 2023'!$B:$B,'Compilado 2023'!V:V)</f>
        <v>0</v>
      </c>
      <c r="V68" s="57"/>
      <c r="W68" s="106">
        <f>_xlfn.XLOOKUP($B:$B,'Compilado 2023'!$B:$B,'Compilado 2023'!X:X)</f>
        <v>0</v>
      </c>
      <c r="X68" s="106">
        <f>_xlfn.XLOOKUP($B:$B,'Compilado 2023'!$B:$B,'Compilado 2023'!Y:Y)</f>
        <v>0</v>
      </c>
      <c r="Y68" s="106">
        <f>_xlfn.XLOOKUP($B:$B,'Compilado 2023'!$B:$B,'Compilado 2023'!Z:Z)</f>
        <v>0</v>
      </c>
      <c r="AA68" s="208">
        <v>45112</v>
      </c>
    </row>
    <row r="69" spans="1:27" hidden="1" x14ac:dyDescent="0.2">
      <c r="A69" s="17" t="str">
        <f ca="1">IF($A$63&lt;=AA69,"Previsto","Realizado")</f>
        <v>Realizado</v>
      </c>
      <c r="B69" s="17">
        <v>44687</v>
      </c>
      <c r="C69" s="19">
        <f t="shared" si="28"/>
        <v>283599.35999999999</v>
      </c>
      <c r="D69" s="35">
        <f>_xlfn.XLOOKUP($B:$B,'Compilado 2023'!$B:$B,'Compilado 2023'!D:D)</f>
        <v>283599.35999999999</v>
      </c>
      <c r="E69" s="35">
        <f>_xlfn.XLOOKUP($B:$B,'Compilado 2023'!$B:$B,'Compilado 2023'!E:E)</f>
        <v>0</v>
      </c>
      <c r="F69" s="18">
        <f>_xlfn.XLOOKUP($B:$B,'Compilado 2023'!$B:$B,'Compilado 2023'!F:F)</f>
        <v>857</v>
      </c>
      <c r="G69" s="18">
        <f>_xlfn.XLOOKUP($B:$B,'Compilado 2023'!$B:$B,'Compilado 2023'!G:G)</f>
        <v>1034</v>
      </c>
      <c r="H69" s="35">
        <f t="shared" si="29"/>
        <v>330.92107351225201</v>
      </c>
      <c r="I69" s="19">
        <f t="shared" si="30"/>
        <v>877.71290322580649</v>
      </c>
      <c r="J69" s="122">
        <f t="shared" si="31"/>
        <v>323.11175893359206</v>
      </c>
      <c r="K69" s="18">
        <f>_xlfn.XLOOKUP($B:$B,'Compilado 2023'!$B:$B,'Compilado 2023'!K:K)</f>
        <v>8598</v>
      </c>
      <c r="L69" s="54">
        <f t="shared" si="32"/>
        <v>9.9674342870434987E-2</v>
      </c>
      <c r="M69" s="149"/>
      <c r="N69" s="106">
        <f>_xlfn.XLOOKUP($B:$B,'Compilado 2023'!$B:$B,'Compilado 2023'!N:N)</f>
        <v>479.24</v>
      </c>
      <c r="O69" s="106">
        <f>_xlfn.XLOOKUP($B:$B,'Compilado 2023'!$B:$B,'Compilado 2023'!O:O)</f>
        <v>346.86</v>
      </c>
      <c r="P69" s="106">
        <f>_xlfn.XLOOKUP($B:$B,'Compilado 2023'!$B:$B,'Compilado 2023'!P:P)</f>
        <v>0</v>
      </c>
      <c r="Q69" s="106">
        <f>_xlfn.XLOOKUP($B:$B,'Compilado 2023'!$B:$B,'Compilado 2023'!Q:Q)</f>
        <v>51.612903225806448</v>
      </c>
      <c r="R69" s="106">
        <f>_xlfn.XLOOKUP($B:$B,'Compilado 2023'!$B:$B,'Compilado 2023'!R:R)</f>
        <v>0</v>
      </c>
      <c r="S69" s="106">
        <f>_xlfn.XLOOKUP($B:$B,'Compilado 2023'!$B:$B,'Compilado 2023'!T:T)</f>
        <v>0</v>
      </c>
      <c r="T69" s="106">
        <f>_xlfn.XLOOKUP($B:$B,'Compilado 2023'!$B:$B,'Compilado 2023'!U:U)</f>
        <v>0</v>
      </c>
      <c r="U69" s="106">
        <f>_xlfn.XLOOKUP($B:$B,'Compilado 2023'!$B:$B,'Compilado 2023'!V:V)</f>
        <v>0</v>
      </c>
      <c r="V69" s="57"/>
      <c r="W69" s="106">
        <f>_xlfn.XLOOKUP($B:$B,'Compilado 2023'!$B:$B,'Compilado 2023'!X:X)</f>
        <v>0</v>
      </c>
      <c r="X69" s="106">
        <f>_xlfn.XLOOKUP($B:$B,'Compilado 2023'!$B:$B,'Compilado 2023'!Y:Y)</f>
        <v>0</v>
      </c>
      <c r="Y69" s="106">
        <f>_xlfn.XLOOKUP($B:$B,'Compilado 2023'!$B:$B,'Compilado 2023'!Z:Z)</f>
        <v>0</v>
      </c>
      <c r="AA69" s="208">
        <v>45113</v>
      </c>
    </row>
    <row r="70" spans="1:27" hidden="1" x14ac:dyDescent="0.2">
      <c r="A70" s="17" t="str">
        <f t="shared" ref="A70:A94" ca="1" si="33">IF($A$63&lt;=AA70,"Previsto","Realizado")</f>
        <v>Realizado</v>
      </c>
      <c r="B70" s="17">
        <v>44688</v>
      </c>
      <c r="C70" s="19">
        <f t="shared" si="28"/>
        <v>328478.06</v>
      </c>
      <c r="D70" s="35">
        <f>_xlfn.XLOOKUP($B:$B,'Compilado 2023'!$B:$B,'Compilado 2023'!D:D)</f>
        <v>328478.06</v>
      </c>
      <c r="E70" s="35">
        <f>_xlfn.XLOOKUP($B:$B,'Compilado 2023'!$B:$B,'Compilado 2023'!E:E)</f>
        <v>0</v>
      </c>
      <c r="F70" s="18">
        <f>_xlfn.XLOOKUP($B:$B,'Compilado 2023'!$B:$B,'Compilado 2023'!F:F)</f>
        <v>1048</v>
      </c>
      <c r="G70" s="18">
        <f>_xlfn.XLOOKUP($B:$B,'Compilado 2023'!$B:$B,'Compilado 2023'!G:G)</f>
        <v>1168</v>
      </c>
      <c r="H70" s="35">
        <f t="shared" si="29"/>
        <v>313.43326335877862</v>
      </c>
      <c r="I70" s="19">
        <f t="shared" si="30"/>
        <v>915.97290322580636</v>
      </c>
      <c r="J70" s="122">
        <f t="shared" si="31"/>
        <v>358.61111048502636</v>
      </c>
      <c r="K70" s="18">
        <f>_xlfn.XLOOKUP($B:$B,'Compilado 2023'!$B:$B,'Compilado 2023'!K:K)</f>
        <v>7301</v>
      </c>
      <c r="L70" s="54">
        <f t="shared" si="32"/>
        <v>0.14354198055060952</v>
      </c>
      <c r="M70" s="149"/>
      <c r="N70" s="106">
        <f>_xlfn.XLOOKUP($B:$B,'Compilado 2023'!$B:$B,'Compilado 2023'!N:N)</f>
        <v>506.33</v>
      </c>
      <c r="O70" s="106">
        <f>_xlfn.XLOOKUP($B:$B,'Compilado 2023'!$B:$B,'Compilado 2023'!O:O)</f>
        <v>358.03</v>
      </c>
      <c r="P70" s="106">
        <f>_xlfn.XLOOKUP($B:$B,'Compilado 2023'!$B:$B,'Compilado 2023'!P:P)</f>
        <v>0</v>
      </c>
      <c r="Q70" s="106">
        <f>_xlfn.XLOOKUP($B:$B,'Compilado 2023'!$B:$B,'Compilado 2023'!Q:Q)</f>
        <v>51.612903225806448</v>
      </c>
      <c r="R70" s="106">
        <f>_xlfn.XLOOKUP($B:$B,'Compilado 2023'!$B:$B,'Compilado 2023'!R:R)</f>
        <v>0</v>
      </c>
      <c r="S70" s="106">
        <f>_xlfn.XLOOKUP($B:$B,'Compilado 2023'!$B:$B,'Compilado 2023'!T:T)</f>
        <v>0</v>
      </c>
      <c r="T70" s="106">
        <f>_xlfn.XLOOKUP($B:$B,'Compilado 2023'!$B:$B,'Compilado 2023'!U:U)</f>
        <v>0</v>
      </c>
      <c r="U70" s="106">
        <f>_xlfn.XLOOKUP($B:$B,'Compilado 2023'!$B:$B,'Compilado 2023'!V:V)</f>
        <v>0</v>
      </c>
      <c r="V70" s="57"/>
      <c r="W70" s="106">
        <f>_xlfn.XLOOKUP($B:$B,'Compilado 2023'!$B:$B,'Compilado 2023'!X:X)</f>
        <v>0</v>
      </c>
      <c r="X70" s="106">
        <f>_xlfn.XLOOKUP($B:$B,'Compilado 2023'!$B:$B,'Compilado 2023'!Y:Y)</f>
        <v>0</v>
      </c>
      <c r="Y70" s="106">
        <f>_xlfn.XLOOKUP($B:$B,'Compilado 2023'!$B:$B,'Compilado 2023'!Z:Z)</f>
        <v>0</v>
      </c>
      <c r="AA70" s="208">
        <v>45114</v>
      </c>
    </row>
    <row r="71" spans="1:27" hidden="1" x14ac:dyDescent="0.2">
      <c r="A71" s="17" t="str">
        <f t="shared" ca="1" si="33"/>
        <v>Realizado</v>
      </c>
      <c r="B71" s="17">
        <v>44689</v>
      </c>
      <c r="C71" s="19">
        <f t="shared" si="28"/>
        <v>304478.12</v>
      </c>
      <c r="D71" s="35">
        <f>_xlfn.XLOOKUP($B:$B,'Compilado 2023'!$B:$B,'Compilado 2023'!D:D)</f>
        <v>304478.12</v>
      </c>
      <c r="E71" s="35">
        <f>_xlfn.XLOOKUP($B:$B,'Compilado 2023'!$B:$B,'Compilado 2023'!E:E)</f>
        <v>0</v>
      </c>
      <c r="F71" s="18">
        <f>_xlfn.XLOOKUP($B:$B,'Compilado 2023'!$B:$B,'Compilado 2023'!F:F)</f>
        <v>976</v>
      </c>
      <c r="G71" s="18">
        <f>_xlfn.XLOOKUP($B:$B,'Compilado 2023'!$B:$B,'Compilado 2023'!G:G)</f>
        <v>1101</v>
      </c>
      <c r="H71" s="35">
        <f t="shared" si="29"/>
        <v>311.96528688524592</v>
      </c>
      <c r="I71" s="19">
        <f t="shared" si="30"/>
        <v>921.33290322580649</v>
      </c>
      <c r="J71" s="122">
        <f t="shared" si="31"/>
        <v>330.47568249646724</v>
      </c>
      <c r="K71" s="18">
        <f>_xlfn.XLOOKUP($B:$B,'Compilado 2023'!$B:$B,'Compilado 2023'!K:K)</f>
        <v>6222</v>
      </c>
      <c r="L71" s="54">
        <f t="shared" si="32"/>
        <v>0.15686274509803921</v>
      </c>
      <c r="M71" s="149"/>
      <c r="N71" s="106">
        <f>_xlfn.XLOOKUP($B:$B,'Compilado 2023'!$B:$B,'Compilado 2023'!N:N)</f>
        <v>423.19</v>
      </c>
      <c r="O71" s="106">
        <f>_xlfn.XLOOKUP($B:$B,'Compilado 2023'!$B:$B,'Compilado 2023'!O:O)</f>
        <v>446.53</v>
      </c>
      <c r="P71" s="106">
        <f>_xlfn.XLOOKUP($B:$B,'Compilado 2023'!$B:$B,'Compilado 2023'!P:P)</f>
        <v>0</v>
      </c>
      <c r="Q71" s="106">
        <f>_xlfn.XLOOKUP($B:$B,'Compilado 2023'!$B:$B,'Compilado 2023'!Q:Q)</f>
        <v>51.612903225806448</v>
      </c>
      <c r="R71" s="106">
        <f>_xlfn.XLOOKUP($B:$B,'Compilado 2023'!$B:$B,'Compilado 2023'!R:R)</f>
        <v>0</v>
      </c>
      <c r="S71" s="106">
        <f>_xlfn.XLOOKUP($B:$B,'Compilado 2023'!$B:$B,'Compilado 2023'!T:T)</f>
        <v>0</v>
      </c>
      <c r="T71" s="106">
        <f>_xlfn.XLOOKUP($B:$B,'Compilado 2023'!$B:$B,'Compilado 2023'!U:U)</f>
        <v>0</v>
      </c>
      <c r="U71" s="106">
        <f>_xlfn.XLOOKUP($B:$B,'Compilado 2023'!$B:$B,'Compilado 2023'!V:V)</f>
        <v>0</v>
      </c>
      <c r="V71" s="57"/>
      <c r="W71" s="106">
        <f>_xlfn.XLOOKUP($B:$B,'Compilado 2023'!$B:$B,'Compilado 2023'!X:X)</f>
        <v>0</v>
      </c>
      <c r="X71" s="106">
        <f>_xlfn.XLOOKUP($B:$B,'Compilado 2023'!$B:$B,'Compilado 2023'!Y:Y)</f>
        <v>0</v>
      </c>
      <c r="Y71" s="106">
        <f>_xlfn.XLOOKUP($B:$B,'Compilado 2023'!$B:$B,'Compilado 2023'!Z:Z)</f>
        <v>0</v>
      </c>
      <c r="AA71" s="208">
        <v>45115</v>
      </c>
    </row>
    <row r="72" spans="1:27" hidden="1" x14ac:dyDescent="0.2">
      <c r="A72" s="17" t="str">
        <f t="shared" ca="1" si="33"/>
        <v>Realizado</v>
      </c>
      <c r="B72" s="17">
        <v>44690</v>
      </c>
      <c r="C72" s="19">
        <f t="shared" si="28"/>
        <v>69381.47</v>
      </c>
      <c r="D72" s="35">
        <f>_xlfn.XLOOKUP($B:$B,'Compilado 2023'!$B:$B,'Compilado 2023'!D:D)</f>
        <v>69381.47</v>
      </c>
      <c r="E72" s="35">
        <f>_xlfn.XLOOKUP($B:$B,'Compilado 2023'!$B:$B,'Compilado 2023'!E:E)</f>
        <v>0</v>
      </c>
      <c r="F72" s="18">
        <f>_xlfn.XLOOKUP($B:$B,'Compilado 2023'!$B:$B,'Compilado 2023'!F:F)</f>
        <v>281</v>
      </c>
      <c r="G72" s="18">
        <f>_xlfn.XLOOKUP($B:$B,'Compilado 2023'!$B:$B,'Compilado 2023'!G:G)</f>
        <v>355</v>
      </c>
      <c r="H72" s="35">
        <f t="shared" si="29"/>
        <v>246.90914590747332</v>
      </c>
      <c r="I72" s="19">
        <f t="shared" si="30"/>
        <v>805.65290322580654</v>
      </c>
      <c r="J72" s="122">
        <f t="shared" si="31"/>
        <v>86.118314378560513</v>
      </c>
      <c r="K72" s="18">
        <f>_xlfn.XLOOKUP($B:$B,'Compilado 2023'!$B:$B,'Compilado 2023'!K:K)</f>
        <v>6002</v>
      </c>
      <c r="L72" s="54">
        <f t="shared" si="32"/>
        <v>4.6817727424191935E-2</v>
      </c>
      <c r="M72" s="149"/>
      <c r="N72" s="106">
        <f>_xlfn.XLOOKUP($B:$B,'Compilado 2023'!$B:$B,'Compilado 2023'!N:N)</f>
        <v>592.94000000000005</v>
      </c>
      <c r="O72" s="106">
        <f>_xlfn.XLOOKUP($B:$B,'Compilado 2023'!$B:$B,'Compilado 2023'!O:O)</f>
        <v>161.1</v>
      </c>
      <c r="P72" s="106">
        <f>_xlfn.XLOOKUP($B:$B,'Compilado 2023'!$B:$B,'Compilado 2023'!P:P)</f>
        <v>0</v>
      </c>
      <c r="Q72" s="106">
        <f>_xlfn.XLOOKUP($B:$B,'Compilado 2023'!$B:$B,'Compilado 2023'!Q:Q)</f>
        <v>51.612903225806448</v>
      </c>
      <c r="R72" s="106">
        <f>_xlfn.XLOOKUP($B:$B,'Compilado 2023'!$B:$B,'Compilado 2023'!R:R)</f>
        <v>0</v>
      </c>
      <c r="S72" s="106">
        <f>_xlfn.XLOOKUP($B:$B,'Compilado 2023'!$B:$B,'Compilado 2023'!T:T)</f>
        <v>0</v>
      </c>
      <c r="T72" s="106">
        <f>_xlfn.XLOOKUP($B:$B,'Compilado 2023'!$B:$B,'Compilado 2023'!U:U)</f>
        <v>0</v>
      </c>
      <c r="U72" s="106">
        <f>_xlfn.XLOOKUP($B:$B,'Compilado 2023'!$B:$B,'Compilado 2023'!V:V)</f>
        <v>0</v>
      </c>
      <c r="V72" s="57"/>
      <c r="W72" s="106">
        <f>_xlfn.XLOOKUP($B:$B,'Compilado 2023'!$B:$B,'Compilado 2023'!X:X)</f>
        <v>0</v>
      </c>
      <c r="X72" s="106">
        <f>_xlfn.XLOOKUP($B:$B,'Compilado 2023'!$B:$B,'Compilado 2023'!Y:Y)</f>
        <v>0</v>
      </c>
      <c r="Y72" s="106">
        <f>_xlfn.XLOOKUP($B:$B,'Compilado 2023'!$B:$B,'Compilado 2023'!Z:Z)</f>
        <v>0</v>
      </c>
      <c r="AA72" s="208">
        <v>45116</v>
      </c>
    </row>
    <row r="73" spans="1:27" hidden="1" x14ac:dyDescent="0.2">
      <c r="A73" s="17" t="str">
        <f t="shared" ca="1" si="33"/>
        <v>Realizado</v>
      </c>
      <c r="B73" s="17">
        <v>44691</v>
      </c>
      <c r="C73" s="19">
        <f t="shared" si="28"/>
        <v>53879.05</v>
      </c>
      <c r="D73" s="35">
        <f>_xlfn.XLOOKUP($B:$B,'Compilado 2023'!$B:$B,'Compilado 2023'!D:D)</f>
        <v>53879.05</v>
      </c>
      <c r="E73" s="35">
        <f>_xlfn.XLOOKUP($B:$B,'Compilado 2023'!$B:$B,'Compilado 2023'!E:E)</f>
        <v>0</v>
      </c>
      <c r="F73" s="18">
        <f>_xlfn.XLOOKUP($B:$B,'Compilado 2023'!$B:$B,'Compilado 2023'!F:F)</f>
        <v>185</v>
      </c>
      <c r="G73" s="18">
        <f>_xlfn.XLOOKUP($B:$B,'Compilado 2023'!$B:$B,'Compilado 2023'!G:G)</f>
        <v>246</v>
      </c>
      <c r="H73" s="35">
        <f t="shared" si="29"/>
        <v>291.23810810810812</v>
      </c>
      <c r="I73" s="19">
        <f t="shared" si="30"/>
        <v>789.02290322580643</v>
      </c>
      <c r="J73" s="122">
        <f t="shared" si="31"/>
        <v>68.285787116854621</v>
      </c>
      <c r="K73" s="18">
        <f>_xlfn.XLOOKUP($B:$B,'Compilado 2023'!$B:$B,'Compilado 2023'!K:K)</f>
        <v>5562</v>
      </c>
      <c r="L73" s="54">
        <f t="shared" si="32"/>
        <v>3.3261416756562384E-2</v>
      </c>
      <c r="M73" s="149"/>
      <c r="N73" s="106">
        <f>_xlfn.XLOOKUP($B:$B,'Compilado 2023'!$B:$B,'Compilado 2023'!N:N)</f>
        <v>593.99</v>
      </c>
      <c r="O73" s="106">
        <f>_xlfn.XLOOKUP($B:$B,'Compilado 2023'!$B:$B,'Compilado 2023'!O:O)</f>
        <v>143.41999999999999</v>
      </c>
      <c r="P73" s="106">
        <f>_xlfn.XLOOKUP($B:$B,'Compilado 2023'!$B:$B,'Compilado 2023'!P:P)</f>
        <v>0</v>
      </c>
      <c r="Q73" s="106">
        <f>_xlfn.XLOOKUP($B:$B,'Compilado 2023'!$B:$B,'Compilado 2023'!Q:Q)</f>
        <v>51.612903225806448</v>
      </c>
      <c r="R73" s="106">
        <f>_xlfn.XLOOKUP($B:$B,'Compilado 2023'!$B:$B,'Compilado 2023'!R:R)</f>
        <v>0</v>
      </c>
      <c r="S73" s="106">
        <f>_xlfn.XLOOKUP($B:$B,'Compilado 2023'!$B:$B,'Compilado 2023'!T:T)</f>
        <v>0</v>
      </c>
      <c r="T73" s="106">
        <f>_xlfn.XLOOKUP($B:$B,'Compilado 2023'!$B:$B,'Compilado 2023'!U:U)</f>
        <v>0</v>
      </c>
      <c r="U73" s="106">
        <f>_xlfn.XLOOKUP($B:$B,'Compilado 2023'!$B:$B,'Compilado 2023'!V:V)</f>
        <v>0</v>
      </c>
      <c r="V73" s="57"/>
      <c r="W73" s="106">
        <f>_xlfn.XLOOKUP($B:$B,'Compilado 2023'!$B:$B,'Compilado 2023'!X:X)</f>
        <v>0</v>
      </c>
      <c r="X73" s="106">
        <f>_xlfn.XLOOKUP($B:$B,'Compilado 2023'!$B:$B,'Compilado 2023'!Y:Y)</f>
        <v>0</v>
      </c>
      <c r="Y73" s="106">
        <f>_xlfn.XLOOKUP($B:$B,'Compilado 2023'!$B:$B,'Compilado 2023'!Z:Z)</f>
        <v>0</v>
      </c>
      <c r="AA73" s="208">
        <v>45117</v>
      </c>
    </row>
    <row r="74" spans="1:27" hidden="1" x14ac:dyDescent="0.2">
      <c r="A74" s="17" t="str">
        <f t="shared" ca="1" si="33"/>
        <v>Realizado</v>
      </c>
      <c r="B74" s="17">
        <v>44692</v>
      </c>
      <c r="C74" s="19">
        <f t="shared" si="28"/>
        <v>56363.07</v>
      </c>
      <c r="D74" s="35">
        <f>_xlfn.XLOOKUP($B:$B,'Compilado 2023'!$B:$B,'Compilado 2023'!D:D)</f>
        <v>56363.07</v>
      </c>
      <c r="E74" s="35">
        <f>_xlfn.XLOOKUP($B:$B,'Compilado 2023'!$B:$B,'Compilado 2023'!E:E)</f>
        <v>0</v>
      </c>
      <c r="F74" s="18">
        <f>_xlfn.XLOOKUP($B:$B,'Compilado 2023'!$B:$B,'Compilado 2023'!F:F)</f>
        <v>184</v>
      </c>
      <c r="G74" s="18">
        <f>_xlfn.XLOOKUP($B:$B,'Compilado 2023'!$B:$B,'Compilado 2023'!G:G)</f>
        <v>280</v>
      </c>
      <c r="H74" s="35">
        <f t="shared" si="29"/>
        <v>306.32103260869565</v>
      </c>
      <c r="I74" s="19">
        <f t="shared" si="30"/>
        <v>788.39290322580644</v>
      </c>
      <c r="J74" s="122">
        <f t="shared" si="31"/>
        <v>71.491092536961673</v>
      </c>
      <c r="K74" s="18">
        <f>_xlfn.XLOOKUP($B:$B,'Compilado 2023'!$B:$B,'Compilado 2023'!K:K)</f>
        <v>4786</v>
      </c>
      <c r="L74" s="54">
        <f t="shared" si="32"/>
        <v>3.8445465942331801E-2</v>
      </c>
      <c r="M74" s="149"/>
      <c r="N74" s="106">
        <f>_xlfn.XLOOKUP($B:$B,'Compilado 2023'!$B:$B,'Compilado 2023'!N:N)</f>
        <v>580.54</v>
      </c>
      <c r="O74" s="106">
        <f>_xlfn.XLOOKUP($B:$B,'Compilado 2023'!$B:$B,'Compilado 2023'!O:O)</f>
        <v>156.24</v>
      </c>
      <c r="P74" s="106">
        <f>_xlfn.XLOOKUP($B:$B,'Compilado 2023'!$B:$B,'Compilado 2023'!P:P)</f>
        <v>0</v>
      </c>
      <c r="Q74" s="106">
        <f>_xlfn.XLOOKUP($B:$B,'Compilado 2023'!$B:$B,'Compilado 2023'!Q:Q)</f>
        <v>51.612903225806448</v>
      </c>
      <c r="R74" s="106">
        <f>_xlfn.XLOOKUP($B:$B,'Compilado 2023'!$B:$B,'Compilado 2023'!R:R)</f>
        <v>0</v>
      </c>
      <c r="S74" s="106">
        <f>_xlfn.XLOOKUP($B:$B,'Compilado 2023'!$B:$B,'Compilado 2023'!T:T)</f>
        <v>0</v>
      </c>
      <c r="T74" s="106">
        <f>_xlfn.XLOOKUP($B:$B,'Compilado 2023'!$B:$B,'Compilado 2023'!U:U)</f>
        <v>0</v>
      </c>
      <c r="U74" s="106">
        <f>_xlfn.XLOOKUP($B:$B,'Compilado 2023'!$B:$B,'Compilado 2023'!V:V)</f>
        <v>0</v>
      </c>
      <c r="V74" s="57"/>
      <c r="W74" s="106">
        <f>_xlfn.XLOOKUP($B:$B,'Compilado 2023'!$B:$B,'Compilado 2023'!X:X)</f>
        <v>0</v>
      </c>
      <c r="X74" s="106">
        <f>_xlfn.XLOOKUP($B:$B,'Compilado 2023'!$B:$B,'Compilado 2023'!Y:Y)</f>
        <v>0</v>
      </c>
      <c r="Y74" s="106">
        <f>_xlfn.XLOOKUP($B:$B,'Compilado 2023'!$B:$B,'Compilado 2023'!Z:Z)</f>
        <v>0</v>
      </c>
      <c r="AA74" s="208">
        <v>45118</v>
      </c>
    </row>
    <row r="75" spans="1:27" hidden="1" x14ac:dyDescent="0.2">
      <c r="A75" s="17" t="str">
        <f t="shared" ca="1" si="33"/>
        <v>Realizado</v>
      </c>
      <c r="B75" s="17">
        <v>44693</v>
      </c>
      <c r="C75" s="19">
        <f t="shared" si="28"/>
        <v>51690.61</v>
      </c>
      <c r="D75" s="35">
        <f>_xlfn.XLOOKUP($B:$B,'Compilado 2023'!$B:$B,'Compilado 2023'!D:D)</f>
        <v>51690.61</v>
      </c>
      <c r="E75" s="35">
        <f>_xlfn.XLOOKUP($B:$B,'Compilado 2023'!$B:$B,'Compilado 2023'!E:E)</f>
        <v>0</v>
      </c>
      <c r="F75" s="18">
        <f>_xlfn.XLOOKUP($B:$B,'Compilado 2023'!$B:$B,'Compilado 2023'!F:F)</f>
        <v>193</v>
      </c>
      <c r="G75" s="18">
        <f>_xlfn.XLOOKUP($B:$B,'Compilado 2023'!$B:$B,'Compilado 2023'!G:G)</f>
        <v>246</v>
      </c>
      <c r="H75" s="35">
        <f t="shared" si="29"/>
        <v>267.82699481865285</v>
      </c>
      <c r="I75" s="19">
        <f t="shared" si="30"/>
        <v>755.21290322580649</v>
      </c>
      <c r="J75" s="122">
        <f t="shared" si="31"/>
        <v>68.445083206615521</v>
      </c>
      <c r="K75" s="18">
        <f>_xlfn.XLOOKUP($B:$B,'Compilado 2023'!$B:$B,'Compilado 2023'!K:K)</f>
        <v>4449</v>
      </c>
      <c r="L75" s="54">
        <f t="shared" si="32"/>
        <v>4.3380534951674536E-2</v>
      </c>
      <c r="M75" s="149"/>
      <c r="N75" s="106">
        <f>_xlfn.XLOOKUP($B:$B,'Compilado 2023'!$B:$B,'Compilado 2023'!N:N)</f>
        <v>517.47</v>
      </c>
      <c r="O75" s="106">
        <f>_xlfn.XLOOKUP($B:$B,'Compilado 2023'!$B:$B,'Compilado 2023'!O:O)</f>
        <v>186.13</v>
      </c>
      <c r="P75" s="106">
        <f>_xlfn.XLOOKUP($B:$B,'Compilado 2023'!$B:$B,'Compilado 2023'!P:P)</f>
        <v>0</v>
      </c>
      <c r="Q75" s="106">
        <f>_xlfn.XLOOKUP($B:$B,'Compilado 2023'!$B:$B,'Compilado 2023'!Q:Q)</f>
        <v>51.612903225806448</v>
      </c>
      <c r="R75" s="106">
        <f>_xlfn.XLOOKUP($B:$B,'Compilado 2023'!$B:$B,'Compilado 2023'!R:R)</f>
        <v>0</v>
      </c>
      <c r="S75" s="106">
        <f>_xlfn.XLOOKUP($B:$B,'Compilado 2023'!$B:$B,'Compilado 2023'!T:T)</f>
        <v>0</v>
      </c>
      <c r="T75" s="106">
        <f>_xlfn.XLOOKUP($B:$B,'Compilado 2023'!$B:$B,'Compilado 2023'!U:U)</f>
        <v>0</v>
      </c>
      <c r="U75" s="106">
        <f>_xlfn.XLOOKUP($B:$B,'Compilado 2023'!$B:$B,'Compilado 2023'!V:V)</f>
        <v>0</v>
      </c>
      <c r="V75" s="57"/>
      <c r="W75" s="106">
        <f>_xlfn.XLOOKUP($B:$B,'Compilado 2023'!$B:$B,'Compilado 2023'!X:X)</f>
        <v>0</v>
      </c>
      <c r="X75" s="106">
        <f>_xlfn.XLOOKUP($B:$B,'Compilado 2023'!$B:$B,'Compilado 2023'!Y:Y)</f>
        <v>0</v>
      </c>
      <c r="Y75" s="106">
        <f>_xlfn.XLOOKUP($B:$B,'Compilado 2023'!$B:$B,'Compilado 2023'!Z:Z)</f>
        <v>0</v>
      </c>
      <c r="AA75" s="208">
        <v>45119</v>
      </c>
    </row>
    <row r="76" spans="1:27" hidden="1" x14ac:dyDescent="0.2">
      <c r="A76" s="17" t="str">
        <f t="shared" ca="1" si="33"/>
        <v>Realizado</v>
      </c>
      <c r="B76" s="17">
        <v>44694</v>
      </c>
      <c r="C76" s="19">
        <f t="shared" si="28"/>
        <v>41311.440000000002</v>
      </c>
      <c r="D76" s="35">
        <f>_xlfn.XLOOKUP($B:$B,'Compilado 2023'!$B:$B,'Compilado 2023'!D:D)</f>
        <v>41311.440000000002</v>
      </c>
      <c r="E76" s="35">
        <f>_xlfn.XLOOKUP($B:$B,'Compilado 2023'!$B:$B,'Compilado 2023'!E:E)</f>
        <v>0</v>
      </c>
      <c r="F76" s="18">
        <f>_xlfn.XLOOKUP($B:$B,'Compilado 2023'!$B:$B,'Compilado 2023'!F:F)</f>
        <v>164</v>
      </c>
      <c r="G76" s="18">
        <f>_xlfn.XLOOKUP($B:$B,'Compilado 2023'!$B:$B,'Compilado 2023'!G:G)</f>
        <v>196</v>
      </c>
      <c r="H76" s="35">
        <f t="shared" si="29"/>
        <v>251.89902439024391</v>
      </c>
      <c r="I76" s="19">
        <f t="shared" si="30"/>
        <v>710.41290322580642</v>
      </c>
      <c r="J76" s="122">
        <f t="shared" si="31"/>
        <v>58.151308643769191</v>
      </c>
      <c r="K76" s="18">
        <f>_xlfn.XLOOKUP($B:$B,'Compilado 2023'!$B:$B,'Compilado 2023'!K:K)</f>
        <v>4162</v>
      </c>
      <c r="L76" s="54">
        <f t="shared" si="32"/>
        <v>3.9404132628543968E-2</v>
      </c>
      <c r="M76" s="149"/>
      <c r="N76" s="106">
        <f>_xlfn.XLOOKUP($B:$B,'Compilado 2023'!$B:$B,'Compilado 2023'!N:N)</f>
        <v>440.31</v>
      </c>
      <c r="O76" s="106">
        <f>_xlfn.XLOOKUP($B:$B,'Compilado 2023'!$B:$B,'Compilado 2023'!O:O)</f>
        <v>218.49</v>
      </c>
      <c r="P76" s="106">
        <f>_xlfn.XLOOKUP($B:$B,'Compilado 2023'!$B:$B,'Compilado 2023'!P:P)</f>
        <v>0</v>
      </c>
      <c r="Q76" s="106">
        <f>_xlfn.XLOOKUP($B:$B,'Compilado 2023'!$B:$B,'Compilado 2023'!Q:Q)</f>
        <v>51.612903225806448</v>
      </c>
      <c r="R76" s="106">
        <f>_xlfn.XLOOKUP($B:$B,'Compilado 2023'!$B:$B,'Compilado 2023'!R:R)</f>
        <v>0</v>
      </c>
      <c r="S76" s="106">
        <f>_xlfn.XLOOKUP($B:$B,'Compilado 2023'!$B:$B,'Compilado 2023'!T:T)</f>
        <v>0</v>
      </c>
      <c r="T76" s="106">
        <f>_xlfn.XLOOKUP($B:$B,'Compilado 2023'!$B:$B,'Compilado 2023'!U:U)</f>
        <v>0</v>
      </c>
      <c r="U76" s="106">
        <f>_xlfn.XLOOKUP($B:$B,'Compilado 2023'!$B:$B,'Compilado 2023'!V:V)</f>
        <v>0</v>
      </c>
      <c r="V76" s="57"/>
      <c r="W76" s="106">
        <f>_xlfn.XLOOKUP($B:$B,'Compilado 2023'!$B:$B,'Compilado 2023'!X:X)</f>
        <v>0</v>
      </c>
      <c r="X76" s="106">
        <f>_xlfn.XLOOKUP($B:$B,'Compilado 2023'!$B:$B,'Compilado 2023'!Y:Y)</f>
        <v>0</v>
      </c>
      <c r="Y76" s="106">
        <f>_xlfn.XLOOKUP($B:$B,'Compilado 2023'!$B:$B,'Compilado 2023'!Z:Z)</f>
        <v>0</v>
      </c>
      <c r="AA76" s="208">
        <v>45120</v>
      </c>
    </row>
    <row r="77" spans="1:27" hidden="1" x14ac:dyDescent="0.2">
      <c r="A77" s="17" t="str">
        <f t="shared" ca="1" si="33"/>
        <v>Realizado</v>
      </c>
      <c r="B77" s="17">
        <v>44695</v>
      </c>
      <c r="C77" s="19">
        <f t="shared" si="28"/>
        <v>33446.58</v>
      </c>
      <c r="D77" s="35">
        <f>_xlfn.XLOOKUP($B:$B,'Compilado 2023'!$B:$B,'Compilado 2023'!D:D)</f>
        <v>33446.58</v>
      </c>
      <c r="E77" s="35">
        <f>_xlfn.XLOOKUP($B:$B,'Compilado 2023'!$B:$B,'Compilado 2023'!E:E)</f>
        <v>0</v>
      </c>
      <c r="F77" s="18">
        <f>_xlfn.XLOOKUP($B:$B,'Compilado 2023'!$B:$B,'Compilado 2023'!F:F)</f>
        <v>137</v>
      </c>
      <c r="G77" s="18">
        <f>_xlfn.XLOOKUP($B:$B,'Compilado 2023'!$B:$B,'Compilado 2023'!G:G)</f>
        <v>180</v>
      </c>
      <c r="H77" s="35">
        <f t="shared" si="29"/>
        <v>244.13562043795622</v>
      </c>
      <c r="I77" s="19">
        <f t="shared" si="30"/>
        <v>788.26290322580644</v>
      </c>
      <c r="J77" s="122">
        <f t="shared" si="31"/>
        <v>42.430742158646105</v>
      </c>
      <c r="K77" s="18">
        <f>_xlfn.XLOOKUP($B:$B,'Compilado 2023'!$B:$B,'Compilado 2023'!K:K)</f>
        <v>3136</v>
      </c>
      <c r="L77" s="54">
        <f t="shared" si="32"/>
        <v>4.3686224489795922E-2</v>
      </c>
      <c r="M77" s="149"/>
      <c r="N77" s="106">
        <f>_xlfn.XLOOKUP($B:$B,'Compilado 2023'!$B:$B,'Compilado 2023'!N:N)</f>
        <v>488.81</v>
      </c>
      <c r="O77" s="106">
        <f>_xlfn.XLOOKUP($B:$B,'Compilado 2023'!$B:$B,'Compilado 2023'!O:O)</f>
        <v>247.84</v>
      </c>
      <c r="P77" s="106">
        <f>_xlfn.XLOOKUP($B:$B,'Compilado 2023'!$B:$B,'Compilado 2023'!P:P)</f>
        <v>0</v>
      </c>
      <c r="Q77" s="106">
        <f>_xlfn.XLOOKUP($B:$B,'Compilado 2023'!$B:$B,'Compilado 2023'!Q:Q)</f>
        <v>51.612903225806448</v>
      </c>
      <c r="R77" s="106">
        <f>_xlfn.XLOOKUP($B:$B,'Compilado 2023'!$B:$B,'Compilado 2023'!R:R)</f>
        <v>0</v>
      </c>
      <c r="S77" s="106">
        <f>_xlfn.XLOOKUP($B:$B,'Compilado 2023'!$B:$B,'Compilado 2023'!T:T)</f>
        <v>0</v>
      </c>
      <c r="T77" s="106">
        <f>_xlfn.XLOOKUP($B:$B,'Compilado 2023'!$B:$B,'Compilado 2023'!U:U)</f>
        <v>0</v>
      </c>
      <c r="U77" s="106">
        <f>_xlfn.XLOOKUP($B:$B,'Compilado 2023'!$B:$B,'Compilado 2023'!V:V)</f>
        <v>0</v>
      </c>
      <c r="V77" s="57"/>
      <c r="W77" s="106">
        <f>_xlfn.XLOOKUP($B:$B,'Compilado 2023'!$B:$B,'Compilado 2023'!X:X)</f>
        <v>0</v>
      </c>
      <c r="X77" s="106">
        <f>_xlfn.XLOOKUP($B:$B,'Compilado 2023'!$B:$B,'Compilado 2023'!Y:Y)</f>
        <v>0</v>
      </c>
      <c r="Y77" s="106">
        <f>_xlfn.XLOOKUP($B:$B,'Compilado 2023'!$B:$B,'Compilado 2023'!Z:Z)</f>
        <v>0</v>
      </c>
      <c r="AA77" s="208">
        <v>45121</v>
      </c>
    </row>
    <row r="78" spans="1:27" hidden="1" x14ac:dyDescent="0.2">
      <c r="A78" s="17" t="str">
        <f t="shared" ca="1" si="33"/>
        <v>Realizado</v>
      </c>
      <c r="B78" s="17">
        <v>44696</v>
      </c>
      <c r="C78" s="19">
        <f t="shared" si="28"/>
        <v>36932.65</v>
      </c>
      <c r="D78" s="35">
        <f>_xlfn.XLOOKUP($B:$B,'Compilado 2023'!$B:$B,'Compilado 2023'!D:D)</f>
        <v>36932.65</v>
      </c>
      <c r="E78" s="35">
        <f>_xlfn.XLOOKUP($B:$B,'Compilado 2023'!$B:$B,'Compilado 2023'!E:E)</f>
        <v>0</v>
      </c>
      <c r="F78" s="18">
        <f>_xlfn.XLOOKUP($B:$B,'Compilado 2023'!$B:$B,'Compilado 2023'!F:F)</f>
        <v>186</v>
      </c>
      <c r="G78" s="18">
        <f>_xlfn.XLOOKUP($B:$B,'Compilado 2023'!$B:$B,'Compilado 2023'!G:G)</f>
        <v>252</v>
      </c>
      <c r="H78" s="35">
        <f t="shared" si="29"/>
        <v>198.56263440860215</v>
      </c>
      <c r="I78" s="19">
        <f t="shared" si="30"/>
        <v>1007.4829032258065</v>
      </c>
      <c r="J78" s="122">
        <f t="shared" si="31"/>
        <v>36.658339195382169</v>
      </c>
      <c r="K78" s="18">
        <f>_xlfn.XLOOKUP($B:$B,'Compilado 2023'!$B:$B,'Compilado 2023'!K:K)</f>
        <v>3385</v>
      </c>
      <c r="L78" s="54">
        <f t="shared" si="32"/>
        <v>5.4948301329394385E-2</v>
      </c>
      <c r="M78" s="149"/>
      <c r="N78" s="106">
        <f>_xlfn.XLOOKUP($B:$B,'Compilado 2023'!$B:$B,'Compilado 2023'!N:N)</f>
        <v>439.76</v>
      </c>
      <c r="O78" s="106">
        <f>_xlfn.XLOOKUP($B:$B,'Compilado 2023'!$B:$B,'Compilado 2023'!O:O)</f>
        <v>516.11</v>
      </c>
      <c r="P78" s="106">
        <f>_xlfn.XLOOKUP($B:$B,'Compilado 2023'!$B:$B,'Compilado 2023'!P:P)</f>
        <v>0</v>
      </c>
      <c r="Q78" s="106">
        <f>_xlfn.XLOOKUP($B:$B,'Compilado 2023'!$B:$B,'Compilado 2023'!Q:Q)</f>
        <v>51.612903225806448</v>
      </c>
      <c r="R78" s="106">
        <f>_xlfn.XLOOKUP($B:$B,'Compilado 2023'!$B:$B,'Compilado 2023'!R:R)</f>
        <v>0</v>
      </c>
      <c r="S78" s="106">
        <f>_xlfn.XLOOKUP($B:$B,'Compilado 2023'!$B:$B,'Compilado 2023'!T:T)</f>
        <v>0</v>
      </c>
      <c r="T78" s="106">
        <f>_xlfn.XLOOKUP($B:$B,'Compilado 2023'!$B:$B,'Compilado 2023'!U:U)</f>
        <v>0</v>
      </c>
      <c r="U78" s="106">
        <f>_xlfn.XLOOKUP($B:$B,'Compilado 2023'!$B:$B,'Compilado 2023'!V:V)</f>
        <v>0</v>
      </c>
      <c r="V78" s="57"/>
      <c r="W78" s="106">
        <f>_xlfn.XLOOKUP($B:$B,'Compilado 2023'!$B:$B,'Compilado 2023'!X:X)</f>
        <v>0</v>
      </c>
      <c r="X78" s="106">
        <f>_xlfn.XLOOKUP($B:$B,'Compilado 2023'!$B:$B,'Compilado 2023'!Y:Y)</f>
        <v>0</v>
      </c>
      <c r="Y78" s="106">
        <f>_xlfn.XLOOKUP($B:$B,'Compilado 2023'!$B:$B,'Compilado 2023'!Z:Z)</f>
        <v>0</v>
      </c>
      <c r="AA78" s="208">
        <v>45122</v>
      </c>
    </row>
    <row r="79" spans="1:27" hidden="1" x14ac:dyDescent="0.2">
      <c r="A79" s="17" t="str">
        <f t="shared" ca="1" si="33"/>
        <v>Realizado</v>
      </c>
      <c r="B79" s="17">
        <v>44697</v>
      </c>
      <c r="C79" s="19">
        <f t="shared" si="28"/>
        <v>46064.13</v>
      </c>
      <c r="D79" s="35">
        <f>_xlfn.XLOOKUP($B:$B,'Compilado 2023'!$B:$B,'Compilado 2023'!D:D)</f>
        <v>46064.13</v>
      </c>
      <c r="E79" s="35">
        <f>_xlfn.XLOOKUP($B:$B,'Compilado 2023'!$B:$B,'Compilado 2023'!E:E)</f>
        <v>0</v>
      </c>
      <c r="F79" s="18">
        <f>_xlfn.XLOOKUP($B:$B,'Compilado 2023'!$B:$B,'Compilado 2023'!F:F)</f>
        <v>169</v>
      </c>
      <c r="G79" s="18">
        <f>_xlfn.XLOOKUP($B:$B,'Compilado 2023'!$B:$B,'Compilado 2023'!G:G)</f>
        <v>190</v>
      </c>
      <c r="H79" s="35">
        <f t="shared" si="29"/>
        <v>272.56881656804734</v>
      </c>
      <c r="I79" s="19">
        <f t="shared" si="30"/>
        <v>669.60290322580647</v>
      </c>
      <c r="J79" s="122">
        <f t="shared" si="31"/>
        <v>68.793205313307979</v>
      </c>
      <c r="K79" s="18">
        <f>_xlfn.XLOOKUP($B:$B,'Compilado 2023'!$B:$B,'Compilado 2023'!K:K)</f>
        <v>4326</v>
      </c>
      <c r="L79" s="54">
        <f t="shared" si="32"/>
        <v>3.9066111881645861E-2</v>
      </c>
      <c r="M79" s="149"/>
      <c r="N79" s="106">
        <f>_xlfn.XLOOKUP($B:$B,'Compilado 2023'!$B:$B,'Compilado 2023'!N:N)</f>
        <v>482.47</v>
      </c>
      <c r="O79" s="106">
        <f>_xlfn.XLOOKUP($B:$B,'Compilado 2023'!$B:$B,'Compilado 2023'!O:O)</f>
        <v>135.52000000000001</v>
      </c>
      <c r="P79" s="106">
        <f>_xlfn.XLOOKUP($B:$B,'Compilado 2023'!$B:$B,'Compilado 2023'!P:P)</f>
        <v>0</v>
      </c>
      <c r="Q79" s="106">
        <f>_xlfn.XLOOKUP($B:$B,'Compilado 2023'!$B:$B,'Compilado 2023'!Q:Q)</f>
        <v>51.612903225806448</v>
      </c>
      <c r="R79" s="106">
        <f>_xlfn.XLOOKUP($B:$B,'Compilado 2023'!$B:$B,'Compilado 2023'!R:R)</f>
        <v>0</v>
      </c>
      <c r="S79" s="106">
        <f>_xlfn.XLOOKUP($B:$B,'Compilado 2023'!$B:$B,'Compilado 2023'!T:T)</f>
        <v>0</v>
      </c>
      <c r="T79" s="106">
        <f>_xlfn.XLOOKUP($B:$B,'Compilado 2023'!$B:$B,'Compilado 2023'!U:U)</f>
        <v>0</v>
      </c>
      <c r="U79" s="106">
        <f>_xlfn.XLOOKUP($B:$B,'Compilado 2023'!$B:$B,'Compilado 2023'!V:V)</f>
        <v>0</v>
      </c>
      <c r="V79" s="57"/>
      <c r="W79" s="106">
        <f>_xlfn.XLOOKUP($B:$B,'Compilado 2023'!$B:$B,'Compilado 2023'!X:X)</f>
        <v>0</v>
      </c>
      <c r="X79" s="106">
        <f>_xlfn.XLOOKUP($B:$B,'Compilado 2023'!$B:$B,'Compilado 2023'!Y:Y)</f>
        <v>0</v>
      </c>
      <c r="Y79" s="106">
        <f>_xlfn.XLOOKUP($B:$B,'Compilado 2023'!$B:$B,'Compilado 2023'!Z:Z)</f>
        <v>0</v>
      </c>
      <c r="AA79" s="208">
        <v>45123</v>
      </c>
    </row>
    <row r="80" spans="1:27" hidden="1" x14ac:dyDescent="0.2">
      <c r="A80" s="17" t="str">
        <f t="shared" ca="1" si="33"/>
        <v>Realizado</v>
      </c>
      <c r="B80" s="17">
        <v>44698</v>
      </c>
      <c r="C80" s="19">
        <f t="shared" si="28"/>
        <v>30920.560000000001</v>
      </c>
      <c r="D80" s="35">
        <f>_xlfn.XLOOKUP($B:$B,'Compilado 2023'!$B:$B,'Compilado 2023'!D:D)</f>
        <v>30920.560000000001</v>
      </c>
      <c r="E80" s="35">
        <f>_xlfn.XLOOKUP($B:$B,'Compilado 2023'!$B:$B,'Compilado 2023'!E:E)</f>
        <v>0</v>
      </c>
      <c r="F80" s="18">
        <f>_xlfn.XLOOKUP($B:$B,'Compilado 2023'!$B:$B,'Compilado 2023'!F:F)</f>
        <v>124</v>
      </c>
      <c r="G80" s="18">
        <f>_xlfn.XLOOKUP($B:$B,'Compilado 2023'!$B:$B,'Compilado 2023'!G:G)</f>
        <v>139</v>
      </c>
      <c r="H80" s="35">
        <f t="shared" si="29"/>
        <v>249.35935483870969</v>
      </c>
      <c r="I80" s="19">
        <f t="shared" si="30"/>
        <v>654.46290322580649</v>
      </c>
      <c r="J80" s="122">
        <f t="shared" si="31"/>
        <v>47.245703075903165</v>
      </c>
      <c r="K80" s="18">
        <f>_xlfn.XLOOKUP($B:$B,'Compilado 2023'!$B:$B,'Compilado 2023'!K:K)</f>
        <v>3961</v>
      </c>
      <c r="L80" s="54">
        <f t="shared" si="32"/>
        <v>3.1305225953042158E-2</v>
      </c>
      <c r="M80" s="149"/>
      <c r="N80" s="106">
        <f>_xlfn.XLOOKUP($B:$B,'Compilado 2023'!$B:$B,'Compilado 2023'!N:N)</f>
        <v>477.36</v>
      </c>
      <c r="O80" s="106">
        <f>_xlfn.XLOOKUP($B:$B,'Compilado 2023'!$B:$B,'Compilado 2023'!O:O)</f>
        <v>125.49</v>
      </c>
      <c r="P80" s="106">
        <f>_xlfn.XLOOKUP($B:$B,'Compilado 2023'!$B:$B,'Compilado 2023'!P:P)</f>
        <v>0</v>
      </c>
      <c r="Q80" s="106">
        <f>_xlfn.XLOOKUP($B:$B,'Compilado 2023'!$B:$B,'Compilado 2023'!Q:Q)</f>
        <v>51.612903225806448</v>
      </c>
      <c r="R80" s="106">
        <f>_xlfn.XLOOKUP($B:$B,'Compilado 2023'!$B:$B,'Compilado 2023'!R:R)</f>
        <v>0</v>
      </c>
      <c r="S80" s="106">
        <f>_xlfn.XLOOKUP($B:$B,'Compilado 2023'!$B:$B,'Compilado 2023'!T:T)</f>
        <v>0</v>
      </c>
      <c r="T80" s="106">
        <f>_xlfn.XLOOKUP($B:$B,'Compilado 2023'!$B:$B,'Compilado 2023'!U:U)</f>
        <v>0</v>
      </c>
      <c r="U80" s="106">
        <f>_xlfn.XLOOKUP($B:$B,'Compilado 2023'!$B:$B,'Compilado 2023'!V:V)</f>
        <v>0</v>
      </c>
      <c r="V80" s="57"/>
      <c r="W80" s="106">
        <f>_xlfn.XLOOKUP($B:$B,'Compilado 2023'!$B:$B,'Compilado 2023'!X:X)</f>
        <v>0</v>
      </c>
      <c r="X80" s="106">
        <f>_xlfn.XLOOKUP($B:$B,'Compilado 2023'!$B:$B,'Compilado 2023'!Y:Y)</f>
        <v>0</v>
      </c>
      <c r="Y80" s="106">
        <f>_xlfn.XLOOKUP($B:$B,'Compilado 2023'!$B:$B,'Compilado 2023'!Z:Z)</f>
        <v>0</v>
      </c>
      <c r="AA80" s="208">
        <v>45124</v>
      </c>
    </row>
    <row r="81" spans="1:27" hidden="1" x14ac:dyDescent="0.2">
      <c r="A81" s="17" t="str">
        <f t="shared" ca="1" si="33"/>
        <v>Realizado</v>
      </c>
      <c r="B81" s="17">
        <v>44699</v>
      </c>
      <c r="C81" s="19">
        <f t="shared" si="28"/>
        <v>33362.79</v>
      </c>
      <c r="D81" s="35">
        <f>_xlfn.XLOOKUP($B:$B,'Compilado 2023'!$B:$B,'Compilado 2023'!D:D)</f>
        <v>33336.800000000003</v>
      </c>
      <c r="E81" s="35">
        <f>_xlfn.XLOOKUP($B:$B,'Compilado 2023'!$B:$B,'Compilado 2023'!E:E)</f>
        <v>25.99</v>
      </c>
      <c r="F81" s="18">
        <f>_xlfn.XLOOKUP($B:$B,'Compilado 2023'!$B:$B,'Compilado 2023'!F:F)</f>
        <v>142</v>
      </c>
      <c r="G81" s="18">
        <f>_xlfn.XLOOKUP($B:$B,'Compilado 2023'!$B:$B,'Compilado 2023'!G:G)</f>
        <v>169</v>
      </c>
      <c r="H81" s="35">
        <f t="shared" si="29"/>
        <v>234.94922535211268</v>
      </c>
      <c r="I81" s="19">
        <f t="shared" si="30"/>
        <v>730.64290322580655</v>
      </c>
      <c r="J81" s="122">
        <f t="shared" si="31"/>
        <v>45.662237808240462</v>
      </c>
      <c r="K81" s="18">
        <f>_xlfn.XLOOKUP($B:$B,'Compilado 2023'!$B:$B,'Compilado 2023'!K:K)</f>
        <v>3461</v>
      </c>
      <c r="L81" s="54">
        <f t="shared" si="32"/>
        <v>4.1028604449581049E-2</v>
      </c>
      <c r="M81" s="149"/>
      <c r="N81" s="106">
        <f>_xlfn.XLOOKUP($B:$B,'Compilado 2023'!$B:$B,'Compilado 2023'!N:N)</f>
        <v>518.32000000000005</v>
      </c>
      <c r="O81" s="106">
        <f>_xlfn.XLOOKUP($B:$B,'Compilado 2023'!$B:$B,'Compilado 2023'!O:O)</f>
        <v>160.71</v>
      </c>
      <c r="P81" s="106">
        <f>_xlfn.XLOOKUP($B:$B,'Compilado 2023'!$B:$B,'Compilado 2023'!P:P)</f>
        <v>0</v>
      </c>
      <c r="Q81" s="106">
        <f>_xlfn.XLOOKUP($B:$B,'Compilado 2023'!$B:$B,'Compilado 2023'!Q:Q)</f>
        <v>51.612903225806448</v>
      </c>
      <c r="R81" s="106">
        <f>_xlfn.XLOOKUP($B:$B,'Compilado 2023'!$B:$B,'Compilado 2023'!R:R)</f>
        <v>0</v>
      </c>
      <c r="S81" s="106">
        <f>_xlfn.XLOOKUP($B:$B,'Compilado 2023'!$B:$B,'Compilado 2023'!T:T)</f>
        <v>0</v>
      </c>
      <c r="T81" s="106">
        <f>_xlfn.XLOOKUP($B:$B,'Compilado 2023'!$B:$B,'Compilado 2023'!U:U)</f>
        <v>0</v>
      </c>
      <c r="U81" s="106">
        <f>_xlfn.XLOOKUP($B:$B,'Compilado 2023'!$B:$B,'Compilado 2023'!V:V)</f>
        <v>0</v>
      </c>
      <c r="V81" s="57"/>
      <c r="W81" s="106">
        <f>_xlfn.XLOOKUP($B:$B,'Compilado 2023'!$B:$B,'Compilado 2023'!X:X)</f>
        <v>0</v>
      </c>
      <c r="X81" s="106">
        <f>_xlfn.XLOOKUP($B:$B,'Compilado 2023'!$B:$B,'Compilado 2023'!Y:Y)</f>
        <v>0</v>
      </c>
      <c r="Y81" s="106">
        <f>_xlfn.XLOOKUP($B:$B,'Compilado 2023'!$B:$B,'Compilado 2023'!Z:Z)</f>
        <v>0</v>
      </c>
      <c r="AA81" s="208">
        <v>45125</v>
      </c>
    </row>
    <row r="82" spans="1:27" hidden="1" x14ac:dyDescent="0.2">
      <c r="A82" s="17" t="str">
        <f t="shared" ca="1" si="33"/>
        <v>Realizado</v>
      </c>
      <c r="B82" s="17">
        <v>44700</v>
      </c>
      <c r="C82" s="19">
        <f t="shared" si="28"/>
        <v>39236.49</v>
      </c>
      <c r="D82" s="35">
        <f>_xlfn.XLOOKUP($B:$B,'Compilado 2023'!$B:$B,'Compilado 2023'!D:D)</f>
        <v>39236.49</v>
      </c>
      <c r="E82" s="35">
        <f>_xlfn.XLOOKUP($B:$B,'Compilado 2023'!$B:$B,'Compilado 2023'!E:E)</f>
        <v>0</v>
      </c>
      <c r="F82" s="18">
        <f>_xlfn.XLOOKUP($B:$B,'Compilado 2023'!$B:$B,'Compilado 2023'!F:F)</f>
        <v>144</v>
      </c>
      <c r="G82" s="18">
        <f>_xlfn.XLOOKUP($B:$B,'Compilado 2023'!$B:$B,'Compilado 2023'!G:G)</f>
        <v>172</v>
      </c>
      <c r="H82" s="35">
        <f t="shared" si="29"/>
        <v>272.47562499999998</v>
      </c>
      <c r="I82" s="19">
        <f t="shared" si="30"/>
        <v>851.81290322580651</v>
      </c>
      <c r="J82" s="122">
        <f t="shared" si="31"/>
        <v>46.062333467140284</v>
      </c>
      <c r="K82" s="18">
        <f>_xlfn.XLOOKUP($B:$B,'Compilado 2023'!$B:$B,'Compilado 2023'!K:K)</f>
        <v>3307</v>
      </c>
      <c r="L82" s="54">
        <f t="shared" si="32"/>
        <v>4.3543997580889025E-2</v>
      </c>
      <c r="M82" s="149"/>
      <c r="N82" s="106">
        <f>_xlfn.XLOOKUP($B:$B,'Compilado 2023'!$B:$B,'Compilado 2023'!N:N)</f>
        <v>593.27</v>
      </c>
      <c r="O82" s="106">
        <f>_xlfn.XLOOKUP($B:$B,'Compilado 2023'!$B:$B,'Compilado 2023'!O:O)</f>
        <v>206.93</v>
      </c>
      <c r="P82" s="106">
        <f>_xlfn.XLOOKUP($B:$B,'Compilado 2023'!$B:$B,'Compilado 2023'!P:P)</f>
        <v>0</v>
      </c>
      <c r="Q82" s="106">
        <f>_xlfn.XLOOKUP($B:$B,'Compilado 2023'!$B:$B,'Compilado 2023'!Q:Q)</f>
        <v>51.612903225806448</v>
      </c>
      <c r="R82" s="106">
        <f>_xlfn.XLOOKUP($B:$B,'Compilado 2023'!$B:$B,'Compilado 2023'!R:R)</f>
        <v>0</v>
      </c>
      <c r="S82" s="106">
        <f>_xlfn.XLOOKUP($B:$B,'Compilado 2023'!$B:$B,'Compilado 2023'!T:T)</f>
        <v>0</v>
      </c>
      <c r="T82" s="106">
        <f>_xlfn.XLOOKUP($B:$B,'Compilado 2023'!$B:$B,'Compilado 2023'!U:U)</f>
        <v>0</v>
      </c>
      <c r="U82" s="106">
        <f>_xlfn.XLOOKUP($B:$B,'Compilado 2023'!$B:$B,'Compilado 2023'!V:V)</f>
        <v>0</v>
      </c>
      <c r="V82" s="57"/>
      <c r="W82" s="106">
        <f>_xlfn.XLOOKUP($B:$B,'Compilado 2023'!$B:$B,'Compilado 2023'!X:X)</f>
        <v>0</v>
      </c>
      <c r="X82" s="106">
        <f>_xlfn.XLOOKUP($B:$B,'Compilado 2023'!$B:$B,'Compilado 2023'!Y:Y)</f>
        <v>0</v>
      </c>
      <c r="Y82" s="106">
        <f>_xlfn.XLOOKUP($B:$B,'Compilado 2023'!$B:$B,'Compilado 2023'!Z:Z)</f>
        <v>0</v>
      </c>
      <c r="AA82" s="208">
        <v>45126</v>
      </c>
    </row>
    <row r="83" spans="1:27" hidden="1" x14ac:dyDescent="0.2">
      <c r="A83" s="17" t="str">
        <f t="shared" ca="1" si="33"/>
        <v>Realizado</v>
      </c>
      <c r="B83" s="17">
        <v>44701</v>
      </c>
      <c r="C83" s="19">
        <f t="shared" si="28"/>
        <v>37411.68</v>
      </c>
      <c r="D83" s="35">
        <f>_xlfn.XLOOKUP($B:$B,'Compilado 2023'!$B:$B,'Compilado 2023'!D:D)</f>
        <v>37411.68</v>
      </c>
      <c r="E83" s="35">
        <f>_xlfn.XLOOKUP($B:$B,'Compilado 2023'!$B:$B,'Compilado 2023'!E:E)</f>
        <v>0</v>
      </c>
      <c r="F83" s="18">
        <f>_xlfn.XLOOKUP($B:$B,'Compilado 2023'!$B:$B,'Compilado 2023'!F:F)</f>
        <v>138</v>
      </c>
      <c r="G83" s="18">
        <f>_xlfn.XLOOKUP($B:$B,'Compilado 2023'!$B:$B,'Compilado 2023'!G:G)</f>
        <v>162</v>
      </c>
      <c r="H83" s="35">
        <f t="shared" si="29"/>
        <v>271.09913043478264</v>
      </c>
      <c r="I83" s="19">
        <f t="shared" si="30"/>
        <v>627.31290322580651</v>
      </c>
      <c r="J83" s="122">
        <f t="shared" si="31"/>
        <v>59.637988964708661</v>
      </c>
      <c r="K83" s="18">
        <f>_xlfn.XLOOKUP($B:$B,'Compilado 2023'!$B:$B,'Compilado 2023'!K:K)</f>
        <v>3004</v>
      </c>
      <c r="L83" s="54">
        <f t="shared" si="32"/>
        <v>4.5938748335552594E-2</v>
      </c>
      <c r="M83" s="149"/>
      <c r="N83" s="106">
        <f>_xlfn.XLOOKUP($B:$B,'Compilado 2023'!$B:$B,'Compilado 2023'!N:N)</f>
        <v>346.19</v>
      </c>
      <c r="O83" s="106">
        <f>_xlfn.XLOOKUP($B:$B,'Compilado 2023'!$B:$B,'Compilado 2023'!O:O)</f>
        <v>229.51</v>
      </c>
      <c r="P83" s="106">
        <f>_xlfn.XLOOKUP($B:$B,'Compilado 2023'!$B:$B,'Compilado 2023'!P:P)</f>
        <v>0</v>
      </c>
      <c r="Q83" s="106">
        <f>_xlfn.XLOOKUP($B:$B,'Compilado 2023'!$B:$B,'Compilado 2023'!Q:Q)</f>
        <v>51.612903225806448</v>
      </c>
      <c r="R83" s="106">
        <f>_xlfn.XLOOKUP($B:$B,'Compilado 2023'!$B:$B,'Compilado 2023'!R:R)</f>
        <v>0</v>
      </c>
      <c r="S83" s="106">
        <f>_xlfn.XLOOKUP($B:$B,'Compilado 2023'!$B:$B,'Compilado 2023'!T:T)</f>
        <v>0</v>
      </c>
      <c r="T83" s="106">
        <f>_xlfn.XLOOKUP($B:$B,'Compilado 2023'!$B:$B,'Compilado 2023'!U:U)</f>
        <v>0</v>
      </c>
      <c r="U83" s="106">
        <f>_xlfn.XLOOKUP($B:$B,'Compilado 2023'!$B:$B,'Compilado 2023'!V:V)</f>
        <v>0</v>
      </c>
      <c r="V83" s="57"/>
      <c r="W83" s="106">
        <f>_xlfn.XLOOKUP($B:$B,'Compilado 2023'!$B:$B,'Compilado 2023'!X:X)</f>
        <v>0</v>
      </c>
      <c r="X83" s="106">
        <f>_xlfn.XLOOKUP($B:$B,'Compilado 2023'!$B:$B,'Compilado 2023'!Y:Y)</f>
        <v>0</v>
      </c>
      <c r="Y83" s="106">
        <f>_xlfn.XLOOKUP($B:$B,'Compilado 2023'!$B:$B,'Compilado 2023'!Z:Z)</f>
        <v>0</v>
      </c>
      <c r="AA83" s="208">
        <v>45127</v>
      </c>
    </row>
    <row r="84" spans="1:27" hidden="1" x14ac:dyDescent="0.2">
      <c r="A84" s="17" t="str">
        <f t="shared" ca="1" si="33"/>
        <v>Realizado</v>
      </c>
      <c r="B84" s="17">
        <v>44702</v>
      </c>
      <c r="C84" s="19">
        <f t="shared" si="28"/>
        <v>20893.580000000002</v>
      </c>
      <c r="D84" s="35">
        <f>_xlfn.XLOOKUP($B:$B,'Compilado 2023'!$B:$B,'Compilado 2023'!D:D)</f>
        <v>20893.580000000002</v>
      </c>
      <c r="E84" s="35">
        <f>_xlfn.XLOOKUP($B:$B,'Compilado 2023'!$B:$B,'Compilado 2023'!E:E)</f>
        <v>0</v>
      </c>
      <c r="F84" s="18">
        <f>_xlfn.XLOOKUP($B:$B,'Compilado 2023'!$B:$B,'Compilado 2023'!F:F)</f>
        <v>84</v>
      </c>
      <c r="G84" s="18">
        <f>_xlfn.XLOOKUP($B:$B,'Compilado 2023'!$B:$B,'Compilado 2023'!G:G)</f>
        <v>96</v>
      </c>
      <c r="H84" s="35">
        <f t="shared" si="29"/>
        <v>248.73309523809525</v>
      </c>
      <c r="I84" s="19">
        <f t="shared" si="30"/>
        <v>767.75290322580656</v>
      </c>
      <c r="J84" s="122">
        <f t="shared" si="31"/>
        <v>27.213938120211726</v>
      </c>
      <c r="K84" s="18">
        <f>_xlfn.XLOOKUP($B:$B,'Compilado 2023'!$B:$B,'Compilado 2023'!K:K)</f>
        <v>2600</v>
      </c>
      <c r="L84" s="54">
        <f t="shared" si="32"/>
        <v>3.2307692307692308E-2</v>
      </c>
      <c r="M84" s="149"/>
      <c r="N84" s="106">
        <f>_xlfn.XLOOKUP($B:$B,'Compilado 2023'!$B:$B,'Compilado 2023'!N:N)</f>
        <v>383.35</v>
      </c>
      <c r="O84" s="106">
        <f>_xlfn.XLOOKUP($B:$B,'Compilado 2023'!$B:$B,'Compilado 2023'!O:O)</f>
        <v>332.79</v>
      </c>
      <c r="P84" s="106">
        <f>_xlfn.XLOOKUP($B:$B,'Compilado 2023'!$B:$B,'Compilado 2023'!P:P)</f>
        <v>0</v>
      </c>
      <c r="Q84" s="106">
        <f>_xlfn.XLOOKUP($B:$B,'Compilado 2023'!$B:$B,'Compilado 2023'!Q:Q)</f>
        <v>51.612903225806448</v>
      </c>
      <c r="R84" s="106">
        <f>_xlfn.XLOOKUP($B:$B,'Compilado 2023'!$B:$B,'Compilado 2023'!R:R)</f>
        <v>0</v>
      </c>
      <c r="S84" s="106">
        <f>_xlfn.XLOOKUP($B:$B,'Compilado 2023'!$B:$B,'Compilado 2023'!T:T)</f>
        <v>0</v>
      </c>
      <c r="T84" s="106">
        <f>_xlfn.XLOOKUP($B:$B,'Compilado 2023'!$B:$B,'Compilado 2023'!U:U)</f>
        <v>0</v>
      </c>
      <c r="U84" s="106">
        <f>_xlfn.XLOOKUP($B:$B,'Compilado 2023'!$B:$B,'Compilado 2023'!V:V)</f>
        <v>0</v>
      </c>
      <c r="V84" s="57"/>
      <c r="W84" s="106">
        <f>_xlfn.XLOOKUP($B:$B,'Compilado 2023'!$B:$B,'Compilado 2023'!X:X)</f>
        <v>0</v>
      </c>
      <c r="X84" s="106">
        <f>_xlfn.XLOOKUP($B:$B,'Compilado 2023'!$B:$B,'Compilado 2023'!Y:Y)</f>
        <v>0</v>
      </c>
      <c r="Y84" s="106">
        <f>_xlfn.XLOOKUP($B:$B,'Compilado 2023'!$B:$B,'Compilado 2023'!Z:Z)</f>
        <v>0</v>
      </c>
      <c r="AA84" s="208">
        <v>45128</v>
      </c>
    </row>
    <row r="85" spans="1:27" hidden="1" x14ac:dyDescent="0.2">
      <c r="A85" s="17" t="str">
        <f t="shared" ca="1" si="33"/>
        <v>Realizado</v>
      </c>
      <c r="B85" s="17">
        <v>44703</v>
      </c>
      <c r="C85" s="19">
        <f t="shared" si="28"/>
        <v>17382.490000000002</v>
      </c>
      <c r="D85" s="35">
        <f>_xlfn.XLOOKUP($B:$B,'Compilado 2023'!$B:$B,'Compilado 2023'!D:D)</f>
        <v>17382.490000000002</v>
      </c>
      <c r="E85" s="35">
        <f>_xlfn.XLOOKUP($B:$B,'Compilado 2023'!$B:$B,'Compilado 2023'!E:E)</f>
        <v>0</v>
      </c>
      <c r="F85" s="18">
        <f>_xlfn.XLOOKUP($B:$B,'Compilado 2023'!$B:$B,'Compilado 2023'!F:F)</f>
        <v>66</v>
      </c>
      <c r="G85" s="18">
        <f>_xlfn.XLOOKUP($B:$B,'Compilado 2023'!$B:$B,'Compilado 2023'!G:G)</f>
        <v>78</v>
      </c>
      <c r="H85" s="35">
        <f t="shared" si="29"/>
        <v>263.37106060606061</v>
      </c>
      <c r="I85" s="19">
        <f t="shared" si="30"/>
        <v>830.95290322580638</v>
      </c>
      <c r="J85" s="122">
        <f t="shared" si="31"/>
        <v>20.918742725995887</v>
      </c>
      <c r="K85" s="18">
        <f>_xlfn.XLOOKUP($B:$B,'Compilado 2023'!$B:$B,'Compilado 2023'!K:K)</f>
        <v>2424</v>
      </c>
      <c r="L85" s="54">
        <f t="shared" si="32"/>
        <v>2.7227722772277228E-2</v>
      </c>
      <c r="M85" s="149"/>
      <c r="N85" s="106">
        <f>_xlfn.XLOOKUP($B:$B,'Compilado 2023'!$B:$B,'Compilado 2023'!N:N)</f>
        <v>423.01</v>
      </c>
      <c r="O85" s="106">
        <f>_xlfn.XLOOKUP($B:$B,'Compilado 2023'!$B:$B,'Compilado 2023'!O:O)</f>
        <v>356.33</v>
      </c>
      <c r="P85" s="106">
        <f>_xlfn.XLOOKUP($B:$B,'Compilado 2023'!$B:$B,'Compilado 2023'!P:P)</f>
        <v>0</v>
      </c>
      <c r="Q85" s="106">
        <f>_xlfn.XLOOKUP($B:$B,'Compilado 2023'!$B:$B,'Compilado 2023'!Q:Q)</f>
        <v>51.612903225806448</v>
      </c>
      <c r="R85" s="106">
        <f>_xlfn.XLOOKUP($B:$B,'Compilado 2023'!$B:$B,'Compilado 2023'!R:R)</f>
        <v>0</v>
      </c>
      <c r="S85" s="106">
        <f>_xlfn.XLOOKUP($B:$B,'Compilado 2023'!$B:$B,'Compilado 2023'!T:T)</f>
        <v>0</v>
      </c>
      <c r="T85" s="106">
        <f>_xlfn.XLOOKUP($B:$B,'Compilado 2023'!$B:$B,'Compilado 2023'!U:U)</f>
        <v>0</v>
      </c>
      <c r="U85" s="106">
        <f>_xlfn.XLOOKUP($B:$B,'Compilado 2023'!$B:$B,'Compilado 2023'!V:V)</f>
        <v>0</v>
      </c>
      <c r="V85" s="57"/>
      <c r="W85" s="106">
        <f>_xlfn.XLOOKUP($B:$B,'Compilado 2023'!$B:$B,'Compilado 2023'!X:X)</f>
        <v>0</v>
      </c>
      <c r="X85" s="106">
        <f>_xlfn.XLOOKUP($B:$B,'Compilado 2023'!$B:$B,'Compilado 2023'!Y:Y)</f>
        <v>0</v>
      </c>
      <c r="Y85" s="106">
        <f>_xlfn.XLOOKUP($B:$B,'Compilado 2023'!$B:$B,'Compilado 2023'!Z:Z)</f>
        <v>0</v>
      </c>
      <c r="AA85" s="208">
        <v>45129</v>
      </c>
    </row>
    <row r="86" spans="1:27" hidden="1" x14ac:dyDescent="0.2">
      <c r="A86" s="17" t="str">
        <f t="shared" ca="1" si="33"/>
        <v>Realizado</v>
      </c>
      <c r="B86" s="17">
        <v>44704</v>
      </c>
      <c r="C86" s="19">
        <f t="shared" si="28"/>
        <v>51145</v>
      </c>
      <c r="D86" s="35">
        <f>_xlfn.XLOOKUP($B:$B,'Compilado 2023'!$B:$B,'Compilado 2023'!D:D)</f>
        <v>51145</v>
      </c>
      <c r="E86" s="35">
        <f>_xlfn.XLOOKUP($B:$B,'Compilado 2023'!$B:$B,'Compilado 2023'!E:E)</f>
        <v>0</v>
      </c>
      <c r="F86" s="18">
        <f>_xlfn.XLOOKUP($B:$B,'Compilado 2023'!$B:$B,'Compilado 2023'!F:F)</f>
        <v>177</v>
      </c>
      <c r="G86" s="18">
        <f>_xlfn.XLOOKUP($B:$B,'Compilado 2023'!$B:$B,'Compilado 2023'!G:G)</f>
        <v>247</v>
      </c>
      <c r="H86" s="35">
        <f t="shared" si="29"/>
        <v>288.954802259887</v>
      </c>
      <c r="I86" s="19">
        <f t="shared" si="30"/>
        <v>759.03290322580642</v>
      </c>
      <c r="J86" s="122">
        <f t="shared" si="31"/>
        <v>67.381795680581661</v>
      </c>
      <c r="K86" s="18">
        <f>_xlfn.XLOOKUP($B:$B,'Compilado 2023'!$B:$B,'Compilado 2023'!K:K)</f>
        <v>3827</v>
      </c>
      <c r="L86" s="54">
        <f t="shared" si="32"/>
        <v>4.6250326626600467E-2</v>
      </c>
      <c r="M86" s="149"/>
      <c r="N86" s="106">
        <f>_xlfn.XLOOKUP($B:$B,'Compilado 2023'!$B:$B,'Compilado 2023'!N:N)</f>
        <v>474.63</v>
      </c>
      <c r="O86" s="106">
        <f>_xlfn.XLOOKUP($B:$B,'Compilado 2023'!$B:$B,'Compilado 2023'!O:O)</f>
        <v>232.79</v>
      </c>
      <c r="P86" s="106">
        <f>_xlfn.XLOOKUP($B:$B,'Compilado 2023'!$B:$B,'Compilado 2023'!P:P)</f>
        <v>0</v>
      </c>
      <c r="Q86" s="106">
        <f>_xlfn.XLOOKUP($B:$B,'Compilado 2023'!$B:$B,'Compilado 2023'!Q:Q)</f>
        <v>51.612903225806448</v>
      </c>
      <c r="R86" s="106">
        <f>_xlfn.XLOOKUP($B:$B,'Compilado 2023'!$B:$B,'Compilado 2023'!R:R)</f>
        <v>0</v>
      </c>
      <c r="S86" s="106">
        <f>_xlfn.XLOOKUP($B:$B,'Compilado 2023'!$B:$B,'Compilado 2023'!T:T)</f>
        <v>0</v>
      </c>
      <c r="T86" s="106">
        <f>_xlfn.XLOOKUP($B:$B,'Compilado 2023'!$B:$B,'Compilado 2023'!U:U)</f>
        <v>0</v>
      </c>
      <c r="U86" s="106">
        <f>_xlfn.XLOOKUP($B:$B,'Compilado 2023'!$B:$B,'Compilado 2023'!V:V)</f>
        <v>0</v>
      </c>
      <c r="V86" s="57"/>
      <c r="W86" s="106">
        <f>_xlfn.XLOOKUP($B:$B,'Compilado 2023'!$B:$B,'Compilado 2023'!X:X)</f>
        <v>0</v>
      </c>
      <c r="X86" s="106">
        <f>_xlfn.XLOOKUP($B:$B,'Compilado 2023'!$B:$B,'Compilado 2023'!Y:Y)</f>
        <v>0</v>
      </c>
      <c r="Y86" s="106">
        <f>_xlfn.XLOOKUP($B:$B,'Compilado 2023'!$B:$B,'Compilado 2023'!Z:Z)</f>
        <v>0</v>
      </c>
      <c r="AA86" s="208">
        <v>45130</v>
      </c>
    </row>
    <row r="87" spans="1:27" hidden="1" x14ac:dyDescent="0.2">
      <c r="A87" s="17" t="str">
        <f t="shared" ca="1" si="33"/>
        <v>Realizado</v>
      </c>
      <c r="B87" s="17">
        <v>44705</v>
      </c>
      <c r="C87" s="19">
        <f t="shared" si="28"/>
        <v>33726.129999999997</v>
      </c>
      <c r="D87" s="35">
        <f>_xlfn.XLOOKUP($B:$B,'Compilado 2023'!$B:$B,'Compilado 2023'!D:D)</f>
        <v>33726.129999999997</v>
      </c>
      <c r="E87" s="35">
        <f>_xlfn.XLOOKUP($B:$B,'Compilado 2023'!$B:$B,'Compilado 2023'!E:E)</f>
        <v>0</v>
      </c>
      <c r="F87" s="18">
        <f>_xlfn.XLOOKUP($B:$B,'Compilado 2023'!$B:$B,'Compilado 2023'!F:F)</f>
        <v>118</v>
      </c>
      <c r="G87" s="18">
        <f>_xlfn.XLOOKUP($B:$B,'Compilado 2023'!$B:$B,'Compilado 2023'!G:G)</f>
        <v>135</v>
      </c>
      <c r="H87" s="35">
        <f t="shared" si="29"/>
        <v>285.81466101694912</v>
      </c>
      <c r="I87" s="19">
        <f t="shared" si="30"/>
        <v>642.09290322580648</v>
      </c>
      <c r="J87" s="122">
        <f t="shared" si="31"/>
        <v>52.525311883317052</v>
      </c>
      <c r="K87" s="18">
        <f>_xlfn.XLOOKUP($B:$B,'Compilado 2023'!$B:$B,'Compilado 2023'!K:K)</f>
        <v>3743</v>
      </c>
      <c r="L87" s="54">
        <f t="shared" si="32"/>
        <v>3.152551429334758E-2</v>
      </c>
      <c r="M87" s="149"/>
      <c r="N87" s="106">
        <f>_xlfn.XLOOKUP($B:$B,'Compilado 2023'!$B:$B,'Compilado 2023'!N:N)</f>
        <v>434.55</v>
      </c>
      <c r="O87" s="106">
        <f>_xlfn.XLOOKUP($B:$B,'Compilado 2023'!$B:$B,'Compilado 2023'!O:O)</f>
        <v>155.93</v>
      </c>
      <c r="P87" s="106">
        <f>_xlfn.XLOOKUP($B:$B,'Compilado 2023'!$B:$B,'Compilado 2023'!P:P)</f>
        <v>0</v>
      </c>
      <c r="Q87" s="106">
        <f>_xlfn.XLOOKUP($B:$B,'Compilado 2023'!$B:$B,'Compilado 2023'!Q:Q)</f>
        <v>51.612903225806448</v>
      </c>
      <c r="R87" s="106">
        <f>_xlfn.XLOOKUP($B:$B,'Compilado 2023'!$B:$B,'Compilado 2023'!R:R)</f>
        <v>0</v>
      </c>
      <c r="S87" s="106">
        <f>_xlfn.XLOOKUP($B:$B,'Compilado 2023'!$B:$B,'Compilado 2023'!T:T)</f>
        <v>0</v>
      </c>
      <c r="T87" s="106">
        <f>_xlfn.XLOOKUP($B:$B,'Compilado 2023'!$B:$B,'Compilado 2023'!U:U)</f>
        <v>0</v>
      </c>
      <c r="U87" s="106">
        <f>_xlfn.XLOOKUP($B:$B,'Compilado 2023'!$B:$B,'Compilado 2023'!V:V)</f>
        <v>0</v>
      </c>
      <c r="V87" s="57"/>
      <c r="W87" s="106">
        <f>_xlfn.XLOOKUP($B:$B,'Compilado 2023'!$B:$B,'Compilado 2023'!X:X)</f>
        <v>0</v>
      </c>
      <c r="X87" s="106">
        <f>_xlfn.XLOOKUP($B:$B,'Compilado 2023'!$B:$B,'Compilado 2023'!Y:Y)</f>
        <v>0</v>
      </c>
      <c r="Y87" s="106">
        <f>_xlfn.XLOOKUP($B:$B,'Compilado 2023'!$B:$B,'Compilado 2023'!Z:Z)</f>
        <v>0</v>
      </c>
      <c r="AA87" s="208">
        <v>45131</v>
      </c>
    </row>
    <row r="88" spans="1:27" hidden="1" x14ac:dyDescent="0.2">
      <c r="A88" s="17" t="str">
        <f t="shared" ca="1" si="33"/>
        <v>Realizado</v>
      </c>
      <c r="B88" s="17">
        <v>44706</v>
      </c>
      <c r="C88" s="19">
        <f t="shared" si="28"/>
        <v>38414.57</v>
      </c>
      <c r="D88" s="35">
        <f>_xlfn.XLOOKUP($B:$B,'Compilado 2023'!$B:$B,'Compilado 2023'!D:D)</f>
        <v>38389.64</v>
      </c>
      <c r="E88" s="35">
        <f>_xlfn.XLOOKUP($B:$B,'Compilado 2023'!$B:$B,'Compilado 2023'!E:E)</f>
        <v>24.93</v>
      </c>
      <c r="F88" s="18">
        <f>_xlfn.XLOOKUP($B:$B,'Compilado 2023'!$B:$B,'Compilado 2023'!F:F)</f>
        <v>141</v>
      </c>
      <c r="G88" s="18">
        <f>_xlfn.XLOOKUP($B:$B,'Compilado 2023'!$B:$B,'Compilado 2023'!G:G)</f>
        <v>158</v>
      </c>
      <c r="H88" s="35">
        <f t="shared" si="29"/>
        <v>272.44375886524824</v>
      </c>
      <c r="I88" s="19">
        <f t="shared" si="30"/>
        <v>662.5729032258065</v>
      </c>
      <c r="J88" s="122">
        <f t="shared" si="31"/>
        <v>57.977876567204284</v>
      </c>
      <c r="K88" s="18">
        <f>_xlfn.XLOOKUP($B:$B,'Compilado 2023'!$B:$B,'Compilado 2023'!K:K)</f>
        <v>3877</v>
      </c>
      <c r="L88" s="54">
        <f t="shared" si="32"/>
        <v>3.636832602527728E-2</v>
      </c>
      <c r="M88" s="149"/>
      <c r="N88" s="106">
        <f>_xlfn.XLOOKUP($B:$B,'Compilado 2023'!$B:$B,'Compilado 2023'!N:N)</f>
        <v>434.04</v>
      </c>
      <c r="O88" s="106">
        <f>_xlfn.XLOOKUP($B:$B,'Compilado 2023'!$B:$B,'Compilado 2023'!O:O)</f>
        <v>176.92</v>
      </c>
      <c r="P88" s="106">
        <f>_xlfn.XLOOKUP($B:$B,'Compilado 2023'!$B:$B,'Compilado 2023'!P:P)</f>
        <v>0</v>
      </c>
      <c r="Q88" s="106">
        <f>_xlfn.XLOOKUP($B:$B,'Compilado 2023'!$B:$B,'Compilado 2023'!Q:Q)</f>
        <v>51.612903225806448</v>
      </c>
      <c r="R88" s="106">
        <f>_xlfn.XLOOKUP($B:$B,'Compilado 2023'!$B:$B,'Compilado 2023'!R:R)</f>
        <v>0</v>
      </c>
      <c r="S88" s="106">
        <f>_xlfn.XLOOKUP($B:$B,'Compilado 2023'!$B:$B,'Compilado 2023'!T:T)</f>
        <v>0</v>
      </c>
      <c r="T88" s="106">
        <f>_xlfn.XLOOKUP($B:$B,'Compilado 2023'!$B:$B,'Compilado 2023'!U:U)</f>
        <v>0</v>
      </c>
      <c r="U88" s="106">
        <f>_xlfn.XLOOKUP($B:$B,'Compilado 2023'!$B:$B,'Compilado 2023'!V:V)</f>
        <v>0</v>
      </c>
      <c r="V88" s="57"/>
      <c r="W88" s="106">
        <f>_xlfn.XLOOKUP($B:$B,'Compilado 2023'!$B:$B,'Compilado 2023'!X:X)</f>
        <v>0</v>
      </c>
      <c r="X88" s="106">
        <f>_xlfn.XLOOKUP($B:$B,'Compilado 2023'!$B:$B,'Compilado 2023'!Y:Y)</f>
        <v>0</v>
      </c>
      <c r="Y88" s="106">
        <f>_xlfn.XLOOKUP($B:$B,'Compilado 2023'!$B:$B,'Compilado 2023'!Z:Z)</f>
        <v>0</v>
      </c>
      <c r="AA88" s="208">
        <v>45132</v>
      </c>
    </row>
    <row r="89" spans="1:27" hidden="1" x14ac:dyDescent="0.2">
      <c r="A89" s="17" t="str">
        <f t="shared" ca="1" si="33"/>
        <v>Realizado</v>
      </c>
      <c r="B89" s="17">
        <v>44707</v>
      </c>
      <c r="C89" s="19">
        <f t="shared" si="28"/>
        <v>37953.9</v>
      </c>
      <c r="D89" s="35">
        <f>_xlfn.XLOOKUP($B:$B,'Compilado 2023'!$B:$B,'Compilado 2023'!D:D)</f>
        <v>37953.9</v>
      </c>
      <c r="E89" s="35">
        <f>_xlfn.XLOOKUP($B:$B,'Compilado 2023'!$B:$B,'Compilado 2023'!E:E)</f>
        <v>0</v>
      </c>
      <c r="F89" s="18">
        <f>_xlfn.XLOOKUP($B:$B,'Compilado 2023'!$B:$B,'Compilado 2023'!F:F)</f>
        <v>135</v>
      </c>
      <c r="G89" s="18">
        <f>_xlfn.XLOOKUP($B:$B,'Compilado 2023'!$B:$B,'Compilado 2023'!G:G)</f>
        <v>149</v>
      </c>
      <c r="H89" s="35">
        <f t="shared" si="29"/>
        <v>281.14</v>
      </c>
      <c r="I89" s="19">
        <f t="shared" si="30"/>
        <v>837.18290322580651</v>
      </c>
      <c r="J89" s="122">
        <f t="shared" si="31"/>
        <v>45.335254522945036</v>
      </c>
      <c r="K89" s="18">
        <f>_xlfn.XLOOKUP($B:$B,'Compilado 2023'!$B:$B,'Compilado 2023'!K:K)</f>
        <v>3656</v>
      </c>
      <c r="L89" s="54">
        <f t="shared" si="32"/>
        <v>3.6925601750547044E-2</v>
      </c>
      <c r="M89" s="149"/>
      <c r="N89" s="106">
        <f>_xlfn.XLOOKUP($B:$B,'Compilado 2023'!$B:$B,'Compilado 2023'!N:N)</f>
        <v>556.23</v>
      </c>
      <c r="O89" s="106">
        <f>_xlfn.XLOOKUP($B:$B,'Compilado 2023'!$B:$B,'Compilado 2023'!O:O)</f>
        <v>229.34</v>
      </c>
      <c r="P89" s="106">
        <f>_xlfn.XLOOKUP($B:$B,'Compilado 2023'!$B:$B,'Compilado 2023'!P:P)</f>
        <v>0</v>
      </c>
      <c r="Q89" s="106">
        <f>_xlfn.XLOOKUP($B:$B,'Compilado 2023'!$B:$B,'Compilado 2023'!Q:Q)</f>
        <v>51.612903225806448</v>
      </c>
      <c r="R89" s="106">
        <f>_xlfn.XLOOKUP($B:$B,'Compilado 2023'!$B:$B,'Compilado 2023'!R:R)</f>
        <v>0</v>
      </c>
      <c r="S89" s="106">
        <f>_xlfn.XLOOKUP($B:$B,'Compilado 2023'!$B:$B,'Compilado 2023'!T:T)</f>
        <v>0</v>
      </c>
      <c r="T89" s="106">
        <f>_xlfn.XLOOKUP($B:$B,'Compilado 2023'!$B:$B,'Compilado 2023'!U:U)</f>
        <v>0</v>
      </c>
      <c r="U89" s="106">
        <f>_xlfn.XLOOKUP($B:$B,'Compilado 2023'!$B:$B,'Compilado 2023'!V:V)</f>
        <v>0</v>
      </c>
      <c r="V89" s="57"/>
      <c r="W89" s="106">
        <f>_xlfn.XLOOKUP($B:$B,'Compilado 2023'!$B:$B,'Compilado 2023'!X:X)</f>
        <v>0</v>
      </c>
      <c r="X89" s="106">
        <f>_xlfn.XLOOKUP($B:$B,'Compilado 2023'!$B:$B,'Compilado 2023'!Y:Y)</f>
        <v>0</v>
      </c>
      <c r="Y89" s="106">
        <f>_xlfn.XLOOKUP($B:$B,'Compilado 2023'!$B:$B,'Compilado 2023'!Z:Z)</f>
        <v>0</v>
      </c>
      <c r="AA89" s="208">
        <v>45133</v>
      </c>
    </row>
    <row r="90" spans="1:27" hidden="1" x14ac:dyDescent="0.2">
      <c r="A90" s="17" t="str">
        <f t="shared" ca="1" si="33"/>
        <v>Realizado</v>
      </c>
      <c r="B90" s="17">
        <v>44708</v>
      </c>
      <c r="C90" s="19">
        <f t="shared" si="28"/>
        <v>39442.199999999997</v>
      </c>
      <c r="D90" s="35">
        <f>_xlfn.XLOOKUP($B:$B,'Compilado 2023'!$B:$B,'Compilado 2023'!D:D)</f>
        <v>39442.199999999997</v>
      </c>
      <c r="E90" s="35">
        <f>_xlfn.XLOOKUP($B:$B,'Compilado 2023'!$B:$B,'Compilado 2023'!E:E)</f>
        <v>0</v>
      </c>
      <c r="F90" s="18">
        <f>_xlfn.XLOOKUP($B:$B,'Compilado 2023'!$B:$B,'Compilado 2023'!F:F)</f>
        <v>145</v>
      </c>
      <c r="G90" s="18">
        <f>_xlfn.XLOOKUP($B:$B,'Compilado 2023'!$B:$B,'Compilado 2023'!G:G)</f>
        <v>170</v>
      </c>
      <c r="H90" s="35">
        <f t="shared" si="29"/>
        <v>272.0151724137931</v>
      </c>
      <c r="I90" s="19">
        <f t="shared" si="30"/>
        <v>624.65290322580643</v>
      </c>
      <c r="J90" s="122">
        <f t="shared" si="31"/>
        <v>63.142586540964167</v>
      </c>
      <c r="K90" s="18">
        <f>_xlfn.XLOOKUP($B:$B,'Compilado 2023'!$B:$B,'Compilado 2023'!K:K)</f>
        <v>3432</v>
      </c>
      <c r="L90" s="54">
        <f t="shared" si="32"/>
        <v>4.2249417249417248E-2</v>
      </c>
      <c r="M90" s="149"/>
      <c r="N90" s="106">
        <f>_xlfn.XLOOKUP($B:$B,'Compilado 2023'!$B:$B,'Compilado 2023'!N:N)</f>
        <v>393.99</v>
      </c>
      <c r="O90" s="106">
        <f>_xlfn.XLOOKUP($B:$B,'Compilado 2023'!$B:$B,'Compilado 2023'!O:O)</f>
        <v>179.05</v>
      </c>
      <c r="P90" s="106">
        <f>_xlfn.XLOOKUP($B:$B,'Compilado 2023'!$B:$B,'Compilado 2023'!P:P)</f>
        <v>0</v>
      </c>
      <c r="Q90" s="106">
        <f>_xlfn.XLOOKUP($B:$B,'Compilado 2023'!$B:$B,'Compilado 2023'!Q:Q)</f>
        <v>51.612903225806448</v>
      </c>
      <c r="R90" s="106">
        <f>_xlfn.XLOOKUP($B:$B,'Compilado 2023'!$B:$B,'Compilado 2023'!R:R)</f>
        <v>0</v>
      </c>
      <c r="S90" s="106">
        <f>_xlfn.XLOOKUP($B:$B,'Compilado 2023'!$B:$B,'Compilado 2023'!T:T)</f>
        <v>0</v>
      </c>
      <c r="T90" s="106">
        <f>_xlfn.XLOOKUP($B:$B,'Compilado 2023'!$B:$B,'Compilado 2023'!U:U)</f>
        <v>0</v>
      </c>
      <c r="U90" s="106">
        <f>_xlfn.XLOOKUP($B:$B,'Compilado 2023'!$B:$B,'Compilado 2023'!V:V)</f>
        <v>0</v>
      </c>
      <c r="V90" s="57"/>
      <c r="W90" s="106">
        <f>_xlfn.XLOOKUP($B:$B,'Compilado 2023'!$B:$B,'Compilado 2023'!X:X)</f>
        <v>0</v>
      </c>
      <c r="X90" s="106">
        <f>_xlfn.XLOOKUP($B:$B,'Compilado 2023'!$B:$B,'Compilado 2023'!Y:Y)</f>
        <v>0</v>
      </c>
      <c r="Y90" s="106">
        <f>_xlfn.XLOOKUP($B:$B,'Compilado 2023'!$B:$B,'Compilado 2023'!Z:Z)</f>
        <v>0</v>
      </c>
      <c r="AA90" s="208">
        <v>45134</v>
      </c>
    </row>
    <row r="91" spans="1:27" hidden="1" x14ac:dyDescent="0.2">
      <c r="A91" s="17" t="str">
        <f t="shared" ca="1" si="33"/>
        <v>Realizado</v>
      </c>
      <c r="B91" s="17">
        <v>44709</v>
      </c>
      <c r="C91" s="19">
        <f t="shared" si="28"/>
        <v>25814.95</v>
      </c>
      <c r="D91" s="35">
        <f>_xlfn.XLOOKUP($B:$B,'Compilado 2023'!$B:$B,'Compilado 2023'!D:D)</f>
        <v>25814.95</v>
      </c>
      <c r="E91" s="35">
        <f>_xlfn.XLOOKUP($B:$B,'Compilado 2023'!$B:$B,'Compilado 2023'!E:E)</f>
        <v>0</v>
      </c>
      <c r="F91" s="18">
        <f>_xlfn.XLOOKUP($B:$B,'Compilado 2023'!$B:$B,'Compilado 2023'!F:F)</f>
        <v>90</v>
      </c>
      <c r="G91" s="18">
        <f>_xlfn.XLOOKUP($B:$B,'Compilado 2023'!$B:$B,'Compilado 2023'!G:G)</f>
        <v>99</v>
      </c>
      <c r="H91" s="35">
        <f t="shared" si="29"/>
        <v>286.83277777777778</v>
      </c>
      <c r="I91" s="19">
        <f t="shared" si="30"/>
        <v>591.86290322580646</v>
      </c>
      <c r="J91" s="122">
        <f t="shared" si="31"/>
        <v>43.616435257729151</v>
      </c>
      <c r="K91" s="18">
        <f>_xlfn.XLOOKUP($B:$B,'Compilado 2023'!$B:$B,'Compilado 2023'!K:K)</f>
        <v>2620</v>
      </c>
      <c r="L91" s="54">
        <f t="shared" si="32"/>
        <v>3.4351145038167941E-2</v>
      </c>
      <c r="M91" s="149"/>
      <c r="N91" s="106">
        <f>_xlfn.XLOOKUP($B:$B,'Compilado 2023'!$B:$B,'Compilado 2023'!N:N)</f>
        <v>431.65</v>
      </c>
      <c r="O91" s="106">
        <f>_xlfn.XLOOKUP($B:$B,'Compilado 2023'!$B:$B,'Compilado 2023'!O:O)</f>
        <v>108.6</v>
      </c>
      <c r="P91" s="106">
        <f>_xlfn.XLOOKUP($B:$B,'Compilado 2023'!$B:$B,'Compilado 2023'!P:P)</f>
        <v>0</v>
      </c>
      <c r="Q91" s="106">
        <f>_xlfn.XLOOKUP($B:$B,'Compilado 2023'!$B:$B,'Compilado 2023'!Q:Q)</f>
        <v>51.612903225806448</v>
      </c>
      <c r="R91" s="106">
        <f>_xlfn.XLOOKUP($B:$B,'Compilado 2023'!$B:$B,'Compilado 2023'!R:R)</f>
        <v>0</v>
      </c>
      <c r="S91" s="106">
        <f>_xlfn.XLOOKUP($B:$B,'Compilado 2023'!$B:$B,'Compilado 2023'!T:T)</f>
        <v>0</v>
      </c>
      <c r="T91" s="106">
        <f>_xlfn.XLOOKUP($B:$B,'Compilado 2023'!$B:$B,'Compilado 2023'!U:U)</f>
        <v>0</v>
      </c>
      <c r="U91" s="106">
        <f>_xlfn.XLOOKUP($B:$B,'Compilado 2023'!$B:$B,'Compilado 2023'!V:V)</f>
        <v>0</v>
      </c>
      <c r="V91" s="57"/>
      <c r="W91" s="106">
        <f>_xlfn.XLOOKUP($B:$B,'Compilado 2023'!$B:$B,'Compilado 2023'!X:X)</f>
        <v>0</v>
      </c>
      <c r="X91" s="106">
        <f>_xlfn.XLOOKUP($B:$B,'Compilado 2023'!$B:$B,'Compilado 2023'!Y:Y)</f>
        <v>0</v>
      </c>
      <c r="Y91" s="106">
        <f>_xlfn.XLOOKUP($B:$B,'Compilado 2023'!$B:$B,'Compilado 2023'!Z:Z)</f>
        <v>0</v>
      </c>
      <c r="AA91" s="208">
        <v>45135</v>
      </c>
    </row>
    <row r="92" spans="1:27" hidden="1" x14ac:dyDescent="0.2">
      <c r="A92" s="17" t="str">
        <f t="shared" ca="1" si="33"/>
        <v>Realizado</v>
      </c>
      <c r="B92" s="17">
        <v>44710</v>
      </c>
      <c r="C92" s="19">
        <f t="shared" si="28"/>
        <v>15903.98</v>
      </c>
      <c r="D92" s="35">
        <f>_xlfn.XLOOKUP($B:$B,'Compilado 2023'!$B:$B,'Compilado 2023'!D:D)</f>
        <v>15903.98</v>
      </c>
      <c r="E92" s="35">
        <f>_xlfn.XLOOKUP($B:$B,'Compilado 2023'!$B:$B,'Compilado 2023'!E:E)</f>
        <v>0</v>
      </c>
      <c r="F92" s="18">
        <f>_xlfn.XLOOKUP($B:$B,'Compilado 2023'!$B:$B,'Compilado 2023'!F:F)</f>
        <v>67</v>
      </c>
      <c r="G92" s="18">
        <f>_xlfn.XLOOKUP($B:$B,'Compilado 2023'!$B:$B,'Compilado 2023'!G:G)</f>
        <v>74</v>
      </c>
      <c r="H92" s="35">
        <f t="shared" si="29"/>
        <v>237.37283582089552</v>
      </c>
      <c r="I92" s="19">
        <f t="shared" si="30"/>
        <v>568.84290322580648</v>
      </c>
      <c r="J92" s="122">
        <f t="shared" si="31"/>
        <v>27.958474843953173</v>
      </c>
      <c r="K92" s="18">
        <f>_xlfn.XLOOKUP($B:$B,'Compilado 2023'!$B:$B,'Compilado 2023'!K:K)</f>
        <v>2389</v>
      </c>
      <c r="L92" s="54">
        <f t="shared" si="32"/>
        <v>2.8045207199665131E-2</v>
      </c>
      <c r="M92" s="149"/>
      <c r="N92" s="106">
        <f>_xlfn.XLOOKUP($B:$B,'Compilado 2023'!$B:$B,'Compilado 2023'!N:N)</f>
        <v>418.64</v>
      </c>
      <c r="O92" s="106">
        <f>_xlfn.XLOOKUP($B:$B,'Compilado 2023'!$B:$B,'Compilado 2023'!O:O)</f>
        <v>98.59</v>
      </c>
      <c r="P92" s="106">
        <f>_xlfn.XLOOKUP($B:$B,'Compilado 2023'!$B:$B,'Compilado 2023'!P:P)</f>
        <v>0</v>
      </c>
      <c r="Q92" s="106">
        <f>_xlfn.XLOOKUP($B:$B,'Compilado 2023'!$B:$B,'Compilado 2023'!Q:Q)</f>
        <v>51.612903225806448</v>
      </c>
      <c r="R92" s="106">
        <f>_xlfn.XLOOKUP($B:$B,'Compilado 2023'!$B:$B,'Compilado 2023'!R:R)</f>
        <v>0</v>
      </c>
      <c r="S92" s="106">
        <f>_xlfn.XLOOKUP($B:$B,'Compilado 2023'!$B:$B,'Compilado 2023'!T:T)</f>
        <v>0</v>
      </c>
      <c r="T92" s="106">
        <f>_xlfn.XLOOKUP($B:$B,'Compilado 2023'!$B:$B,'Compilado 2023'!U:U)</f>
        <v>0</v>
      </c>
      <c r="U92" s="106">
        <f>_xlfn.XLOOKUP($B:$B,'Compilado 2023'!$B:$B,'Compilado 2023'!V:V)</f>
        <v>0</v>
      </c>
      <c r="V92" s="57"/>
      <c r="W92" s="106">
        <f>_xlfn.XLOOKUP($B:$B,'Compilado 2023'!$B:$B,'Compilado 2023'!X:X)</f>
        <v>0</v>
      </c>
      <c r="X92" s="106">
        <f>_xlfn.XLOOKUP($B:$B,'Compilado 2023'!$B:$B,'Compilado 2023'!Y:Y)</f>
        <v>0</v>
      </c>
      <c r="Y92" s="106">
        <f>_xlfn.XLOOKUP($B:$B,'Compilado 2023'!$B:$B,'Compilado 2023'!Z:Z)</f>
        <v>0</v>
      </c>
      <c r="AA92" s="208">
        <v>45136</v>
      </c>
    </row>
    <row r="93" spans="1:27" hidden="1" x14ac:dyDescent="0.2">
      <c r="A93" s="17" t="str">
        <f t="shared" ca="1" si="33"/>
        <v>Realizado</v>
      </c>
      <c r="B93" s="17">
        <v>44711</v>
      </c>
      <c r="C93" s="19">
        <f t="shared" si="28"/>
        <v>37897.050000000003</v>
      </c>
      <c r="D93" s="35">
        <f>_xlfn.XLOOKUP($B:$B,'Compilado 2023'!$B:$B,'Compilado 2023'!D:D)</f>
        <v>37897.050000000003</v>
      </c>
      <c r="E93" s="35">
        <f>_xlfn.XLOOKUP($B:$B,'Compilado 2023'!$B:$B,'Compilado 2023'!E:E)</f>
        <v>0</v>
      </c>
      <c r="F93" s="18">
        <f>_xlfn.XLOOKUP($B:$B,'Compilado 2023'!$B:$B,'Compilado 2023'!F:F)</f>
        <v>138</v>
      </c>
      <c r="G93" s="18">
        <f>_xlfn.XLOOKUP($B:$B,'Compilado 2023'!$B:$B,'Compilado 2023'!G:G)</f>
        <v>149</v>
      </c>
      <c r="H93" s="35">
        <f t="shared" si="29"/>
        <v>274.61630434782609</v>
      </c>
      <c r="I93" s="19">
        <f t="shared" si="30"/>
        <v>724.15290322580643</v>
      </c>
      <c r="J93" s="122">
        <f t="shared" si="31"/>
        <v>52.332939398825957</v>
      </c>
      <c r="K93" s="18">
        <f>_xlfn.XLOOKUP($B:$B,'Compilado 2023'!$B:$B,'Compilado 2023'!K:K)</f>
        <v>4355</v>
      </c>
      <c r="L93" s="54">
        <f t="shared" si="32"/>
        <v>3.1687715269804823E-2</v>
      </c>
      <c r="M93" s="149"/>
      <c r="N93" s="106">
        <f>_xlfn.XLOOKUP($B:$B,'Compilado 2023'!$B:$B,'Compilado 2023'!N:N)</f>
        <v>491.48</v>
      </c>
      <c r="O93" s="106">
        <f>_xlfn.XLOOKUP($B:$B,'Compilado 2023'!$B:$B,'Compilado 2023'!O:O)</f>
        <v>181.06</v>
      </c>
      <c r="P93" s="106">
        <f>_xlfn.XLOOKUP($B:$B,'Compilado 2023'!$B:$B,'Compilado 2023'!P:P)</f>
        <v>0</v>
      </c>
      <c r="Q93" s="106">
        <f>_xlfn.XLOOKUP($B:$B,'Compilado 2023'!$B:$B,'Compilado 2023'!Q:Q)</f>
        <v>51.612903225806448</v>
      </c>
      <c r="R93" s="106">
        <f>_xlfn.XLOOKUP($B:$B,'Compilado 2023'!$B:$B,'Compilado 2023'!R:R)</f>
        <v>0</v>
      </c>
      <c r="S93" s="106">
        <f>_xlfn.XLOOKUP($B:$B,'Compilado 2023'!$B:$B,'Compilado 2023'!T:T)</f>
        <v>0</v>
      </c>
      <c r="T93" s="106">
        <f>_xlfn.XLOOKUP($B:$B,'Compilado 2023'!$B:$B,'Compilado 2023'!U:U)</f>
        <v>0</v>
      </c>
      <c r="U93" s="106">
        <f>_xlfn.XLOOKUP($B:$B,'Compilado 2023'!$B:$B,'Compilado 2023'!V:V)</f>
        <v>0</v>
      </c>
      <c r="V93" s="57"/>
      <c r="W93" s="106">
        <f>_xlfn.XLOOKUP($B:$B,'Compilado 2023'!$B:$B,'Compilado 2023'!X:X)</f>
        <v>0</v>
      </c>
      <c r="X93" s="106">
        <f>_xlfn.XLOOKUP($B:$B,'Compilado 2023'!$B:$B,'Compilado 2023'!Y:Y)</f>
        <v>0</v>
      </c>
      <c r="Y93" s="106">
        <f>_xlfn.XLOOKUP($B:$B,'Compilado 2023'!$B:$B,'Compilado 2023'!Z:Z)</f>
        <v>0</v>
      </c>
      <c r="AA93" s="208">
        <v>45137</v>
      </c>
    </row>
    <row r="94" spans="1:27" hidden="1" x14ac:dyDescent="0.2">
      <c r="A94" s="17" t="str">
        <f t="shared" ca="1" si="33"/>
        <v>Realizado</v>
      </c>
      <c r="B94" s="17">
        <v>44712</v>
      </c>
      <c r="C94" s="19">
        <f t="shared" si="28"/>
        <v>40676.800000000003</v>
      </c>
      <c r="D94" s="35">
        <f>_xlfn.XLOOKUP($B:$B,'Compilado 2023'!$B:$B,'Compilado 2023'!D:D)</f>
        <v>40676.800000000003</v>
      </c>
      <c r="E94" s="35">
        <f>_xlfn.XLOOKUP($B:$B,'Compilado 2023'!$B:$B,'Compilado 2023'!E:E)</f>
        <v>0</v>
      </c>
      <c r="F94" s="18">
        <f>_xlfn.XLOOKUP($B:$B,'Compilado 2023'!$B:$B,'Compilado 2023'!F:F)</f>
        <v>141</v>
      </c>
      <c r="G94" s="18">
        <f>_xlfn.XLOOKUP($B:$B,'Compilado 2023'!$B:$B,'Compilado 2023'!G:G)</f>
        <v>156</v>
      </c>
      <c r="H94" s="35">
        <f t="shared" si="29"/>
        <v>288.48794326241136</v>
      </c>
      <c r="I94" s="19">
        <f t="shared" si="30"/>
        <v>688.13290322580644</v>
      </c>
      <c r="J94" s="122">
        <f t="shared" si="31"/>
        <v>59.111836985728566</v>
      </c>
      <c r="K94" s="18">
        <f>_xlfn.XLOOKUP($B:$B,'Compilado 2023'!$B:$B,'Compilado 2023'!K:K)</f>
        <v>3980</v>
      </c>
      <c r="L94" s="54">
        <f t="shared" si="32"/>
        <v>3.5427135678391959E-2</v>
      </c>
      <c r="M94" s="149"/>
      <c r="N94" s="106">
        <f>_xlfn.XLOOKUP($B:$B,'Compilado 2023'!$B:$B,'Compilado 2023'!N:N)</f>
        <v>459.78</v>
      </c>
      <c r="O94" s="106">
        <f>_xlfn.XLOOKUP($B:$B,'Compilado 2023'!$B:$B,'Compilado 2023'!O:O)</f>
        <v>176.74</v>
      </c>
      <c r="P94" s="106">
        <f>_xlfn.XLOOKUP($B:$B,'Compilado 2023'!$B:$B,'Compilado 2023'!P:P)</f>
        <v>0</v>
      </c>
      <c r="Q94" s="106">
        <f>_xlfn.XLOOKUP($B:$B,'Compilado 2023'!$B:$B,'Compilado 2023'!Q:Q)</f>
        <v>51.612903225806448</v>
      </c>
      <c r="R94" s="106">
        <f>_xlfn.XLOOKUP($B:$B,'Compilado 2023'!$B:$B,'Compilado 2023'!R:R)</f>
        <v>0</v>
      </c>
      <c r="S94" s="106">
        <f>_xlfn.XLOOKUP($B:$B,'Compilado 2023'!$B:$B,'Compilado 2023'!T:T)</f>
        <v>0</v>
      </c>
      <c r="T94" s="106">
        <f>_xlfn.XLOOKUP($B:$B,'Compilado 2023'!$B:$B,'Compilado 2023'!U:U)</f>
        <v>0</v>
      </c>
      <c r="U94" s="106">
        <f>_xlfn.XLOOKUP($B:$B,'Compilado 2023'!$B:$B,'Compilado 2023'!V:V)</f>
        <v>0</v>
      </c>
      <c r="V94" s="57"/>
      <c r="W94" s="106">
        <f>_xlfn.XLOOKUP($B:$B,'Compilado 2023'!$B:$B,'Compilado 2023'!X:X)</f>
        <v>0</v>
      </c>
      <c r="X94" s="106">
        <f>_xlfn.XLOOKUP($B:$B,'Compilado 2023'!$B:$B,'Compilado 2023'!Y:Y)</f>
        <v>0</v>
      </c>
      <c r="Y94" s="106">
        <f>_xlfn.XLOOKUP($B:$B,'Compilado 2023'!$B:$B,'Compilado 2023'!Z:Z)</f>
        <v>0</v>
      </c>
      <c r="AA94" s="208">
        <v>45138</v>
      </c>
    </row>
  </sheetData>
  <mergeCells count="3">
    <mergeCell ref="B41:D41"/>
    <mergeCell ref="B49:D49"/>
    <mergeCell ref="B57:D57"/>
  </mergeCells>
  <conditionalFormatting sqref="A64:A94">
    <cfRule type="cellIs" dxfId="209" priority="25" operator="equal">
      <formula>"Realizado"</formula>
    </cfRule>
    <cfRule type="cellIs" dxfId="208" priority="23" operator="equal">
      <formula>"Realizado"</formula>
    </cfRule>
    <cfRule type="cellIs" dxfId="207" priority="24" operator="equal">
      <formula>TODAY()</formula>
    </cfRule>
  </conditionalFormatting>
  <conditionalFormatting sqref="A64:B94">
    <cfRule type="cellIs" dxfId="206" priority="26" operator="equal">
      <formula>TODAY()</formula>
    </cfRule>
  </conditionalFormatting>
  <conditionalFormatting sqref="B4:H34">
    <cfRule type="cellIs" dxfId="205" priority="51" operator="equal">
      <formula>TODAY()</formula>
    </cfRule>
  </conditionalFormatting>
  <conditionalFormatting sqref="C65:D93">
    <cfRule type="cellIs" dxfId="204" priority="21" operator="equal">
      <formula>$A$1</formula>
    </cfRule>
    <cfRule type="cellIs" dxfId="203" priority="22" operator="equal">
      <formula>TODAY()</formula>
    </cfRule>
  </conditionalFormatting>
  <conditionalFormatting sqref="C64:H94">
    <cfRule type="cellIs" dxfId="202" priority="1" operator="equal">
      <formula>TODAY()</formula>
    </cfRule>
  </conditionalFormatting>
  <conditionalFormatting sqref="C94:H94">
    <cfRule type="cellIs" dxfId="201" priority="18" operator="equal">
      <formula>$A$1</formula>
    </cfRule>
  </conditionalFormatting>
  <conditionalFormatting sqref="C46:L46">
    <cfRule type="cellIs" dxfId="200" priority="49" operator="lessThan">
      <formula>0</formula>
    </cfRule>
  </conditionalFormatting>
  <conditionalFormatting sqref="C47:L47">
    <cfRule type="cellIs" dxfId="199" priority="34" operator="lessThan">
      <formula>0</formula>
    </cfRule>
  </conditionalFormatting>
  <conditionalFormatting sqref="C53:L53">
    <cfRule type="cellIs" dxfId="198" priority="47" operator="lessThan">
      <formula>0</formula>
    </cfRule>
  </conditionalFormatting>
  <conditionalFormatting sqref="C54:L54">
    <cfRule type="cellIs" dxfId="197" priority="35" operator="lessThan">
      <formula>0</formula>
    </cfRule>
  </conditionalFormatting>
  <conditionalFormatting sqref="C61:L61">
    <cfRule type="cellIs" dxfId="196" priority="41" operator="lessThan">
      <formula>0</formula>
    </cfRule>
  </conditionalFormatting>
  <conditionalFormatting sqref="C62:L62">
    <cfRule type="cellIs" dxfId="195" priority="36" operator="lessThan">
      <formula>0</formula>
    </cfRule>
  </conditionalFormatting>
  <conditionalFormatting sqref="N4:Q34">
    <cfRule type="cellIs" dxfId="194" priority="70" operator="equal">
      <formula>TODAY()</formula>
    </cfRule>
  </conditionalFormatting>
  <conditionalFormatting sqref="N53:U53">
    <cfRule type="cellIs" dxfId="193" priority="29" operator="lessThan">
      <formula>0</formula>
    </cfRule>
  </conditionalFormatting>
  <conditionalFormatting sqref="N54:U54">
    <cfRule type="cellIs" dxfId="192" priority="28" operator="lessThan">
      <formula>0</formula>
    </cfRule>
  </conditionalFormatting>
  <conditionalFormatting sqref="N61:U61">
    <cfRule type="cellIs" dxfId="191" priority="31" operator="lessThan">
      <formula>0</formula>
    </cfRule>
  </conditionalFormatting>
  <conditionalFormatting sqref="N62:U62">
    <cfRule type="cellIs" dxfId="190" priority="30" operator="lessThan">
      <formula>0</formula>
    </cfRule>
  </conditionalFormatting>
  <conditionalFormatting sqref="N64:U94">
    <cfRule type="cellIs" dxfId="189" priority="5" operator="equal">
      <formula>TODAY()</formula>
    </cfRule>
  </conditionalFormatting>
  <conditionalFormatting sqref="R4 R5:S34">
    <cfRule type="cellIs" dxfId="188" priority="69" operator="equal">
      <formula>TODAY()</formula>
    </cfRule>
  </conditionalFormatting>
  <conditionalFormatting sqref="S4:U34">
    <cfRule type="cellIs" dxfId="187" priority="60" operator="equal">
      <formula>TODAY()</formula>
    </cfRule>
  </conditionalFormatting>
  <conditionalFormatting sqref="W4:Y34">
    <cfRule type="cellIs" dxfId="186" priority="58" operator="equal">
      <formula>TODAY()</formula>
    </cfRule>
  </conditionalFormatting>
  <conditionalFormatting sqref="W64:Y94">
    <cfRule type="cellIs" dxfId="185" priority="3" operator="equal">
      <formula>TODAY()</formula>
    </cfRule>
  </conditionalFormatting>
  <conditionalFormatting sqref="AA4:AA34">
    <cfRule type="cellIs" dxfId="184" priority="63" operator="equal">
      <formula>TODAY()</formula>
    </cfRule>
  </conditionalFormatting>
  <conditionalFormatting sqref="AA64:AA94">
    <cfRule type="cellIs" dxfId="183" priority="19" operator="equal">
      <formula>TODAY()</formula>
    </cfRule>
  </conditionalFormatting>
  <printOptions horizontalCentered="1" gridLines="1"/>
  <pageMargins left="0.7" right="0.7" top="0.75" bottom="0.75" header="0" footer="0"/>
  <pageSetup paperSize="9" fitToWidth="0" pageOrder="overThenDown" orientation="landscape" cellComments="atEnd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401A1-CE77-4048-AC7D-6E5F44A3BB75}">
  <sheetPr codeName="Planilha10">
    <outlinePr summaryBelow="0" summaryRight="0"/>
    <pageSetUpPr fitToPage="1"/>
  </sheetPr>
  <dimension ref="A1:AG94"/>
  <sheetViews>
    <sheetView showGridLines="0" workbookViewId="0">
      <pane ySplit="3" topLeftCell="A43" activePane="bottomLeft" state="frozen"/>
      <selection activeCell="C64" sqref="C64:AA94"/>
      <selection pane="bottomLeft" activeCell="D45" sqref="D45"/>
    </sheetView>
  </sheetViews>
  <sheetFormatPr defaultColWidth="0" defaultRowHeight="12.75" x14ac:dyDescent="0.2"/>
  <cols>
    <col min="1" max="1" width="14" customWidth="1"/>
    <col min="2" max="2" width="11.7109375" customWidth="1"/>
    <col min="3" max="3" width="18.7109375" customWidth="1"/>
    <col min="4" max="4" width="16.140625" bestFit="1" customWidth="1"/>
    <col min="5" max="5" width="11.7109375" customWidth="1"/>
    <col min="6" max="6" width="8.5703125" bestFit="1" customWidth="1"/>
    <col min="7" max="7" width="9" bestFit="1" customWidth="1"/>
    <col min="8" max="8" width="15.140625" customWidth="1"/>
    <col min="9" max="9" width="15.28515625" customWidth="1"/>
    <col min="10" max="10" width="12.42578125" bestFit="1" customWidth="1"/>
    <col min="11" max="11" width="12" customWidth="1"/>
    <col min="12" max="12" width="13.42578125" bestFit="1" customWidth="1"/>
    <col min="13" max="13" width="0.42578125" customWidth="1"/>
    <col min="14" max="15" width="12.7109375" bestFit="1" customWidth="1"/>
    <col min="16" max="16" width="10.42578125" bestFit="1" customWidth="1"/>
    <col min="17" max="17" width="11.7109375" bestFit="1" customWidth="1"/>
    <col min="18" max="18" width="10.42578125" bestFit="1" customWidth="1"/>
    <col min="19" max="19" width="10.140625" customWidth="1"/>
    <col min="20" max="20" width="7.85546875" bestFit="1" customWidth="1"/>
    <col min="21" max="21" width="10.42578125" bestFit="1" customWidth="1"/>
    <col min="22" max="22" width="1.140625" customWidth="1"/>
    <col min="23" max="23" width="10.42578125" bestFit="1" customWidth="1"/>
    <col min="24" max="24" width="12.140625" bestFit="1" customWidth="1"/>
    <col min="25" max="25" width="10.42578125" bestFit="1" customWidth="1"/>
    <col min="26" max="26" width="0.7109375" customWidth="1"/>
    <col min="27" max="27" width="36" customWidth="1"/>
    <col min="28" max="33" width="0" hidden="1" customWidth="1"/>
    <col min="34" max="16384" width="12.5703125" hidden="1"/>
  </cols>
  <sheetData>
    <row r="1" spans="1:27" s="8" customFormat="1" ht="59.25" x14ac:dyDescent="0.75">
      <c r="A1" s="6"/>
      <c r="B1" s="6"/>
      <c r="C1" s="7" t="s">
        <v>69</v>
      </c>
      <c r="D1" s="6"/>
      <c r="E1" s="6"/>
      <c r="F1" s="6"/>
      <c r="G1" s="6"/>
      <c r="H1" s="6"/>
      <c r="I1" s="6"/>
      <c r="J1" s="6"/>
      <c r="K1" s="6"/>
      <c r="L1" s="6"/>
      <c r="M1" s="75" t="s">
        <v>184</v>
      </c>
      <c r="N1" s="49">
        <f ca="1">TODAY()</f>
        <v>45834</v>
      </c>
      <c r="O1" s="50">
        <f>MONTH(B4)</f>
        <v>6</v>
      </c>
      <c r="P1" s="50">
        <f>YEAR(B4)</f>
        <v>2023</v>
      </c>
      <c r="Q1" s="49"/>
      <c r="R1" s="49"/>
      <c r="S1" s="49"/>
      <c r="T1" s="49"/>
      <c r="U1" s="36"/>
      <c r="V1" s="75" t="s">
        <v>185</v>
      </c>
      <c r="W1" s="36"/>
      <c r="X1" s="36"/>
      <c r="Y1" s="36"/>
      <c r="Z1" s="36"/>
      <c r="AA1" s="51" t="s">
        <v>73</v>
      </c>
    </row>
    <row r="2" spans="1:27" s="10" customFormat="1" ht="24" thickBot="1" x14ac:dyDescent="0.25">
      <c r="A2" s="43"/>
      <c r="B2" s="11" t="str">
        <f>_xlfn.CONCAT(_xlfn.XLOOKUP(O1,Referencia!$B$1:$B$13,Referencia!$A$1:$A$13)," ",P1)</f>
        <v>Junho 2023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</row>
    <row r="3" spans="1:27" s="9" customFormat="1" ht="16.5" x14ac:dyDescent="0.35">
      <c r="A3" s="15" t="s">
        <v>74</v>
      </c>
      <c r="B3" s="13" t="s">
        <v>20</v>
      </c>
      <c r="C3" s="13" t="s">
        <v>75</v>
      </c>
      <c r="D3" s="13" t="s">
        <v>76</v>
      </c>
      <c r="E3" s="13" t="s">
        <v>77</v>
      </c>
      <c r="F3" s="13" t="s">
        <v>78</v>
      </c>
      <c r="G3" s="13" t="s">
        <v>79</v>
      </c>
      <c r="H3" s="13" t="s">
        <v>80</v>
      </c>
      <c r="I3" s="13" t="s">
        <v>81</v>
      </c>
      <c r="J3" s="13" t="s">
        <v>82</v>
      </c>
      <c r="K3" s="13" t="s">
        <v>40</v>
      </c>
      <c r="L3" s="13" t="s">
        <v>83</v>
      </c>
      <c r="M3" s="37"/>
      <c r="N3" s="13" t="s">
        <v>85</v>
      </c>
      <c r="O3" s="13" t="s">
        <v>155</v>
      </c>
      <c r="P3" s="13" t="s">
        <v>87</v>
      </c>
      <c r="Q3" s="13" t="s">
        <v>88</v>
      </c>
      <c r="R3" s="13" t="s">
        <v>89</v>
      </c>
      <c r="S3" s="13" t="s">
        <v>90</v>
      </c>
      <c r="T3" s="13" t="s">
        <v>91</v>
      </c>
      <c r="U3" s="13" t="s">
        <v>92</v>
      </c>
      <c r="V3" s="56"/>
      <c r="W3" s="13" t="s">
        <v>88</v>
      </c>
      <c r="X3" s="13" t="s">
        <v>91</v>
      </c>
      <c r="Y3" s="13" t="s">
        <v>92</v>
      </c>
      <c r="Z3" s="37"/>
      <c r="AA3" s="14" t="s">
        <v>73</v>
      </c>
    </row>
    <row r="4" spans="1:27" s="2" customFormat="1" x14ac:dyDescent="0.2">
      <c r="A4" s="16" t="str">
        <f t="shared" ref="A4:A33" si="0">TEXT(B4,"DDDD")</f>
        <v>quinta-feira</v>
      </c>
      <c r="B4" s="17">
        <v>45078</v>
      </c>
      <c r="C4" s="19">
        <f t="shared" ref="C4:C31" si="1">D4+E4</f>
        <v>69394.260000000009</v>
      </c>
      <c r="D4" s="35">
        <f>_xlfn.XLOOKUP($B:$B,'Compilado 2023'!$B:$B,'Compilado 2023'!D:D)</f>
        <v>69353.710000000006</v>
      </c>
      <c r="E4" s="35">
        <f>_xlfn.XLOOKUP($B:$B,'Compilado 2023'!$B:$B,'Compilado 2023'!E:E)</f>
        <v>40.549999999999997</v>
      </c>
      <c r="F4" s="18">
        <f>_xlfn.XLOOKUP($B:$B,'Compilado 2023'!$B:$B,'Compilado 2023'!F:F)</f>
        <v>238</v>
      </c>
      <c r="G4" s="18">
        <f>_xlfn.XLOOKUP($B:$B,'Compilado 2023'!$B:$B,'Compilado 2023'!G:G)</f>
        <v>269</v>
      </c>
      <c r="H4" s="35">
        <f t="shared" ref="H4:H31" si="2">IFERROR(C4/F4,0)</f>
        <v>291.57252100840338</v>
      </c>
      <c r="I4" s="19">
        <f t="shared" ref="I4:I31" si="3">SUM(N4:U4)</f>
        <v>831.06333333333339</v>
      </c>
      <c r="J4" s="122">
        <f t="shared" ref="J4:J31" si="4">IF(I4&gt;0,C4/I4,0)</f>
        <v>83.500567545995295</v>
      </c>
      <c r="K4" s="18">
        <f>_xlfn.XLOOKUP($B:$B,'Compilado 2023'!$B:$B,'Compilado 2023'!K:K)</f>
        <v>6421</v>
      </c>
      <c r="L4" s="54">
        <f t="shared" ref="L4:L31" si="5">IFERROR(F4/K4,0)</f>
        <v>3.7065877589160565E-2</v>
      </c>
      <c r="M4" s="38"/>
      <c r="N4" s="106">
        <f>_xlfn.XLOOKUP($B:$B,'Compilado 2023'!$B:$B,'Compilado 2023'!N:N)</f>
        <v>644.13</v>
      </c>
      <c r="O4" s="106">
        <f>_xlfn.XLOOKUP($B:$B,'Compilado 2023'!$B:$B,'Compilado 2023'!O:O)</f>
        <v>133.30000000000001</v>
      </c>
      <c r="P4" s="106">
        <f>_xlfn.XLOOKUP($B:$B,'Compilado 2023'!$B:$B,'Compilado 2023'!P:P)</f>
        <v>0</v>
      </c>
      <c r="Q4" s="106">
        <f>_xlfn.XLOOKUP($B:$B,'Compilado 2023'!$B:$B,'Compilado 2023'!Q:Q)</f>
        <v>53.333333333333336</v>
      </c>
      <c r="R4" s="106">
        <f>_xlfn.XLOOKUP($B:$B,'Compilado 2023'!$B:$B,'Compilado 2023'!R:R)</f>
        <v>0.3</v>
      </c>
      <c r="S4" s="106">
        <f>_xlfn.XLOOKUP($B:$B,'Compilado 2023'!$B:$B,'Compilado 2023'!S:S)</f>
        <v>0</v>
      </c>
      <c r="T4" s="106">
        <f>_xlfn.XLOOKUP($B:$B,'Compilado 2023'!$B:$B,'Compilado 2023'!U:U)</f>
        <v>0</v>
      </c>
      <c r="U4" s="106">
        <f>_xlfn.XLOOKUP($B:$B,'Compilado 2023'!$B:$B,'Compilado 2023'!V:V)</f>
        <v>0</v>
      </c>
      <c r="V4" s="57"/>
      <c r="W4" s="106">
        <f>_xlfn.XLOOKUP($B:$B,'Compilado 2023'!$B:$B,'Compilado 2023'!X:X)</f>
        <v>0</v>
      </c>
      <c r="X4" s="106">
        <f>_xlfn.XLOOKUP($B:$B,'Compilado 2023'!$B:$B,'Compilado 2023'!Y:Y)</f>
        <v>0</v>
      </c>
      <c r="Y4" s="106">
        <f>_xlfn.XLOOKUP($B:$B,'Compilado 2023'!$B:$B,'Compilado 2023'!Z:Z)</f>
        <v>0</v>
      </c>
      <c r="Z4" s="38"/>
      <c r="AA4" s="107" t="str">
        <f>_xlfn.XLOOKUP($B:$B,'Compilado 2023'!$B:$B,'Compilado 2023'!AA:AA)</f>
        <v xml:space="preserve">Ativou anúnicos e campanha Namorados no Site </v>
      </c>
    </row>
    <row r="5" spans="1:27" s="2" customFormat="1" x14ac:dyDescent="0.2">
      <c r="A5" s="16" t="str">
        <f t="shared" si="0"/>
        <v>sexta-feira</v>
      </c>
      <c r="B5" s="17">
        <f>B4+1</f>
        <v>45079</v>
      </c>
      <c r="C5" s="19">
        <f t="shared" si="1"/>
        <v>92678.05</v>
      </c>
      <c r="D5" s="35">
        <f>_xlfn.XLOOKUP($B:$B,'Compilado 2023'!$B:$B,'Compilado 2023'!D:D)</f>
        <v>92678.05</v>
      </c>
      <c r="E5" s="35">
        <f>_xlfn.XLOOKUP($B:$B,'Compilado 2023'!$B:$B,'Compilado 2023'!E:E)</f>
        <v>0</v>
      </c>
      <c r="F5" s="18">
        <f>_xlfn.XLOOKUP($B:$B,'Compilado 2023'!$B:$B,'Compilado 2023'!F:F)</f>
        <v>290</v>
      </c>
      <c r="G5" s="18">
        <f>_xlfn.XLOOKUP($B:$B,'Compilado 2023'!$B:$B,'Compilado 2023'!G:G)</f>
        <v>331</v>
      </c>
      <c r="H5" s="35">
        <f t="shared" si="2"/>
        <v>319.57948275862071</v>
      </c>
      <c r="I5" s="19">
        <f t="shared" si="3"/>
        <v>964.44333333333338</v>
      </c>
      <c r="J5" s="122">
        <f t="shared" si="4"/>
        <v>96.094863012514992</v>
      </c>
      <c r="K5" s="18">
        <f>_xlfn.XLOOKUP($B:$B,'Compilado 2023'!$B:$B,'Compilado 2023'!K:K)</f>
        <v>6907</v>
      </c>
      <c r="L5" s="54">
        <f t="shared" si="5"/>
        <v>4.1986390618213409E-2</v>
      </c>
      <c r="M5" s="38"/>
      <c r="N5" s="106">
        <f>_xlfn.XLOOKUP($B:$B,'Compilado 2023'!$B:$B,'Compilado 2023'!N:N)</f>
        <v>717.73</v>
      </c>
      <c r="O5" s="106">
        <f>_xlfn.XLOOKUP($B:$B,'Compilado 2023'!$B:$B,'Compilado 2023'!O:O)</f>
        <v>193.38</v>
      </c>
      <c r="P5" s="106">
        <f>_xlfn.XLOOKUP($B:$B,'Compilado 2023'!$B:$B,'Compilado 2023'!P:P)</f>
        <v>0</v>
      </c>
      <c r="Q5" s="106">
        <f>_xlfn.XLOOKUP($B:$B,'Compilado 2023'!$B:$B,'Compilado 2023'!Q:Q)</f>
        <v>53.333333333333336</v>
      </c>
      <c r="R5" s="106">
        <f>_xlfn.XLOOKUP($B:$B,'Compilado 2023'!$B:$B,'Compilado 2023'!R:R)</f>
        <v>0</v>
      </c>
      <c r="S5" s="106">
        <f>_xlfn.XLOOKUP($B:$B,'Compilado 2023'!$B:$B,'Compilado 2023'!S:S)</f>
        <v>0</v>
      </c>
      <c r="T5" s="106">
        <f>_xlfn.XLOOKUP($B:$B,'Compilado 2023'!$B:$B,'Compilado 2023'!U:U)</f>
        <v>0</v>
      </c>
      <c r="U5" s="106">
        <f>_xlfn.XLOOKUP($B:$B,'Compilado 2023'!$B:$B,'Compilado 2023'!V:V)</f>
        <v>0</v>
      </c>
      <c r="V5" s="57"/>
      <c r="W5" s="106">
        <f>_xlfn.XLOOKUP($B:$B,'Compilado 2023'!$B:$B,'Compilado 2023'!X:X)</f>
        <v>0</v>
      </c>
      <c r="X5" s="106">
        <f>_xlfn.XLOOKUP($B:$B,'Compilado 2023'!$B:$B,'Compilado 2023'!Y:Y)</f>
        <v>0</v>
      </c>
      <c r="Y5" s="106">
        <f>_xlfn.XLOOKUP($B:$B,'Compilado 2023'!$B:$B,'Compilado 2023'!Z:Z)</f>
        <v>0</v>
      </c>
      <c r="Z5" s="38"/>
      <c r="AA5" s="107">
        <f>_xlfn.XLOOKUP($B:$B,'Compilado 2023'!$B:$B,'Compilado 2023'!AA:AA)</f>
        <v>0</v>
      </c>
    </row>
    <row r="6" spans="1:27" x14ac:dyDescent="0.2">
      <c r="A6" s="16" t="str">
        <f t="shared" si="0"/>
        <v>sábado</v>
      </c>
      <c r="B6" s="17">
        <f t="shared" ref="B6:B33" si="6">B5+1</f>
        <v>45080</v>
      </c>
      <c r="C6" s="19">
        <f t="shared" si="1"/>
        <v>46583.77</v>
      </c>
      <c r="D6" s="35">
        <f>_xlfn.XLOOKUP($B:$B,'Compilado 2023'!$B:$B,'Compilado 2023'!D:D)</f>
        <v>46583.77</v>
      </c>
      <c r="E6" s="35">
        <f>_xlfn.XLOOKUP($B:$B,'Compilado 2023'!$B:$B,'Compilado 2023'!E:E)</f>
        <v>0</v>
      </c>
      <c r="F6" s="18">
        <f>_xlfn.XLOOKUP($B:$B,'Compilado 2023'!$B:$B,'Compilado 2023'!F:F)</f>
        <v>161</v>
      </c>
      <c r="G6" s="18">
        <f>_xlfn.XLOOKUP($B:$B,'Compilado 2023'!$B:$B,'Compilado 2023'!G:G)</f>
        <v>185</v>
      </c>
      <c r="H6" s="35">
        <f t="shared" si="2"/>
        <v>289.3401863354037</v>
      </c>
      <c r="I6" s="19">
        <f t="shared" si="3"/>
        <v>1087.7233333333334</v>
      </c>
      <c r="J6" s="122">
        <f t="shared" si="4"/>
        <v>42.826855481019983</v>
      </c>
      <c r="K6" s="18">
        <f>_xlfn.XLOOKUP($B:$B,'Compilado 2023'!$B:$B,'Compilado 2023'!K:K)</f>
        <v>4733</v>
      </c>
      <c r="L6" s="54">
        <f t="shared" si="5"/>
        <v>3.4016480033805196E-2</v>
      </c>
      <c r="M6" s="38"/>
      <c r="N6" s="106">
        <f>_xlfn.XLOOKUP($B:$B,'Compilado 2023'!$B:$B,'Compilado 2023'!N:N)</f>
        <v>804.5</v>
      </c>
      <c r="O6" s="106">
        <f>_xlfn.XLOOKUP($B:$B,'Compilado 2023'!$B:$B,'Compilado 2023'!O:O)</f>
        <v>226.99</v>
      </c>
      <c r="P6" s="106">
        <f>_xlfn.XLOOKUP($B:$B,'Compilado 2023'!$B:$B,'Compilado 2023'!P:P)</f>
        <v>0</v>
      </c>
      <c r="Q6" s="106">
        <f>_xlfn.XLOOKUP($B:$B,'Compilado 2023'!$B:$B,'Compilado 2023'!Q:Q)</f>
        <v>53.333333333333336</v>
      </c>
      <c r="R6" s="106">
        <f>_xlfn.XLOOKUP($B:$B,'Compilado 2023'!$B:$B,'Compilado 2023'!R:R)</f>
        <v>2.9</v>
      </c>
      <c r="S6" s="106">
        <f>_xlfn.XLOOKUP($B:$B,'Compilado 2023'!$B:$B,'Compilado 2023'!S:S)</f>
        <v>0</v>
      </c>
      <c r="T6" s="106">
        <f>_xlfn.XLOOKUP($B:$B,'Compilado 2023'!$B:$B,'Compilado 2023'!U:U)</f>
        <v>0</v>
      </c>
      <c r="U6" s="106">
        <f>_xlfn.XLOOKUP($B:$B,'Compilado 2023'!$B:$B,'Compilado 2023'!V:V)</f>
        <v>0</v>
      </c>
      <c r="V6" s="57"/>
      <c r="W6" s="106">
        <f>_xlfn.XLOOKUP($B:$B,'Compilado 2023'!$B:$B,'Compilado 2023'!X:X)</f>
        <v>0</v>
      </c>
      <c r="X6" s="106">
        <f>_xlfn.XLOOKUP($B:$B,'Compilado 2023'!$B:$B,'Compilado 2023'!Y:Y)</f>
        <v>0</v>
      </c>
      <c r="Y6" s="106">
        <f>_xlfn.XLOOKUP($B:$B,'Compilado 2023'!$B:$B,'Compilado 2023'!Z:Z)</f>
        <v>0</v>
      </c>
      <c r="Z6" s="38"/>
      <c r="AA6" s="107">
        <f>_xlfn.XLOOKUP($B:$B,'Compilado 2023'!$B:$B,'Compilado 2023'!AA:AA)</f>
        <v>0</v>
      </c>
    </row>
    <row r="7" spans="1:27" x14ac:dyDescent="0.2">
      <c r="A7" s="16" t="str">
        <f t="shared" si="0"/>
        <v>domingo</v>
      </c>
      <c r="B7" s="17">
        <f t="shared" si="6"/>
        <v>45081</v>
      </c>
      <c r="C7" s="19">
        <f t="shared" si="1"/>
        <v>53461.599999999999</v>
      </c>
      <c r="D7" s="35">
        <f>_xlfn.XLOOKUP($B:$B,'Compilado 2023'!$B:$B,'Compilado 2023'!D:D)</f>
        <v>53461.599999999999</v>
      </c>
      <c r="E7" s="35">
        <f>_xlfn.XLOOKUP($B:$B,'Compilado 2023'!$B:$B,'Compilado 2023'!E:E)</f>
        <v>0</v>
      </c>
      <c r="F7" s="18">
        <f>_xlfn.XLOOKUP($B:$B,'Compilado 2023'!$B:$B,'Compilado 2023'!F:F)</f>
        <v>147</v>
      </c>
      <c r="G7" s="18">
        <f>_xlfn.XLOOKUP($B:$B,'Compilado 2023'!$B:$B,'Compilado 2023'!G:G)</f>
        <v>169</v>
      </c>
      <c r="H7" s="35">
        <f t="shared" si="2"/>
        <v>363.68435374149658</v>
      </c>
      <c r="I7" s="19">
        <f t="shared" si="3"/>
        <v>1007.2533333333334</v>
      </c>
      <c r="J7" s="122">
        <f t="shared" si="4"/>
        <v>53.076617600338871</v>
      </c>
      <c r="K7" s="18">
        <f>_xlfn.XLOOKUP($B:$B,'Compilado 2023'!$B:$B,'Compilado 2023'!K:K)</f>
        <v>4285</v>
      </c>
      <c r="L7" s="54">
        <f t="shared" si="5"/>
        <v>3.4305717619603264E-2</v>
      </c>
      <c r="M7" s="38"/>
      <c r="N7" s="106">
        <f>_xlfn.XLOOKUP($B:$B,'Compilado 2023'!$B:$B,'Compilado 2023'!N:N)</f>
        <v>740.84</v>
      </c>
      <c r="O7" s="106">
        <f>_xlfn.XLOOKUP($B:$B,'Compilado 2023'!$B:$B,'Compilado 2023'!O:O)</f>
        <v>213.08</v>
      </c>
      <c r="P7" s="106">
        <f>_xlfn.XLOOKUP($B:$B,'Compilado 2023'!$B:$B,'Compilado 2023'!P:P)</f>
        <v>0</v>
      </c>
      <c r="Q7" s="106">
        <f>_xlfn.XLOOKUP($B:$B,'Compilado 2023'!$B:$B,'Compilado 2023'!Q:Q)</f>
        <v>53.333333333333336</v>
      </c>
      <c r="R7" s="106">
        <f>_xlfn.XLOOKUP($B:$B,'Compilado 2023'!$B:$B,'Compilado 2023'!R:R)</f>
        <v>0</v>
      </c>
      <c r="S7" s="106">
        <f>_xlfn.XLOOKUP($B:$B,'Compilado 2023'!$B:$B,'Compilado 2023'!S:S)</f>
        <v>0</v>
      </c>
      <c r="T7" s="106">
        <f>_xlfn.XLOOKUP($B:$B,'Compilado 2023'!$B:$B,'Compilado 2023'!U:U)</f>
        <v>0</v>
      </c>
      <c r="U7" s="106">
        <f>_xlfn.XLOOKUP($B:$B,'Compilado 2023'!$B:$B,'Compilado 2023'!V:V)</f>
        <v>0</v>
      </c>
      <c r="V7" s="57"/>
      <c r="W7" s="106">
        <f>_xlfn.XLOOKUP($B:$B,'Compilado 2023'!$B:$B,'Compilado 2023'!X:X)</f>
        <v>0</v>
      </c>
      <c r="X7" s="106">
        <f>_xlfn.XLOOKUP($B:$B,'Compilado 2023'!$B:$B,'Compilado 2023'!Y:Y)</f>
        <v>0</v>
      </c>
      <c r="Y7" s="106">
        <f>_xlfn.XLOOKUP($B:$B,'Compilado 2023'!$B:$B,'Compilado 2023'!Z:Z)</f>
        <v>0</v>
      </c>
      <c r="Z7" s="38"/>
      <c r="AA7" s="107">
        <f>_xlfn.XLOOKUP($B:$B,'Compilado 2023'!$B:$B,'Compilado 2023'!AA:AA)</f>
        <v>0</v>
      </c>
    </row>
    <row r="8" spans="1:27" s="2" customFormat="1" x14ac:dyDescent="0.2">
      <c r="A8" s="16" t="str">
        <f t="shared" si="0"/>
        <v>segunda-feira</v>
      </c>
      <c r="B8" s="17">
        <f t="shared" si="6"/>
        <v>45082</v>
      </c>
      <c r="C8" s="19">
        <f t="shared" si="1"/>
        <v>108978.5</v>
      </c>
      <c r="D8" s="35">
        <f>_xlfn.XLOOKUP($B:$B,'Compilado 2023'!$B:$B,'Compilado 2023'!D:D)</f>
        <v>108978.5</v>
      </c>
      <c r="E8" s="35">
        <f>_xlfn.XLOOKUP($B:$B,'Compilado 2023'!$B:$B,'Compilado 2023'!E:E)</f>
        <v>0</v>
      </c>
      <c r="F8" s="18">
        <f>_xlfn.XLOOKUP($B:$B,'Compilado 2023'!$B:$B,'Compilado 2023'!F:F)</f>
        <v>341</v>
      </c>
      <c r="G8" s="18">
        <f>_xlfn.XLOOKUP($B:$B,'Compilado 2023'!$B:$B,'Compilado 2023'!G:G)</f>
        <v>380</v>
      </c>
      <c r="H8" s="35">
        <f t="shared" si="2"/>
        <v>319.58504398826977</v>
      </c>
      <c r="I8" s="19">
        <f t="shared" si="3"/>
        <v>1340.4933333333333</v>
      </c>
      <c r="J8" s="122">
        <f t="shared" si="4"/>
        <v>81.297308453604145</v>
      </c>
      <c r="K8" s="18">
        <f>_xlfn.XLOOKUP($B:$B,'Compilado 2023'!$B:$B,'Compilado 2023'!K:K)</f>
        <v>7503</v>
      </c>
      <c r="L8" s="54">
        <f t="shared" si="5"/>
        <v>4.5448487271757966E-2</v>
      </c>
      <c r="M8" s="38"/>
      <c r="N8" s="106">
        <f>_xlfn.XLOOKUP($B:$B,'Compilado 2023'!$B:$B,'Compilado 2023'!N:N)</f>
        <v>1099.1300000000001</v>
      </c>
      <c r="O8" s="106">
        <f>_xlfn.XLOOKUP($B:$B,'Compilado 2023'!$B:$B,'Compilado 2023'!O:O)</f>
        <v>186.79</v>
      </c>
      <c r="P8" s="106">
        <f>_xlfn.XLOOKUP($B:$B,'Compilado 2023'!$B:$B,'Compilado 2023'!P:P)</f>
        <v>0</v>
      </c>
      <c r="Q8" s="106">
        <f>_xlfn.XLOOKUP($B:$B,'Compilado 2023'!$B:$B,'Compilado 2023'!Q:Q)</f>
        <v>53.333333333333336</v>
      </c>
      <c r="R8" s="106">
        <f>_xlfn.XLOOKUP($B:$B,'Compilado 2023'!$B:$B,'Compilado 2023'!R:R)</f>
        <v>1.24</v>
      </c>
      <c r="S8" s="106">
        <f>_xlfn.XLOOKUP($B:$B,'Compilado 2023'!$B:$B,'Compilado 2023'!S:S)</f>
        <v>0</v>
      </c>
      <c r="T8" s="106">
        <f>_xlfn.XLOOKUP($B:$B,'Compilado 2023'!$B:$B,'Compilado 2023'!U:U)</f>
        <v>0</v>
      </c>
      <c r="U8" s="106">
        <f>_xlfn.XLOOKUP($B:$B,'Compilado 2023'!$B:$B,'Compilado 2023'!V:V)</f>
        <v>0</v>
      </c>
      <c r="V8" s="57"/>
      <c r="W8" s="106">
        <f>_xlfn.XLOOKUP($B:$B,'Compilado 2023'!$B:$B,'Compilado 2023'!X:X)</f>
        <v>0</v>
      </c>
      <c r="X8" s="106">
        <f>_xlfn.XLOOKUP($B:$B,'Compilado 2023'!$B:$B,'Compilado 2023'!Y:Y)</f>
        <v>0</v>
      </c>
      <c r="Y8" s="106">
        <f>_xlfn.XLOOKUP($B:$B,'Compilado 2023'!$B:$B,'Compilado 2023'!Z:Z)</f>
        <v>0</v>
      </c>
      <c r="Z8" s="38"/>
      <c r="AA8" s="107" t="str">
        <f>_xlfn.XLOOKUP($B:$B,'Compilado 2023'!$B:$B,'Compilado 2023'!AA:AA)</f>
        <v>Disparo e-mail Dia dos Namorados</v>
      </c>
    </row>
    <row r="9" spans="1:27" s="2" customFormat="1" x14ac:dyDescent="0.2">
      <c r="A9" s="16" t="str">
        <f t="shared" si="0"/>
        <v>terça-feira</v>
      </c>
      <c r="B9" s="17">
        <f t="shared" si="6"/>
        <v>45083</v>
      </c>
      <c r="C9" s="19">
        <f t="shared" si="1"/>
        <v>110507.95</v>
      </c>
      <c r="D9" s="35">
        <f>_xlfn.XLOOKUP($B:$B,'Compilado 2023'!$B:$B,'Compilado 2023'!D:D)</f>
        <v>110507.95</v>
      </c>
      <c r="E9" s="35">
        <f>_xlfn.XLOOKUP($B:$B,'Compilado 2023'!$B:$B,'Compilado 2023'!E:E)</f>
        <v>0</v>
      </c>
      <c r="F9" s="18">
        <f>_xlfn.XLOOKUP($B:$B,'Compilado 2023'!$B:$B,'Compilado 2023'!F:F)</f>
        <v>350</v>
      </c>
      <c r="G9" s="18">
        <f>_xlfn.XLOOKUP($B:$B,'Compilado 2023'!$B:$B,'Compilado 2023'!G:G)</f>
        <v>392</v>
      </c>
      <c r="H9" s="35">
        <f t="shared" si="2"/>
        <v>315.73699999999997</v>
      </c>
      <c r="I9" s="19">
        <f t="shared" si="3"/>
        <v>1542.1333333333334</v>
      </c>
      <c r="J9" s="122">
        <f t="shared" si="4"/>
        <v>71.65914101677329</v>
      </c>
      <c r="K9" s="18">
        <f>_xlfn.XLOOKUP($B:$B,'Compilado 2023'!$B:$B,'Compilado 2023'!K:K)</f>
        <v>7839</v>
      </c>
      <c r="L9" s="54">
        <f t="shared" si="5"/>
        <v>4.4648552111238679E-2</v>
      </c>
      <c r="M9" s="38"/>
      <c r="N9" s="106">
        <f>_xlfn.XLOOKUP($B:$B,'Compilado 2023'!$B:$B,'Compilado 2023'!N:N)</f>
        <v>1276.1600000000001</v>
      </c>
      <c r="O9" s="106">
        <f>_xlfn.XLOOKUP($B:$B,'Compilado 2023'!$B:$B,'Compilado 2023'!O:O)</f>
        <v>212.64</v>
      </c>
      <c r="P9" s="106">
        <f>_xlfn.XLOOKUP($B:$B,'Compilado 2023'!$B:$B,'Compilado 2023'!P:P)</f>
        <v>0</v>
      </c>
      <c r="Q9" s="106">
        <f>_xlfn.XLOOKUP($B:$B,'Compilado 2023'!$B:$B,'Compilado 2023'!Q:Q)</f>
        <v>53.333333333333336</v>
      </c>
      <c r="R9" s="106">
        <f>_xlfn.XLOOKUP($B:$B,'Compilado 2023'!$B:$B,'Compilado 2023'!R:R)</f>
        <v>0</v>
      </c>
      <c r="S9" s="106">
        <f>_xlfn.XLOOKUP($B:$B,'Compilado 2023'!$B:$B,'Compilado 2023'!S:S)</f>
        <v>0</v>
      </c>
      <c r="T9" s="106">
        <f>_xlfn.XLOOKUP($B:$B,'Compilado 2023'!$B:$B,'Compilado 2023'!U:U)</f>
        <v>0</v>
      </c>
      <c r="U9" s="106">
        <f>_xlfn.XLOOKUP($B:$B,'Compilado 2023'!$B:$B,'Compilado 2023'!V:V)</f>
        <v>0</v>
      </c>
      <c r="V9" s="57"/>
      <c r="W9" s="106">
        <f>_xlfn.XLOOKUP($B:$B,'Compilado 2023'!$B:$B,'Compilado 2023'!X:X)</f>
        <v>0</v>
      </c>
      <c r="X9" s="106">
        <f>_xlfn.XLOOKUP($B:$B,'Compilado 2023'!$B:$B,'Compilado 2023'!Y:Y)</f>
        <v>0</v>
      </c>
      <c r="Y9" s="106">
        <f>_xlfn.XLOOKUP($B:$B,'Compilado 2023'!$B:$B,'Compilado 2023'!Z:Z)</f>
        <v>0</v>
      </c>
      <c r="Z9" s="38"/>
      <c r="AA9" s="107">
        <f>_xlfn.XLOOKUP($B:$B,'Compilado 2023'!$B:$B,'Compilado 2023'!AA:AA)</f>
        <v>0</v>
      </c>
    </row>
    <row r="10" spans="1:27" s="2" customFormat="1" x14ac:dyDescent="0.2">
      <c r="A10" s="16" t="str">
        <f t="shared" si="0"/>
        <v>quarta-feira</v>
      </c>
      <c r="B10" s="17">
        <f t="shared" si="6"/>
        <v>45084</v>
      </c>
      <c r="C10" s="19">
        <f t="shared" si="1"/>
        <v>112268.97</v>
      </c>
      <c r="D10" s="35">
        <f>_xlfn.XLOOKUP($B:$B,'Compilado 2023'!$B:$B,'Compilado 2023'!D:D)</f>
        <v>112268.97</v>
      </c>
      <c r="E10" s="35">
        <f>_xlfn.XLOOKUP($B:$B,'Compilado 2023'!$B:$B,'Compilado 2023'!E:E)</f>
        <v>0</v>
      </c>
      <c r="F10" s="18">
        <f>_xlfn.XLOOKUP($B:$B,'Compilado 2023'!$B:$B,'Compilado 2023'!F:F)</f>
        <v>362</v>
      </c>
      <c r="G10" s="18">
        <f>_xlfn.XLOOKUP($B:$B,'Compilado 2023'!$B:$B,'Compilado 2023'!G:G)</f>
        <v>407</v>
      </c>
      <c r="H10" s="35">
        <f t="shared" si="2"/>
        <v>310.13527624309393</v>
      </c>
      <c r="I10" s="19">
        <f t="shared" si="3"/>
        <v>1765.3833333333334</v>
      </c>
      <c r="J10" s="122">
        <f t="shared" si="4"/>
        <v>63.594669712904654</v>
      </c>
      <c r="K10" s="18">
        <f>_xlfn.XLOOKUP($B:$B,'Compilado 2023'!$B:$B,'Compilado 2023'!K:K)</f>
        <v>7176</v>
      </c>
      <c r="L10" s="54">
        <f t="shared" si="5"/>
        <v>5.0445930880713488E-2</v>
      </c>
      <c r="M10" s="38"/>
      <c r="N10" s="106">
        <f>_xlfn.XLOOKUP($B:$B,'Compilado 2023'!$B:$B,'Compilado 2023'!N:N)</f>
        <v>1472.66</v>
      </c>
      <c r="O10" s="106">
        <f>_xlfn.XLOOKUP($B:$B,'Compilado 2023'!$B:$B,'Compilado 2023'!O:O)</f>
        <v>221.71</v>
      </c>
      <c r="P10" s="106">
        <f>_xlfn.XLOOKUP($B:$B,'Compilado 2023'!$B:$B,'Compilado 2023'!P:P)</f>
        <v>0</v>
      </c>
      <c r="Q10" s="106">
        <f>_xlfn.XLOOKUP($B:$B,'Compilado 2023'!$B:$B,'Compilado 2023'!Q:Q)</f>
        <v>53.333333333333336</v>
      </c>
      <c r="R10" s="106">
        <f>_xlfn.XLOOKUP($B:$B,'Compilado 2023'!$B:$B,'Compilado 2023'!R:R)</f>
        <v>0</v>
      </c>
      <c r="S10" s="106">
        <f>_xlfn.XLOOKUP($B:$B,'Compilado 2023'!$B:$B,'Compilado 2023'!S:S)</f>
        <v>17.68</v>
      </c>
      <c r="T10" s="106">
        <f>_xlfn.XLOOKUP($B:$B,'Compilado 2023'!$B:$B,'Compilado 2023'!U:U)</f>
        <v>0</v>
      </c>
      <c r="U10" s="106">
        <f>_xlfn.XLOOKUP($B:$B,'Compilado 2023'!$B:$B,'Compilado 2023'!V:V)</f>
        <v>0</v>
      </c>
      <c r="V10" s="57"/>
      <c r="W10" s="106">
        <f>_xlfn.XLOOKUP($B:$B,'Compilado 2023'!$B:$B,'Compilado 2023'!X:X)</f>
        <v>0</v>
      </c>
      <c r="X10" s="106">
        <f>_xlfn.XLOOKUP($B:$B,'Compilado 2023'!$B:$B,'Compilado 2023'!Y:Y)</f>
        <v>0</v>
      </c>
      <c r="Y10" s="106">
        <f>_xlfn.XLOOKUP($B:$B,'Compilado 2023'!$B:$B,'Compilado 2023'!Z:Z)</f>
        <v>0</v>
      </c>
      <c r="Z10" s="38"/>
      <c r="AA10" s="107">
        <f>_xlfn.XLOOKUP($B:$B,'Compilado 2023'!$B:$B,'Compilado 2023'!AA:AA)</f>
        <v>0</v>
      </c>
    </row>
    <row r="11" spans="1:27" s="2" customFormat="1" x14ac:dyDescent="0.2">
      <c r="A11" s="16" t="str">
        <f t="shared" si="0"/>
        <v>quinta-feira</v>
      </c>
      <c r="B11" s="17">
        <f t="shared" si="6"/>
        <v>45085</v>
      </c>
      <c r="C11" s="19">
        <f t="shared" si="1"/>
        <v>89754.78</v>
      </c>
      <c r="D11" s="35">
        <f>_xlfn.XLOOKUP($B:$B,'Compilado 2023'!$B:$B,'Compilado 2023'!D:D)</f>
        <v>89754.78</v>
      </c>
      <c r="E11" s="35">
        <f>_xlfn.XLOOKUP($B:$B,'Compilado 2023'!$B:$B,'Compilado 2023'!E:E)</f>
        <v>0</v>
      </c>
      <c r="F11" s="18">
        <f>_xlfn.XLOOKUP($B:$B,'Compilado 2023'!$B:$B,'Compilado 2023'!F:F)</f>
        <v>279</v>
      </c>
      <c r="G11" s="18">
        <f>_xlfn.XLOOKUP($B:$B,'Compilado 2023'!$B:$B,'Compilado 2023'!G:G)</f>
        <v>309</v>
      </c>
      <c r="H11" s="35">
        <f t="shared" si="2"/>
        <v>321.70172043010751</v>
      </c>
      <c r="I11" s="19">
        <f t="shared" si="3"/>
        <v>1845.7133333333334</v>
      </c>
      <c r="J11" s="122">
        <f t="shared" si="4"/>
        <v>48.628775866241412</v>
      </c>
      <c r="K11" s="18">
        <f>_xlfn.XLOOKUP($B:$B,'Compilado 2023'!$B:$B,'Compilado 2023'!K:K)</f>
        <v>5948</v>
      </c>
      <c r="L11" s="54">
        <f t="shared" si="5"/>
        <v>4.6906523201075995E-2</v>
      </c>
      <c r="M11" s="38"/>
      <c r="N11" s="106">
        <f>_xlfn.XLOOKUP($B:$B,'Compilado 2023'!$B:$B,'Compilado 2023'!N:N)</f>
        <v>1515.41</v>
      </c>
      <c r="O11" s="106">
        <f>_xlfn.XLOOKUP($B:$B,'Compilado 2023'!$B:$B,'Compilado 2023'!O:O)</f>
        <v>242.75</v>
      </c>
      <c r="P11" s="106">
        <f>_xlfn.XLOOKUP($B:$B,'Compilado 2023'!$B:$B,'Compilado 2023'!P:P)</f>
        <v>0</v>
      </c>
      <c r="Q11" s="106">
        <f>_xlfn.XLOOKUP($B:$B,'Compilado 2023'!$B:$B,'Compilado 2023'!Q:Q)</f>
        <v>53.333333333333336</v>
      </c>
      <c r="R11" s="106">
        <f>_xlfn.XLOOKUP($B:$B,'Compilado 2023'!$B:$B,'Compilado 2023'!R:R)</f>
        <v>0</v>
      </c>
      <c r="S11" s="106">
        <f>_xlfn.XLOOKUP($B:$B,'Compilado 2023'!$B:$B,'Compilado 2023'!S:S)</f>
        <v>34.22</v>
      </c>
      <c r="T11" s="106">
        <f>_xlfn.XLOOKUP($B:$B,'Compilado 2023'!$B:$B,'Compilado 2023'!U:U)</f>
        <v>0</v>
      </c>
      <c r="U11" s="106">
        <f>_xlfn.XLOOKUP($B:$B,'Compilado 2023'!$B:$B,'Compilado 2023'!V:V)</f>
        <v>0</v>
      </c>
      <c r="V11" s="57"/>
      <c r="W11" s="106">
        <f>_xlfn.XLOOKUP($B:$B,'Compilado 2023'!$B:$B,'Compilado 2023'!X:X)</f>
        <v>0</v>
      </c>
      <c r="X11" s="106">
        <f>_xlfn.XLOOKUP($B:$B,'Compilado 2023'!$B:$B,'Compilado 2023'!Y:Y)</f>
        <v>0</v>
      </c>
      <c r="Y11" s="106">
        <f>_xlfn.XLOOKUP($B:$B,'Compilado 2023'!$B:$B,'Compilado 2023'!Z:Z)</f>
        <v>0</v>
      </c>
      <c r="Z11" s="38"/>
      <c r="AA11" s="107">
        <f>_xlfn.XLOOKUP($B:$B,'Compilado 2023'!$B:$B,'Compilado 2023'!AA:AA)</f>
        <v>0</v>
      </c>
    </row>
    <row r="12" spans="1:27" s="2" customFormat="1" x14ac:dyDescent="0.2">
      <c r="A12" s="16" t="str">
        <f t="shared" si="0"/>
        <v>sexta-feira</v>
      </c>
      <c r="B12" s="17">
        <f t="shared" si="6"/>
        <v>45086</v>
      </c>
      <c r="C12" s="19">
        <f t="shared" si="1"/>
        <v>115721.65</v>
      </c>
      <c r="D12" s="35">
        <f>_xlfn.XLOOKUP($B:$B,'Compilado 2023'!$B:$B,'Compilado 2023'!D:D)</f>
        <v>115721.65</v>
      </c>
      <c r="E12" s="35">
        <f>_xlfn.XLOOKUP($B:$B,'Compilado 2023'!$B:$B,'Compilado 2023'!E:E)</f>
        <v>0</v>
      </c>
      <c r="F12" s="18">
        <f>_xlfn.XLOOKUP($B:$B,'Compilado 2023'!$B:$B,'Compilado 2023'!F:F)</f>
        <v>369</v>
      </c>
      <c r="G12" s="18">
        <f>_xlfn.XLOOKUP($B:$B,'Compilado 2023'!$B:$B,'Compilado 2023'!G:G)</f>
        <v>402</v>
      </c>
      <c r="H12" s="35">
        <f t="shared" si="2"/>
        <v>313.60880758807588</v>
      </c>
      <c r="I12" s="19">
        <f t="shared" si="3"/>
        <v>2504.7133333333331</v>
      </c>
      <c r="J12" s="122">
        <f t="shared" si="4"/>
        <v>46.201554668930847</v>
      </c>
      <c r="K12" s="18">
        <f>_xlfn.XLOOKUP($B:$B,'Compilado 2023'!$B:$B,'Compilado 2023'!K:K)</f>
        <v>7013</v>
      </c>
      <c r="L12" s="54">
        <f t="shared" si="5"/>
        <v>5.2616569228575501E-2</v>
      </c>
      <c r="M12" s="38"/>
      <c r="N12" s="106">
        <f>_xlfn.XLOOKUP($B:$B,'Compilado 2023'!$B:$B,'Compilado 2023'!N:N)</f>
        <v>2148.1999999999998</v>
      </c>
      <c r="O12" s="106">
        <f>_xlfn.XLOOKUP($B:$B,'Compilado 2023'!$B:$B,'Compilado 2023'!O:O)</f>
        <v>270.39</v>
      </c>
      <c r="P12" s="106">
        <f>_xlfn.XLOOKUP($B:$B,'Compilado 2023'!$B:$B,'Compilado 2023'!P:P)</f>
        <v>0</v>
      </c>
      <c r="Q12" s="106">
        <f>_xlfn.XLOOKUP($B:$B,'Compilado 2023'!$B:$B,'Compilado 2023'!Q:Q)</f>
        <v>53.333333333333336</v>
      </c>
      <c r="R12" s="106">
        <f>_xlfn.XLOOKUP($B:$B,'Compilado 2023'!$B:$B,'Compilado 2023'!R:R)</f>
        <v>0</v>
      </c>
      <c r="S12" s="106">
        <f>_xlfn.XLOOKUP($B:$B,'Compilado 2023'!$B:$B,'Compilado 2023'!S:S)</f>
        <v>32.79</v>
      </c>
      <c r="T12" s="106">
        <f>_xlfn.XLOOKUP($B:$B,'Compilado 2023'!$B:$B,'Compilado 2023'!U:U)</f>
        <v>0</v>
      </c>
      <c r="U12" s="106">
        <f>_xlfn.XLOOKUP($B:$B,'Compilado 2023'!$B:$B,'Compilado 2023'!V:V)</f>
        <v>0</v>
      </c>
      <c r="V12" s="57"/>
      <c r="W12" s="106">
        <f>_xlfn.XLOOKUP($B:$B,'Compilado 2023'!$B:$B,'Compilado 2023'!X:X)</f>
        <v>0</v>
      </c>
      <c r="X12" s="106">
        <f>_xlfn.XLOOKUP($B:$B,'Compilado 2023'!$B:$B,'Compilado 2023'!Y:Y)</f>
        <v>0</v>
      </c>
      <c r="Y12" s="106">
        <f>_xlfn.XLOOKUP($B:$B,'Compilado 2023'!$B:$B,'Compilado 2023'!Z:Z)</f>
        <v>0</v>
      </c>
      <c r="Z12" s="38"/>
      <c r="AA12" s="107">
        <f>_xlfn.XLOOKUP($B:$B,'Compilado 2023'!$B:$B,'Compilado 2023'!AA:AA)</f>
        <v>0</v>
      </c>
    </row>
    <row r="13" spans="1:27" x14ac:dyDescent="0.2">
      <c r="A13" s="16" t="str">
        <f t="shared" si="0"/>
        <v>sábado</v>
      </c>
      <c r="B13" s="17">
        <f t="shared" si="6"/>
        <v>45087</v>
      </c>
      <c r="C13" s="19">
        <f t="shared" si="1"/>
        <v>102935.45</v>
      </c>
      <c r="D13" s="35">
        <f>_xlfn.XLOOKUP($B:$B,'Compilado 2023'!$B:$B,'Compilado 2023'!D:D)</f>
        <v>102909.64</v>
      </c>
      <c r="E13" s="35">
        <f>_xlfn.XLOOKUP($B:$B,'Compilado 2023'!$B:$B,'Compilado 2023'!E:E)</f>
        <v>25.81</v>
      </c>
      <c r="F13" s="18">
        <f>_xlfn.XLOOKUP($B:$B,'Compilado 2023'!$B:$B,'Compilado 2023'!F:F)</f>
        <v>305</v>
      </c>
      <c r="G13" s="18">
        <f>_xlfn.XLOOKUP($B:$B,'Compilado 2023'!$B:$B,'Compilado 2023'!G:G)</f>
        <v>362</v>
      </c>
      <c r="H13" s="35">
        <f t="shared" si="2"/>
        <v>337.49327868852458</v>
      </c>
      <c r="I13" s="19">
        <f t="shared" si="3"/>
        <v>2050.0333333333333</v>
      </c>
      <c r="J13" s="122">
        <f t="shared" si="4"/>
        <v>50.21159818539536</v>
      </c>
      <c r="K13" s="18">
        <f>_xlfn.XLOOKUP($B:$B,'Compilado 2023'!$B:$B,'Compilado 2023'!K:K)</f>
        <v>5485</v>
      </c>
      <c r="L13" s="54">
        <f t="shared" si="5"/>
        <v>5.5606198723792161E-2</v>
      </c>
      <c r="M13" s="38"/>
      <c r="N13" s="106">
        <f>_xlfn.XLOOKUP($B:$B,'Compilado 2023'!$B:$B,'Compilado 2023'!N:N)</f>
        <v>1565.7</v>
      </c>
      <c r="O13" s="106">
        <f>_xlfn.XLOOKUP($B:$B,'Compilado 2023'!$B:$B,'Compilado 2023'!O:O)</f>
        <v>397.99</v>
      </c>
      <c r="P13" s="106">
        <f>_xlfn.XLOOKUP($B:$B,'Compilado 2023'!$B:$B,'Compilado 2023'!P:P)</f>
        <v>0</v>
      </c>
      <c r="Q13" s="106">
        <f>_xlfn.XLOOKUP($B:$B,'Compilado 2023'!$B:$B,'Compilado 2023'!Q:Q)</f>
        <v>53.333333333333336</v>
      </c>
      <c r="R13" s="106">
        <f>_xlfn.XLOOKUP($B:$B,'Compilado 2023'!$B:$B,'Compilado 2023'!R:R)</f>
        <v>0.93</v>
      </c>
      <c r="S13" s="106">
        <f>_xlfn.XLOOKUP($B:$B,'Compilado 2023'!$B:$B,'Compilado 2023'!S:S)</f>
        <v>32.08</v>
      </c>
      <c r="T13" s="106">
        <f>_xlfn.XLOOKUP($B:$B,'Compilado 2023'!$B:$B,'Compilado 2023'!U:U)</f>
        <v>0</v>
      </c>
      <c r="U13" s="106">
        <f>_xlfn.XLOOKUP($B:$B,'Compilado 2023'!$B:$B,'Compilado 2023'!V:V)</f>
        <v>0</v>
      </c>
      <c r="V13" s="57"/>
      <c r="W13" s="106">
        <f>_xlfn.XLOOKUP($B:$B,'Compilado 2023'!$B:$B,'Compilado 2023'!X:X)</f>
        <v>0</v>
      </c>
      <c r="X13" s="106">
        <f>_xlfn.XLOOKUP($B:$B,'Compilado 2023'!$B:$B,'Compilado 2023'!Y:Y)</f>
        <v>0</v>
      </c>
      <c r="Y13" s="106">
        <f>_xlfn.XLOOKUP($B:$B,'Compilado 2023'!$B:$B,'Compilado 2023'!Z:Z)</f>
        <v>0</v>
      </c>
      <c r="Z13" s="38"/>
      <c r="AA13" s="107">
        <f>_xlfn.XLOOKUP($B:$B,'Compilado 2023'!$B:$B,'Compilado 2023'!AA:AA)</f>
        <v>0</v>
      </c>
    </row>
    <row r="14" spans="1:27" x14ac:dyDescent="0.2">
      <c r="A14" s="16" t="str">
        <f t="shared" si="0"/>
        <v>domingo</v>
      </c>
      <c r="B14" s="17">
        <f t="shared" si="6"/>
        <v>45088</v>
      </c>
      <c r="C14" s="19">
        <f t="shared" si="1"/>
        <v>136501.45000000001</v>
      </c>
      <c r="D14" s="35">
        <f>_xlfn.XLOOKUP($B:$B,'Compilado 2023'!$B:$B,'Compilado 2023'!D:D)</f>
        <v>136501.45000000001</v>
      </c>
      <c r="E14" s="35">
        <f>_xlfn.XLOOKUP($B:$B,'Compilado 2023'!$B:$B,'Compilado 2023'!E:E)</f>
        <v>0</v>
      </c>
      <c r="F14" s="18">
        <f>_xlfn.XLOOKUP($B:$B,'Compilado 2023'!$B:$B,'Compilado 2023'!F:F)</f>
        <v>389</v>
      </c>
      <c r="G14" s="18">
        <f>_xlfn.XLOOKUP($B:$B,'Compilado 2023'!$B:$B,'Compilado 2023'!G:G)</f>
        <v>456</v>
      </c>
      <c r="H14" s="35">
        <f t="shared" si="2"/>
        <v>350.90347043701803</v>
      </c>
      <c r="I14" s="19">
        <f t="shared" si="3"/>
        <v>2088.4333333333334</v>
      </c>
      <c r="J14" s="122">
        <f t="shared" si="4"/>
        <v>65.360693023478532</v>
      </c>
      <c r="K14" s="18">
        <f>_xlfn.XLOOKUP($B:$B,'Compilado 2023'!$B:$B,'Compilado 2023'!K:K)</f>
        <v>5470</v>
      </c>
      <c r="L14" s="54">
        <f t="shared" si="5"/>
        <v>7.1115173674588666E-2</v>
      </c>
      <c r="M14" s="38"/>
      <c r="N14" s="106">
        <f>_xlfn.XLOOKUP($B:$B,'Compilado 2023'!$B:$B,'Compilado 2023'!N:N)</f>
        <v>1561.26</v>
      </c>
      <c r="O14" s="106">
        <f>_xlfn.XLOOKUP($B:$B,'Compilado 2023'!$B:$B,'Compilado 2023'!O:O)</f>
        <v>446.79</v>
      </c>
      <c r="P14" s="106">
        <f>_xlfn.XLOOKUP($B:$B,'Compilado 2023'!$B:$B,'Compilado 2023'!P:P)</f>
        <v>0</v>
      </c>
      <c r="Q14" s="106">
        <f>_xlfn.XLOOKUP($B:$B,'Compilado 2023'!$B:$B,'Compilado 2023'!Q:Q)</f>
        <v>53.333333333333336</v>
      </c>
      <c r="R14" s="106">
        <f>_xlfn.XLOOKUP($B:$B,'Compilado 2023'!$B:$B,'Compilado 2023'!R:R)</f>
        <v>0</v>
      </c>
      <c r="S14" s="106">
        <f>_xlfn.XLOOKUP($B:$B,'Compilado 2023'!$B:$B,'Compilado 2023'!S:S)</f>
        <v>27.05</v>
      </c>
      <c r="T14" s="106">
        <f>_xlfn.XLOOKUP($B:$B,'Compilado 2023'!$B:$B,'Compilado 2023'!U:U)</f>
        <v>0</v>
      </c>
      <c r="U14" s="106">
        <f>_xlfn.XLOOKUP($B:$B,'Compilado 2023'!$B:$B,'Compilado 2023'!V:V)</f>
        <v>0</v>
      </c>
      <c r="V14" s="57"/>
      <c r="W14" s="106">
        <f>_xlfn.XLOOKUP($B:$B,'Compilado 2023'!$B:$B,'Compilado 2023'!X:X)</f>
        <v>0</v>
      </c>
      <c r="X14" s="106">
        <f>_xlfn.XLOOKUP($B:$B,'Compilado 2023'!$B:$B,'Compilado 2023'!Y:Y)</f>
        <v>0</v>
      </c>
      <c r="Y14" s="106">
        <f>_xlfn.XLOOKUP($B:$B,'Compilado 2023'!$B:$B,'Compilado 2023'!Z:Z)</f>
        <v>0</v>
      </c>
      <c r="Z14" s="38"/>
      <c r="AA14" s="107">
        <f>_xlfn.XLOOKUP($B:$B,'Compilado 2023'!$B:$B,'Compilado 2023'!AA:AA)</f>
        <v>0</v>
      </c>
    </row>
    <row r="15" spans="1:27" s="2" customFormat="1" x14ac:dyDescent="0.2">
      <c r="A15" s="16" t="str">
        <f t="shared" si="0"/>
        <v>segunda-feira</v>
      </c>
      <c r="B15" s="17">
        <f t="shared" si="6"/>
        <v>45089</v>
      </c>
      <c r="C15" s="19">
        <f t="shared" si="1"/>
        <v>353104.17</v>
      </c>
      <c r="D15" s="35">
        <f>_xlfn.XLOOKUP($B:$B,'Compilado 2023'!$B:$B,'Compilado 2023'!D:D)</f>
        <v>353104.17</v>
      </c>
      <c r="E15" s="35">
        <f>_xlfn.XLOOKUP($B:$B,'Compilado 2023'!$B:$B,'Compilado 2023'!E:E)</f>
        <v>0</v>
      </c>
      <c r="F15" s="18">
        <f>_xlfn.XLOOKUP($B:$B,'Compilado 2023'!$B:$B,'Compilado 2023'!F:F)</f>
        <v>1156</v>
      </c>
      <c r="G15" s="18">
        <f>_xlfn.XLOOKUP($B:$B,'Compilado 2023'!$B:$B,'Compilado 2023'!G:G)</f>
        <v>1261</v>
      </c>
      <c r="H15" s="35">
        <f t="shared" si="2"/>
        <v>305.45343425605535</v>
      </c>
      <c r="I15" s="19">
        <f t="shared" si="3"/>
        <v>4491.3233333333328</v>
      </c>
      <c r="J15" s="122">
        <f t="shared" si="4"/>
        <v>78.619182764990583</v>
      </c>
      <c r="K15" s="18">
        <f>_xlfn.XLOOKUP($B:$B,'Compilado 2023'!$B:$B,'Compilado 2023'!K:K)</f>
        <v>0</v>
      </c>
      <c r="L15" s="54">
        <f t="shared" si="5"/>
        <v>0</v>
      </c>
      <c r="M15" s="38"/>
      <c r="N15" s="106">
        <f>_xlfn.XLOOKUP($B:$B,'Compilado 2023'!$B:$B,'Compilado 2023'!N:N)</f>
        <v>3859.45</v>
      </c>
      <c r="O15" s="106">
        <f>_xlfn.XLOOKUP($B:$B,'Compilado 2023'!$B:$B,'Compilado 2023'!O:O)</f>
        <v>573.47</v>
      </c>
      <c r="P15" s="106">
        <f>_xlfn.XLOOKUP($B:$B,'Compilado 2023'!$B:$B,'Compilado 2023'!P:P)</f>
        <v>0</v>
      </c>
      <c r="Q15" s="106">
        <f>_xlfn.XLOOKUP($B:$B,'Compilado 2023'!$B:$B,'Compilado 2023'!Q:Q)</f>
        <v>53.333333333333336</v>
      </c>
      <c r="R15" s="106">
        <f>_xlfn.XLOOKUP($B:$B,'Compilado 2023'!$B:$B,'Compilado 2023'!R:R)</f>
        <v>0</v>
      </c>
      <c r="S15" s="106">
        <f>_xlfn.XLOOKUP($B:$B,'Compilado 2023'!$B:$B,'Compilado 2023'!S:S)</f>
        <v>5.07</v>
      </c>
      <c r="T15" s="106">
        <f>_xlfn.XLOOKUP($B:$B,'Compilado 2023'!$B:$B,'Compilado 2023'!U:U)</f>
        <v>0</v>
      </c>
      <c r="U15" s="106">
        <f>_xlfn.XLOOKUP($B:$B,'Compilado 2023'!$B:$B,'Compilado 2023'!V:V)</f>
        <v>0</v>
      </c>
      <c r="V15" s="57"/>
      <c r="W15" s="106">
        <f>_xlfn.XLOOKUP($B:$B,'Compilado 2023'!$B:$B,'Compilado 2023'!X:X)</f>
        <v>0</v>
      </c>
      <c r="X15" s="106">
        <f>_xlfn.XLOOKUP($B:$B,'Compilado 2023'!$B:$B,'Compilado 2023'!Y:Y)</f>
        <v>0</v>
      </c>
      <c r="Y15" s="106">
        <f>_xlfn.XLOOKUP($B:$B,'Compilado 2023'!$B:$B,'Compilado 2023'!Z:Z)</f>
        <v>0</v>
      </c>
      <c r="Z15" s="38"/>
      <c r="AA15" s="107" t="str">
        <f>_xlfn.XLOOKUP($B:$B,'Compilado 2023'!$B:$B,'Compilado 2023'!AA:AA)</f>
        <v>Dia dos Namorados | Problema de gerar voucher com cartão de crédito</v>
      </c>
    </row>
    <row r="16" spans="1:27" s="2" customFormat="1" x14ac:dyDescent="0.2">
      <c r="A16" s="16" t="str">
        <f t="shared" si="0"/>
        <v>terça-feira</v>
      </c>
      <c r="B16" s="17">
        <f t="shared" si="6"/>
        <v>45090</v>
      </c>
      <c r="C16" s="19">
        <f t="shared" si="1"/>
        <v>76630.16</v>
      </c>
      <c r="D16" s="35">
        <f>_xlfn.XLOOKUP($B:$B,'Compilado 2023'!$B:$B,'Compilado 2023'!D:D)</f>
        <v>76630.16</v>
      </c>
      <c r="E16" s="35">
        <f>_xlfn.XLOOKUP($B:$B,'Compilado 2023'!$B:$B,'Compilado 2023'!E:E)</f>
        <v>0</v>
      </c>
      <c r="F16" s="18">
        <f>_xlfn.XLOOKUP($B:$B,'Compilado 2023'!$B:$B,'Compilado 2023'!F:F)</f>
        <v>278</v>
      </c>
      <c r="G16" s="18">
        <f>_xlfn.XLOOKUP($B:$B,'Compilado 2023'!$B:$B,'Compilado 2023'!G:G)</f>
        <v>340</v>
      </c>
      <c r="H16" s="35">
        <f t="shared" si="2"/>
        <v>275.64805755395685</v>
      </c>
      <c r="I16" s="19">
        <f t="shared" si="3"/>
        <v>920.45333333333338</v>
      </c>
      <c r="J16" s="122">
        <f t="shared" si="4"/>
        <v>83.252629139264712</v>
      </c>
      <c r="K16" s="18">
        <f>_xlfn.XLOOKUP($B:$B,'Compilado 2023'!$B:$B,'Compilado 2023'!K:K)</f>
        <v>6199</v>
      </c>
      <c r="L16" s="54">
        <f t="shared" si="5"/>
        <v>4.4845942894015167E-2</v>
      </c>
      <c r="M16" s="38"/>
      <c r="N16" s="106">
        <f>_xlfn.XLOOKUP($B:$B,'Compilado 2023'!$B:$B,'Compilado 2023'!N:N)</f>
        <v>553.01</v>
      </c>
      <c r="O16" s="106">
        <f>_xlfn.XLOOKUP($B:$B,'Compilado 2023'!$B:$B,'Compilado 2023'!O:O)</f>
        <v>313.11</v>
      </c>
      <c r="P16" s="106">
        <f>_xlfn.XLOOKUP($B:$B,'Compilado 2023'!$B:$B,'Compilado 2023'!P:P)</f>
        <v>0</v>
      </c>
      <c r="Q16" s="106">
        <f>_xlfn.XLOOKUP($B:$B,'Compilado 2023'!$B:$B,'Compilado 2023'!Q:Q)</f>
        <v>53.333333333333336</v>
      </c>
      <c r="R16" s="106">
        <f>_xlfn.XLOOKUP($B:$B,'Compilado 2023'!$B:$B,'Compilado 2023'!R:R)</f>
        <v>1</v>
      </c>
      <c r="S16" s="106">
        <f>_xlfn.XLOOKUP($B:$B,'Compilado 2023'!$B:$B,'Compilado 2023'!S:S)</f>
        <v>0</v>
      </c>
      <c r="T16" s="106">
        <f>_xlfn.XLOOKUP($B:$B,'Compilado 2023'!$B:$B,'Compilado 2023'!U:U)</f>
        <v>0</v>
      </c>
      <c r="U16" s="106">
        <f>_xlfn.XLOOKUP($B:$B,'Compilado 2023'!$B:$B,'Compilado 2023'!V:V)</f>
        <v>0</v>
      </c>
      <c r="V16" s="57"/>
      <c r="W16" s="106">
        <f>_xlfn.XLOOKUP($B:$B,'Compilado 2023'!$B:$B,'Compilado 2023'!X:X)</f>
        <v>0</v>
      </c>
      <c r="X16" s="106">
        <f>_xlfn.XLOOKUP($B:$B,'Compilado 2023'!$B:$B,'Compilado 2023'!Y:Y)</f>
        <v>0</v>
      </c>
      <c r="Y16" s="106">
        <f>_xlfn.XLOOKUP($B:$B,'Compilado 2023'!$B:$B,'Compilado 2023'!Z:Z)</f>
        <v>0</v>
      </c>
      <c r="Z16" s="38"/>
      <c r="AA16" s="107" t="str">
        <f>_xlfn.XLOOKUP($B:$B,'Compilado 2023'!$B:$B,'Compilado 2023'!AA:AA)</f>
        <v xml:space="preserve">Inicio VE Goiania Oeste  | às 16h forma de pagamento PIx caiu e voltou 20h </v>
      </c>
    </row>
    <row r="17" spans="1:27" s="2" customFormat="1" x14ac:dyDescent="0.2">
      <c r="A17" s="16" t="str">
        <f t="shared" si="0"/>
        <v>quarta-feira</v>
      </c>
      <c r="B17" s="17">
        <f t="shared" si="6"/>
        <v>45091</v>
      </c>
      <c r="C17" s="19">
        <f t="shared" si="1"/>
        <v>62688.640000000007</v>
      </c>
      <c r="D17" s="35">
        <f>_xlfn.XLOOKUP($B:$B,'Compilado 2023'!$B:$B,'Compilado 2023'!D:D)</f>
        <v>62634.73</v>
      </c>
      <c r="E17" s="35">
        <f>_xlfn.XLOOKUP($B:$B,'Compilado 2023'!$B:$B,'Compilado 2023'!E:E)</f>
        <v>53.91</v>
      </c>
      <c r="F17" s="18">
        <f>_xlfn.XLOOKUP($B:$B,'Compilado 2023'!$B:$B,'Compilado 2023'!F:F)</f>
        <v>266</v>
      </c>
      <c r="G17" s="18">
        <f>_xlfn.XLOOKUP($B:$B,'Compilado 2023'!$B:$B,'Compilado 2023'!G:G)</f>
        <v>309</v>
      </c>
      <c r="H17" s="35">
        <f t="shared" si="2"/>
        <v>235.67157894736846</v>
      </c>
      <c r="I17" s="19">
        <f t="shared" si="3"/>
        <v>832.09333333333336</v>
      </c>
      <c r="J17" s="122">
        <f t="shared" si="4"/>
        <v>75.338471645808966</v>
      </c>
      <c r="K17" s="18">
        <f>_xlfn.XLOOKUP($B:$B,'Compilado 2023'!$B:$B,'Compilado 2023'!K:K)</f>
        <v>5766</v>
      </c>
      <c r="L17" s="54">
        <f t="shared" si="5"/>
        <v>4.6132500867152273E-2</v>
      </c>
      <c r="M17" s="38"/>
      <c r="N17" s="106">
        <f>_xlfn.XLOOKUP($B:$B,'Compilado 2023'!$B:$B,'Compilado 2023'!N:N)</f>
        <v>576.76</v>
      </c>
      <c r="O17" s="106">
        <f>_xlfn.XLOOKUP($B:$B,'Compilado 2023'!$B:$B,'Compilado 2023'!O:O)</f>
        <v>201.79</v>
      </c>
      <c r="P17" s="106">
        <f>_xlfn.XLOOKUP($B:$B,'Compilado 2023'!$B:$B,'Compilado 2023'!P:P)</f>
        <v>0</v>
      </c>
      <c r="Q17" s="106">
        <f>_xlfn.XLOOKUP($B:$B,'Compilado 2023'!$B:$B,'Compilado 2023'!Q:Q)</f>
        <v>53.333333333333336</v>
      </c>
      <c r="R17" s="106">
        <f>_xlfn.XLOOKUP($B:$B,'Compilado 2023'!$B:$B,'Compilado 2023'!R:R)</f>
        <v>0.21</v>
      </c>
      <c r="S17" s="106">
        <f>_xlfn.XLOOKUP($B:$B,'Compilado 2023'!$B:$B,'Compilado 2023'!S:S)</f>
        <v>0</v>
      </c>
      <c r="T17" s="106">
        <f>_xlfn.XLOOKUP($B:$B,'Compilado 2023'!$B:$B,'Compilado 2023'!U:U)</f>
        <v>0</v>
      </c>
      <c r="U17" s="106">
        <f>_xlfn.XLOOKUP($B:$B,'Compilado 2023'!$B:$B,'Compilado 2023'!V:V)</f>
        <v>0</v>
      </c>
      <c r="V17" s="57"/>
      <c r="W17" s="106">
        <f>_xlfn.XLOOKUP($B:$B,'Compilado 2023'!$B:$B,'Compilado 2023'!X:X)</f>
        <v>0</v>
      </c>
      <c r="X17" s="106">
        <f>_xlfn.XLOOKUP($B:$B,'Compilado 2023'!$B:$B,'Compilado 2023'!Y:Y)</f>
        <v>0</v>
      </c>
      <c r="Y17" s="106">
        <f>_xlfn.XLOOKUP($B:$B,'Compilado 2023'!$B:$B,'Compilado 2023'!Z:Z)</f>
        <v>0</v>
      </c>
      <c r="Z17" s="38"/>
      <c r="AA17" s="107">
        <f>_xlfn.XLOOKUP($B:$B,'Compilado 2023'!$B:$B,'Compilado 2023'!AA:AA)</f>
        <v>0</v>
      </c>
    </row>
    <row r="18" spans="1:27" s="2" customFormat="1" x14ac:dyDescent="0.2">
      <c r="A18" s="16" t="str">
        <f t="shared" si="0"/>
        <v>quinta-feira</v>
      </c>
      <c r="B18" s="17">
        <f t="shared" si="6"/>
        <v>45092</v>
      </c>
      <c r="C18" s="19">
        <f t="shared" si="1"/>
        <v>61925.090000000004</v>
      </c>
      <c r="D18" s="35">
        <f>_xlfn.XLOOKUP($B:$B,'Compilado 2023'!$B:$B,'Compilado 2023'!D:D)</f>
        <v>61901.54</v>
      </c>
      <c r="E18" s="35">
        <f>_xlfn.XLOOKUP($B:$B,'Compilado 2023'!$B:$B,'Compilado 2023'!E:E)</f>
        <v>23.55</v>
      </c>
      <c r="F18" s="18">
        <f>_xlfn.XLOOKUP($B:$B,'Compilado 2023'!$B:$B,'Compilado 2023'!F:F)</f>
        <v>222</v>
      </c>
      <c r="G18" s="18">
        <f>_xlfn.XLOOKUP($B:$B,'Compilado 2023'!$B:$B,'Compilado 2023'!G:G)</f>
        <v>278</v>
      </c>
      <c r="H18" s="35">
        <f t="shared" si="2"/>
        <v>278.94184684684689</v>
      </c>
      <c r="I18" s="19">
        <f t="shared" si="3"/>
        <v>911.37333333333333</v>
      </c>
      <c r="J18" s="122">
        <f t="shared" si="4"/>
        <v>67.947006715140517</v>
      </c>
      <c r="K18" s="18">
        <f>_xlfn.XLOOKUP($B:$B,'Compilado 2023'!$B:$B,'Compilado 2023'!K:K)</f>
        <v>5253</v>
      </c>
      <c r="L18" s="54">
        <f t="shared" si="5"/>
        <v>4.22615648201028E-2</v>
      </c>
      <c r="M18" s="38"/>
      <c r="N18" s="106">
        <f>_xlfn.XLOOKUP($B:$B,'Compilado 2023'!$B:$B,'Compilado 2023'!N:N)</f>
        <v>615.70000000000005</v>
      </c>
      <c r="O18" s="106">
        <f>_xlfn.XLOOKUP($B:$B,'Compilado 2023'!$B:$B,'Compilado 2023'!O:O)</f>
        <v>233.3</v>
      </c>
      <c r="P18" s="106">
        <f>_xlfn.XLOOKUP($B:$B,'Compilado 2023'!$B:$B,'Compilado 2023'!P:P)</f>
        <v>0</v>
      </c>
      <c r="Q18" s="106">
        <f>_xlfn.XLOOKUP($B:$B,'Compilado 2023'!$B:$B,'Compilado 2023'!Q:Q)</f>
        <v>53.333333333333336</v>
      </c>
      <c r="R18" s="106">
        <f>_xlfn.XLOOKUP($B:$B,'Compilado 2023'!$B:$B,'Compilado 2023'!R:R)</f>
        <v>0</v>
      </c>
      <c r="S18" s="106">
        <f>_xlfn.XLOOKUP($B:$B,'Compilado 2023'!$B:$B,'Compilado 2023'!S:S)</f>
        <v>9.0399999999999991</v>
      </c>
      <c r="T18" s="106">
        <f>_xlfn.XLOOKUP($B:$B,'Compilado 2023'!$B:$B,'Compilado 2023'!U:U)</f>
        <v>0</v>
      </c>
      <c r="U18" s="106">
        <f>_xlfn.XLOOKUP($B:$B,'Compilado 2023'!$B:$B,'Compilado 2023'!V:V)</f>
        <v>0</v>
      </c>
      <c r="V18" s="57"/>
      <c r="W18" s="106">
        <f>_xlfn.XLOOKUP($B:$B,'Compilado 2023'!$B:$B,'Compilado 2023'!X:X)</f>
        <v>0</v>
      </c>
      <c r="X18" s="106">
        <f>_xlfn.XLOOKUP($B:$B,'Compilado 2023'!$B:$B,'Compilado 2023'!Y:Y)</f>
        <v>0</v>
      </c>
      <c r="Y18" s="106">
        <f>_xlfn.XLOOKUP($B:$B,'Compilado 2023'!$B:$B,'Compilado 2023'!Z:Z)</f>
        <v>0</v>
      </c>
      <c r="Z18" s="38"/>
      <c r="AA18" s="107">
        <f>_xlfn.XLOOKUP($B:$B,'Compilado 2023'!$B:$B,'Compilado 2023'!AA:AA)</f>
        <v>0</v>
      </c>
    </row>
    <row r="19" spans="1:27" s="2" customFormat="1" x14ac:dyDescent="0.2">
      <c r="A19" s="16" t="str">
        <f t="shared" si="0"/>
        <v>sexta-feira</v>
      </c>
      <c r="B19" s="17">
        <f t="shared" si="6"/>
        <v>45093</v>
      </c>
      <c r="C19" s="19">
        <f t="shared" si="1"/>
        <v>66215.08</v>
      </c>
      <c r="D19" s="35">
        <f>_xlfn.XLOOKUP($B:$B,'Compilado 2023'!$B:$B,'Compilado 2023'!D:D)</f>
        <v>66215.08</v>
      </c>
      <c r="E19" s="35">
        <f>_xlfn.XLOOKUP($B:$B,'Compilado 2023'!$B:$B,'Compilado 2023'!E:E)</f>
        <v>0</v>
      </c>
      <c r="F19" s="18">
        <f>_xlfn.XLOOKUP($B:$B,'Compilado 2023'!$B:$B,'Compilado 2023'!F:F)</f>
        <v>252</v>
      </c>
      <c r="G19" s="18">
        <f>_xlfn.XLOOKUP($B:$B,'Compilado 2023'!$B:$B,'Compilado 2023'!G:G)</f>
        <v>282</v>
      </c>
      <c r="H19" s="35">
        <f t="shared" si="2"/>
        <v>262.758253968254</v>
      </c>
      <c r="I19" s="19">
        <f t="shared" si="3"/>
        <v>972.99333333333334</v>
      </c>
      <c r="J19" s="122">
        <f t="shared" si="4"/>
        <v>68.052963706500222</v>
      </c>
      <c r="K19" s="18">
        <f>_xlfn.XLOOKUP($B:$B,'Compilado 2023'!$B:$B,'Compilado 2023'!K:K)</f>
        <v>4757</v>
      </c>
      <c r="L19" s="54">
        <f t="shared" si="5"/>
        <v>5.2974563800714733E-2</v>
      </c>
      <c r="M19" s="38"/>
      <c r="N19" s="106">
        <f>_xlfn.XLOOKUP($B:$B,'Compilado 2023'!$B:$B,'Compilado 2023'!N:N)</f>
        <v>544.71</v>
      </c>
      <c r="O19" s="106">
        <f>_xlfn.XLOOKUP($B:$B,'Compilado 2023'!$B:$B,'Compilado 2023'!O:O)</f>
        <v>316.07</v>
      </c>
      <c r="P19" s="106">
        <f>_xlfn.XLOOKUP($B:$B,'Compilado 2023'!$B:$B,'Compilado 2023'!P:P)</f>
        <v>0</v>
      </c>
      <c r="Q19" s="106">
        <f>_xlfn.XLOOKUP($B:$B,'Compilado 2023'!$B:$B,'Compilado 2023'!Q:Q)</f>
        <v>53.333333333333336</v>
      </c>
      <c r="R19" s="106">
        <f>_xlfn.XLOOKUP($B:$B,'Compilado 2023'!$B:$B,'Compilado 2023'!R:R)</f>
        <v>0</v>
      </c>
      <c r="S19" s="106">
        <f>_xlfn.XLOOKUP($B:$B,'Compilado 2023'!$B:$B,'Compilado 2023'!S:S)</f>
        <v>58.88</v>
      </c>
      <c r="T19" s="106">
        <f>_xlfn.XLOOKUP($B:$B,'Compilado 2023'!$B:$B,'Compilado 2023'!U:U)</f>
        <v>0</v>
      </c>
      <c r="U19" s="106">
        <f>_xlfn.XLOOKUP($B:$B,'Compilado 2023'!$B:$B,'Compilado 2023'!V:V)</f>
        <v>0</v>
      </c>
      <c r="V19" s="57"/>
      <c r="W19" s="106">
        <f>_xlfn.XLOOKUP($B:$B,'Compilado 2023'!$B:$B,'Compilado 2023'!X:X)</f>
        <v>0</v>
      </c>
      <c r="X19" s="106">
        <f>_xlfn.XLOOKUP($B:$B,'Compilado 2023'!$B:$B,'Compilado 2023'!Y:Y)</f>
        <v>0</v>
      </c>
      <c r="Y19" s="106">
        <f>_xlfn.XLOOKUP($B:$B,'Compilado 2023'!$B:$B,'Compilado 2023'!Z:Z)</f>
        <v>0</v>
      </c>
      <c r="Z19" s="38"/>
      <c r="AA19" s="107">
        <f>_xlfn.XLOOKUP($B:$B,'Compilado 2023'!$B:$B,'Compilado 2023'!AA:AA)</f>
        <v>0</v>
      </c>
    </row>
    <row r="20" spans="1:27" x14ac:dyDescent="0.2">
      <c r="A20" s="16" t="str">
        <f t="shared" si="0"/>
        <v>sábado</v>
      </c>
      <c r="B20" s="17">
        <f t="shared" si="6"/>
        <v>45094</v>
      </c>
      <c r="C20" s="19">
        <f t="shared" si="1"/>
        <v>38195.82</v>
      </c>
      <c r="D20" s="35">
        <f>_xlfn.XLOOKUP($B:$B,'Compilado 2023'!$B:$B,'Compilado 2023'!D:D)</f>
        <v>38195.82</v>
      </c>
      <c r="E20" s="35">
        <f>_xlfn.XLOOKUP($B:$B,'Compilado 2023'!$B:$B,'Compilado 2023'!E:E)</f>
        <v>0</v>
      </c>
      <c r="F20" s="18">
        <f>_xlfn.XLOOKUP($B:$B,'Compilado 2023'!$B:$B,'Compilado 2023'!F:F)</f>
        <v>154</v>
      </c>
      <c r="G20" s="18">
        <f>_xlfn.XLOOKUP($B:$B,'Compilado 2023'!$B:$B,'Compilado 2023'!G:G)</f>
        <v>175</v>
      </c>
      <c r="H20" s="35">
        <f t="shared" si="2"/>
        <v>248.0248051948052</v>
      </c>
      <c r="I20" s="19">
        <f t="shared" si="3"/>
        <v>688.52333333333343</v>
      </c>
      <c r="J20" s="122">
        <f t="shared" si="4"/>
        <v>55.474982692428718</v>
      </c>
      <c r="K20" s="18">
        <f>_xlfn.XLOOKUP($B:$B,'Compilado 2023'!$B:$B,'Compilado 2023'!K:K)</f>
        <v>3433</v>
      </c>
      <c r="L20" s="54">
        <f t="shared" si="5"/>
        <v>4.485872414797553E-2</v>
      </c>
      <c r="M20" s="38"/>
      <c r="N20" s="106">
        <f>_xlfn.XLOOKUP($B:$B,'Compilado 2023'!$B:$B,'Compilado 2023'!N:N)</f>
        <v>417.07</v>
      </c>
      <c r="O20" s="106">
        <f>_xlfn.XLOOKUP($B:$B,'Compilado 2023'!$B:$B,'Compilado 2023'!O:O)</f>
        <v>170.52</v>
      </c>
      <c r="P20" s="106">
        <f>_xlfn.XLOOKUP($B:$B,'Compilado 2023'!$B:$B,'Compilado 2023'!P:P)</f>
        <v>0</v>
      </c>
      <c r="Q20" s="106">
        <f>_xlfn.XLOOKUP($B:$B,'Compilado 2023'!$B:$B,'Compilado 2023'!Q:Q)</f>
        <v>53.333333333333336</v>
      </c>
      <c r="R20" s="106">
        <f>_xlfn.XLOOKUP($B:$B,'Compilado 2023'!$B:$B,'Compilado 2023'!R:R)</f>
        <v>2.2400000000000002</v>
      </c>
      <c r="S20" s="106">
        <f>_xlfn.XLOOKUP($B:$B,'Compilado 2023'!$B:$B,'Compilado 2023'!S:S)</f>
        <v>45.36</v>
      </c>
      <c r="T20" s="106">
        <f>_xlfn.XLOOKUP($B:$B,'Compilado 2023'!$B:$B,'Compilado 2023'!U:U)</f>
        <v>0</v>
      </c>
      <c r="U20" s="106">
        <f>_xlfn.XLOOKUP($B:$B,'Compilado 2023'!$B:$B,'Compilado 2023'!V:V)</f>
        <v>0</v>
      </c>
      <c r="V20" s="57"/>
      <c r="W20" s="106">
        <f>_xlfn.XLOOKUP($B:$B,'Compilado 2023'!$B:$B,'Compilado 2023'!X:X)</f>
        <v>0</v>
      </c>
      <c r="X20" s="106">
        <f>_xlfn.XLOOKUP($B:$B,'Compilado 2023'!$B:$B,'Compilado 2023'!Y:Y)</f>
        <v>0</v>
      </c>
      <c r="Y20" s="106">
        <f>_xlfn.XLOOKUP($B:$B,'Compilado 2023'!$B:$B,'Compilado 2023'!Z:Z)</f>
        <v>0</v>
      </c>
      <c r="Z20" s="38"/>
      <c r="AA20" s="107">
        <f>_xlfn.XLOOKUP($B:$B,'Compilado 2023'!$B:$B,'Compilado 2023'!AA:AA)</f>
        <v>0</v>
      </c>
    </row>
    <row r="21" spans="1:27" x14ac:dyDescent="0.2">
      <c r="A21" s="16" t="str">
        <f t="shared" si="0"/>
        <v>domingo</v>
      </c>
      <c r="B21" s="17">
        <f t="shared" si="6"/>
        <v>45095</v>
      </c>
      <c r="C21" s="19">
        <f t="shared" si="1"/>
        <v>30682.55</v>
      </c>
      <c r="D21" s="35">
        <f>_xlfn.XLOOKUP($B:$B,'Compilado 2023'!$B:$B,'Compilado 2023'!D:D)</f>
        <v>30682.55</v>
      </c>
      <c r="E21" s="35">
        <f>_xlfn.XLOOKUP($B:$B,'Compilado 2023'!$B:$B,'Compilado 2023'!E:E)</f>
        <v>0</v>
      </c>
      <c r="F21" s="18">
        <f>_xlfn.XLOOKUP($B:$B,'Compilado 2023'!$B:$B,'Compilado 2023'!F:F)</f>
        <v>122</v>
      </c>
      <c r="G21" s="18">
        <f>_xlfn.XLOOKUP($B:$B,'Compilado 2023'!$B:$B,'Compilado 2023'!G:G)</f>
        <v>137</v>
      </c>
      <c r="H21" s="35">
        <f t="shared" si="2"/>
        <v>251.49631147540984</v>
      </c>
      <c r="I21" s="19">
        <f t="shared" si="3"/>
        <v>739.9233333333334</v>
      </c>
      <c r="J21" s="122">
        <f t="shared" si="4"/>
        <v>41.467201556918056</v>
      </c>
      <c r="K21" s="18">
        <f>_xlfn.XLOOKUP($B:$B,'Compilado 2023'!$B:$B,'Compilado 2023'!K:K)</f>
        <v>3013</v>
      </c>
      <c r="L21" s="54">
        <f t="shared" si="5"/>
        <v>4.0491204779289747E-2</v>
      </c>
      <c r="M21" s="38"/>
      <c r="N21" s="106">
        <f>_xlfn.XLOOKUP($B:$B,'Compilado 2023'!$B:$B,'Compilado 2023'!N:N)</f>
        <v>494.97</v>
      </c>
      <c r="O21" s="106">
        <f>_xlfn.XLOOKUP($B:$B,'Compilado 2023'!$B:$B,'Compilado 2023'!O:O)</f>
        <v>173.34</v>
      </c>
      <c r="P21" s="106">
        <f>_xlfn.XLOOKUP($B:$B,'Compilado 2023'!$B:$B,'Compilado 2023'!P:P)</f>
        <v>0</v>
      </c>
      <c r="Q21" s="106">
        <f>_xlfn.XLOOKUP($B:$B,'Compilado 2023'!$B:$B,'Compilado 2023'!Q:Q)</f>
        <v>53.333333333333336</v>
      </c>
      <c r="R21" s="106">
        <f>_xlfn.XLOOKUP($B:$B,'Compilado 2023'!$B:$B,'Compilado 2023'!R:R)</f>
        <v>0</v>
      </c>
      <c r="S21" s="106">
        <f>_xlfn.XLOOKUP($B:$B,'Compilado 2023'!$B:$B,'Compilado 2023'!S:S)</f>
        <v>18.28</v>
      </c>
      <c r="T21" s="106">
        <f>_xlfn.XLOOKUP($B:$B,'Compilado 2023'!$B:$B,'Compilado 2023'!U:U)</f>
        <v>0</v>
      </c>
      <c r="U21" s="106">
        <f>_xlfn.XLOOKUP($B:$B,'Compilado 2023'!$B:$B,'Compilado 2023'!V:V)</f>
        <v>0</v>
      </c>
      <c r="V21" s="57"/>
      <c r="W21" s="106">
        <f>_xlfn.XLOOKUP($B:$B,'Compilado 2023'!$B:$B,'Compilado 2023'!X:X)</f>
        <v>0</v>
      </c>
      <c r="X21" s="106">
        <f>_xlfn.XLOOKUP($B:$B,'Compilado 2023'!$B:$B,'Compilado 2023'!Y:Y)</f>
        <v>0</v>
      </c>
      <c r="Y21" s="106">
        <f>_xlfn.XLOOKUP($B:$B,'Compilado 2023'!$B:$B,'Compilado 2023'!Z:Z)</f>
        <v>0</v>
      </c>
      <c r="Z21" s="38"/>
      <c r="AA21" s="107" t="str">
        <f>_xlfn.XLOOKUP($B:$B,'Compilado 2023'!$B:$B,'Compilado 2023'!AA:AA)</f>
        <v>Final VE Goiania Oeste</v>
      </c>
    </row>
    <row r="22" spans="1:27" s="2" customFormat="1" x14ac:dyDescent="0.2">
      <c r="A22" s="16" t="str">
        <f t="shared" si="0"/>
        <v>segunda-feira</v>
      </c>
      <c r="B22" s="17">
        <f t="shared" si="6"/>
        <v>45096</v>
      </c>
      <c r="C22" s="19">
        <f t="shared" si="1"/>
        <v>53247.97</v>
      </c>
      <c r="D22" s="35">
        <f>_xlfn.XLOOKUP($B:$B,'Compilado 2023'!$B:$B,'Compilado 2023'!D:D)</f>
        <v>53247.97</v>
      </c>
      <c r="E22" s="35">
        <f>_xlfn.XLOOKUP($B:$B,'Compilado 2023'!$B:$B,'Compilado 2023'!E:E)</f>
        <v>0</v>
      </c>
      <c r="F22" s="18">
        <f>_xlfn.XLOOKUP($B:$B,'Compilado 2023'!$B:$B,'Compilado 2023'!F:F)</f>
        <v>199</v>
      </c>
      <c r="G22" s="18">
        <f>_xlfn.XLOOKUP($B:$B,'Compilado 2023'!$B:$B,'Compilado 2023'!G:G)</f>
        <v>226</v>
      </c>
      <c r="H22" s="35">
        <f t="shared" si="2"/>
        <v>267.57773869346732</v>
      </c>
      <c r="I22" s="19">
        <f t="shared" si="3"/>
        <v>627.60333333333335</v>
      </c>
      <c r="J22" s="122">
        <f t="shared" si="4"/>
        <v>84.843351161296141</v>
      </c>
      <c r="K22" s="18">
        <f>_xlfn.XLOOKUP($B:$B,'Compilado 2023'!$B:$B,'Compilado 2023'!K:K)</f>
        <v>4806</v>
      </c>
      <c r="L22" s="54">
        <f t="shared" si="5"/>
        <v>4.1406575114440285E-2</v>
      </c>
      <c r="M22" s="38"/>
      <c r="N22" s="106">
        <f>_xlfn.XLOOKUP($B:$B,'Compilado 2023'!$B:$B,'Compilado 2023'!N:N)</f>
        <v>396.89</v>
      </c>
      <c r="O22" s="106">
        <f>_xlfn.XLOOKUP($B:$B,'Compilado 2023'!$B:$B,'Compilado 2023'!O:O)</f>
        <v>139.24</v>
      </c>
      <c r="P22" s="106">
        <f>_xlfn.XLOOKUP($B:$B,'Compilado 2023'!$B:$B,'Compilado 2023'!P:P)</f>
        <v>0</v>
      </c>
      <c r="Q22" s="106">
        <f>_xlfn.XLOOKUP($B:$B,'Compilado 2023'!$B:$B,'Compilado 2023'!Q:Q)</f>
        <v>53.333333333333336</v>
      </c>
      <c r="R22" s="106">
        <f>_xlfn.XLOOKUP($B:$B,'Compilado 2023'!$B:$B,'Compilado 2023'!R:R)</f>
        <v>0</v>
      </c>
      <c r="S22" s="106">
        <f>_xlfn.XLOOKUP($B:$B,'Compilado 2023'!$B:$B,'Compilado 2023'!S:S)</f>
        <v>38.14</v>
      </c>
      <c r="T22" s="106">
        <f>_xlfn.XLOOKUP($B:$B,'Compilado 2023'!$B:$B,'Compilado 2023'!U:U)</f>
        <v>0</v>
      </c>
      <c r="U22" s="106">
        <f>_xlfn.XLOOKUP($B:$B,'Compilado 2023'!$B:$B,'Compilado 2023'!V:V)</f>
        <v>0</v>
      </c>
      <c r="V22" s="57"/>
      <c r="W22" s="106">
        <f>_xlfn.XLOOKUP($B:$B,'Compilado 2023'!$B:$B,'Compilado 2023'!X:X)</f>
        <v>0</v>
      </c>
      <c r="X22" s="106">
        <f>_xlfn.XLOOKUP($B:$B,'Compilado 2023'!$B:$B,'Compilado 2023'!Y:Y)</f>
        <v>0</v>
      </c>
      <c r="Y22" s="106">
        <f>_xlfn.XLOOKUP($B:$B,'Compilado 2023'!$B:$B,'Compilado 2023'!Z:Z)</f>
        <v>0</v>
      </c>
      <c r="Z22" s="38"/>
      <c r="AA22" s="107">
        <f>_xlfn.XLOOKUP($B:$B,'Compilado 2023'!$B:$B,'Compilado 2023'!AA:AA)</f>
        <v>0</v>
      </c>
    </row>
    <row r="23" spans="1:27" s="2" customFormat="1" x14ac:dyDescent="0.2">
      <c r="A23" s="16" t="str">
        <f t="shared" si="0"/>
        <v>terça-feira</v>
      </c>
      <c r="B23" s="17">
        <f t="shared" si="6"/>
        <v>45097</v>
      </c>
      <c r="C23" s="19">
        <f t="shared" si="1"/>
        <v>65109.03</v>
      </c>
      <c r="D23" s="35">
        <f>_xlfn.XLOOKUP($B:$B,'Compilado 2023'!$B:$B,'Compilado 2023'!D:D)</f>
        <v>65109.03</v>
      </c>
      <c r="E23" s="35">
        <f>_xlfn.XLOOKUP($B:$B,'Compilado 2023'!$B:$B,'Compilado 2023'!E:E)</f>
        <v>0</v>
      </c>
      <c r="F23" s="18">
        <f>_xlfn.XLOOKUP($B:$B,'Compilado 2023'!$B:$B,'Compilado 2023'!F:F)</f>
        <v>206</v>
      </c>
      <c r="G23" s="18">
        <f>_xlfn.XLOOKUP($B:$B,'Compilado 2023'!$B:$B,'Compilado 2023'!G:G)</f>
        <v>256</v>
      </c>
      <c r="H23" s="35">
        <f t="shared" si="2"/>
        <v>316.06325242718447</v>
      </c>
      <c r="I23" s="19">
        <f t="shared" si="3"/>
        <v>607.1733333333334</v>
      </c>
      <c r="J23" s="122">
        <f t="shared" si="4"/>
        <v>107.23301967587508</v>
      </c>
      <c r="K23" s="18">
        <f>_xlfn.XLOOKUP($B:$B,'Compilado 2023'!$B:$B,'Compilado 2023'!K:K)</f>
        <v>4779</v>
      </c>
      <c r="L23" s="54">
        <f t="shared" si="5"/>
        <v>4.3105252144800169E-2</v>
      </c>
      <c r="M23" s="38"/>
      <c r="N23" s="106">
        <f>_xlfn.XLOOKUP($B:$B,'Compilado 2023'!$B:$B,'Compilado 2023'!N:N)</f>
        <v>430.55</v>
      </c>
      <c r="O23" s="106">
        <f>_xlfn.XLOOKUP($B:$B,'Compilado 2023'!$B:$B,'Compilado 2023'!O:O)</f>
        <v>95.42</v>
      </c>
      <c r="P23" s="106">
        <f>_xlfn.XLOOKUP($B:$B,'Compilado 2023'!$B:$B,'Compilado 2023'!P:P)</f>
        <v>0</v>
      </c>
      <c r="Q23" s="106">
        <f>_xlfn.XLOOKUP($B:$B,'Compilado 2023'!$B:$B,'Compilado 2023'!Q:Q)</f>
        <v>53.333333333333336</v>
      </c>
      <c r="R23" s="106">
        <f>_xlfn.XLOOKUP($B:$B,'Compilado 2023'!$B:$B,'Compilado 2023'!R:R)</f>
        <v>0</v>
      </c>
      <c r="S23" s="106">
        <f>_xlfn.XLOOKUP($B:$B,'Compilado 2023'!$B:$B,'Compilado 2023'!S:S)</f>
        <v>27.87</v>
      </c>
      <c r="T23" s="106">
        <f>_xlfn.XLOOKUP($B:$B,'Compilado 2023'!$B:$B,'Compilado 2023'!U:U)</f>
        <v>0</v>
      </c>
      <c r="U23" s="106">
        <f>_xlfn.XLOOKUP($B:$B,'Compilado 2023'!$B:$B,'Compilado 2023'!V:V)</f>
        <v>0</v>
      </c>
      <c r="V23" s="57"/>
      <c r="W23" s="106">
        <f>_xlfn.XLOOKUP($B:$B,'Compilado 2023'!$B:$B,'Compilado 2023'!X:X)</f>
        <v>0</v>
      </c>
      <c r="X23" s="106">
        <f>_xlfn.XLOOKUP($B:$B,'Compilado 2023'!$B:$B,'Compilado 2023'!Y:Y)</f>
        <v>0</v>
      </c>
      <c r="Y23" s="106">
        <f>_xlfn.XLOOKUP($B:$B,'Compilado 2023'!$B:$B,'Compilado 2023'!Z:Z)</f>
        <v>0</v>
      </c>
      <c r="Z23" s="38"/>
      <c r="AA23" s="107">
        <f>_xlfn.XLOOKUP($B:$B,'Compilado 2023'!$B:$B,'Compilado 2023'!AA:AA)</f>
        <v>0</v>
      </c>
    </row>
    <row r="24" spans="1:27" s="2" customFormat="1" x14ac:dyDescent="0.2">
      <c r="A24" s="16" t="str">
        <f t="shared" si="0"/>
        <v>quarta-feira</v>
      </c>
      <c r="B24" s="17">
        <f t="shared" si="6"/>
        <v>45098</v>
      </c>
      <c r="C24" s="19">
        <f t="shared" si="1"/>
        <v>53562.32</v>
      </c>
      <c r="D24" s="35">
        <f>_xlfn.XLOOKUP($B:$B,'Compilado 2023'!$B:$B,'Compilado 2023'!D:D)</f>
        <v>53562.32</v>
      </c>
      <c r="E24" s="35">
        <f>_xlfn.XLOOKUP($B:$B,'Compilado 2023'!$B:$B,'Compilado 2023'!E:E)</f>
        <v>0</v>
      </c>
      <c r="F24" s="18">
        <f>_xlfn.XLOOKUP($B:$B,'Compilado 2023'!$B:$B,'Compilado 2023'!F:F)</f>
        <v>183</v>
      </c>
      <c r="G24" s="18">
        <f>_xlfn.XLOOKUP($B:$B,'Compilado 2023'!$B:$B,'Compilado 2023'!G:G)</f>
        <v>208</v>
      </c>
      <c r="H24" s="35">
        <f t="shared" si="2"/>
        <v>292.69027322404372</v>
      </c>
      <c r="I24" s="19">
        <f t="shared" si="3"/>
        <v>605.92333333333329</v>
      </c>
      <c r="J24" s="122">
        <f t="shared" si="4"/>
        <v>88.397850113050609</v>
      </c>
      <c r="K24" s="18">
        <f>_xlfn.XLOOKUP($B:$B,'Compilado 2023'!$B:$B,'Compilado 2023'!K:K)</f>
        <v>4767</v>
      </c>
      <c r="L24" s="54">
        <f t="shared" si="5"/>
        <v>3.8388923851478921E-2</v>
      </c>
      <c r="M24" s="38"/>
      <c r="N24" s="106">
        <f>_xlfn.XLOOKUP($B:$B,'Compilado 2023'!$B:$B,'Compilado 2023'!N:N)</f>
        <v>454.33</v>
      </c>
      <c r="O24" s="106">
        <f>_xlfn.XLOOKUP($B:$B,'Compilado 2023'!$B:$B,'Compilado 2023'!O:O)</f>
        <v>78.47</v>
      </c>
      <c r="P24" s="106">
        <f>_xlfn.XLOOKUP($B:$B,'Compilado 2023'!$B:$B,'Compilado 2023'!P:P)</f>
        <v>0</v>
      </c>
      <c r="Q24" s="106">
        <f>_xlfn.XLOOKUP($B:$B,'Compilado 2023'!$B:$B,'Compilado 2023'!Q:Q)</f>
        <v>53.333333333333336</v>
      </c>
      <c r="R24" s="106">
        <f>_xlfn.XLOOKUP($B:$B,'Compilado 2023'!$B:$B,'Compilado 2023'!R:R)</f>
        <v>0</v>
      </c>
      <c r="S24" s="106">
        <f>_xlfn.XLOOKUP($B:$B,'Compilado 2023'!$B:$B,'Compilado 2023'!S:S)</f>
        <v>19.79</v>
      </c>
      <c r="T24" s="106">
        <f>_xlfn.XLOOKUP($B:$B,'Compilado 2023'!$B:$B,'Compilado 2023'!U:U)</f>
        <v>0</v>
      </c>
      <c r="U24" s="106">
        <f>_xlfn.XLOOKUP($B:$B,'Compilado 2023'!$B:$B,'Compilado 2023'!V:V)</f>
        <v>0</v>
      </c>
      <c r="V24" s="57"/>
      <c r="W24" s="106">
        <f>_xlfn.XLOOKUP($B:$B,'Compilado 2023'!$B:$B,'Compilado 2023'!X:X)</f>
        <v>0</v>
      </c>
      <c r="X24" s="106">
        <f>_xlfn.XLOOKUP($B:$B,'Compilado 2023'!$B:$B,'Compilado 2023'!Y:Y)</f>
        <v>0</v>
      </c>
      <c r="Y24" s="106">
        <f>_xlfn.XLOOKUP($B:$B,'Compilado 2023'!$B:$B,'Compilado 2023'!Z:Z)</f>
        <v>0</v>
      </c>
      <c r="Z24" s="38"/>
      <c r="AA24" s="107" t="str">
        <f>_xlfn.XLOOKUP($B:$B,'Compilado 2023'!$B:$B,'Compilado 2023'!AA:AA)</f>
        <v xml:space="preserve">Fez disparo de e-mail sobre franqueas - disparo dinamico. </v>
      </c>
    </row>
    <row r="25" spans="1:27" s="2" customFormat="1" x14ac:dyDescent="0.2">
      <c r="A25" s="16" t="str">
        <f t="shared" si="0"/>
        <v>quinta-feira</v>
      </c>
      <c r="B25" s="17">
        <f t="shared" si="6"/>
        <v>45099</v>
      </c>
      <c r="C25" s="19">
        <f t="shared" si="1"/>
        <v>56647.799999999996</v>
      </c>
      <c r="D25" s="35">
        <f>_xlfn.XLOOKUP($B:$B,'Compilado 2023'!$B:$B,'Compilado 2023'!D:D)</f>
        <v>56609.27</v>
      </c>
      <c r="E25" s="35">
        <f>_xlfn.XLOOKUP($B:$B,'Compilado 2023'!$B:$B,'Compilado 2023'!E:E)</f>
        <v>38.53</v>
      </c>
      <c r="F25" s="18">
        <f>_xlfn.XLOOKUP($B:$B,'Compilado 2023'!$B:$B,'Compilado 2023'!F:F)</f>
        <v>216</v>
      </c>
      <c r="G25" s="18">
        <f>_xlfn.XLOOKUP($B:$B,'Compilado 2023'!$B:$B,'Compilado 2023'!G:G)</f>
        <v>243</v>
      </c>
      <c r="H25" s="35">
        <f t="shared" si="2"/>
        <v>262.25833333333333</v>
      </c>
      <c r="I25" s="19">
        <f t="shared" si="3"/>
        <v>625.11333333333334</v>
      </c>
      <c r="J25" s="122">
        <f t="shared" si="4"/>
        <v>90.620047564708258</v>
      </c>
      <c r="K25" s="18">
        <f>_xlfn.XLOOKUP($B:$B,'Compilado 2023'!$B:$B,'Compilado 2023'!K:K)</f>
        <v>4751</v>
      </c>
      <c r="L25" s="54">
        <f t="shared" si="5"/>
        <v>4.5464112818354031E-2</v>
      </c>
      <c r="M25" s="38"/>
      <c r="N25" s="106">
        <f>_xlfn.XLOOKUP($B:$B,'Compilado 2023'!$B:$B,'Compilado 2023'!N:N)</f>
        <v>474.16</v>
      </c>
      <c r="O25" s="106">
        <f>_xlfn.XLOOKUP($B:$B,'Compilado 2023'!$B:$B,'Compilado 2023'!O:O)</f>
        <v>77.62</v>
      </c>
      <c r="P25" s="106">
        <f>_xlfn.XLOOKUP($B:$B,'Compilado 2023'!$B:$B,'Compilado 2023'!P:P)</f>
        <v>0</v>
      </c>
      <c r="Q25" s="106">
        <f>_xlfn.XLOOKUP($B:$B,'Compilado 2023'!$B:$B,'Compilado 2023'!Q:Q)</f>
        <v>53.333333333333336</v>
      </c>
      <c r="R25" s="106">
        <f>_xlfn.XLOOKUP($B:$B,'Compilado 2023'!$B:$B,'Compilado 2023'!R:R)</f>
        <v>0</v>
      </c>
      <c r="S25" s="106">
        <f>_xlfn.XLOOKUP($B:$B,'Compilado 2023'!$B:$B,'Compilado 2023'!S:S)</f>
        <v>20</v>
      </c>
      <c r="T25" s="106">
        <f>_xlfn.XLOOKUP($B:$B,'Compilado 2023'!$B:$B,'Compilado 2023'!U:U)</f>
        <v>0</v>
      </c>
      <c r="U25" s="106">
        <f>_xlfn.XLOOKUP($B:$B,'Compilado 2023'!$B:$B,'Compilado 2023'!V:V)</f>
        <v>0</v>
      </c>
      <c r="V25" s="57"/>
      <c r="W25" s="106">
        <f>_xlfn.XLOOKUP($B:$B,'Compilado 2023'!$B:$B,'Compilado 2023'!X:X)</f>
        <v>0</v>
      </c>
      <c r="X25" s="106">
        <f>_xlfn.XLOOKUP($B:$B,'Compilado 2023'!$B:$B,'Compilado 2023'!Y:Y)</f>
        <v>0</v>
      </c>
      <c r="Y25" s="106">
        <f>_xlfn.XLOOKUP($B:$B,'Compilado 2023'!$B:$B,'Compilado 2023'!Z:Z)</f>
        <v>0</v>
      </c>
      <c r="Z25" s="38"/>
      <c r="AA25" s="107">
        <f>_xlfn.XLOOKUP($B:$B,'Compilado 2023'!$B:$B,'Compilado 2023'!AA:AA)</f>
        <v>0</v>
      </c>
    </row>
    <row r="26" spans="1:27" s="2" customFormat="1" x14ac:dyDescent="0.2">
      <c r="A26" s="16" t="str">
        <f t="shared" si="0"/>
        <v>sexta-feira</v>
      </c>
      <c r="B26" s="17">
        <f t="shared" si="6"/>
        <v>45100</v>
      </c>
      <c r="C26" s="19">
        <f t="shared" si="1"/>
        <v>55563.08</v>
      </c>
      <c r="D26" s="35">
        <f>_xlfn.XLOOKUP($B:$B,'Compilado 2023'!$B:$B,'Compilado 2023'!D:D)</f>
        <v>55563.08</v>
      </c>
      <c r="E26" s="35">
        <f>_xlfn.XLOOKUP($B:$B,'Compilado 2023'!$B:$B,'Compilado 2023'!E:E)</f>
        <v>0</v>
      </c>
      <c r="F26" s="18">
        <f>_xlfn.XLOOKUP($B:$B,'Compilado 2023'!$B:$B,'Compilado 2023'!F:F)</f>
        <v>198</v>
      </c>
      <c r="G26" s="18">
        <f>_xlfn.XLOOKUP($B:$B,'Compilado 2023'!$B:$B,'Compilado 2023'!G:G)</f>
        <v>243</v>
      </c>
      <c r="H26" s="35">
        <f t="shared" si="2"/>
        <v>280.62161616161615</v>
      </c>
      <c r="I26" s="19">
        <f t="shared" si="3"/>
        <v>602.70333333333349</v>
      </c>
      <c r="J26" s="122">
        <f t="shared" si="4"/>
        <v>92.189767215490193</v>
      </c>
      <c r="K26" s="18">
        <f>_xlfn.XLOOKUP($B:$B,'Compilado 2023'!$B:$B,'Compilado 2023'!K:K)</f>
        <v>4391</v>
      </c>
      <c r="L26" s="54">
        <f t="shared" si="5"/>
        <v>4.5092234115235712E-2</v>
      </c>
      <c r="M26" s="38"/>
      <c r="N26" s="106">
        <f>_xlfn.XLOOKUP($B:$B,'Compilado 2023'!$B:$B,'Compilado 2023'!N:N)</f>
        <v>441.79</v>
      </c>
      <c r="O26" s="106">
        <f>_xlfn.XLOOKUP($B:$B,'Compilado 2023'!$B:$B,'Compilado 2023'!O:O)</f>
        <v>86.13</v>
      </c>
      <c r="P26" s="106">
        <f>_xlfn.XLOOKUP($B:$B,'Compilado 2023'!$B:$B,'Compilado 2023'!P:P)</f>
        <v>0</v>
      </c>
      <c r="Q26" s="106">
        <f>_xlfn.XLOOKUP($B:$B,'Compilado 2023'!$B:$B,'Compilado 2023'!Q:Q)</f>
        <v>53.333333333333336</v>
      </c>
      <c r="R26" s="106">
        <f>_xlfn.XLOOKUP($B:$B,'Compilado 2023'!$B:$B,'Compilado 2023'!R:R)</f>
        <v>1.45</v>
      </c>
      <c r="S26" s="106">
        <f>_xlfn.XLOOKUP($B:$B,'Compilado 2023'!$B:$B,'Compilado 2023'!S:S)</f>
        <v>20</v>
      </c>
      <c r="T26" s="106">
        <f>_xlfn.XLOOKUP($B:$B,'Compilado 2023'!$B:$B,'Compilado 2023'!U:U)</f>
        <v>0</v>
      </c>
      <c r="U26" s="106">
        <f>_xlfn.XLOOKUP($B:$B,'Compilado 2023'!$B:$B,'Compilado 2023'!V:V)</f>
        <v>0</v>
      </c>
      <c r="V26" s="57"/>
      <c r="W26" s="106">
        <f>_xlfn.XLOOKUP($B:$B,'Compilado 2023'!$B:$B,'Compilado 2023'!X:X)</f>
        <v>0</v>
      </c>
      <c r="X26" s="106">
        <f>_xlfn.XLOOKUP($B:$B,'Compilado 2023'!$B:$B,'Compilado 2023'!Y:Y)</f>
        <v>0</v>
      </c>
      <c r="Y26" s="106">
        <f>_xlfn.XLOOKUP($B:$B,'Compilado 2023'!$B:$B,'Compilado 2023'!Z:Z)</f>
        <v>0</v>
      </c>
      <c r="Z26" s="38"/>
      <c r="AA26" s="107">
        <f>_xlfn.XLOOKUP($B:$B,'Compilado 2023'!$B:$B,'Compilado 2023'!AA:AA)</f>
        <v>0</v>
      </c>
    </row>
    <row r="27" spans="1:27" x14ac:dyDescent="0.2">
      <c r="A27" s="16" t="str">
        <f t="shared" si="0"/>
        <v>sábado</v>
      </c>
      <c r="B27" s="17">
        <f t="shared" si="6"/>
        <v>45101</v>
      </c>
      <c r="C27" s="19">
        <f t="shared" si="1"/>
        <v>31043.460000000003</v>
      </c>
      <c r="D27" s="35">
        <f>_xlfn.XLOOKUP($B:$B,'Compilado 2023'!$B:$B,'Compilado 2023'!D:D)</f>
        <v>31017.65</v>
      </c>
      <c r="E27" s="35">
        <f>_xlfn.XLOOKUP($B:$B,'Compilado 2023'!$B:$B,'Compilado 2023'!E:E)</f>
        <v>25.81</v>
      </c>
      <c r="F27" s="18">
        <f>_xlfn.XLOOKUP($B:$B,'Compilado 2023'!$B:$B,'Compilado 2023'!F:F)</f>
        <v>126</v>
      </c>
      <c r="G27" s="18">
        <f>_xlfn.XLOOKUP($B:$B,'Compilado 2023'!$B:$B,'Compilado 2023'!G:G)</f>
        <v>133</v>
      </c>
      <c r="H27" s="35">
        <f t="shared" si="2"/>
        <v>246.37666666666669</v>
      </c>
      <c r="I27" s="19">
        <f t="shared" si="3"/>
        <v>556.38333333333333</v>
      </c>
      <c r="J27" s="122">
        <f t="shared" si="4"/>
        <v>55.795093310966664</v>
      </c>
      <c r="K27" s="18">
        <f>_xlfn.XLOOKUP($B:$B,'Compilado 2023'!$B:$B,'Compilado 2023'!K:K)</f>
        <v>3355</v>
      </c>
      <c r="L27" s="54">
        <f t="shared" si="5"/>
        <v>3.7555886736214607E-2</v>
      </c>
      <c r="M27" s="38"/>
      <c r="N27" s="106">
        <f>_xlfn.XLOOKUP($B:$B,'Compilado 2023'!$B:$B,'Compilado 2023'!N:N)</f>
        <v>372.46</v>
      </c>
      <c r="O27" s="106">
        <f>_xlfn.XLOOKUP($B:$B,'Compilado 2023'!$B:$B,'Compilado 2023'!O:O)</f>
        <v>110.59</v>
      </c>
      <c r="P27" s="106">
        <f>_xlfn.XLOOKUP($B:$B,'Compilado 2023'!$B:$B,'Compilado 2023'!P:P)</f>
        <v>0</v>
      </c>
      <c r="Q27" s="106">
        <f>_xlfn.XLOOKUP($B:$B,'Compilado 2023'!$B:$B,'Compilado 2023'!Q:Q)</f>
        <v>53.333333333333336</v>
      </c>
      <c r="R27" s="106">
        <f>_xlfn.XLOOKUP($B:$B,'Compilado 2023'!$B:$B,'Compilado 2023'!R:R)</f>
        <v>0</v>
      </c>
      <c r="S27" s="106">
        <f>_xlfn.XLOOKUP($B:$B,'Compilado 2023'!$B:$B,'Compilado 2023'!S:S)</f>
        <v>20</v>
      </c>
      <c r="T27" s="106">
        <f>_xlfn.XLOOKUP($B:$B,'Compilado 2023'!$B:$B,'Compilado 2023'!U:U)</f>
        <v>0</v>
      </c>
      <c r="U27" s="106">
        <f>_xlfn.XLOOKUP($B:$B,'Compilado 2023'!$B:$B,'Compilado 2023'!V:V)</f>
        <v>0</v>
      </c>
      <c r="V27" s="57"/>
      <c r="W27" s="106">
        <f>_xlfn.XLOOKUP($B:$B,'Compilado 2023'!$B:$B,'Compilado 2023'!X:X)</f>
        <v>0</v>
      </c>
      <c r="X27" s="106">
        <f>_xlfn.XLOOKUP($B:$B,'Compilado 2023'!$B:$B,'Compilado 2023'!Y:Y)</f>
        <v>0</v>
      </c>
      <c r="Y27" s="106">
        <f>_xlfn.XLOOKUP($B:$B,'Compilado 2023'!$B:$B,'Compilado 2023'!Z:Z)</f>
        <v>0</v>
      </c>
      <c r="Z27" s="38"/>
      <c r="AA27" s="107">
        <f>_xlfn.XLOOKUP($B:$B,'Compilado 2023'!$B:$B,'Compilado 2023'!AA:AA)</f>
        <v>0</v>
      </c>
    </row>
    <row r="28" spans="1:27" x14ac:dyDescent="0.2">
      <c r="A28" s="16" t="str">
        <f t="shared" si="0"/>
        <v>domingo</v>
      </c>
      <c r="B28" s="17">
        <f t="shared" si="6"/>
        <v>45102</v>
      </c>
      <c r="C28" s="19">
        <f t="shared" si="1"/>
        <v>24508.92</v>
      </c>
      <c r="D28" s="35">
        <f>_xlfn.XLOOKUP($B:$B,'Compilado 2023'!$B:$B,'Compilado 2023'!D:D)</f>
        <v>24508.92</v>
      </c>
      <c r="E28" s="35">
        <f>_xlfn.XLOOKUP($B:$B,'Compilado 2023'!$B:$B,'Compilado 2023'!E:E)</f>
        <v>0</v>
      </c>
      <c r="F28" s="18">
        <f>_xlfn.XLOOKUP($B:$B,'Compilado 2023'!$B:$B,'Compilado 2023'!F:F)</f>
        <v>90</v>
      </c>
      <c r="G28" s="18">
        <f>_xlfn.XLOOKUP($B:$B,'Compilado 2023'!$B:$B,'Compilado 2023'!G:G)</f>
        <v>109</v>
      </c>
      <c r="H28" s="35">
        <f t="shared" si="2"/>
        <v>272.32133333333331</v>
      </c>
      <c r="I28" s="19">
        <f t="shared" si="3"/>
        <v>576.98333333333335</v>
      </c>
      <c r="J28" s="122">
        <f t="shared" si="4"/>
        <v>42.477691441116143</v>
      </c>
      <c r="K28" s="18">
        <f>_xlfn.XLOOKUP($B:$B,'Compilado 2023'!$B:$B,'Compilado 2023'!K:K)</f>
        <v>2929</v>
      </c>
      <c r="L28" s="54">
        <f t="shared" si="5"/>
        <v>3.0727210652099692E-2</v>
      </c>
      <c r="M28" s="38"/>
      <c r="N28" s="106">
        <f>_xlfn.XLOOKUP($B:$B,'Compilado 2023'!$B:$B,'Compilado 2023'!N:N)</f>
        <v>391.29</v>
      </c>
      <c r="O28" s="106">
        <f>_xlfn.XLOOKUP($B:$B,'Compilado 2023'!$B:$B,'Compilado 2023'!O:O)</f>
        <v>112.36</v>
      </c>
      <c r="P28" s="106">
        <f>_xlfn.XLOOKUP($B:$B,'Compilado 2023'!$B:$B,'Compilado 2023'!P:P)</f>
        <v>0</v>
      </c>
      <c r="Q28" s="106">
        <f>_xlfn.XLOOKUP($B:$B,'Compilado 2023'!$B:$B,'Compilado 2023'!Q:Q)</f>
        <v>53.333333333333336</v>
      </c>
      <c r="R28" s="106">
        <f>_xlfn.XLOOKUP($B:$B,'Compilado 2023'!$B:$B,'Compilado 2023'!R:R)</f>
        <v>0</v>
      </c>
      <c r="S28" s="106">
        <f>_xlfn.XLOOKUP($B:$B,'Compilado 2023'!$B:$B,'Compilado 2023'!S:S)</f>
        <v>20</v>
      </c>
      <c r="T28" s="106">
        <f>_xlfn.XLOOKUP($B:$B,'Compilado 2023'!$B:$B,'Compilado 2023'!U:U)</f>
        <v>0</v>
      </c>
      <c r="U28" s="106">
        <f>_xlfn.XLOOKUP($B:$B,'Compilado 2023'!$B:$B,'Compilado 2023'!V:V)</f>
        <v>0</v>
      </c>
      <c r="V28" s="57"/>
      <c r="W28" s="106">
        <f>_xlfn.XLOOKUP($B:$B,'Compilado 2023'!$B:$B,'Compilado 2023'!X:X)</f>
        <v>0</v>
      </c>
      <c r="X28" s="106">
        <f>_xlfn.XLOOKUP($B:$B,'Compilado 2023'!$B:$B,'Compilado 2023'!Y:Y)</f>
        <v>0</v>
      </c>
      <c r="Y28" s="106">
        <f>_xlfn.XLOOKUP($B:$B,'Compilado 2023'!$B:$B,'Compilado 2023'!Z:Z)</f>
        <v>0</v>
      </c>
      <c r="Z28" s="38"/>
      <c r="AA28" s="107">
        <f>_xlfn.XLOOKUP($B:$B,'Compilado 2023'!$B:$B,'Compilado 2023'!AA:AA)</f>
        <v>0</v>
      </c>
    </row>
    <row r="29" spans="1:27" s="2" customFormat="1" x14ac:dyDescent="0.2">
      <c r="A29" s="16" t="str">
        <f t="shared" si="0"/>
        <v>segunda-feira</v>
      </c>
      <c r="B29" s="17">
        <f t="shared" si="6"/>
        <v>45103</v>
      </c>
      <c r="C29" s="19">
        <f t="shared" si="1"/>
        <v>116688.49</v>
      </c>
      <c r="D29" s="35">
        <f>_xlfn.XLOOKUP($B:$B,'Compilado 2023'!$B:$B,'Compilado 2023'!D:D)</f>
        <v>116688.49</v>
      </c>
      <c r="E29" s="35">
        <f>_xlfn.XLOOKUP($B:$B,'Compilado 2023'!$B:$B,'Compilado 2023'!E:E)</f>
        <v>0</v>
      </c>
      <c r="F29" s="18">
        <f>_xlfn.XLOOKUP($B:$B,'Compilado 2023'!$B:$B,'Compilado 2023'!F:F)</f>
        <v>522</v>
      </c>
      <c r="G29" s="18">
        <f>_xlfn.XLOOKUP($B:$B,'Compilado 2023'!$B:$B,'Compilado 2023'!G:G)</f>
        <v>755</v>
      </c>
      <c r="H29" s="35">
        <f t="shared" si="2"/>
        <v>223.54116858237549</v>
      </c>
      <c r="I29" s="19">
        <f t="shared" si="3"/>
        <v>1014.3233333333334</v>
      </c>
      <c r="J29" s="122">
        <f t="shared" si="4"/>
        <v>115.04072337223174</v>
      </c>
      <c r="K29" s="18">
        <f>_xlfn.XLOOKUP($B:$B,'Compilado 2023'!$B:$B,'Compilado 2023'!K:K)</f>
        <v>6587</v>
      </c>
      <c r="L29" s="54">
        <f t="shared" si="5"/>
        <v>7.9247001669955977E-2</v>
      </c>
      <c r="M29" s="38"/>
      <c r="N29" s="106">
        <f>_xlfn.XLOOKUP($B:$B,'Compilado 2023'!$B:$B,'Compilado 2023'!N:N)</f>
        <v>636.51</v>
      </c>
      <c r="O29" s="106">
        <f>_xlfn.XLOOKUP($B:$B,'Compilado 2023'!$B:$B,'Compilado 2023'!O:O)</f>
        <v>254.73</v>
      </c>
      <c r="P29" s="106">
        <f>_xlfn.XLOOKUP($B:$B,'Compilado 2023'!$B:$B,'Compilado 2023'!P:P)</f>
        <v>0</v>
      </c>
      <c r="Q29" s="106">
        <f>_xlfn.XLOOKUP($B:$B,'Compilado 2023'!$B:$B,'Compilado 2023'!Q:Q)</f>
        <v>53.333333333333336</v>
      </c>
      <c r="R29" s="106">
        <f>_xlfn.XLOOKUP($B:$B,'Compilado 2023'!$B:$B,'Compilado 2023'!R:R)</f>
        <v>0</v>
      </c>
      <c r="S29" s="106">
        <f>_xlfn.XLOOKUP($B:$B,'Compilado 2023'!$B:$B,'Compilado 2023'!S:S)</f>
        <v>69.75</v>
      </c>
      <c r="T29" s="106">
        <f>_xlfn.XLOOKUP($B:$B,'Compilado 2023'!$B:$B,'Compilado 2023'!U:U)</f>
        <v>0</v>
      </c>
      <c r="U29" s="106">
        <f>_xlfn.XLOOKUP($B:$B,'Compilado 2023'!$B:$B,'Compilado 2023'!V:V)</f>
        <v>0</v>
      </c>
      <c r="V29" s="57"/>
      <c r="W29" s="106">
        <f>_xlfn.XLOOKUP($B:$B,'Compilado 2023'!$B:$B,'Compilado 2023'!X:X)</f>
        <v>0</v>
      </c>
      <c r="X29" s="106">
        <f>_xlfn.XLOOKUP($B:$B,'Compilado 2023'!$B:$B,'Compilado 2023'!Y:Y)</f>
        <v>0</v>
      </c>
      <c r="Y29" s="106">
        <f>_xlfn.XLOOKUP($B:$B,'Compilado 2023'!$B:$B,'Compilado 2023'!Z:Z)</f>
        <v>0</v>
      </c>
      <c r="Z29" s="38"/>
      <c r="AA29" s="107" t="str">
        <f>_xlfn.XLOOKUP($B:$B,'Compilado 2023'!$B:$B,'Compilado 2023'!AA:AA)</f>
        <v>Inicio VE Moema Pássaros</v>
      </c>
    </row>
    <row r="30" spans="1:27" s="2" customFormat="1" x14ac:dyDescent="0.2">
      <c r="A30" s="16" t="str">
        <f t="shared" si="0"/>
        <v>terça-feira</v>
      </c>
      <c r="B30" s="17">
        <f t="shared" si="6"/>
        <v>45104</v>
      </c>
      <c r="C30" s="19">
        <f t="shared" si="1"/>
        <v>105816.79000000001</v>
      </c>
      <c r="D30" s="35">
        <f>_xlfn.XLOOKUP($B:$B,'Compilado 2023'!$B:$B,'Compilado 2023'!D:D)</f>
        <v>105795.52</v>
      </c>
      <c r="E30" s="35">
        <f>_xlfn.XLOOKUP($B:$B,'Compilado 2023'!$B:$B,'Compilado 2023'!E:E)</f>
        <v>21.27</v>
      </c>
      <c r="F30" s="18">
        <f>_xlfn.XLOOKUP($B:$B,'Compilado 2023'!$B:$B,'Compilado 2023'!F:F)</f>
        <v>504</v>
      </c>
      <c r="G30" s="18">
        <f>_xlfn.XLOOKUP($B:$B,'Compilado 2023'!$B:$B,'Compilado 2023'!G:G)</f>
        <v>704</v>
      </c>
      <c r="H30" s="35">
        <f t="shared" si="2"/>
        <v>209.95394841269842</v>
      </c>
      <c r="I30" s="19">
        <f t="shared" si="3"/>
        <v>921.47333333333324</v>
      </c>
      <c r="J30" s="122">
        <f t="shared" si="4"/>
        <v>114.83434861562283</v>
      </c>
      <c r="K30" s="18">
        <f>_xlfn.XLOOKUP($B:$B,'Compilado 2023'!$B:$B,'Compilado 2023'!K:K)</f>
        <v>6722</v>
      </c>
      <c r="L30" s="54">
        <f t="shared" si="5"/>
        <v>7.4977685212734305E-2</v>
      </c>
      <c r="M30" s="38"/>
      <c r="N30" s="106">
        <f>_xlfn.XLOOKUP($B:$B,'Compilado 2023'!$B:$B,'Compilado 2023'!N:N)</f>
        <v>558.16999999999996</v>
      </c>
      <c r="O30" s="106">
        <f>_xlfn.XLOOKUP($B:$B,'Compilado 2023'!$B:$B,'Compilado 2023'!O:O)</f>
        <v>234.69</v>
      </c>
      <c r="P30" s="106">
        <f>_xlfn.XLOOKUP($B:$B,'Compilado 2023'!$B:$B,'Compilado 2023'!P:P)</f>
        <v>0</v>
      </c>
      <c r="Q30" s="106">
        <f>_xlfn.XLOOKUP($B:$B,'Compilado 2023'!$B:$B,'Compilado 2023'!Q:Q)</f>
        <v>53.333333333333336</v>
      </c>
      <c r="R30" s="106">
        <f>_xlfn.XLOOKUP($B:$B,'Compilado 2023'!$B:$B,'Compilado 2023'!R:R)</f>
        <v>0</v>
      </c>
      <c r="S30" s="106">
        <f>_xlfn.XLOOKUP($B:$B,'Compilado 2023'!$B:$B,'Compilado 2023'!S:S)</f>
        <v>75.28</v>
      </c>
      <c r="T30" s="106">
        <f>_xlfn.XLOOKUP($B:$B,'Compilado 2023'!$B:$B,'Compilado 2023'!U:U)</f>
        <v>0</v>
      </c>
      <c r="U30" s="106">
        <f>_xlfn.XLOOKUP($B:$B,'Compilado 2023'!$B:$B,'Compilado 2023'!V:V)</f>
        <v>0</v>
      </c>
      <c r="V30" s="57"/>
      <c r="W30" s="106">
        <f>_xlfn.XLOOKUP($B:$B,'Compilado 2023'!$B:$B,'Compilado 2023'!X:X)</f>
        <v>0</v>
      </c>
      <c r="X30" s="106">
        <f>_xlfn.XLOOKUP($B:$B,'Compilado 2023'!$B:$B,'Compilado 2023'!Y:Y)</f>
        <v>0</v>
      </c>
      <c r="Y30" s="106">
        <f>_xlfn.XLOOKUP($B:$B,'Compilado 2023'!$B:$B,'Compilado 2023'!Z:Z)</f>
        <v>0</v>
      </c>
      <c r="Z30" s="38"/>
      <c r="AA30" s="107" t="str">
        <f>_xlfn.XLOOKUP($B:$B,'Compilado 2023'!$B:$B,'Compilado 2023'!AA:AA)</f>
        <v>Encerramento VE Moema Pássaros</v>
      </c>
    </row>
    <row r="31" spans="1:27" s="2" customFormat="1" x14ac:dyDescent="0.2">
      <c r="A31" s="16" t="str">
        <f t="shared" si="0"/>
        <v>quarta-feira</v>
      </c>
      <c r="B31" s="17">
        <f t="shared" si="6"/>
        <v>45105</v>
      </c>
      <c r="C31" s="19">
        <f t="shared" si="1"/>
        <v>68415.91</v>
      </c>
      <c r="D31" s="35">
        <f>_xlfn.XLOOKUP($B:$B,'Compilado 2023'!$B:$B,'Compilado 2023'!D:D)</f>
        <v>68415.91</v>
      </c>
      <c r="E31" s="35">
        <f>_xlfn.XLOOKUP($B:$B,'Compilado 2023'!$B:$B,'Compilado 2023'!E:E)</f>
        <v>0</v>
      </c>
      <c r="F31" s="18">
        <f>_xlfn.XLOOKUP($B:$B,'Compilado 2023'!$B:$B,'Compilado 2023'!F:F)</f>
        <v>220</v>
      </c>
      <c r="G31" s="18">
        <f>_xlfn.XLOOKUP($B:$B,'Compilado 2023'!$B:$B,'Compilado 2023'!G:G)</f>
        <v>291</v>
      </c>
      <c r="H31" s="35">
        <f t="shared" si="2"/>
        <v>310.9814090909091</v>
      </c>
      <c r="I31" s="19">
        <f t="shared" si="3"/>
        <v>938.20333333333326</v>
      </c>
      <c r="J31" s="122">
        <f t="shared" si="4"/>
        <v>72.922262764645907</v>
      </c>
      <c r="K31" s="18">
        <f>_xlfn.XLOOKUP($B:$B,'Compilado 2023'!$B:$B,'Compilado 2023'!K:K)</f>
        <v>5691</v>
      </c>
      <c r="L31" s="54">
        <f t="shared" si="5"/>
        <v>3.8657529432437179E-2</v>
      </c>
      <c r="M31" s="38"/>
      <c r="N31" s="106">
        <f>_xlfn.XLOOKUP($B:$B,'Compilado 2023'!$B:$B,'Compilado 2023'!N:N)</f>
        <v>617.79</v>
      </c>
      <c r="O31" s="106">
        <f>_xlfn.XLOOKUP($B:$B,'Compilado 2023'!$B:$B,'Compilado 2023'!O:O)</f>
        <v>227.28</v>
      </c>
      <c r="P31" s="106">
        <f>_xlfn.XLOOKUP($B:$B,'Compilado 2023'!$B:$B,'Compilado 2023'!P:P)</f>
        <v>0</v>
      </c>
      <c r="Q31" s="106">
        <f>_xlfn.XLOOKUP($B:$B,'Compilado 2023'!$B:$B,'Compilado 2023'!Q:Q)</f>
        <v>53.333333333333336</v>
      </c>
      <c r="R31" s="106">
        <f>_xlfn.XLOOKUP($B:$B,'Compilado 2023'!$B:$B,'Compilado 2023'!R:R)</f>
        <v>0</v>
      </c>
      <c r="S31" s="106">
        <f>_xlfn.XLOOKUP($B:$B,'Compilado 2023'!$B:$B,'Compilado 2023'!S:S)</f>
        <v>39.799999999999997</v>
      </c>
      <c r="T31" s="106">
        <f>_xlfn.XLOOKUP($B:$B,'Compilado 2023'!$B:$B,'Compilado 2023'!U:U)</f>
        <v>0</v>
      </c>
      <c r="U31" s="106">
        <f>_xlfn.XLOOKUP($B:$B,'Compilado 2023'!$B:$B,'Compilado 2023'!V:V)</f>
        <v>0</v>
      </c>
      <c r="V31" s="57"/>
      <c r="W31" s="106">
        <f>_xlfn.XLOOKUP($B:$B,'Compilado 2023'!$B:$B,'Compilado 2023'!X:X)</f>
        <v>0</v>
      </c>
      <c r="X31" s="106">
        <f>_xlfn.XLOOKUP($B:$B,'Compilado 2023'!$B:$B,'Compilado 2023'!Y:Y)</f>
        <v>0</v>
      </c>
      <c r="Y31" s="106">
        <f>_xlfn.XLOOKUP($B:$B,'Compilado 2023'!$B:$B,'Compilado 2023'!Z:Z)</f>
        <v>0</v>
      </c>
      <c r="Z31" s="38"/>
      <c r="AA31" s="107" t="str">
        <f>_xlfn.XLOOKUP($B:$B,'Compilado 2023'!$B:$B,'Compilado 2023'!AA:AA)</f>
        <v>Nenhum VE ativo, o Tkt Médio subiu expressivamente</v>
      </c>
    </row>
    <row r="32" spans="1:27" s="2" customFormat="1" x14ac:dyDescent="0.2">
      <c r="A32" s="16" t="str">
        <f t="shared" si="0"/>
        <v>quinta-feira</v>
      </c>
      <c r="B32" s="17">
        <f t="shared" si="6"/>
        <v>45106</v>
      </c>
      <c r="C32" s="19">
        <f t="shared" ref="C32:C33" si="7">D32+E32</f>
        <v>72459.34</v>
      </c>
      <c r="D32" s="35">
        <f>_xlfn.XLOOKUP($B:$B,'Compilado 2023'!$B:$B,'Compilado 2023'!D:D)</f>
        <v>72434.87</v>
      </c>
      <c r="E32" s="35">
        <f>_xlfn.XLOOKUP($B:$B,'Compilado 2023'!$B:$B,'Compilado 2023'!E:E)</f>
        <v>24.47</v>
      </c>
      <c r="F32" s="18">
        <f>_xlfn.XLOOKUP($B:$B,'Compilado 2023'!$B:$B,'Compilado 2023'!F:F)</f>
        <v>294</v>
      </c>
      <c r="G32" s="18">
        <f>_xlfn.XLOOKUP($B:$B,'Compilado 2023'!$B:$B,'Compilado 2023'!G:G)</f>
        <v>386</v>
      </c>
      <c r="H32" s="35">
        <f t="shared" ref="H32:H33" si="8">IFERROR(C32/F32,0)</f>
        <v>246.46034013605441</v>
      </c>
      <c r="I32" s="19">
        <f t="shared" ref="I32:I33" si="9">SUM(N32:U32)</f>
        <v>1178.5933333333332</v>
      </c>
      <c r="J32" s="122">
        <f t="shared" ref="J32:J33" si="10">IF(I32&gt;0,C32/I32,0)</f>
        <v>61.47950947174315</v>
      </c>
      <c r="K32" s="18">
        <f>_xlfn.XLOOKUP($B:$B,'Compilado 2023'!$B:$B,'Compilado 2023'!K:K)</f>
        <v>5634</v>
      </c>
      <c r="L32" s="54">
        <f t="shared" ref="L32:L33" si="11">IFERROR(F32/K32,0)</f>
        <v>5.2183173588924388E-2</v>
      </c>
      <c r="M32" s="38"/>
      <c r="N32" s="106">
        <f>_xlfn.XLOOKUP($B:$B,'Compilado 2023'!$B:$B,'Compilado 2023'!N:N)</f>
        <v>602.17999999999995</v>
      </c>
      <c r="O32" s="106">
        <f>_xlfn.XLOOKUP($B:$B,'Compilado 2023'!$B:$B,'Compilado 2023'!O:O)</f>
        <v>472.36</v>
      </c>
      <c r="P32" s="106">
        <f>_xlfn.XLOOKUP($B:$B,'Compilado 2023'!$B:$B,'Compilado 2023'!P:P)</f>
        <v>0</v>
      </c>
      <c r="Q32" s="106">
        <f>_xlfn.XLOOKUP($B:$B,'Compilado 2023'!$B:$B,'Compilado 2023'!Q:Q)</f>
        <v>53.333333333333336</v>
      </c>
      <c r="R32" s="106">
        <f>_xlfn.XLOOKUP($B:$B,'Compilado 2023'!$B:$B,'Compilado 2023'!R:R)</f>
        <v>1.4</v>
      </c>
      <c r="S32" s="106">
        <f>_xlfn.XLOOKUP($B:$B,'Compilado 2023'!$B:$B,'Compilado 2023'!S:S)</f>
        <v>49.32</v>
      </c>
      <c r="T32" s="106">
        <f>_xlfn.XLOOKUP($B:$B,'Compilado 2023'!$B:$B,'Compilado 2023'!U:U)</f>
        <v>0</v>
      </c>
      <c r="U32" s="106">
        <f>_xlfn.XLOOKUP($B:$B,'Compilado 2023'!$B:$B,'Compilado 2023'!V:V)</f>
        <v>0</v>
      </c>
      <c r="V32" s="57"/>
      <c r="W32" s="106">
        <f>_xlfn.XLOOKUP($B:$B,'Compilado 2023'!$B:$B,'Compilado 2023'!X:X)</f>
        <v>0</v>
      </c>
      <c r="X32" s="106">
        <f>_xlfn.XLOOKUP($B:$B,'Compilado 2023'!$B:$B,'Compilado 2023'!Y:Y)</f>
        <v>0</v>
      </c>
      <c r="Y32" s="106">
        <f>_xlfn.XLOOKUP($B:$B,'Compilado 2023'!$B:$B,'Compilado 2023'!Z:Z)</f>
        <v>0</v>
      </c>
      <c r="Z32" s="38"/>
      <c r="AA32" s="107" t="str">
        <f>_xlfn.XLOOKUP($B:$B,'Compilado 2023'!$B:$B,'Compilado 2023'!AA:AA)</f>
        <v>Início VE Anália Franco</v>
      </c>
    </row>
    <row r="33" spans="1:27" s="2" customFormat="1" x14ac:dyDescent="0.2">
      <c r="A33" s="16" t="str">
        <f t="shared" si="0"/>
        <v>sexta-feira</v>
      </c>
      <c r="B33" s="17">
        <f t="shared" si="6"/>
        <v>45107</v>
      </c>
      <c r="C33" s="19">
        <f t="shared" si="7"/>
        <v>95968.51</v>
      </c>
      <c r="D33" s="35">
        <f>_xlfn.XLOOKUP($B:$B,'Compilado 2023'!$B:$B,'Compilado 2023'!D:D)</f>
        <v>95968.51</v>
      </c>
      <c r="E33" s="35">
        <f>_xlfn.XLOOKUP($B:$B,'Compilado 2023'!$B:$B,'Compilado 2023'!E:E)</f>
        <v>0</v>
      </c>
      <c r="F33" s="18">
        <f>_xlfn.XLOOKUP($B:$B,'Compilado 2023'!$B:$B,'Compilado 2023'!F:F)</f>
        <v>327</v>
      </c>
      <c r="G33" s="18">
        <f>_xlfn.XLOOKUP($B:$B,'Compilado 2023'!$B:$B,'Compilado 2023'!G:G)</f>
        <v>493</v>
      </c>
      <c r="H33" s="35">
        <f t="shared" si="8"/>
        <v>293.48168195718654</v>
      </c>
      <c r="I33" s="19">
        <f t="shared" si="9"/>
        <v>1090.8333333333335</v>
      </c>
      <c r="J33" s="122">
        <f t="shared" si="10"/>
        <v>87.977243697478968</v>
      </c>
      <c r="K33" s="18">
        <f>_xlfn.XLOOKUP($B:$B,'Compilado 2023'!$B:$B,'Compilado 2023'!K:K)</f>
        <v>5181</v>
      </c>
      <c r="L33" s="54">
        <f t="shared" si="11"/>
        <v>6.3115228720324268E-2</v>
      </c>
      <c r="M33" s="38"/>
      <c r="N33" s="106">
        <f>_xlfn.XLOOKUP($B:$B,'Compilado 2023'!$B:$B,'Compilado 2023'!N:N)</f>
        <v>464.24</v>
      </c>
      <c r="O33" s="106">
        <f>_xlfn.XLOOKUP($B:$B,'Compilado 2023'!$B:$B,'Compilado 2023'!O:O)</f>
        <v>506</v>
      </c>
      <c r="P33" s="106">
        <f>_xlfn.XLOOKUP($B:$B,'Compilado 2023'!$B:$B,'Compilado 2023'!P:P)</f>
        <v>0</v>
      </c>
      <c r="Q33" s="106">
        <f>_xlfn.XLOOKUP($B:$B,'Compilado 2023'!$B:$B,'Compilado 2023'!Q:Q)</f>
        <v>53.333333333333336</v>
      </c>
      <c r="R33" s="106">
        <f>_xlfn.XLOOKUP($B:$B,'Compilado 2023'!$B:$B,'Compilado 2023'!R:R)</f>
        <v>5.0599999999999996</v>
      </c>
      <c r="S33" s="106">
        <f>_xlfn.XLOOKUP($B:$B,'Compilado 2023'!$B:$B,'Compilado 2023'!S:S)</f>
        <v>62.2</v>
      </c>
      <c r="T33" s="106">
        <f>_xlfn.XLOOKUP($B:$B,'Compilado 2023'!$B:$B,'Compilado 2023'!U:U)</f>
        <v>0</v>
      </c>
      <c r="U33" s="106">
        <f>_xlfn.XLOOKUP($B:$B,'Compilado 2023'!$B:$B,'Compilado 2023'!V:V)</f>
        <v>0</v>
      </c>
      <c r="V33" s="57"/>
      <c r="W33" s="106">
        <f>_xlfn.XLOOKUP($B:$B,'Compilado 2023'!$B:$B,'Compilado 2023'!X:X)</f>
        <v>0</v>
      </c>
      <c r="X33" s="106">
        <f>_xlfn.XLOOKUP($B:$B,'Compilado 2023'!$B:$B,'Compilado 2023'!Y:Y)</f>
        <v>0</v>
      </c>
      <c r="Y33" s="106">
        <f>_xlfn.XLOOKUP($B:$B,'Compilado 2023'!$B:$B,'Compilado 2023'!Z:Z)</f>
        <v>0</v>
      </c>
      <c r="Z33" s="38"/>
      <c r="AA33" s="107">
        <f>_xlfn.XLOOKUP($B:$B,'Compilado 2023'!$B:$B,'Compilado 2023'!AA:AA)</f>
        <v>0</v>
      </c>
    </row>
    <row r="34" spans="1:27" hidden="1" x14ac:dyDescent="0.2">
      <c r="A34" s="16"/>
      <c r="B34" s="17"/>
      <c r="C34" s="19"/>
      <c r="D34" s="35"/>
      <c r="E34" s="35"/>
      <c r="F34" s="18"/>
      <c r="G34" s="18"/>
      <c r="H34" s="35"/>
      <c r="I34" s="19"/>
      <c r="J34" s="122"/>
      <c r="K34" s="18"/>
      <c r="L34" s="54"/>
      <c r="M34" s="38"/>
      <c r="N34" s="106"/>
      <c r="O34" s="106"/>
      <c r="P34" s="106"/>
      <c r="Q34" s="106"/>
      <c r="R34" s="106"/>
      <c r="S34" s="106"/>
      <c r="T34" s="106"/>
      <c r="U34" s="106"/>
      <c r="V34" s="57"/>
      <c r="W34" s="106"/>
      <c r="X34" s="106"/>
      <c r="Y34" s="106"/>
      <c r="Z34" s="38"/>
      <c r="AA34" s="107"/>
    </row>
    <row r="35" spans="1:27" s="61" customFormat="1" ht="12" x14ac:dyDescent="0.2">
      <c r="A35" s="90" t="s">
        <v>186</v>
      </c>
      <c r="B35" s="91">
        <f>COUNTA(B4:B33)</f>
        <v>30</v>
      </c>
      <c r="C35" s="92">
        <f>SUM(C4:C34)</f>
        <v>2527259.56</v>
      </c>
      <c r="D35" s="92">
        <f>SUM(D4:D34)</f>
        <v>2527005.66</v>
      </c>
      <c r="E35" s="92">
        <f>SUM(E4:E34)</f>
        <v>253.9</v>
      </c>
      <c r="F35" s="93">
        <f>SUM(F4:F34)</f>
        <v>8766</v>
      </c>
      <c r="G35" s="93">
        <f>SUM(G4:G34)</f>
        <v>10491</v>
      </c>
      <c r="H35" s="92">
        <f>C35/F35</f>
        <v>288.302482318047</v>
      </c>
      <c r="I35" s="92">
        <f>SUM(I4:I34)</f>
        <v>35929.379999999997</v>
      </c>
      <c r="J35" s="123">
        <f>C35/I35</f>
        <v>70.339637366411566</v>
      </c>
      <c r="K35" s="93">
        <f>SUM(K4:K34)</f>
        <v>156794</v>
      </c>
      <c r="L35" s="94">
        <f>IFERROR(F35/K35,0)</f>
        <v>5.5907751572126484E-2</v>
      </c>
      <c r="M35" s="95"/>
      <c r="N35" s="92">
        <f t="shared" ref="N35:U35" si="12">SUM(N4:N34)</f>
        <v>26447.75</v>
      </c>
      <c r="O35" s="92">
        <f t="shared" si="12"/>
        <v>7122.3</v>
      </c>
      <c r="P35" s="92">
        <f t="shared" si="12"/>
        <v>0</v>
      </c>
      <c r="Q35" s="92">
        <f t="shared" si="12"/>
        <v>1599.9999999999995</v>
      </c>
      <c r="R35" s="92">
        <f t="shared" si="12"/>
        <v>16.73</v>
      </c>
      <c r="S35" s="92">
        <f t="shared" si="12"/>
        <v>742.6</v>
      </c>
      <c r="T35" s="92">
        <f t="shared" si="12"/>
        <v>0</v>
      </c>
      <c r="U35" s="92">
        <f t="shared" si="12"/>
        <v>0</v>
      </c>
      <c r="V35" s="97">
        <f t="shared" ref="V35:Y35" si="13">SUM(V4:V33)</f>
        <v>0</v>
      </c>
      <c r="W35" s="96">
        <f t="shared" si="13"/>
        <v>0</v>
      </c>
      <c r="X35" s="92">
        <f t="shared" si="13"/>
        <v>0</v>
      </c>
      <c r="Y35" s="92">
        <f t="shared" si="13"/>
        <v>0</v>
      </c>
      <c r="Z35" s="95"/>
      <c r="AA35" s="98"/>
    </row>
    <row r="36" spans="1:27" ht="6.75" customHeight="1" x14ac:dyDescent="0.2">
      <c r="M36" s="21"/>
    </row>
    <row r="37" spans="1:27" s="34" customFormat="1" ht="15.75" x14ac:dyDescent="0.3">
      <c r="A37" s="99" t="str">
        <f>MAI!A38</f>
        <v>Média Maio 2023</v>
      </c>
      <c r="B37" s="100"/>
      <c r="C37" s="101">
        <f>MAI!C38</f>
        <v>150822.97967741929</v>
      </c>
      <c r="D37" s="101">
        <f>MAI!D38</f>
        <v>154421.62733333331</v>
      </c>
      <c r="E37" s="101">
        <f>MAI!E38</f>
        <v>15.246999999999998</v>
      </c>
      <c r="F37" s="102">
        <f>MAI!F38</f>
        <v>501.76666666666665</v>
      </c>
      <c r="G37" s="102">
        <f>MAI!G38</f>
        <v>634.5</v>
      </c>
      <c r="H37" s="103">
        <f>MAI!H38</f>
        <v>307.74122095701955</v>
      </c>
      <c r="I37" s="101">
        <f>MAI!I38</f>
        <v>1713.8085698924731</v>
      </c>
      <c r="J37" s="124">
        <f>MAI!J38</f>
        <v>88.004566161600039</v>
      </c>
      <c r="K37" s="104">
        <f>MAI!K38</f>
        <v>4628.5666666666666</v>
      </c>
      <c r="L37" s="105">
        <f>MAI!L38</f>
        <v>0.10840649013013387</v>
      </c>
      <c r="M37" s="21"/>
      <c r="N37"/>
      <c r="O37"/>
      <c r="P37"/>
      <c r="Q37"/>
      <c r="R37"/>
      <c r="S37"/>
      <c r="T37"/>
      <c r="U37"/>
      <c r="V37"/>
      <c r="W37"/>
      <c r="X37"/>
      <c r="Y37"/>
      <c r="Z37"/>
      <c r="AA37"/>
    </row>
    <row r="38" spans="1:27" s="34" customFormat="1" ht="15.75" x14ac:dyDescent="0.3">
      <c r="A38" s="99" t="str">
        <f>_xlfn.CONCAT("Média ",B2)</f>
        <v>Média Junho 2023</v>
      </c>
      <c r="B38" s="100"/>
      <c r="C38" s="101">
        <f>AVERAGE(C4:C34)</f>
        <v>84241.98533333333</v>
      </c>
      <c r="D38" s="101">
        <f>AVERAGE(D5:D34)</f>
        <v>84746.618965517249</v>
      </c>
      <c r="E38" s="101">
        <f>AVERAGE(E5:E34)</f>
        <v>7.3568965517241391</v>
      </c>
      <c r="F38" s="102">
        <f>AVERAGE(F5:F34)</f>
        <v>294.06896551724139</v>
      </c>
      <c r="G38" s="102">
        <f>AVERAGE(G5:G34)</f>
        <v>352.48275862068965</v>
      </c>
      <c r="H38" s="103">
        <f>H35</f>
        <v>288.302482318047</v>
      </c>
      <c r="I38" s="101">
        <f>AVERAGE(I5:I34)</f>
        <v>1210.2867816091953</v>
      </c>
      <c r="J38" s="124">
        <f>IFERROR(C38/I38,0)</f>
        <v>69.604978434388357</v>
      </c>
      <c r="K38" s="104">
        <f>AVERAGE(K5:K34)</f>
        <v>5185.2758620689656</v>
      </c>
      <c r="L38" s="105">
        <f>IFERROR(F38/K38,0)</f>
        <v>5.6712308725635589E-2</v>
      </c>
      <c r="M38" s="21"/>
      <c r="N38"/>
      <c r="O38"/>
      <c r="P38"/>
      <c r="Q38"/>
      <c r="R38"/>
      <c r="S38"/>
      <c r="T38"/>
      <c r="U38"/>
      <c r="V38"/>
      <c r="W38"/>
      <c r="X38"/>
      <c r="Y38"/>
      <c r="Z38"/>
      <c r="AA38"/>
    </row>
    <row r="39" spans="1:27" ht="15.75" customHeight="1" x14ac:dyDescent="0.2">
      <c r="M39" s="21"/>
    </row>
    <row r="40" spans="1:27" ht="15.75" customHeight="1" x14ac:dyDescent="0.2">
      <c r="M40" s="21"/>
    </row>
    <row r="41" spans="1:27" ht="14.25" x14ac:dyDescent="0.2">
      <c r="B41" s="223" t="s">
        <v>192</v>
      </c>
      <c r="C41" s="223"/>
      <c r="D41" s="223"/>
      <c r="E41" s="76"/>
      <c r="F41" s="76"/>
      <c r="G41" s="76"/>
      <c r="H41" s="76"/>
      <c r="I41" s="76"/>
      <c r="J41" s="76"/>
      <c r="K41" s="76"/>
      <c r="L41" s="76"/>
      <c r="M41" s="21"/>
    </row>
    <row r="42" spans="1:27" ht="15.75" customHeight="1" x14ac:dyDescent="0.2"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21"/>
    </row>
    <row r="43" spans="1:27" ht="15" customHeight="1" thickBot="1" x14ac:dyDescent="0.25">
      <c r="B43" s="77" t="s">
        <v>153</v>
      </c>
      <c r="C43" s="78" t="s">
        <v>75</v>
      </c>
      <c r="D43" s="78" t="s">
        <v>154</v>
      </c>
      <c r="E43" s="78" t="s">
        <v>77</v>
      </c>
      <c r="F43" s="78" t="s">
        <v>78</v>
      </c>
      <c r="G43" s="78" t="s">
        <v>79</v>
      </c>
      <c r="H43" s="78" t="s">
        <v>80</v>
      </c>
      <c r="I43" s="78" t="s">
        <v>81</v>
      </c>
      <c r="J43" s="78" t="s">
        <v>82</v>
      </c>
      <c r="K43" s="78" t="s">
        <v>40</v>
      </c>
      <c r="L43" s="78" t="s">
        <v>83</v>
      </c>
      <c r="M43" s="21"/>
      <c r="N43" s="78" t="s">
        <v>85</v>
      </c>
      <c r="O43" s="78" t="s">
        <v>155</v>
      </c>
      <c r="P43" s="78" t="s">
        <v>87</v>
      </c>
      <c r="Q43" s="78" t="s">
        <v>88</v>
      </c>
      <c r="R43" s="78" t="s">
        <v>89</v>
      </c>
      <c r="S43" s="78" t="s">
        <v>90</v>
      </c>
      <c r="T43" s="78" t="s">
        <v>91</v>
      </c>
      <c r="U43" s="78" t="s">
        <v>92</v>
      </c>
    </row>
    <row r="44" spans="1:27" s="20" customFormat="1" ht="14.25" x14ac:dyDescent="0.2">
      <c r="B44" s="79" t="str">
        <f>_xlfn.CONCAT(_xlfn.XLOOKUP(O1,Referencia!B1:B13,Referencia!C1:C13),"/",P1)</f>
        <v>JUN/2023</v>
      </c>
      <c r="C44" s="80">
        <f>C35</f>
        <v>2527259.56</v>
      </c>
      <c r="D44" s="80">
        <f t="shared" ref="D44:K44" si="14">D35</f>
        <v>2527005.66</v>
      </c>
      <c r="E44" s="80">
        <f t="shared" si="14"/>
        <v>253.9</v>
      </c>
      <c r="F44" s="81">
        <f t="shared" si="14"/>
        <v>8766</v>
      </c>
      <c r="G44" s="81">
        <f t="shared" si="14"/>
        <v>10491</v>
      </c>
      <c r="H44" s="80">
        <f>C44/F44</f>
        <v>288.302482318047</v>
      </c>
      <c r="I44" s="80">
        <f t="shared" si="14"/>
        <v>35929.379999999997</v>
      </c>
      <c r="J44" s="118">
        <f>C44/I44</f>
        <v>70.339637366411566</v>
      </c>
      <c r="K44" s="81">
        <f t="shared" si="14"/>
        <v>156794</v>
      </c>
      <c r="L44" s="82">
        <f>F44/K44</f>
        <v>5.5907751572126484E-2</v>
      </c>
      <c r="M44" s="150"/>
      <c r="N44" s="134">
        <f>N35</f>
        <v>26447.75</v>
      </c>
      <c r="O44" s="134">
        <f>O35</f>
        <v>7122.3</v>
      </c>
      <c r="P44" s="134">
        <f t="shared" ref="P44:U44" si="15">P35</f>
        <v>0</v>
      </c>
      <c r="Q44" s="134">
        <f t="shared" si="15"/>
        <v>1599.9999999999995</v>
      </c>
      <c r="R44" s="134">
        <f t="shared" si="15"/>
        <v>16.73</v>
      </c>
      <c r="S44" s="134">
        <f t="shared" si="15"/>
        <v>742.6</v>
      </c>
      <c r="T44" s="134">
        <f t="shared" si="15"/>
        <v>0</v>
      </c>
      <c r="U44" s="134">
        <f t="shared" si="15"/>
        <v>0</v>
      </c>
      <c r="V44"/>
      <c r="W44"/>
      <c r="X44"/>
      <c r="Y44"/>
      <c r="Z44"/>
      <c r="AA44"/>
    </row>
    <row r="45" spans="1:27" s="206" customFormat="1" ht="14.25" x14ac:dyDescent="0.2">
      <c r="B45" s="138" t="str">
        <f>_xlfn.CONCAT(_xlfn.XLOOKUP(O1,Referencia!B1:B13,Referencia!C1:C13),"/",(P1-1))</f>
        <v>JUN/2022</v>
      </c>
      <c r="C45" s="134">
        <f>SUM(C64:C94)</f>
        <v>1505467.4300000004</v>
      </c>
      <c r="D45" s="134">
        <f>SUM(D64:D94)</f>
        <v>1505191.8399999999</v>
      </c>
      <c r="E45" s="134">
        <f>SUM(E64:E94)</f>
        <v>275.59000000000003</v>
      </c>
      <c r="F45" s="135">
        <f>SUM(F64:F94)</f>
        <v>4940</v>
      </c>
      <c r="G45" s="135">
        <f>SUM(G64:G94)</f>
        <v>5814</v>
      </c>
      <c r="H45" s="134">
        <f>C45/F45</f>
        <v>304.75049190283409</v>
      </c>
      <c r="I45" s="134">
        <f>SUM(I64:I94)</f>
        <v>28107.670000000002</v>
      </c>
      <c r="J45" s="136">
        <f>C45/I45</f>
        <v>53.560733778360152</v>
      </c>
      <c r="K45" s="135">
        <f>SUM(K64:K94)</f>
        <v>103782</v>
      </c>
      <c r="L45" s="137">
        <f>F45/K45</f>
        <v>4.7599776454491143E-2</v>
      </c>
      <c r="M45" s="207"/>
      <c r="N45" s="134">
        <f>SUM(N64:N94)</f>
        <v>17906.95</v>
      </c>
      <c r="O45" s="134">
        <f t="shared" ref="O45:V45" si="16">SUM(O64:O94)</f>
        <v>8600.720000000003</v>
      </c>
      <c r="P45" s="134">
        <f t="shared" si="16"/>
        <v>0</v>
      </c>
      <c r="Q45" s="134">
        <f t="shared" si="16"/>
        <v>1599.9999999999995</v>
      </c>
      <c r="R45" s="134">
        <f t="shared" si="16"/>
        <v>0</v>
      </c>
      <c r="S45" s="134">
        <f t="shared" si="16"/>
        <v>0</v>
      </c>
      <c r="T45" s="134">
        <f t="shared" si="16"/>
        <v>0</v>
      </c>
      <c r="U45" s="134">
        <f t="shared" si="16"/>
        <v>0</v>
      </c>
      <c r="V45" s="134">
        <f t="shared" si="16"/>
        <v>0</v>
      </c>
      <c r="W45" s="204"/>
      <c r="X45" s="204"/>
      <c r="Y45" s="204"/>
      <c r="Z45" s="204"/>
      <c r="AA45" s="204"/>
    </row>
    <row r="46" spans="1:27" ht="14.25" x14ac:dyDescent="0.2">
      <c r="B46" s="83"/>
      <c r="C46" s="87">
        <f>C44-C45</f>
        <v>1021792.1299999997</v>
      </c>
      <c r="D46" s="87">
        <f t="shared" ref="D46:L46" si="17">D44-D45</f>
        <v>1021813.8200000003</v>
      </c>
      <c r="E46" s="87">
        <f t="shared" si="17"/>
        <v>-21.690000000000026</v>
      </c>
      <c r="F46" s="88">
        <f t="shared" si="17"/>
        <v>3826</v>
      </c>
      <c r="G46" s="88">
        <f t="shared" si="17"/>
        <v>4677</v>
      </c>
      <c r="H46" s="87">
        <f t="shared" si="17"/>
        <v>-16.448009584787087</v>
      </c>
      <c r="I46" s="87">
        <f t="shared" si="17"/>
        <v>7821.7099999999955</v>
      </c>
      <c r="J46" s="125">
        <f t="shared" si="17"/>
        <v>16.778903588051413</v>
      </c>
      <c r="K46" s="88">
        <f t="shared" si="17"/>
        <v>53012</v>
      </c>
      <c r="L46" s="89">
        <f t="shared" si="17"/>
        <v>8.3079751176353411E-3</v>
      </c>
      <c r="M46" s="21"/>
    </row>
    <row r="47" spans="1:27" ht="15.75" customHeight="1" x14ac:dyDescent="0.2">
      <c r="B47" s="84"/>
      <c r="C47" s="85">
        <f>IFERROR(1-(C45/C44),0)</f>
        <v>0.40430834496477264</v>
      </c>
      <c r="D47" s="85">
        <f t="shared" ref="D47:L47" si="18">IFERROR(1-(D45/D44),0)</f>
        <v>0.40435755098387882</v>
      </c>
      <c r="E47" s="85">
        <f t="shared" si="18"/>
        <v>-8.5427333595903931E-2</v>
      </c>
      <c r="F47" s="85">
        <f t="shared" si="18"/>
        <v>0.43645904631530918</v>
      </c>
      <c r="G47" s="85">
        <f t="shared" si="18"/>
        <v>0.44581069488132685</v>
      </c>
      <c r="H47" s="85">
        <f t="shared" si="18"/>
        <v>-5.7051224299352832E-2</v>
      </c>
      <c r="I47" s="85">
        <f t="shared" si="18"/>
        <v>0.21769677072078608</v>
      </c>
      <c r="J47" s="85">
        <f t="shared" si="18"/>
        <v>0.23854122961492041</v>
      </c>
      <c r="K47" s="85">
        <f t="shared" si="18"/>
        <v>0.33809967218133352</v>
      </c>
      <c r="L47" s="85">
        <f t="shared" si="18"/>
        <v>0.14860148877418611</v>
      </c>
      <c r="M47" s="21"/>
    </row>
    <row r="48" spans="1:27" x14ac:dyDescent="0.2"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</row>
    <row r="49" spans="1:27" ht="15" customHeight="1" x14ac:dyDescent="0.2">
      <c r="B49" s="223" t="s">
        <v>189</v>
      </c>
      <c r="C49" s="223"/>
      <c r="D49" s="223"/>
      <c r="E49" s="84"/>
      <c r="F49" s="84"/>
      <c r="G49" s="84"/>
      <c r="H49" s="84"/>
      <c r="I49" s="84"/>
      <c r="J49" s="84"/>
      <c r="K49" s="84"/>
      <c r="L49" s="84"/>
      <c r="M49" s="21"/>
    </row>
    <row r="50" spans="1:27" ht="15" thickBot="1" x14ac:dyDescent="0.25">
      <c r="B50" s="77" t="s">
        <v>153</v>
      </c>
      <c r="C50" s="78" t="s">
        <v>75</v>
      </c>
      <c r="D50" s="78" t="s">
        <v>154</v>
      </c>
      <c r="E50" s="78" t="s">
        <v>77</v>
      </c>
      <c r="F50" s="78" t="s">
        <v>78</v>
      </c>
      <c r="G50" s="78" t="s">
        <v>79</v>
      </c>
      <c r="H50" s="78" t="s">
        <v>80</v>
      </c>
      <c r="I50" s="78" t="s">
        <v>81</v>
      </c>
      <c r="J50" s="78" t="s">
        <v>82</v>
      </c>
      <c r="K50" s="78" t="s">
        <v>40</v>
      </c>
      <c r="L50" s="78" t="s">
        <v>83</v>
      </c>
      <c r="M50" s="21"/>
      <c r="N50" s="78" t="s">
        <v>85</v>
      </c>
      <c r="O50" s="78" t="s">
        <v>155</v>
      </c>
      <c r="P50" s="78" t="s">
        <v>87</v>
      </c>
      <c r="Q50" s="78" t="s">
        <v>88</v>
      </c>
      <c r="R50" s="78" t="s">
        <v>89</v>
      </c>
      <c r="S50" s="78" t="s">
        <v>90</v>
      </c>
      <c r="T50" s="78" t="s">
        <v>91</v>
      </c>
      <c r="U50" s="78" t="s">
        <v>92</v>
      </c>
    </row>
    <row r="51" spans="1:27" ht="14.25" x14ac:dyDescent="0.2">
      <c r="B51" s="79" t="str">
        <f>B44</f>
        <v>JUN/2023</v>
      </c>
      <c r="C51" s="80">
        <f>C44</f>
        <v>2527259.56</v>
      </c>
      <c r="D51" s="80">
        <f t="shared" ref="D51:U51" si="19">D44</f>
        <v>2527005.66</v>
      </c>
      <c r="E51" s="80">
        <f t="shared" si="19"/>
        <v>253.9</v>
      </c>
      <c r="F51" s="81">
        <f t="shared" si="19"/>
        <v>8766</v>
      </c>
      <c r="G51" s="81">
        <f t="shared" si="19"/>
        <v>10491</v>
      </c>
      <c r="H51" s="80">
        <f t="shared" si="19"/>
        <v>288.302482318047</v>
      </c>
      <c r="I51" s="80">
        <f t="shared" si="19"/>
        <v>35929.379999999997</v>
      </c>
      <c r="J51" s="118">
        <f t="shared" si="19"/>
        <v>70.339637366411566</v>
      </c>
      <c r="K51" s="81">
        <f t="shared" si="19"/>
        <v>156794</v>
      </c>
      <c r="L51" s="82">
        <f t="shared" si="19"/>
        <v>5.5907751572126484E-2</v>
      </c>
      <c r="M51" s="21"/>
      <c r="N51" s="80">
        <f t="shared" si="19"/>
        <v>26447.75</v>
      </c>
      <c r="O51" s="80">
        <f t="shared" si="19"/>
        <v>7122.3</v>
      </c>
      <c r="P51" s="80">
        <f t="shared" si="19"/>
        <v>0</v>
      </c>
      <c r="Q51" s="80">
        <f t="shared" si="19"/>
        <v>1599.9999999999995</v>
      </c>
      <c r="R51" s="80">
        <f t="shared" si="19"/>
        <v>16.73</v>
      </c>
      <c r="S51" s="80">
        <f t="shared" si="19"/>
        <v>742.6</v>
      </c>
      <c r="T51" s="80">
        <f t="shared" si="19"/>
        <v>0</v>
      </c>
      <c r="U51" s="80">
        <f t="shared" si="19"/>
        <v>0</v>
      </c>
    </row>
    <row r="52" spans="1:27" s="204" customFormat="1" ht="14.25" x14ac:dyDescent="0.2">
      <c r="B52" s="138" t="str">
        <f>MAI!B51</f>
        <v>MAI/2023</v>
      </c>
      <c r="C52" s="134">
        <f>DEZ!C45</f>
        <v>3470256.77</v>
      </c>
      <c r="D52" s="134">
        <f>DEZ!D45</f>
        <v>3469620.04</v>
      </c>
      <c r="E52" s="134">
        <f>DEZ!E45</f>
        <v>636.73</v>
      </c>
      <c r="F52" s="135">
        <f>DEZ!F45</f>
        <v>10887</v>
      </c>
      <c r="G52" s="135">
        <f>DEZ!G45</f>
        <v>14826</v>
      </c>
      <c r="H52" s="134">
        <f>DEZ!H45</f>
        <v>318.75234408009555</v>
      </c>
      <c r="I52" s="134">
        <f>DEZ!I45</f>
        <v>37063.610000000008</v>
      </c>
      <c r="J52" s="136">
        <f>DEZ!J45</f>
        <v>93.629756248784162</v>
      </c>
      <c r="K52" s="135">
        <f>DEZ!K45</f>
        <v>169385</v>
      </c>
      <c r="L52" s="137">
        <f>DEZ!L45</f>
        <v>6.4273696017947274E-2</v>
      </c>
      <c r="M52" s="205">
        <f>DEZ!M45</f>
        <v>0</v>
      </c>
      <c r="N52" s="134">
        <f>DEZ!N45</f>
        <v>24316.789999999994</v>
      </c>
      <c r="O52" s="134">
        <f>DEZ!O45</f>
        <v>11146.819999999998</v>
      </c>
      <c r="P52" s="134">
        <f>DEZ!P45</f>
        <v>0</v>
      </c>
      <c r="Q52" s="134">
        <f>DEZ!Q45</f>
        <v>1599.9999999999989</v>
      </c>
      <c r="R52" s="134">
        <f>DEZ!R45</f>
        <v>0</v>
      </c>
      <c r="S52" s="134">
        <f>DEZ!S45</f>
        <v>0</v>
      </c>
      <c r="T52" s="134">
        <f>DEZ!T45</f>
        <v>0</v>
      </c>
      <c r="U52" s="134">
        <f>DEZ!U45</f>
        <v>0</v>
      </c>
    </row>
    <row r="53" spans="1:27" ht="14.25" x14ac:dyDescent="0.2">
      <c r="B53" s="83"/>
      <c r="C53" s="87">
        <f t="shared" ref="C53:L53" si="20">C51-C52</f>
        <v>-942997.21</v>
      </c>
      <c r="D53" s="87">
        <f t="shared" si="20"/>
        <v>-942614.37999999989</v>
      </c>
      <c r="E53" s="87">
        <f t="shared" si="20"/>
        <v>-382.83000000000004</v>
      </c>
      <c r="F53" s="88">
        <f t="shared" si="20"/>
        <v>-2121</v>
      </c>
      <c r="G53" s="88">
        <f t="shared" si="20"/>
        <v>-4335</v>
      </c>
      <c r="H53" s="87">
        <f t="shared" si="20"/>
        <v>-30.449861762048556</v>
      </c>
      <c r="I53" s="87">
        <f t="shared" si="20"/>
        <v>-1134.2300000000105</v>
      </c>
      <c r="J53" s="125">
        <f t="shared" si="20"/>
        <v>-23.290118882372596</v>
      </c>
      <c r="K53" s="88">
        <f t="shared" si="20"/>
        <v>-12591</v>
      </c>
      <c r="L53" s="89">
        <f t="shared" si="20"/>
        <v>-8.3659444458207902E-3</v>
      </c>
      <c r="M53" s="21"/>
      <c r="N53" s="87">
        <f t="shared" ref="N53:U53" si="21">N51-N52</f>
        <v>2130.9600000000064</v>
      </c>
      <c r="O53" s="87">
        <f t="shared" si="21"/>
        <v>-4024.5199999999977</v>
      </c>
      <c r="P53" s="87">
        <f t="shared" si="21"/>
        <v>0</v>
      </c>
      <c r="Q53" s="87">
        <f t="shared" si="21"/>
        <v>0</v>
      </c>
      <c r="R53" s="87">
        <f t="shared" si="21"/>
        <v>16.73</v>
      </c>
      <c r="S53" s="87">
        <f t="shared" si="21"/>
        <v>742.6</v>
      </c>
      <c r="T53" s="87">
        <f t="shared" si="21"/>
        <v>0</v>
      </c>
      <c r="U53" s="87">
        <f t="shared" si="21"/>
        <v>0</v>
      </c>
    </row>
    <row r="54" spans="1:27" ht="14.25" x14ac:dyDescent="0.2">
      <c r="B54" s="84"/>
      <c r="C54" s="85">
        <f>IFERROR(1-(C52/C51),0)</f>
        <v>-0.37313033648194005</v>
      </c>
      <c r="D54" s="85">
        <f t="shared" ref="D54:L54" si="22">IFERROR(1-(D52/D51),0)</f>
        <v>-0.37301633111498456</v>
      </c>
      <c r="E54" s="85">
        <f t="shared" si="22"/>
        <v>-1.5077983458054351</v>
      </c>
      <c r="F54" s="85">
        <f t="shared" si="22"/>
        <v>-0.2419575633127995</v>
      </c>
      <c r="G54" s="85">
        <f t="shared" si="22"/>
        <v>-0.41321132399199323</v>
      </c>
      <c r="H54" s="85">
        <f t="shared" si="22"/>
        <v>-0.10561775783968841</v>
      </c>
      <c r="I54" s="85">
        <f t="shared" si="22"/>
        <v>-3.1568315400934077E-2</v>
      </c>
      <c r="J54" s="85">
        <f t="shared" si="22"/>
        <v>-0.33110945342311426</v>
      </c>
      <c r="K54" s="85">
        <f t="shared" si="22"/>
        <v>-8.0302817709861252E-2</v>
      </c>
      <c r="L54" s="85">
        <f t="shared" si="22"/>
        <v>-0.14963836338558356</v>
      </c>
      <c r="M54" s="21"/>
      <c r="N54" s="85">
        <f t="shared" ref="N54:U54" si="23">IFERROR(1-(N52/N51),0)</f>
        <v>8.0572449452222084E-2</v>
      </c>
      <c r="O54" s="85">
        <f t="shared" si="23"/>
        <v>-0.56505903991688045</v>
      </c>
      <c r="P54" s="85">
        <f t="shared" si="23"/>
        <v>0</v>
      </c>
      <c r="Q54" s="85">
        <f t="shared" si="23"/>
        <v>4.4408920985006262E-16</v>
      </c>
      <c r="R54" s="85">
        <f t="shared" si="23"/>
        <v>1</v>
      </c>
      <c r="S54" s="85">
        <f t="shared" si="23"/>
        <v>1</v>
      </c>
      <c r="T54" s="85">
        <f t="shared" si="23"/>
        <v>0</v>
      </c>
      <c r="U54" s="85">
        <f t="shared" si="23"/>
        <v>0</v>
      </c>
    </row>
    <row r="57" spans="1:27" x14ac:dyDescent="0.2">
      <c r="B57" s="223" t="s">
        <v>191</v>
      </c>
      <c r="C57" s="223"/>
      <c r="D57" s="223"/>
      <c r="E57" s="84"/>
      <c r="F57" s="84"/>
      <c r="G57" s="84"/>
      <c r="H57" s="84"/>
      <c r="I57" s="84"/>
      <c r="J57" s="84"/>
      <c r="K57" s="84"/>
      <c r="L57" s="84"/>
      <c r="M57" s="150"/>
    </row>
    <row r="58" spans="1:27" ht="13.5" thickBot="1" x14ac:dyDescent="0.25">
      <c r="B58" s="77" t="s">
        <v>153</v>
      </c>
      <c r="C58" s="78" t="s">
        <v>75</v>
      </c>
      <c r="D58" s="78" t="s">
        <v>154</v>
      </c>
      <c r="E58" s="78" t="s">
        <v>77</v>
      </c>
      <c r="F58" s="78" t="s">
        <v>78</v>
      </c>
      <c r="G58" s="78" t="s">
        <v>79</v>
      </c>
      <c r="H58" s="78" t="s">
        <v>80</v>
      </c>
      <c r="I58" s="78" t="s">
        <v>81</v>
      </c>
      <c r="J58" s="78" t="s">
        <v>82</v>
      </c>
      <c r="K58" s="78" t="s">
        <v>40</v>
      </c>
      <c r="L58" s="78" t="s">
        <v>83</v>
      </c>
      <c r="M58" s="150"/>
      <c r="N58" s="78" t="s">
        <v>85</v>
      </c>
      <c r="O58" s="78" t="s">
        <v>155</v>
      </c>
      <c r="P58" s="78" t="s">
        <v>87</v>
      </c>
      <c r="Q58" s="78" t="s">
        <v>88</v>
      </c>
      <c r="R58" s="78" t="s">
        <v>89</v>
      </c>
      <c r="S58" s="78" t="s">
        <v>90</v>
      </c>
      <c r="T58" s="78" t="s">
        <v>91</v>
      </c>
      <c r="U58" s="78" t="s">
        <v>92</v>
      </c>
    </row>
    <row r="59" spans="1:27" x14ac:dyDescent="0.2">
      <c r="B59" s="79" t="str">
        <f>B52</f>
        <v>MAI/2023</v>
      </c>
      <c r="C59" s="80">
        <f>C44</f>
        <v>2527259.56</v>
      </c>
      <c r="D59" s="80">
        <f t="shared" ref="D59:L59" si="24">D51</f>
        <v>2527005.66</v>
      </c>
      <c r="E59" s="80">
        <f t="shared" si="24"/>
        <v>253.9</v>
      </c>
      <c r="F59" s="81">
        <f t="shared" si="24"/>
        <v>8766</v>
      </c>
      <c r="G59" s="81">
        <f t="shared" si="24"/>
        <v>10491</v>
      </c>
      <c r="H59" s="80">
        <f t="shared" si="24"/>
        <v>288.302482318047</v>
      </c>
      <c r="I59" s="80">
        <f t="shared" si="24"/>
        <v>35929.379999999997</v>
      </c>
      <c r="J59" s="118">
        <f t="shared" si="24"/>
        <v>70.339637366411566</v>
      </c>
      <c r="K59" s="81">
        <f t="shared" si="24"/>
        <v>156794</v>
      </c>
      <c r="L59" s="82">
        <f t="shared" si="24"/>
        <v>5.5907751572126484E-2</v>
      </c>
      <c r="M59" s="150"/>
      <c r="N59" s="80">
        <f t="shared" ref="N59:U59" si="25">N51</f>
        <v>26447.75</v>
      </c>
      <c r="O59" s="80">
        <f t="shared" si="25"/>
        <v>7122.3</v>
      </c>
      <c r="P59" s="80">
        <f t="shared" si="25"/>
        <v>0</v>
      </c>
      <c r="Q59" s="80">
        <f t="shared" si="25"/>
        <v>1599.9999999999995</v>
      </c>
      <c r="R59" s="80">
        <f t="shared" si="25"/>
        <v>16.73</v>
      </c>
      <c r="S59" s="80">
        <f t="shared" si="25"/>
        <v>742.6</v>
      </c>
      <c r="T59" s="80">
        <f t="shared" si="25"/>
        <v>0</v>
      </c>
      <c r="U59" s="80">
        <f t="shared" si="25"/>
        <v>0</v>
      </c>
    </row>
    <row r="60" spans="1:27" ht="14.25" x14ac:dyDescent="0.2">
      <c r="A60" s="128">
        <f ca="1">TODAY()</f>
        <v>45834</v>
      </c>
      <c r="B60" s="138" t="str">
        <f>B45</f>
        <v>JUN/2022</v>
      </c>
      <c r="C60" s="134">
        <f ca="1">SUMIF($A$64:$A$93,"Realizado",C64:C93)</f>
        <v>1505467.4300000004</v>
      </c>
      <c r="D60" s="134">
        <f ca="1">SUMIF($A$64:$A$93,"Realizado",D64:D93)</f>
        <v>1505191.8399999999</v>
      </c>
      <c r="E60" s="134">
        <f ca="1">SUMIF($A$64:$A$93,"Realizado",E64:E93)</f>
        <v>275.59000000000003</v>
      </c>
      <c r="F60" s="135">
        <f ca="1">SUMIF($A$64:$A$93,"Realizado",F64:F93)</f>
        <v>4940</v>
      </c>
      <c r="G60" s="135">
        <f ca="1">SUMIF($A$64:$A$93,"Realizado",G64:G93)</f>
        <v>5814</v>
      </c>
      <c r="H60" s="134">
        <f ca="1">C60/F60</f>
        <v>304.75049190283409</v>
      </c>
      <c r="I60" s="134">
        <f ca="1">SUMIF($A$64:$A$93,"Realizado",I64:I93)</f>
        <v>28107.670000000002</v>
      </c>
      <c r="J60" s="136">
        <f ca="1">C60/I60</f>
        <v>53.560733778360152</v>
      </c>
      <c r="K60" s="135">
        <f ca="1">SUMIF($A$64:$A$93,"Realizado",K64:K93)</f>
        <v>103782</v>
      </c>
      <c r="L60" s="137">
        <f ca="1">F60/K60</f>
        <v>4.7599776454491143E-2</v>
      </c>
      <c r="M60" s="21"/>
      <c r="N60" s="134">
        <f ca="1">SUMIF($A$64:$A$93,"Realizado",N64:N93)</f>
        <v>17906.95</v>
      </c>
      <c r="O60" s="134">
        <f t="shared" ref="O60:U60" ca="1" si="26">SUMIF($A$64:$A$93,"Realizado",O64:O93)</f>
        <v>8600.720000000003</v>
      </c>
      <c r="P60" s="134">
        <f t="shared" ca="1" si="26"/>
        <v>0</v>
      </c>
      <c r="Q60" s="134">
        <f t="shared" ca="1" si="26"/>
        <v>1599.9999999999995</v>
      </c>
      <c r="R60" s="134">
        <f t="shared" ca="1" si="26"/>
        <v>0</v>
      </c>
      <c r="S60" s="134">
        <f t="shared" ca="1" si="26"/>
        <v>0</v>
      </c>
      <c r="T60" s="134">
        <f t="shared" ca="1" si="26"/>
        <v>0</v>
      </c>
      <c r="U60" s="134">
        <f t="shared" ca="1" si="26"/>
        <v>0</v>
      </c>
    </row>
    <row r="61" spans="1:27" x14ac:dyDescent="0.2">
      <c r="B61" s="83"/>
      <c r="C61" s="87">
        <f t="shared" ref="C61:L61" ca="1" si="27">C59-C60</f>
        <v>1021792.1299999997</v>
      </c>
      <c r="D61" s="87">
        <f t="shared" ca="1" si="27"/>
        <v>1021813.8200000003</v>
      </c>
      <c r="E61" s="87">
        <f t="shared" ca="1" si="27"/>
        <v>-21.690000000000026</v>
      </c>
      <c r="F61" s="88">
        <f t="shared" ca="1" si="27"/>
        <v>3826</v>
      </c>
      <c r="G61" s="88">
        <f t="shared" ca="1" si="27"/>
        <v>4677</v>
      </c>
      <c r="H61" s="87">
        <f t="shared" ca="1" si="27"/>
        <v>-16.448009584787087</v>
      </c>
      <c r="I61" s="87">
        <f t="shared" ca="1" si="27"/>
        <v>7821.7099999999955</v>
      </c>
      <c r="J61" s="125">
        <f t="shared" ca="1" si="27"/>
        <v>16.778903588051413</v>
      </c>
      <c r="K61" s="88">
        <f t="shared" ca="1" si="27"/>
        <v>53012</v>
      </c>
      <c r="L61" s="89">
        <f t="shared" ca="1" si="27"/>
        <v>8.3079751176353411E-3</v>
      </c>
      <c r="M61" s="150"/>
      <c r="N61" s="87">
        <f t="shared" ref="N61:U61" ca="1" si="28">N59-N60</f>
        <v>8540.7999999999993</v>
      </c>
      <c r="O61" s="87">
        <f t="shared" ca="1" si="28"/>
        <v>-1478.4200000000028</v>
      </c>
      <c r="P61" s="87">
        <f t="shared" ca="1" si="28"/>
        <v>0</v>
      </c>
      <c r="Q61" s="87">
        <f t="shared" ca="1" si="28"/>
        <v>0</v>
      </c>
      <c r="R61" s="87">
        <f t="shared" ca="1" si="28"/>
        <v>16.73</v>
      </c>
      <c r="S61" s="87">
        <f t="shared" ca="1" si="28"/>
        <v>742.6</v>
      </c>
      <c r="T61" s="87">
        <f t="shared" ca="1" si="28"/>
        <v>0</v>
      </c>
      <c r="U61" s="87">
        <f t="shared" ca="1" si="28"/>
        <v>0</v>
      </c>
    </row>
    <row r="62" spans="1:27" x14ac:dyDescent="0.2">
      <c r="B62" s="84"/>
      <c r="C62" s="85">
        <f ca="1">IFERROR(1-(C60/C59),0)</f>
        <v>0.40430834496477264</v>
      </c>
      <c r="D62" s="85">
        <f t="shared" ref="D62:L62" ca="1" si="29">IFERROR(1-(D60/D59),0)</f>
        <v>0.40435755098387882</v>
      </c>
      <c r="E62" s="85">
        <f t="shared" ca="1" si="29"/>
        <v>-8.5427333595903931E-2</v>
      </c>
      <c r="F62" s="85">
        <f t="shared" ca="1" si="29"/>
        <v>0.43645904631530918</v>
      </c>
      <c r="G62" s="85">
        <f t="shared" ca="1" si="29"/>
        <v>0.44581069488132685</v>
      </c>
      <c r="H62" s="85">
        <f t="shared" ca="1" si="29"/>
        <v>-5.7051224299352832E-2</v>
      </c>
      <c r="I62" s="85">
        <f t="shared" ca="1" si="29"/>
        <v>0.21769677072078608</v>
      </c>
      <c r="J62" s="85">
        <f t="shared" ca="1" si="29"/>
        <v>0.23854122961492041</v>
      </c>
      <c r="K62" s="85">
        <f t="shared" ca="1" si="29"/>
        <v>0.33809967218133352</v>
      </c>
      <c r="L62" s="85">
        <f t="shared" ca="1" si="29"/>
        <v>0.14860148877418611</v>
      </c>
      <c r="M62" s="150"/>
      <c r="N62" s="85">
        <f t="shared" ref="N62:U62" ca="1" si="30">IFERROR(1-(N60/N59),0)</f>
        <v>0.32293106218865497</v>
      </c>
      <c r="O62" s="85">
        <f t="shared" ca="1" si="30"/>
        <v>-0.20757620431602186</v>
      </c>
      <c r="P62" s="85">
        <f t="shared" ca="1" si="30"/>
        <v>0</v>
      </c>
      <c r="Q62" s="85">
        <f t="shared" ca="1" si="30"/>
        <v>0</v>
      </c>
      <c r="R62" s="85">
        <f t="shared" ca="1" si="30"/>
        <v>1</v>
      </c>
      <c r="S62" s="85">
        <f t="shared" ca="1" si="30"/>
        <v>1</v>
      </c>
      <c r="T62" s="85">
        <f t="shared" ca="1" si="30"/>
        <v>0</v>
      </c>
      <c r="U62" s="85">
        <f t="shared" ca="1" si="30"/>
        <v>0</v>
      </c>
    </row>
    <row r="63" spans="1:27" hidden="1" x14ac:dyDescent="0.2">
      <c r="A63" s="180">
        <f ca="1">TODAY()</f>
        <v>45834</v>
      </c>
      <c r="B63" s="201"/>
    </row>
    <row r="64" spans="1:27" hidden="1" x14ac:dyDescent="0.2">
      <c r="A64" s="17" t="str">
        <f t="shared" ref="A64:A68" ca="1" si="31">IF($A$63&lt;=AA64,"Previsto","Realizado")</f>
        <v>Realizado</v>
      </c>
      <c r="B64" s="17">
        <v>44713</v>
      </c>
      <c r="C64" s="19">
        <f t="shared" ref="C64:C94" si="32">D64+E64</f>
        <v>49373.24</v>
      </c>
      <c r="D64" s="35">
        <f>_xlfn.XLOOKUP($B:$B,'Compilado 2023'!$B:$B,'Compilado 2023'!D:D)</f>
        <v>49373.24</v>
      </c>
      <c r="E64" s="35">
        <f>_xlfn.XLOOKUP($B:$B,'Compilado 2023'!$B:$B,'Compilado 2023'!E:E)</f>
        <v>0</v>
      </c>
      <c r="F64" s="18">
        <f>_xlfn.XLOOKUP($B:$B,'Compilado 2023'!$B:$B,'Compilado 2023'!F:F)</f>
        <v>152</v>
      </c>
      <c r="G64" s="18">
        <f>_xlfn.XLOOKUP($B:$B,'Compilado 2023'!$B:$B,'Compilado 2023'!G:G)</f>
        <v>169</v>
      </c>
      <c r="H64" s="35">
        <f t="shared" ref="H64:H94" si="33">IFERROR(C64/F64,0)</f>
        <v>324.82394736842105</v>
      </c>
      <c r="I64" s="19">
        <f t="shared" ref="I64:I94" si="34">SUM(N64:U64)</f>
        <v>776.44333333333338</v>
      </c>
      <c r="J64" s="122">
        <f t="shared" ref="J64:J94" si="35">IF(I64&gt;0,C64/I64,0)</f>
        <v>63.588980522296104</v>
      </c>
      <c r="K64" s="18">
        <f>_xlfn.XLOOKUP($B:$B,'Compilado 2023'!$B:$B,'Compilado 2023'!K:K)</f>
        <v>4342</v>
      </c>
      <c r="L64" s="54">
        <f t="shared" ref="L64:L94" si="36">IFERROR(F64/K64,0)</f>
        <v>3.5006909258406264E-2</v>
      </c>
      <c r="M64" s="149"/>
      <c r="N64" s="106">
        <f>_xlfn.XLOOKUP($B:$B,'Compilado 2023'!$B:$B,'Compilado 2023'!N:N)</f>
        <v>534.61</v>
      </c>
      <c r="O64" s="106">
        <f>_xlfn.XLOOKUP($B:$B,'Compilado 2023'!$B:$B,'Compilado 2023'!O:O)</f>
        <v>188.5</v>
      </c>
      <c r="P64" s="106">
        <f>_xlfn.XLOOKUP($B:$B,'Compilado 2023'!$B:$B,'Compilado 2023'!P:P)</f>
        <v>0</v>
      </c>
      <c r="Q64" s="106">
        <f>_xlfn.XLOOKUP($B:$B,'Compilado 2023'!$B:$B,'Compilado 2023'!Q:Q)</f>
        <v>53.333333333333336</v>
      </c>
      <c r="R64" s="106">
        <f>_xlfn.XLOOKUP($B:$B,'Compilado 2023'!$B:$B,'Compilado 2023'!R:R)</f>
        <v>0</v>
      </c>
      <c r="S64" s="106">
        <f>_xlfn.XLOOKUP($B:$B,'Compilado 2023'!$B:$B,'Compilado 2023'!T:T)</f>
        <v>0</v>
      </c>
      <c r="T64" s="106">
        <f>_xlfn.XLOOKUP($B:$B,'Compilado 2023'!$B:$B,'Compilado 2023'!U:U)</f>
        <v>0</v>
      </c>
      <c r="U64" s="106">
        <f>_xlfn.XLOOKUP($B:$B,'Compilado 2023'!$B:$B,'Compilado 2023'!V:V)</f>
        <v>0</v>
      </c>
      <c r="V64" s="57"/>
      <c r="W64" s="106">
        <f>_xlfn.XLOOKUP($B:$B,'Compilado 2023'!$B:$B,'Compilado 2023'!X:X)</f>
        <v>0</v>
      </c>
      <c r="X64" s="106">
        <f>_xlfn.XLOOKUP($B:$B,'Compilado 2023'!$B:$B,'Compilado 2023'!Y:Y)</f>
        <v>0</v>
      </c>
      <c r="Y64" s="106">
        <f>_xlfn.XLOOKUP($B:$B,'Compilado 2023'!$B:$B,'Compilado 2023'!Z:Z)</f>
        <v>0</v>
      </c>
      <c r="AA64" s="208">
        <v>45108</v>
      </c>
    </row>
    <row r="65" spans="1:27" hidden="1" x14ac:dyDescent="0.2">
      <c r="A65" s="17" t="str">
        <f t="shared" ca="1" si="31"/>
        <v>Realizado</v>
      </c>
      <c r="B65" s="17">
        <v>44714</v>
      </c>
      <c r="C65" s="19">
        <f t="shared" si="32"/>
        <v>51427.799999999996</v>
      </c>
      <c r="D65" s="35">
        <f>_xlfn.XLOOKUP($B:$B,'Compilado 2023'!$B:$B,'Compilado 2023'!D:D)</f>
        <v>51405.49</v>
      </c>
      <c r="E65" s="35">
        <f>_xlfn.XLOOKUP($B:$B,'Compilado 2023'!$B:$B,'Compilado 2023'!E:E)</f>
        <v>22.31</v>
      </c>
      <c r="F65" s="18">
        <f>_xlfn.XLOOKUP($B:$B,'Compilado 2023'!$B:$B,'Compilado 2023'!F:F)</f>
        <v>164</v>
      </c>
      <c r="G65" s="18">
        <f>_xlfn.XLOOKUP($B:$B,'Compilado 2023'!$B:$B,'Compilado 2023'!G:G)</f>
        <v>186</v>
      </c>
      <c r="H65" s="35">
        <f t="shared" si="33"/>
        <v>313.58414634146339</v>
      </c>
      <c r="I65" s="19">
        <f t="shared" si="34"/>
        <v>781.31333333333339</v>
      </c>
      <c r="J65" s="122">
        <f t="shared" si="35"/>
        <v>65.822248009761338</v>
      </c>
      <c r="K65" s="18">
        <f>_xlfn.XLOOKUP($B:$B,'Compilado 2023'!$B:$B,'Compilado 2023'!K:K)</f>
        <v>4311</v>
      </c>
      <c r="L65" s="54">
        <f t="shared" si="36"/>
        <v>3.8042217582927397E-2</v>
      </c>
      <c r="M65" s="149"/>
      <c r="N65" s="106">
        <f>_xlfn.XLOOKUP($B:$B,'Compilado 2023'!$B:$B,'Compilado 2023'!N:N)</f>
        <v>541.01</v>
      </c>
      <c r="O65" s="106">
        <f>_xlfn.XLOOKUP($B:$B,'Compilado 2023'!$B:$B,'Compilado 2023'!O:O)</f>
        <v>186.97</v>
      </c>
      <c r="P65" s="106">
        <f>_xlfn.XLOOKUP($B:$B,'Compilado 2023'!$B:$B,'Compilado 2023'!P:P)</f>
        <v>0</v>
      </c>
      <c r="Q65" s="106">
        <f>_xlfn.XLOOKUP($B:$B,'Compilado 2023'!$B:$B,'Compilado 2023'!Q:Q)</f>
        <v>53.333333333333336</v>
      </c>
      <c r="R65" s="106">
        <f>_xlfn.XLOOKUP($B:$B,'Compilado 2023'!$B:$B,'Compilado 2023'!R:R)</f>
        <v>0</v>
      </c>
      <c r="S65" s="106">
        <f>_xlfn.XLOOKUP($B:$B,'Compilado 2023'!$B:$B,'Compilado 2023'!T:T)</f>
        <v>0</v>
      </c>
      <c r="T65" s="106">
        <f>_xlfn.XLOOKUP($B:$B,'Compilado 2023'!$B:$B,'Compilado 2023'!U:U)</f>
        <v>0</v>
      </c>
      <c r="U65" s="106">
        <f>_xlfn.XLOOKUP($B:$B,'Compilado 2023'!$B:$B,'Compilado 2023'!V:V)</f>
        <v>0</v>
      </c>
      <c r="V65" s="57"/>
      <c r="W65" s="106">
        <f>_xlfn.XLOOKUP($B:$B,'Compilado 2023'!$B:$B,'Compilado 2023'!X:X)</f>
        <v>0</v>
      </c>
      <c r="X65" s="106">
        <f>_xlfn.XLOOKUP($B:$B,'Compilado 2023'!$B:$B,'Compilado 2023'!Y:Y)</f>
        <v>0</v>
      </c>
      <c r="Y65" s="106">
        <f>_xlfn.XLOOKUP($B:$B,'Compilado 2023'!$B:$B,'Compilado 2023'!Z:Z)</f>
        <v>0</v>
      </c>
      <c r="AA65" s="208">
        <v>45109</v>
      </c>
    </row>
    <row r="66" spans="1:27" hidden="1" x14ac:dyDescent="0.2">
      <c r="A66" s="17" t="str">
        <f t="shared" ca="1" si="31"/>
        <v>Realizado</v>
      </c>
      <c r="B66" s="17">
        <v>44715</v>
      </c>
      <c r="C66" s="19">
        <f t="shared" si="32"/>
        <v>50800.02</v>
      </c>
      <c r="D66" s="35">
        <f>_xlfn.XLOOKUP($B:$B,'Compilado 2023'!$B:$B,'Compilado 2023'!D:D)</f>
        <v>50733.2</v>
      </c>
      <c r="E66" s="35">
        <f>_xlfn.XLOOKUP($B:$B,'Compilado 2023'!$B:$B,'Compilado 2023'!E:E)</f>
        <v>66.819999999999993</v>
      </c>
      <c r="F66" s="18">
        <f>_xlfn.XLOOKUP($B:$B,'Compilado 2023'!$B:$B,'Compilado 2023'!F:F)</f>
        <v>167</v>
      </c>
      <c r="G66" s="18">
        <f>_xlfn.XLOOKUP($B:$B,'Compilado 2023'!$B:$B,'Compilado 2023'!G:G)</f>
        <v>201</v>
      </c>
      <c r="H66" s="35">
        <f t="shared" si="33"/>
        <v>304.1917365269461</v>
      </c>
      <c r="I66" s="19">
        <f t="shared" si="34"/>
        <v>859.19333333333338</v>
      </c>
      <c r="J66" s="122">
        <f t="shared" si="35"/>
        <v>59.125249264814279</v>
      </c>
      <c r="K66" s="18">
        <f>_xlfn.XLOOKUP($B:$B,'Compilado 2023'!$B:$B,'Compilado 2023'!K:K)</f>
        <v>3998</v>
      </c>
      <c r="L66" s="54">
        <f t="shared" si="36"/>
        <v>4.177088544272136E-2</v>
      </c>
      <c r="M66" s="149"/>
      <c r="N66" s="106">
        <f>_xlfn.XLOOKUP($B:$B,'Compilado 2023'!$B:$B,'Compilado 2023'!N:N)</f>
        <v>609.19000000000005</v>
      </c>
      <c r="O66" s="106">
        <f>_xlfn.XLOOKUP($B:$B,'Compilado 2023'!$B:$B,'Compilado 2023'!O:O)</f>
        <v>196.67</v>
      </c>
      <c r="P66" s="106">
        <f>_xlfn.XLOOKUP($B:$B,'Compilado 2023'!$B:$B,'Compilado 2023'!P:P)</f>
        <v>0</v>
      </c>
      <c r="Q66" s="106">
        <f>_xlfn.XLOOKUP($B:$B,'Compilado 2023'!$B:$B,'Compilado 2023'!Q:Q)</f>
        <v>53.333333333333336</v>
      </c>
      <c r="R66" s="106">
        <f>_xlfn.XLOOKUP($B:$B,'Compilado 2023'!$B:$B,'Compilado 2023'!R:R)</f>
        <v>0</v>
      </c>
      <c r="S66" s="106">
        <f>_xlfn.XLOOKUP($B:$B,'Compilado 2023'!$B:$B,'Compilado 2023'!T:T)</f>
        <v>0</v>
      </c>
      <c r="T66" s="106">
        <f>_xlfn.XLOOKUP($B:$B,'Compilado 2023'!$B:$B,'Compilado 2023'!U:U)</f>
        <v>0</v>
      </c>
      <c r="U66" s="106">
        <f>_xlfn.XLOOKUP($B:$B,'Compilado 2023'!$B:$B,'Compilado 2023'!V:V)</f>
        <v>0</v>
      </c>
      <c r="V66" s="57"/>
      <c r="W66" s="106">
        <f>_xlfn.XLOOKUP($B:$B,'Compilado 2023'!$B:$B,'Compilado 2023'!X:X)</f>
        <v>0</v>
      </c>
      <c r="X66" s="106">
        <f>_xlfn.XLOOKUP($B:$B,'Compilado 2023'!$B:$B,'Compilado 2023'!Y:Y)</f>
        <v>0</v>
      </c>
      <c r="Y66" s="106">
        <f>_xlfn.XLOOKUP($B:$B,'Compilado 2023'!$B:$B,'Compilado 2023'!Z:Z)</f>
        <v>0</v>
      </c>
      <c r="AA66" s="208">
        <v>45110</v>
      </c>
    </row>
    <row r="67" spans="1:27" hidden="1" x14ac:dyDescent="0.2">
      <c r="A67" s="17" t="str">
        <f t="shared" ca="1" si="31"/>
        <v>Realizado</v>
      </c>
      <c r="B67" s="17">
        <v>44716</v>
      </c>
      <c r="C67" s="19">
        <f t="shared" si="32"/>
        <v>33834</v>
      </c>
      <c r="D67" s="35">
        <f>_xlfn.XLOOKUP($B:$B,'Compilado 2023'!$B:$B,'Compilado 2023'!D:D)</f>
        <v>33834</v>
      </c>
      <c r="E67" s="35">
        <f>_xlfn.XLOOKUP($B:$B,'Compilado 2023'!$B:$B,'Compilado 2023'!E:E)</f>
        <v>0</v>
      </c>
      <c r="F67" s="18">
        <f>_xlfn.XLOOKUP($B:$B,'Compilado 2023'!$B:$B,'Compilado 2023'!F:F)</f>
        <v>113</v>
      </c>
      <c r="G67" s="18">
        <f>_xlfn.XLOOKUP($B:$B,'Compilado 2023'!$B:$B,'Compilado 2023'!G:G)</f>
        <v>118</v>
      </c>
      <c r="H67" s="35">
        <f t="shared" si="33"/>
        <v>299.4159292035398</v>
      </c>
      <c r="I67" s="19">
        <f t="shared" si="34"/>
        <v>810.69333333333338</v>
      </c>
      <c r="J67" s="122">
        <f t="shared" si="35"/>
        <v>41.734646886615572</v>
      </c>
      <c r="K67" s="18">
        <f>_xlfn.XLOOKUP($B:$B,'Compilado 2023'!$B:$B,'Compilado 2023'!K:K)</f>
        <v>3039</v>
      </c>
      <c r="L67" s="54">
        <f t="shared" si="36"/>
        <v>3.7183283974991772E-2</v>
      </c>
      <c r="M67" s="149"/>
      <c r="N67" s="106">
        <f>_xlfn.XLOOKUP($B:$B,'Compilado 2023'!$B:$B,'Compilado 2023'!N:N)</f>
        <v>557.59</v>
      </c>
      <c r="O67" s="106">
        <f>_xlfn.XLOOKUP($B:$B,'Compilado 2023'!$B:$B,'Compilado 2023'!O:O)</f>
        <v>199.77</v>
      </c>
      <c r="P67" s="106">
        <f>_xlfn.XLOOKUP($B:$B,'Compilado 2023'!$B:$B,'Compilado 2023'!P:P)</f>
        <v>0</v>
      </c>
      <c r="Q67" s="106">
        <f>_xlfn.XLOOKUP($B:$B,'Compilado 2023'!$B:$B,'Compilado 2023'!Q:Q)</f>
        <v>53.333333333333336</v>
      </c>
      <c r="R67" s="106">
        <f>_xlfn.XLOOKUP($B:$B,'Compilado 2023'!$B:$B,'Compilado 2023'!R:R)</f>
        <v>0</v>
      </c>
      <c r="S67" s="106">
        <f>_xlfn.XLOOKUP($B:$B,'Compilado 2023'!$B:$B,'Compilado 2023'!T:T)</f>
        <v>0</v>
      </c>
      <c r="T67" s="106">
        <f>_xlfn.XLOOKUP($B:$B,'Compilado 2023'!$B:$B,'Compilado 2023'!U:U)</f>
        <v>0</v>
      </c>
      <c r="U67" s="106">
        <f>_xlfn.XLOOKUP($B:$B,'Compilado 2023'!$B:$B,'Compilado 2023'!V:V)</f>
        <v>0</v>
      </c>
      <c r="V67" s="57"/>
      <c r="W67" s="106">
        <f>_xlfn.XLOOKUP($B:$B,'Compilado 2023'!$B:$B,'Compilado 2023'!X:X)</f>
        <v>0</v>
      </c>
      <c r="X67" s="106">
        <f>_xlfn.XLOOKUP($B:$B,'Compilado 2023'!$B:$B,'Compilado 2023'!Y:Y)</f>
        <v>0</v>
      </c>
      <c r="Y67" s="106">
        <f>_xlfn.XLOOKUP($B:$B,'Compilado 2023'!$B:$B,'Compilado 2023'!Z:Z)</f>
        <v>0</v>
      </c>
      <c r="AA67" s="208">
        <v>45111</v>
      </c>
    </row>
    <row r="68" spans="1:27" hidden="1" x14ac:dyDescent="0.2">
      <c r="A68" s="17" t="str">
        <f t="shared" ca="1" si="31"/>
        <v>Realizado</v>
      </c>
      <c r="B68" s="17">
        <v>44717</v>
      </c>
      <c r="C68" s="19">
        <f t="shared" si="32"/>
        <v>25679.15</v>
      </c>
      <c r="D68" s="35">
        <f>_xlfn.XLOOKUP($B:$B,'Compilado 2023'!$B:$B,'Compilado 2023'!D:D)</f>
        <v>25679.15</v>
      </c>
      <c r="E68" s="35">
        <f>_xlfn.XLOOKUP($B:$B,'Compilado 2023'!$B:$B,'Compilado 2023'!E:E)</f>
        <v>0</v>
      </c>
      <c r="F68" s="18">
        <f>_xlfn.XLOOKUP($B:$B,'Compilado 2023'!$B:$B,'Compilado 2023'!F:F)</f>
        <v>89</v>
      </c>
      <c r="G68" s="18">
        <f>_xlfn.XLOOKUP($B:$B,'Compilado 2023'!$B:$B,'Compilado 2023'!G:G)</f>
        <v>92</v>
      </c>
      <c r="H68" s="35">
        <f t="shared" si="33"/>
        <v>288.52977528089889</v>
      </c>
      <c r="I68" s="19">
        <f t="shared" si="34"/>
        <v>802.38333333333333</v>
      </c>
      <c r="J68" s="122">
        <f t="shared" si="35"/>
        <v>32.003593461146998</v>
      </c>
      <c r="K68" s="18">
        <f>_xlfn.XLOOKUP($B:$B,'Compilado 2023'!$B:$B,'Compilado 2023'!K:K)</f>
        <v>2780</v>
      </c>
      <c r="L68" s="54">
        <f t="shared" si="36"/>
        <v>3.201438848920863E-2</v>
      </c>
      <c r="M68" s="149"/>
      <c r="N68" s="106">
        <f>_xlfn.XLOOKUP($B:$B,'Compilado 2023'!$B:$B,'Compilado 2023'!N:N)</f>
        <v>533.51</v>
      </c>
      <c r="O68" s="106">
        <f>_xlfn.XLOOKUP($B:$B,'Compilado 2023'!$B:$B,'Compilado 2023'!O:O)</f>
        <v>215.54</v>
      </c>
      <c r="P68" s="106">
        <f>_xlfn.XLOOKUP($B:$B,'Compilado 2023'!$B:$B,'Compilado 2023'!P:P)</f>
        <v>0</v>
      </c>
      <c r="Q68" s="106">
        <f>_xlfn.XLOOKUP($B:$B,'Compilado 2023'!$B:$B,'Compilado 2023'!Q:Q)</f>
        <v>53.333333333333336</v>
      </c>
      <c r="R68" s="106">
        <f>_xlfn.XLOOKUP($B:$B,'Compilado 2023'!$B:$B,'Compilado 2023'!R:R)</f>
        <v>0</v>
      </c>
      <c r="S68" s="106">
        <f>_xlfn.XLOOKUP($B:$B,'Compilado 2023'!$B:$B,'Compilado 2023'!T:T)</f>
        <v>0</v>
      </c>
      <c r="T68" s="106">
        <f>_xlfn.XLOOKUP($B:$B,'Compilado 2023'!$B:$B,'Compilado 2023'!U:U)</f>
        <v>0</v>
      </c>
      <c r="U68" s="106">
        <f>_xlfn.XLOOKUP($B:$B,'Compilado 2023'!$B:$B,'Compilado 2023'!V:V)</f>
        <v>0</v>
      </c>
      <c r="V68" s="57"/>
      <c r="W68" s="106">
        <f>_xlfn.XLOOKUP($B:$B,'Compilado 2023'!$B:$B,'Compilado 2023'!X:X)</f>
        <v>0</v>
      </c>
      <c r="X68" s="106">
        <f>_xlfn.XLOOKUP($B:$B,'Compilado 2023'!$B:$B,'Compilado 2023'!Y:Y)</f>
        <v>0</v>
      </c>
      <c r="Y68" s="106">
        <f>_xlfn.XLOOKUP($B:$B,'Compilado 2023'!$B:$B,'Compilado 2023'!Z:Z)</f>
        <v>0</v>
      </c>
      <c r="AA68" s="208">
        <v>45112</v>
      </c>
    </row>
    <row r="69" spans="1:27" hidden="1" x14ac:dyDescent="0.2">
      <c r="A69" s="17" t="str">
        <f ca="1">IF($A$63&lt;=AA69,"Previsto","Realizado")</f>
        <v>Realizado</v>
      </c>
      <c r="B69" s="17">
        <v>44718</v>
      </c>
      <c r="C69" s="19">
        <f t="shared" si="32"/>
        <v>69575.03</v>
      </c>
      <c r="D69" s="35">
        <f>_xlfn.XLOOKUP($B:$B,'Compilado 2023'!$B:$B,'Compilado 2023'!D:D)</f>
        <v>69575.03</v>
      </c>
      <c r="E69" s="35">
        <f>_xlfn.XLOOKUP($B:$B,'Compilado 2023'!$B:$B,'Compilado 2023'!E:E)</f>
        <v>0</v>
      </c>
      <c r="F69" s="18">
        <f>_xlfn.XLOOKUP($B:$B,'Compilado 2023'!$B:$B,'Compilado 2023'!F:F)</f>
        <v>227</v>
      </c>
      <c r="G69" s="18">
        <f>_xlfn.XLOOKUP($B:$B,'Compilado 2023'!$B:$B,'Compilado 2023'!G:G)</f>
        <v>259</v>
      </c>
      <c r="H69" s="35">
        <f t="shared" si="33"/>
        <v>306.49792951541849</v>
      </c>
      <c r="I69" s="19">
        <f t="shared" si="34"/>
        <v>1107.0833333333333</v>
      </c>
      <c r="J69" s="122">
        <f t="shared" si="35"/>
        <v>62.845341362438845</v>
      </c>
      <c r="K69" s="18">
        <f>_xlfn.XLOOKUP($B:$B,'Compilado 2023'!$B:$B,'Compilado 2023'!K:K)</f>
        <v>5228</v>
      </c>
      <c r="L69" s="54">
        <f t="shared" si="36"/>
        <v>4.3420045906656463E-2</v>
      </c>
      <c r="M69" s="149"/>
      <c r="N69" s="106">
        <f>_xlfn.XLOOKUP($B:$B,'Compilado 2023'!$B:$B,'Compilado 2023'!N:N)</f>
        <v>786.05</v>
      </c>
      <c r="O69" s="106">
        <f>_xlfn.XLOOKUP($B:$B,'Compilado 2023'!$B:$B,'Compilado 2023'!O:O)</f>
        <v>267.7</v>
      </c>
      <c r="P69" s="106">
        <f>_xlfn.XLOOKUP($B:$B,'Compilado 2023'!$B:$B,'Compilado 2023'!P:P)</f>
        <v>0</v>
      </c>
      <c r="Q69" s="106">
        <f>_xlfn.XLOOKUP($B:$B,'Compilado 2023'!$B:$B,'Compilado 2023'!Q:Q)</f>
        <v>53.333333333333336</v>
      </c>
      <c r="R69" s="106">
        <f>_xlfn.XLOOKUP($B:$B,'Compilado 2023'!$B:$B,'Compilado 2023'!R:R)</f>
        <v>0</v>
      </c>
      <c r="S69" s="106">
        <f>_xlfn.XLOOKUP($B:$B,'Compilado 2023'!$B:$B,'Compilado 2023'!T:T)</f>
        <v>0</v>
      </c>
      <c r="T69" s="106">
        <f>_xlfn.XLOOKUP($B:$B,'Compilado 2023'!$B:$B,'Compilado 2023'!U:U)</f>
        <v>0</v>
      </c>
      <c r="U69" s="106">
        <f>_xlfn.XLOOKUP($B:$B,'Compilado 2023'!$B:$B,'Compilado 2023'!V:V)</f>
        <v>0</v>
      </c>
      <c r="V69" s="57"/>
      <c r="W69" s="106">
        <f>_xlfn.XLOOKUP($B:$B,'Compilado 2023'!$B:$B,'Compilado 2023'!X:X)</f>
        <v>0</v>
      </c>
      <c r="X69" s="106">
        <f>_xlfn.XLOOKUP($B:$B,'Compilado 2023'!$B:$B,'Compilado 2023'!Y:Y)</f>
        <v>0</v>
      </c>
      <c r="Y69" s="106">
        <f>_xlfn.XLOOKUP($B:$B,'Compilado 2023'!$B:$B,'Compilado 2023'!Z:Z)</f>
        <v>0</v>
      </c>
      <c r="AA69" s="208">
        <v>45113</v>
      </c>
    </row>
    <row r="70" spans="1:27" hidden="1" x14ac:dyDescent="0.2">
      <c r="A70" s="17" t="str">
        <f t="shared" ref="A70:A94" ca="1" si="37">IF($A$63&lt;=AA70,"Previsto","Realizado")</f>
        <v>Realizado</v>
      </c>
      <c r="B70" s="17">
        <v>44719</v>
      </c>
      <c r="C70" s="19">
        <f t="shared" si="32"/>
        <v>75026.94</v>
      </c>
      <c r="D70" s="35">
        <f>_xlfn.XLOOKUP($B:$B,'Compilado 2023'!$B:$B,'Compilado 2023'!D:D)</f>
        <v>75026.94</v>
      </c>
      <c r="E70" s="35">
        <f>_xlfn.XLOOKUP($B:$B,'Compilado 2023'!$B:$B,'Compilado 2023'!E:E)</f>
        <v>0</v>
      </c>
      <c r="F70" s="18">
        <f>_xlfn.XLOOKUP($B:$B,'Compilado 2023'!$B:$B,'Compilado 2023'!F:F)</f>
        <v>214</v>
      </c>
      <c r="G70" s="18">
        <f>_xlfn.XLOOKUP($B:$B,'Compilado 2023'!$B:$B,'Compilado 2023'!G:G)</f>
        <v>298</v>
      </c>
      <c r="H70" s="35">
        <f t="shared" si="33"/>
        <v>350.59317757009347</v>
      </c>
      <c r="I70" s="19">
        <f t="shared" si="34"/>
        <v>1117.7633333333333</v>
      </c>
      <c r="J70" s="122">
        <f t="shared" si="35"/>
        <v>67.122384285284014</v>
      </c>
      <c r="K70" s="18">
        <f>_xlfn.XLOOKUP($B:$B,'Compilado 2023'!$B:$B,'Compilado 2023'!K:K)</f>
        <v>5142</v>
      </c>
      <c r="L70" s="54">
        <f t="shared" si="36"/>
        <v>4.1618047452353167E-2</v>
      </c>
      <c r="M70" s="149"/>
      <c r="N70" s="106">
        <f>_xlfn.XLOOKUP($B:$B,'Compilado 2023'!$B:$B,'Compilado 2023'!N:N)</f>
        <v>785.94</v>
      </c>
      <c r="O70" s="106">
        <f>_xlfn.XLOOKUP($B:$B,'Compilado 2023'!$B:$B,'Compilado 2023'!O:O)</f>
        <v>278.49</v>
      </c>
      <c r="P70" s="106">
        <f>_xlfn.XLOOKUP($B:$B,'Compilado 2023'!$B:$B,'Compilado 2023'!P:P)</f>
        <v>0</v>
      </c>
      <c r="Q70" s="106">
        <f>_xlfn.XLOOKUP($B:$B,'Compilado 2023'!$B:$B,'Compilado 2023'!Q:Q)</f>
        <v>53.333333333333336</v>
      </c>
      <c r="R70" s="106">
        <f>_xlfn.XLOOKUP($B:$B,'Compilado 2023'!$B:$B,'Compilado 2023'!R:R)</f>
        <v>0</v>
      </c>
      <c r="S70" s="106">
        <f>_xlfn.XLOOKUP($B:$B,'Compilado 2023'!$B:$B,'Compilado 2023'!T:T)</f>
        <v>0</v>
      </c>
      <c r="T70" s="106">
        <f>_xlfn.XLOOKUP($B:$B,'Compilado 2023'!$B:$B,'Compilado 2023'!U:U)</f>
        <v>0</v>
      </c>
      <c r="U70" s="106">
        <f>_xlfn.XLOOKUP($B:$B,'Compilado 2023'!$B:$B,'Compilado 2023'!V:V)</f>
        <v>0</v>
      </c>
      <c r="V70" s="57"/>
      <c r="W70" s="106">
        <f>_xlfn.XLOOKUP($B:$B,'Compilado 2023'!$B:$B,'Compilado 2023'!X:X)</f>
        <v>0</v>
      </c>
      <c r="X70" s="106">
        <f>_xlfn.XLOOKUP($B:$B,'Compilado 2023'!$B:$B,'Compilado 2023'!Y:Y)</f>
        <v>0</v>
      </c>
      <c r="Y70" s="106">
        <f>_xlfn.XLOOKUP($B:$B,'Compilado 2023'!$B:$B,'Compilado 2023'!Z:Z)</f>
        <v>0</v>
      </c>
      <c r="AA70" s="208">
        <v>45114</v>
      </c>
    </row>
    <row r="71" spans="1:27" hidden="1" x14ac:dyDescent="0.2">
      <c r="A71" s="17" t="str">
        <f t="shared" ca="1" si="37"/>
        <v>Realizado</v>
      </c>
      <c r="B71" s="17">
        <v>44720</v>
      </c>
      <c r="C71" s="19">
        <f t="shared" si="32"/>
        <v>86884.65</v>
      </c>
      <c r="D71" s="35">
        <f>_xlfn.XLOOKUP($B:$B,'Compilado 2023'!$B:$B,'Compilado 2023'!D:D)</f>
        <v>86884.65</v>
      </c>
      <c r="E71" s="35">
        <f>_xlfn.XLOOKUP($B:$B,'Compilado 2023'!$B:$B,'Compilado 2023'!E:E)</f>
        <v>0</v>
      </c>
      <c r="F71" s="18">
        <f>_xlfn.XLOOKUP($B:$B,'Compilado 2023'!$B:$B,'Compilado 2023'!F:F)</f>
        <v>262</v>
      </c>
      <c r="G71" s="18">
        <f>_xlfn.XLOOKUP($B:$B,'Compilado 2023'!$B:$B,'Compilado 2023'!G:G)</f>
        <v>304</v>
      </c>
      <c r="H71" s="35">
        <f t="shared" si="33"/>
        <v>331.62080152671751</v>
      </c>
      <c r="I71" s="19">
        <f t="shared" si="34"/>
        <v>1190.6833333333332</v>
      </c>
      <c r="J71" s="122">
        <f t="shared" si="35"/>
        <v>72.970409148808116</v>
      </c>
      <c r="K71" s="18">
        <f>_xlfn.XLOOKUP($B:$B,'Compilado 2023'!$B:$B,'Compilado 2023'!K:K)</f>
        <v>5370</v>
      </c>
      <c r="L71" s="54">
        <f t="shared" si="36"/>
        <v>4.8789571694599625E-2</v>
      </c>
      <c r="M71" s="149"/>
      <c r="N71" s="106">
        <f>_xlfn.XLOOKUP($B:$B,'Compilado 2023'!$B:$B,'Compilado 2023'!N:N)</f>
        <v>861.14</v>
      </c>
      <c r="O71" s="106">
        <f>_xlfn.XLOOKUP($B:$B,'Compilado 2023'!$B:$B,'Compilado 2023'!O:O)</f>
        <v>276.20999999999998</v>
      </c>
      <c r="P71" s="106">
        <f>_xlfn.XLOOKUP($B:$B,'Compilado 2023'!$B:$B,'Compilado 2023'!P:P)</f>
        <v>0</v>
      </c>
      <c r="Q71" s="106">
        <f>_xlfn.XLOOKUP($B:$B,'Compilado 2023'!$B:$B,'Compilado 2023'!Q:Q)</f>
        <v>53.333333333333336</v>
      </c>
      <c r="R71" s="106">
        <f>_xlfn.XLOOKUP($B:$B,'Compilado 2023'!$B:$B,'Compilado 2023'!R:R)</f>
        <v>0</v>
      </c>
      <c r="S71" s="106">
        <f>_xlfn.XLOOKUP($B:$B,'Compilado 2023'!$B:$B,'Compilado 2023'!T:T)</f>
        <v>0</v>
      </c>
      <c r="T71" s="106">
        <f>_xlfn.XLOOKUP($B:$B,'Compilado 2023'!$B:$B,'Compilado 2023'!U:U)</f>
        <v>0</v>
      </c>
      <c r="U71" s="106">
        <f>_xlfn.XLOOKUP($B:$B,'Compilado 2023'!$B:$B,'Compilado 2023'!V:V)</f>
        <v>0</v>
      </c>
      <c r="V71" s="57"/>
      <c r="W71" s="106">
        <f>_xlfn.XLOOKUP($B:$B,'Compilado 2023'!$B:$B,'Compilado 2023'!X:X)</f>
        <v>0</v>
      </c>
      <c r="X71" s="106">
        <f>_xlfn.XLOOKUP($B:$B,'Compilado 2023'!$B:$B,'Compilado 2023'!Y:Y)</f>
        <v>0</v>
      </c>
      <c r="Y71" s="106">
        <f>_xlfn.XLOOKUP($B:$B,'Compilado 2023'!$B:$B,'Compilado 2023'!Z:Z)</f>
        <v>0</v>
      </c>
      <c r="AA71" s="208">
        <v>45115</v>
      </c>
    </row>
    <row r="72" spans="1:27" hidden="1" x14ac:dyDescent="0.2">
      <c r="A72" s="17" t="str">
        <f t="shared" ca="1" si="37"/>
        <v>Realizado</v>
      </c>
      <c r="B72" s="17">
        <v>44721</v>
      </c>
      <c r="C72" s="19">
        <f t="shared" si="32"/>
        <v>98967.56</v>
      </c>
      <c r="D72" s="35">
        <f>_xlfn.XLOOKUP($B:$B,'Compilado 2023'!$B:$B,'Compilado 2023'!D:D)</f>
        <v>98945.33</v>
      </c>
      <c r="E72" s="35">
        <f>_xlfn.XLOOKUP($B:$B,'Compilado 2023'!$B:$B,'Compilado 2023'!E:E)</f>
        <v>22.23</v>
      </c>
      <c r="F72" s="18">
        <f>_xlfn.XLOOKUP($B:$B,'Compilado 2023'!$B:$B,'Compilado 2023'!F:F)</f>
        <v>305</v>
      </c>
      <c r="G72" s="18">
        <f>_xlfn.XLOOKUP($B:$B,'Compilado 2023'!$B:$B,'Compilado 2023'!G:G)</f>
        <v>337</v>
      </c>
      <c r="H72" s="35">
        <f t="shared" si="33"/>
        <v>324.48380327868853</v>
      </c>
      <c r="I72" s="19">
        <f t="shared" si="34"/>
        <v>1174.6833333333332</v>
      </c>
      <c r="J72" s="122">
        <f t="shared" si="35"/>
        <v>84.250416424284566</v>
      </c>
      <c r="K72" s="18">
        <f>_xlfn.XLOOKUP($B:$B,'Compilado 2023'!$B:$B,'Compilado 2023'!K:K)</f>
        <v>5422</v>
      </c>
      <c r="L72" s="54">
        <f t="shared" si="36"/>
        <v>5.6252305422353377E-2</v>
      </c>
      <c r="M72" s="149"/>
      <c r="N72" s="106">
        <f>_xlfn.XLOOKUP($B:$B,'Compilado 2023'!$B:$B,'Compilado 2023'!N:N)</f>
        <v>850.24</v>
      </c>
      <c r="O72" s="106">
        <f>_xlfn.XLOOKUP($B:$B,'Compilado 2023'!$B:$B,'Compilado 2023'!O:O)</f>
        <v>271.11</v>
      </c>
      <c r="P72" s="106">
        <f>_xlfn.XLOOKUP($B:$B,'Compilado 2023'!$B:$B,'Compilado 2023'!P:P)</f>
        <v>0</v>
      </c>
      <c r="Q72" s="106">
        <f>_xlfn.XLOOKUP($B:$B,'Compilado 2023'!$B:$B,'Compilado 2023'!Q:Q)</f>
        <v>53.333333333333336</v>
      </c>
      <c r="R72" s="106">
        <f>_xlfn.XLOOKUP($B:$B,'Compilado 2023'!$B:$B,'Compilado 2023'!R:R)</f>
        <v>0</v>
      </c>
      <c r="S72" s="106">
        <f>_xlfn.XLOOKUP($B:$B,'Compilado 2023'!$B:$B,'Compilado 2023'!T:T)</f>
        <v>0</v>
      </c>
      <c r="T72" s="106">
        <f>_xlfn.XLOOKUP($B:$B,'Compilado 2023'!$B:$B,'Compilado 2023'!U:U)</f>
        <v>0</v>
      </c>
      <c r="U72" s="106">
        <f>_xlfn.XLOOKUP($B:$B,'Compilado 2023'!$B:$B,'Compilado 2023'!V:V)</f>
        <v>0</v>
      </c>
      <c r="V72" s="57"/>
      <c r="W72" s="106">
        <f>_xlfn.XLOOKUP($B:$B,'Compilado 2023'!$B:$B,'Compilado 2023'!X:X)</f>
        <v>0</v>
      </c>
      <c r="X72" s="106">
        <f>_xlfn.XLOOKUP($B:$B,'Compilado 2023'!$B:$B,'Compilado 2023'!Y:Y)</f>
        <v>0</v>
      </c>
      <c r="Y72" s="106">
        <f>_xlfn.XLOOKUP($B:$B,'Compilado 2023'!$B:$B,'Compilado 2023'!Z:Z)</f>
        <v>0</v>
      </c>
      <c r="AA72" s="208">
        <v>45116</v>
      </c>
    </row>
    <row r="73" spans="1:27" hidden="1" x14ac:dyDescent="0.2">
      <c r="A73" s="17" t="str">
        <f t="shared" ca="1" si="37"/>
        <v>Realizado</v>
      </c>
      <c r="B73" s="17">
        <v>44722</v>
      </c>
      <c r="C73" s="19">
        <f t="shared" si="32"/>
        <v>131263.9</v>
      </c>
      <c r="D73" s="35">
        <f>_xlfn.XLOOKUP($B:$B,'Compilado 2023'!$B:$B,'Compilado 2023'!D:D)</f>
        <v>131263.9</v>
      </c>
      <c r="E73" s="35">
        <f>_xlfn.XLOOKUP($B:$B,'Compilado 2023'!$B:$B,'Compilado 2023'!E:E)</f>
        <v>0</v>
      </c>
      <c r="F73" s="18">
        <f>_xlfn.XLOOKUP($B:$B,'Compilado 2023'!$B:$B,'Compilado 2023'!F:F)</f>
        <v>402</v>
      </c>
      <c r="G73" s="18">
        <f>_xlfn.XLOOKUP($B:$B,'Compilado 2023'!$B:$B,'Compilado 2023'!G:G)</f>
        <v>441</v>
      </c>
      <c r="H73" s="35">
        <f t="shared" si="33"/>
        <v>326.52711442786068</v>
      </c>
      <c r="I73" s="19">
        <f t="shared" si="34"/>
        <v>1087.4933333333333</v>
      </c>
      <c r="J73" s="122">
        <f t="shared" si="35"/>
        <v>120.70317672445501</v>
      </c>
      <c r="K73" s="18">
        <f>_xlfn.XLOOKUP($B:$B,'Compilado 2023'!$B:$B,'Compilado 2023'!K:K)</f>
        <v>5312</v>
      </c>
      <c r="L73" s="54">
        <f t="shared" si="36"/>
        <v>7.5677710843373491E-2</v>
      </c>
      <c r="M73" s="149"/>
      <c r="N73" s="106">
        <f>_xlfn.XLOOKUP($B:$B,'Compilado 2023'!$B:$B,'Compilado 2023'!N:N)</f>
        <v>721.19</v>
      </c>
      <c r="O73" s="106">
        <f>_xlfn.XLOOKUP($B:$B,'Compilado 2023'!$B:$B,'Compilado 2023'!O:O)</f>
        <v>312.97000000000003</v>
      </c>
      <c r="P73" s="106">
        <f>_xlfn.XLOOKUP($B:$B,'Compilado 2023'!$B:$B,'Compilado 2023'!P:P)</f>
        <v>0</v>
      </c>
      <c r="Q73" s="106">
        <f>_xlfn.XLOOKUP($B:$B,'Compilado 2023'!$B:$B,'Compilado 2023'!Q:Q)</f>
        <v>53.333333333333336</v>
      </c>
      <c r="R73" s="106">
        <f>_xlfn.XLOOKUP($B:$B,'Compilado 2023'!$B:$B,'Compilado 2023'!R:R)</f>
        <v>0</v>
      </c>
      <c r="S73" s="106">
        <f>_xlfn.XLOOKUP($B:$B,'Compilado 2023'!$B:$B,'Compilado 2023'!T:T)</f>
        <v>0</v>
      </c>
      <c r="T73" s="106">
        <f>_xlfn.XLOOKUP($B:$B,'Compilado 2023'!$B:$B,'Compilado 2023'!U:U)</f>
        <v>0</v>
      </c>
      <c r="U73" s="106">
        <f>_xlfn.XLOOKUP($B:$B,'Compilado 2023'!$B:$B,'Compilado 2023'!V:V)</f>
        <v>0</v>
      </c>
      <c r="V73" s="57"/>
      <c r="W73" s="106">
        <f>_xlfn.XLOOKUP($B:$B,'Compilado 2023'!$B:$B,'Compilado 2023'!X:X)</f>
        <v>0</v>
      </c>
      <c r="X73" s="106">
        <f>_xlfn.XLOOKUP($B:$B,'Compilado 2023'!$B:$B,'Compilado 2023'!Y:Y)</f>
        <v>0</v>
      </c>
      <c r="Y73" s="106">
        <f>_xlfn.XLOOKUP($B:$B,'Compilado 2023'!$B:$B,'Compilado 2023'!Z:Z)</f>
        <v>0</v>
      </c>
      <c r="AA73" s="208">
        <v>45117</v>
      </c>
    </row>
    <row r="74" spans="1:27" hidden="1" x14ac:dyDescent="0.2">
      <c r="A74" s="17" t="str">
        <f t="shared" ca="1" si="37"/>
        <v>Realizado</v>
      </c>
      <c r="B74" s="17">
        <v>44723</v>
      </c>
      <c r="C74" s="19">
        <f t="shared" si="32"/>
        <v>107821.73</v>
      </c>
      <c r="D74" s="35">
        <f>_xlfn.XLOOKUP($B:$B,'Compilado 2023'!$B:$B,'Compilado 2023'!D:D)</f>
        <v>107821.73</v>
      </c>
      <c r="E74" s="35">
        <f>_xlfn.XLOOKUP($B:$B,'Compilado 2023'!$B:$B,'Compilado 2023'!E:E)</f>
        <v>0</v>
      </c>
      <c r="F74" s="18">
        <f>_xlfn.XLOOKUP($B:$B,'Compilado 2023'!$B:$B,'Compilado 2023'!F:F)</f>
        <v>326</v>
      </c>
      <c r="G74" s="18">
        <f>_xlfn.XLOOKUP($B:$B,'Compilado 2023'!$B:$B,'Compilado 2023'!G:G)</f>
        <v>359</v>
      </c>
      <c r="H74" s="35">
        <f t="shared" si="33"/>
        <v>330.74150306748464</v>
      </c>
      <c r="I74" s="19">
        <f t="shared" si="34"/>
        <v>1048.1833333333334</v>
      </c>
      <c r="J74" s="122">
        <f t="shared" si="35"/>
        <v>102.86533526259718</v>
      </c>
      <c r="K74" s="18">
        <f>_xlfn.XLOOKUP($B:$B,'Compilado 2023'!$B:$B,'Compilado 2023'!K:K)</f>
        <v>4014</v>
      </c>
      <c r="L74" s="54">
        <f t="shared" si="36"/>
        <v>8.1215744892874933E-2</v>
      </c>
      <c r="M74" s="149"/>
      <c r="N74" s="106">
        <f>_xlfn.XLOOKUP($B:$B,'Compilado 2023'!$B:$B,'Compilado 2023'!N:N)</f>
        <v>681.83</v>
      </c>
      <c r="O74" s="106">
        <f>_xlfn.XLOOKUP($B:$B,'Compilado 2023'!$B:$B,'Compilado 2023'!O:O)</f>
        <v>313.02</v>
      </c>
      <c r="P74" s="106">
        <f>_xlfn.XLOOKUP($B:$B,'Compilado 2023'!$B:$B,'Compilado 2023'!P:P)</f>
        <v>0</v>
      </c>
      <c r="Q74" s="106">
        <f>_xlfn.XLOOKUP($B:$B,'Compilado 2023'!$B:$B,'Compilado 2023'!Q:Q)</f>
        <v>53.333333333333336</v>
      </c>
      <c r="R74" s="106">
        <f>_xlfn.XLOOKUP($B:$B,'Compilado 2023'!$B:$B,'Compilado 2023'!R:R)</f>
        <v>0</v>
      </c>
      <c r="S74" s="106">
        <f>_xlfn.XLOOKUP($B:$B,'Compilado 2023'!$B:$B,'Compilado 2023'!T:T)</f>
        <v>0</v>
      </c>
      <c r="T74" s="106">
        <f>_xlfn.XLOOKUP($B:$B,'Compilado 2023'!$B:$B,'Compilado 2023'!U:U)</f>
        <v>0</v>
      </c>
      <c r="U74" s="106">
        <f>_xlfn.XLOOKUP($B:$B,'Compilado 2023'!$B:$B,'Compilado 2023'!V:V)</f>
        <v>0</v>
      </c>
      <c r="V74" s="57"/>
      <c r="W74" s="106">
        <f>_xlfn.XLOOKUP($B:$B,'Compilado 2023'!$B:$B,'Compilado 2023'!X:X)</f>
        <v>0</v>
      </c>
      <c r="X74" s="106">
        <f>_xlfn.XLOOKUP($B:$B,'Compilado 2023'!$B:$B,'Compilado 2023'!Y:Y)</f>
        <v>0</v>
      </c>
      <c r="Y74" s="106">
        <f>_xlfn.XLOOKUP($B:$B,'Compilado 2023'!$B:$B,'Compilado 2023'!Z:Z)</f>
        <v>0</v>
      </c>
      <c r="AA74" s="208">
        <v>45118</v>
      </c>
    </row>
    <row r="75" spans="1:27" hidden="1" x14ac:dyDescent="0.2">
      <c r="A75" s="17" t="str">
        <f t="shared" ca="1" si="37"/>
        <v>Realizado</v>
      </c>
      <c r="B75" s="17">
        <v>44724</v>
      </c>
      <c r="C75" s="19">
        <f t="shared" si="32"/>
        <v>74115.429999999993</v>
      </c>
      <c r="D75" s="35">
        <f>_xlfn.XLOOKUP($B:$B,'Compilado 2023'!$B:$B,'Compilado 2023'!D:D)</f>
        <v>74115.429999999993</v>
      </c>
      <c r="E75" s="35">
        <f>_xlfn.XLOOKUP($B:$B,'Compilado 2023'!$B:$B,'Compilado 2023'!E:E)</f>
        <v>0</v>
      </c>
      <c r="F75" s="18">
        <f>_xlfn.XLOOKUP($B:$B,'Compilado 2023'!$B:$B,'Compilado 2023'!F:F)</f>
        <v>229</v>
      </c>
      <c r="G75" s="18">
        <f>_xlfn.XLOOKUP($B:$B,'Compilado 2023'!$B:$B,'Compilado 2023'!G:G)</f>
        <v>254</v>
      </c>
      <c r="H75" s="35">
        <f t="shared" si="33"/>
        <v>323.64816593886462</v>
      </c>
      <c r="I75" s="19">
        <f t="shared" si="34"/>
        <v>1039.0033333333333</v>
      </c>
      <c r="J75" s="122">
        <f t="shared" si="35"/>
        <v>71.333197519417638</v>
      </c>
      <c r="K75" s="18">
        <f>_xlfn.XLOOKUP($B:$B,'Compilado 2023'!$B:$B,'Compilado 2023'!K:K)</f>
        <v>3132</v>
      </c>
      <c r="L75" s="54">
        <f t="shared" si="36"/>
        <v>7.3116219667943808E-2</v>
      </c>
      <c r="M75" s="149"/>
      <c r="N75" s="106">
        <f>_xlfn.XLOOKUP($B:$B,'Compilado 2023'!$B:$B,'Compilado 2023'!N:N)</f>
        <v>538</v>
      </c>
      <c r="O75" s="106">
        <f>_xlfn.XLOOKUP($B:$B,'Compilado 2023'!$B:$B,'Compilado 2023'!O:O)</f>
        <v>447.67</v>
      </c>
      <c r="P75" s="106">
        <f>_xlfn.XLOOKUP($B:$B,'Compilado 2023'!$B:$B,'Compilado 2023'!P:P)</f>
        <v>0</v>
      </c>
      <c r="Q75" s="106">
        <f>_xlfn.XLOOKUP($B:$B,'Compilado 2023'!$B:$B,'Compilado 2023'!Q:Q)</f>
        <v>53.333333333333336</v>
      </c>
      <c r="R75" s="106">
        <f>_xlfn.XLOOKUP($B:$B,'Compilado 2023'!$B:$B,'Compilado 2023'!R:R)</f>
        <v>0</v>
      </c>
      <c r="S75" s="106">
        <f>_xlfn.XLOOKUP($B:$B,'Compilado 2023'!$B:$B,'Compilado 2023'!T:T)</f>
        <v>0</v>
      </c>
      <c r="T75" s="106">
        <f>_xlfn.XLOOKUP($B:$B,'Compilado 2023'!$B:$B,'Compilado 2023'!U:U)</f>
        <v>0</v>
      </c>
      <c r="U75" s="106">
        <f>_xlfn.XLOOKUP($B:$B,'Compilado 2023'!$B:$B,'Compilado 2023'!V:V)</f>
        <v>0</v>
      </c>
      <c r="V75" s="57"/>
      <c r="W75" s="106">
        <f>_xlfn.XLOOKUP($B:$B,'Compilado 2023'!$B:$B,'Compilado 2023'!X:X)</f>
        <v>0</v>
      </c>
      <c r="X75" s="106">
        <f>_xlfn.XLOOKUP($B:$B,'Compilado 2023'!$B:$B,'Compilado 2023'!Y:Y)</f>
        <v>0</v>
      </c>
      <c r="Y75" s="106">
        <f>_xlfn.XLOOKUP($B:$B,'Compilado 2023'!$B:$B,'Compilado 2023'!Z:Z)</f>
        <v>0</v>
      </c>
      <c r="AA75" s="208">
        <v>45119</v>
      </c>
    </row>
    <row r="76" spans="1:27" hidden="1" x14ac:dyDescent="0.2">
      <c r="A76" s="17" t="str">
        <f t="shared" ca="1" si="37"/>
        <v>Realizado</v>
      </c>
      <c r="B76" s="17">
        <v>44725</v>
      </c>
      <c r="C76" s="19">
        <f t="shared" si="32"/>
        <v>56578.89</v>
      </c>
      <c r="D76" s="35">
        <f>_xlfn.XLOOKUP($B:$B,'Compilado 2023'!$B:$B,'Compilado 2023'!D:D)</f>
        <v>56557</v>
      </c>
      <c r="E76" s="35">
        <f>_xlfn.XLOOKUP($B:$B,'Compilado 2023'!$B:$B,'Compilado 2023'!E:E)</f>
        <v>21.89</v>
      </c>
      <c r="F76" s="18">
        <f>_xlfn.XLOOKUP($B:$B,'Compilado 2023'!$B:$B,'Compilado 2023'!F:F)</f>
        <v>185</v>
      </c>
      <c r="G76" s="18">
        <f>_xlfn.XLOOKUP($B:$B,'Compilado 2023'!$B:$B,'Compilado 2023'!G:G)</f>
        <v>240</v>
      </c>
      <c r="H76" s="35">
        <f t="shared" si="33"/>
        <v>305.83183783783784</v>
      </c>
      <c r="I76" s="19">
        <f t="shared" si="34"/>
        <v>1048.2133333333334</v>
      </c>
      <c r="J76" s="122">
        <f t="shared" si="35"/>
        <v>53.97650287473288</v>
      </c>
      <c r="K76" s="18">
        <f>_xlfn.XLOOKUP($B:$B,'Compilado 2023'!$B:$B,'Compilado 2023'!K:K)</f>
        <v>3845</v>
      </c>
      <c r="L76" s="54">
        <f t="shared" si="36"/>
        <v>4.8114434330299091E-2</v>
      </c>
      <c r="M76" s="149"/>
      <c r="N76" s="106">
        <f>_xlfn.XLOOKUP($B:$B,'Compilado 2023'!$B:$B,'Compilado 2023'!N:N)</f>
        <v>737.25</v>
      </c>
      <c r="O76" s="106">
        <f>_xlfn.XLOOKUP($B:$B,'Compilado 2023'!$B:$B,'Compilado 2023'!O:O)</f>
        <v>257.63</v>
      </c>
      <c r="P76" s="106">
        <f>_xlfn.XLOOKUP($B:$B,'Compilado 2023'!$B:$B,'Compilado 2023'!P:P)</f>
        <v>0</v>
      </c>
      <c r="Q76" s="106">
        <f>_xlfn.XLOOKUP($B:$B,'Compilado 2023'!$B:$B,'Compilado 2023'!Q:Q)</f>
        <v>53.333333333333336</v>
      </c>
      <c r="R76" s="106">
        <f>_xlfn.XLOOKUP($B:$B,'Compilado 2023'!$B:$B,'Compilado 2023'!R:R)</f>
        <v>0</v>
      </c>
      <c r="S76" s="106">
        <f>_xlfn.XLOOKUP($B:$B,'Compilado 2023'!$B:$B,'Compilado 2023'!T:T)</f>
        <v>0</v>
      </c>
      <c r="T76" s="106">
        <f>_xlfn.XLOOKUP($B:$B,'Compilado 2023'!$B:$B,'Compilado 2023'!U:U)</f>
        <v>0</v>
      </c>
      <c r="U76" s="106">
        <f>_xlfn.XLOOKUP($B:$B,'Compilado 2023'!$B:$B,'Compilado 2023'!V:V)</f>
        <v>0</v>
      </c>
      <c r="V76" s="57"/>
      <c r="W76" s="106">
        <f>_xlfn.XLOOKUP($B:$B,'Compilado 2023'!$B:$B,'Compilado 2023'!X:X)</f>
        <v>0</v>
      </c>
      <c r="X76" s="106">
        <f>_xlfn.XLOOKUP($B:$B,'Compilado 2023'!$B:$B,'Compilado 2023'!Y:Y)</f>
        <v>0</v>
      </c>
      <c r="Y76" s="106">
        <f>_xlfn.XLOOKUP($B:$B,'Compilado 2023'!$B:$B,'Compilado 2023'!Z:Z)</f>
        <v>0</v>
      </c>
      <c r="AA76" s="208">
        <v>45120</v>
      </c>
    </row>
    <row r="77" spans="1:27" hidden="1" x14ac:dyDescent="0.2">
      <c r="A77" s="17" t="str">
        <f t="shared" ca="1" si="37"/>
        <v>Realizado</v>
      </c>
      <c r="B77" s="17">
        <v>44726</v>
      </c>
      <c r="C77" s="19">
        <f t="shared" si="32"/>
        <v>34765.64</v>
      </c>
      <c r="D77" s="35">
        <f>_xlfn.XLOOKUP($B:$B,'Compilado 2023'!$B:$B,'Compilado 2023'!D:D)</f>
        <v>34765.64</v>
      </c>
      <c r="E77" s="35">
        <f>_xlfn.XLOOKUP($B:$B,'Compilado 2023'!$B:$B,'Compilado 2023'!E:E)</f>
        <v>0</v>
      </c>
      <c r="F77" s="18">
        <f>_xlfn.XLOOKUP($B:$B,'Compilado 2023'!$B:$B,'Compilado 2023'!F:F)</f>
        <v>132</v>
      </c>
      <c r="G77" s="18">
        <f>_xlfn.XLOOKUP($B:$B,'Compilado 2023'!$B:$B,'Compilado 2023'!G:G)</f>
        <v>154</v>
      </c>
      <c r="H77" s="35">
        <f t="shared" si="33"/>
        <v>263.37606060606061</v>
      </c>
      <c r="I77" s="19">
        <f t="shared" si="34"/>
        <v>927.25333333333344</v>
      </c>
      <c r="J77" s="122">
        <f t="shared" si="35"/>
        <v>37.493141033015064</v>
      </c>
      <c r="K77" s="18">
        <f>_xlfn.XLOOKUP($B:$B,'Compilado 2023'!$B:$B,'Compilado 2023'!K:K)</f>
        <v>3477</v>
      </c>
      <c r="L77" s="54">
        <f t="shared" si="36"/>
        <v>3.7963761863675581E-2</v>
      </c>
      <c r="M77" s="149"/>
      <c r="N77" s="106">
        <f>_xlfn.XLOOKUP($B:$B,'Compilado 2023'!$B:$B,'Compilado 2023'!N:N)</f>
        <v>650.33000000000004</v>
      </c>
      <c r="O77" s="106">
        <f>_xlfn.XLOOKUP($B:$B,'Compilado 2023'!$B:$B,'Compilado 2023'!O:O)</f>
        <v>223.59</v>
      </c>
      <c r="P77" s="106">
        <f>_xlfn.XLOOKUP($B:$B,'Compilado 2023'!$B:$B,'Compilado 2023'!P:P)</f>
        <v>0</v>
      </c>
      <c r="Q77" s="106">
        <f>_xlfn.XLOOKUP($B:$B,'Compilado 2023'!$B:$B,'Compilado 2023'!Q:Q)</f>
        <v>53.333333333333336</v>
      </c>
      <c r="R77" s="106">
        <f>_xlfn.XLOOKUP($B:$B,'Compilado 2023'!$B:$B,'Compilado 2023'!R:R)</f>
        <v>0</v>
      </c>
      <c r="S77" s="106">
        <f>_xlfn.XLOOKUP($B:$B,'Compilado 2023'!$B:$B,'Compilado 2023'!T:T)</f>
        <v>0</v>
      </c>
      <c r="T77" s="106">
        <f>_xlfn.XLOOKUP($B:$B,'Compilado 2023'!$B:$B,'Compilado 2023'!U:U)</f>
        <v>0</v>
      </c>
      <c r="U77" s="106">
        <f>_xlfn.XLOOKUP($B:$B,'Compilado 2023'!$B:$B,'Compilado 2023'!V:V)</f>
        <v>0</v>
      </c>
      <c r="V77" s="57"/>
      <c r="W77" s="106">
        <f>_xlfn.XLOOKUP($B:$B,'Compilado 2023'!$B:$B,'Compilado 2023'!X:X)</f>
        <v>0</v>
      </c>
      <c r="X77" s="106">
        <f>_xlfn.XLOOKUP($B:$B,'Compilado 2023'!$B:$B,'Compilado 2023'!Y:Y)</f>
        <v>0</v>
      </c>
      <c r="Y77" s="106">
        <f>_xlfn.XLOOKUP($B:$B,'Compilado 2023'!$B:$B,'Compilado 2023'!Z:Z)</f>
        <v>0</v>
      </c>
      <c r="AA77" s="208">
        <v>45121</v>
      </c>
    </row>
    <row r="78" spans="1:27" hidden="1" x14ac:dyDescent="0.2">
      <c r="A78" s="17" t="str">
        <f t="shared" ca="1" si="37"/>
        <v>Realizado</v>
      </c>
      <c r="B78" s="17">
        <v>44727</v>
      </c>
      <c r="C78" s="19">
        <f t="shared" si="32"/>
        <v>41865.39</v>
      </c>
      <c r="D78" s="35">
        <f>_xlfn.XLOOKUP($B:$B,'Compilado 2023'!$B:$B,'Compilado 2023'!D:D)</f>
        <v>41865.39</v>
      </c>
      <c r="E78" s="35">
        <f>_xlfn.XLOOKUP($B:$B,'Compilado 2023'!$B:$B,'Compilado 2023'!E:E)</f>
        <v>0</v>
      </c>
      <c r="F78" s="18">
        <f>_xlfn.XLOOKUP($B:$B,'Compilado 2023'!$B:$B,'Compilado 2023'!F:F)</f>
        <v>149</v>
      </c>
      <c r="G78" s="18">
        <f>_xlfn.XLOOKUP($B:$B,'Compilado 2023'!$B:$B,'Compilado 2023'!G:G)</f>
        <v>165</v>
      </c>
      <c r="H78" s="35">
        <f t="shared" si="33"/>
        <v>280.97577181208055</v>
      </c>
      <c r="I78" s="19">
        <f t="shared" si="34"/>
        <v>909.82333333333338</v>
      </c>
      <c r="J78" s="122">
        <f t="shared" si="35"/>
        <v>46.014856364056023</v>
      </c>
      <c r="K78" s="18">
        <f>_xlfn.XLOOKUP($B:$B,'Compilado 2023'!$B:$B,'Compilado 2023'!K:K)</f>
        <v>3289</v>
      </c>
      <c r="L78" s="54">
        <f t="shared" si="36"/>
        <v>4.5302523563393128E-2</v>
      </c>
      <c r="M78" s="149"/>
      <c r="N78" s="106">
        <f>_xlfn.XLOOKUP($B:$B,'Compilado 2023'!$B:$B,'Compilado 2023'!N:N)</f>
        <v>607.49</v>
      </c>
      <c r="O78" s="106">
        <f>_xlfn.XLOOKUP($B:$B,'Compilado 2023'!$B:$B,'Compilado 2023'!O:O)</f>
        <v>249</v>
      </c>
      <c r="P78" s="106">
        <f>_xlfn.XLOOKUP($B:$B,'Compilado 2023'!$B:$B,'Compilado 2023'!P:P)</f>
        <v>0</v>
      </c>
      <c r="Q78" s="106">
        <f>_xlfn.XLOOKUP($B:$B,'Compilado 2023'!$B:$B,'Compilado 2023'!Q:Q)</f>
        <v>53.333333333333336</v>
      </c>
      <c r="R78" s="106">
        <f>_xlfn.XLOOKUP($B:$B,'Compilado 2023'!$B:$B,'Compilado 2023'!R:R)</f>
        <v>0</v>
      </c>
      <c r="S78" s="106">
        <f>_xlfn.XLOOKUP($B:$B,'Compilado 2023'!$B:$B,'Compilado 2023'!T:T)</f>
        <v>0</v>
      </c>
      <c r="T78" s="106">
        <f>_xlfn.XLOOKUP($B:$B,'Compilado 2023'!$B:$B,'Compilado 2023'!U:U)</f>
        <v>0</v>
      </c>
      <c r="U78" s="106">
        <f>_xlfn.XLOOKUP($B:$B,'Compilado 2023'!$B:$B,'Compilado 2023'!V:V)</f>
        <v>0</v>
      </c>
      <c r="V78" s="57"/>
      <c r="W78" s="106">
        <f>_xlfn.XLOOKUP($B:$B,'Compilado 2023'!$B:$B,'Compilado 2023'!X:X)</f>
        <v>0</v>
      </c>
      <c r="X78" s="106">
        <f>_xlfn.XLOOKUP($B:$B,'Compilado 2023'!$B:$B,'Compilado 2023'!Y:Y)</f>
        <v>0</v>
      </c>
      <c r="Y78" s="106">
        <f>_xlfn.XLOOKUP($B:$B,'Compilado 2023'!$B:$B,'Compilado 2023'!Z:Z)</f>
        <v>0</v>
      </c>
      <c r="AA78" s="208">
        <v>45122</v>
      </c>
    </row>
    <row r="79" spans="1:27" hidden="1" x14ac:dyDescent="0.2">
      <c r="A79" s="17" t="str">
        <f t="shared" ca="1" si="37"/>
        <v>Realizado</v>
      </c>
      <c r="B79" s="17">
        <v>44728</v>
      </c>
      <c r="C79" s="19">
        <f t="shared" si="32"/>
        <v>25783</v>
      </c>
      <c r="D79" s="35">
        <f>_xlfn.XLOOKUP($B:$B,'Compilado 2023'!$B:$B,'Compilado 2023'!D:D)</f>
        <v>25783</v>
      </c>
      <c r="E79" s="35">
        <f>_xlfn.XLOOKUP($B:$B,'Compilado 2023'!$B:$B,'Compilado 2023'!E:E)</f>
        <v>0</v>
      </c>
      <c r="F79" s="18">
        <f>_xlfn.XLOOKUP($B:$B,'Compilado 2023'!$B:$B,'Compilado 2023'!F:F)</f>
        <v>87</v>
      </c>
      <c r="G79" s="18">
        <f>_xlfn.XLOOKUP($B:$B,'Compilado 2023'!$B:$B,'Compilado 2023'!G:G)</f>
        <v>96</v>
      </c>
      <c r="H79" s="35">
        <f t="shared" si="33"/>
        <v>296.35632183908046</v>
      </c>
      <c r="I79" s="19">
        <f t="shared" si="34"/>
        <v>714.34333333333336</v>
      </c>
      <c r="J79" s="122">
        <f t="shared" si="35"/>
        <v>36.093288474729704</v>
      </c>
      <c r="K79" s="18">
        <f>_xlfn.XLOOKUP($B:$B,'Compilado 2023'!$B:$B,'Compilado 2023'!K:K)</f>
        <v>2616</v>
      </c>
      <c r="L79" s="54">
        <f t="shared" si="36"/>
        <v>3.3256880733944956E-2</v>
      </c>
      <c r="M79" s="149"/>
      <c r="N79" s="106">
        <f>_xlfn.XLOOKUP($B:$B,'Compilado 2023'!$B:$B,'Compilado 2023'!N:N)</f>
        <v>371.92</v>
      </c>
      <c r="O79" s="106">
        <f>_xlfn.XLOOKUP($B:$B,'Compilado 2023'!$B:$B,'Compilado 2023'!O:O)</f>
        <v>289.08999999999997</v>
      </c>
      <c r="P79" s="106">
        <f>_xlfn.XLOOKUP($B:$B,'Compilado 2023'!$B:$B,'Compilado 2023'!P:P)</f>
        <v>0</v>
      </c>
      <c r="Q79" s="106">
        <f>_xlfn.XLOOKUP($B:$B,'Compilado 2023'!$B:$B,'Compilado 2023'!Q:Q)</f>
        <v>53.333333333333336</v>
      </c>
      <c r="R79" s="106">
        <f>_xlfn.XLOOKUP($B:$B,'Compilado 2023'!$B:$B,'Compilado 2023'!R:R)</f>
        <v>0</v>
      </c>
      <c r="S79" s="106">
        <f>_xlfn.XLOOKUP($B:$B,'Compilado 2023'!$B:$B,'Compilado 2023'!T:T)</f>
        <v>0</v>
      </c>
      <c r="T79" s="106">
        <f>_xlfn.XLOOKUP($B:$B,'Compilado 2023'!$B:$B,'Compilado 2023'!U:U)</f>
        <v>0</v>
      </c>
      <c r="U79" s="106">
        <f>_xlfn.XLOOKUP($B:$B,'Compilado 2023'!$B:$B,'Compilado 2023'!V:V)</f>
        <v>0</v>
      </c>
      <c r="V79" s="57"/>
      <c r="W79" s="106">
        <f>_xlfn.XLOOKUP($B:$B,'Compilado 2023'!$B:$B,'Compilado 2023'!X:X)</f>
        <v>0</v>
      </c>
      <c r="X79" s="106">
        <f>_xlfn.XLOOKUP($B:$B,'Compilado 2023'!$B:$B,'Compilado 2023'!Y:Y)</f>
        <v>0</v>
      </c>
      <c r="Y79" s="106">
        <f>_xlfn.XLOOKUP($B:$B,'Compilado 2023'!$B:$B,'Compilado 2023'!Z:Z)</f>
        <v>0</v>
      </c>
      <c r="AA79" s="208">
        <v>45123</v>
      </c>
    </row>
    <row r="80" spans="1:27" hidden="1" x14ac:dyDescent="0.2">
      <c r="A80" s="17" t="str">
        <f t="shared" ca="1" si="37"/>
        <v>Realizado</v>
      </c>
      <c r="B80" s="17">
        <v>44729</v>
      </c>
      <c r="C80" s="19">
        <f t="shared" si="32"/>
        <v>28389.99</v>
      </c>
      <c r="D80" s="35">
        <f>_xlfn.XLOOKUP($B:$B,'Compilado 2023'!$B:$B,'Compilado 2023'!D:D)</f>
        <v>28389.99</v>
      </c>
      <c r="E80" s="35">
        <f>_xlfn.XLOOKUP($B:$B,'Compilado 2023'!$B:$B,'Compilado 2023'!E:E)</f>
        <v>0</v>
      </c>
      <c r="F80" s="18">
        <f>_xlfn.XLOOKUP($B:$B,'Compilado 2023'!$B:$B,'Compilado 2023'!F:F)</f>
        <v>98</v>
      </c>
      <c r="G80" s="18">
        <f>_xlfn.XLOOKUP($B:$B,'Compilado 2023'!$B:$B,'Compilado 2023'!G:G)</f>
        <v>118</v>
      </c>
      <c r="H80" s="35">
        <f t="shared" si="33"/>
        <v>289.69377551020409</v>
      </c>
      <c r="I80" s="19">
        <f t="shared" si="34"/>
        <v>373.1033333333333</v>
      </c>
      <c r="J80" s="122">
        <f t="shared" si="35"/>
        <v>76.091493866757205</v>
      </c>
      <c r="K80" s="18">
        <f>_xlfn.XLOOKUP($B:$B,'Compilado 2023'!$B:$B,'Compilado 2023'!K:K)</f>
        <v>2930</v>
      </c>
      <c r="L80" s="54">
        <f t="shared" si="36"/>
        <v>3.3447098976109216E-2</v>
      </c>
      <c r="M80" s="149"/>
      <c r="N80" s="106">
        <f>_xlfn.XLOOKUP($B:$B,'Compilado 2023'!$B:$B,'Compilado 2023'!N:N)</f>
        <v>0</v>
      </c>
      <c r="O80" s="106">
        <f>_xlfn.XLOOKUP($B:$B,'Compilado 2023'!$B:$B,'Compilado 2023'!O:O)</f>
        <v>319.77</v>
      </c>
      <c r="P80" s="106">
        <f>_xlfn.XLOOKUP($B:$B,'Compilado 2023'!$B:$B,'Compilado 2023'!P:P)</f>
        <v>0</v>
      </c>
      <c r="Q80" s="106">
        <f>_xlfn.XLOOKUP($B:$B,'Compilado 2023'!$B:$B,'Compilado 2023'!Q:Q)</f>
        <v>53.333333333333336</v>
      </c>
      <c r="R80" s="106">
        <f>_xlfn.XLOOKUP($B:$B,'Compilado 2023'!$B:$B,'Compilado 2023'!R:R)</f>
        <v>0</v>
      </c>
      <c r="S80" s="106">
        <f>_xlfn.XLOOKUP($B:$B,'Compilado 2023'!$B:$B,'Compilado 2023'!T:T)</f>
        <v>0</v>
      </c>
      <c r="T80" s="106">
        <f>_xlfn.XLOOKUP($B:$B,'Compilado 2023'!$B:$B,'Compilado 2023'!U:U)</f>
        <v>0</v>
      </c>
      <c r="U80" s="106">
        <f>_xlfn.XLOOKUP($B:$B,'Compilado 2023'!$B:$B,'Compilado 2023'!V:V)</f>
        <v>0</v>
      </c>
      <c r="V80" s="57"/>
      <c r="W80" s="106">
        <f>_xlfn.XLOOKUP($B:$B,'Compilado 2023'!$B:$B,'Compilado 2023'!X:X)</f>
        <v>0</v>
      </c>
      <c r="X80" s="106">
        <f>_xlfn.XLOOKUP($B:$B,'Compilado 2023'!$B:$B,'Compilado 2023'!Y:Y)</f>
        <v>0</v>
      </c>
      <c r="Y80" s="106">
        <f>_xlfn.XLOOKUP($B:$B,'Compilado 2023'!$B:$B,'Compilado 2023'!Z:Z)</f>
        <v>0</v>
      </c>
      <c r="AA80" s="208">
        <v>45124</v>
      </c>
    </row>
    <row r="81" spans="1:27" hidden="1" x14ac:dyDescent="0.2">
      <c r="A81" s="17" t="str">
        <f t="shared" ca="1" si="37"/>
        <v>Realizado</v>
      </c>
      <c r="B81" s="17">
        <v>44730</v>
      </c>
      <c r="C81" s="19">
        <f t="shared" si="32"/>
        <v>18816.2</v>
      </c>
      <c r="D81" s="35">
        <f>_xlfn.XLOOKUP($B:$B,'Compilado 2023'!$B:$B,'Compilado 2023'!D:D)</f>
        <v>18816.2</v>
      </c>
      <c r="E81" s="35">
        <f>_xlfn.XLOOKUP($B:$B,'Compilado 2023'!$B:$B,'Compilado 2023'!E:E)</f>
        <v>0</v>
      </c>
      <c r="F81" s="18">
        <f>_xlfn.XLOOKUP($B:$B,'Compilado 2023'!$B:$B,'Compilado 2023'!F:F)</f>
        <v>68</v>
      </c>
      <c r="G81" s="18">
        <f>_xlfn.XLOOKUP($B:$B,'Compilado 2023'!$B:$B,'Compilado 2023'!G:G)</f>
        <v>78</v>
      </c>
      <c r="H81" s="35">
        <f t="shared" si="33"/>
        <v>276.7088235294118</v>
      </c>
      <c r="I81" s="19">
        <f t="shared" si="34"/>
        <v>383.45333333333332</v>
      </c>
      <c r="J81" s="122">
        <f t="shared" si="35"/>
        <v>49.07037796863591</v>
      </c>
      <c r="K81" s="18">
        <f>_xlfn.XLOOKUP($B:$B,'Compilado 2023'!$B:$B,'Compilado 2023'!K:K)</f>
        <v>2173</v>
      </c>
      <c r="L81" s="54">
        <f t="shared" si="36"/>
        <v>3.1293143120110445E-2</v>
      </c>
      <c r="M81" s="149"/>
      <c r="N81" s="106">
        <f>_xlfn.XLOOKUP($B:$B,'Compilado 2023'!$B:$B,'Compilado 2023'!N:N)</f>
        <v>0</v>
      </c>
      <c r="O81" s="106">
        <f>_xlfn.XLOOKUP($B:$B,'Compilado 2023'!$B:$B,'Compilado 2023'!O:O)</f>
        <v>330.12</v>
      </c>
      <c r="P81" s="106">
        <f>_xlfn.XLOOKUP($B:$B,'Compilado 2023'!$B:$B,'Compilado 2023'!P:P)</f>
        <v>0</v>
      </c>
      <c r="Q81" s="106">
        <f>_xlfn.XLOOKUP($B:$B,'Compilado 2023'!$B:$B,'Compilado 2023'!Q:Q)</f>
        <v>53.333333333333336</v>
      </c>
      <c r="R81" s="106">
        <f>_xlfn.XLOOKUP($B:$B,'Compilado 2023'!$B:$B,'Compilado 2023'!R:R)</f>
        <v>0</v>
      </c>
      <c r="S81" s="106">
        <f>_xlfn.XLOOKUP($B:$B,'Compilado 2023'!$B:$B,'Compilado 2023'!T:T)</f>
        <v>0</v>
      </c>
      <c r="T81" s="106">
        <f>_xlfn.XLOOKUP($B:$B,'Compilado 2023'!$B:$B,'Compilado 2023'!U:U)</f>
        <v>0</v>
      </c>
      <c r="U81" s="106">
        <f>_xlfn.XLOOKUP($B:$B,'Compilado 2023'!$B:$B,'Compilado 2023'!V:V)</f>
        <v>0</v>
      </c>
      <c r="V81" s="57"/>
      <c r="W81" s="106">
        <f>_xlfn.XLOOKUP($B:$B,'Compilado 2023'!$B:$B,'Compilado 2023'!X:X)</f>
        <v>0</v>
      </c>
      <c r="X81" s="106">
        <f>_xlfn.XLOOKUP($B:$B,'Compilado 2023'!$B:$B,'Compilado 2023'!Y:Y)</f>
        <v>0</v>
      </c>
      <c r="Y81" s="106">
        <f>_xlfn.XLOOKUP($B:$B,'Compilado 2023'!$B:$B,'Compilado 2023'!Z:Z)</f>
        <v>0</v>
      </c>
      <c r="AA81" s="208">
        <v>45125</v>
      </c>
    </row>
    <row r="82" spans="1:27" hidden="1" x14ac:dyDescent="0.2">
      <c r="A82" s="17" t="str">
        <f t="shared" ca="1" si="37"/>
        <v>Realizado</v>
      </c>
      <c r="B82" s="17">
        <v>44731</v>
      </c>
      <c r="C82" s="19">
        <f t="shared" si="32"/>
        <v>14449.230000000001</v>
      </c>
      <c r="D82" s="35">
        <f>_xlfn.XLOOKUP($B:$B,'Compilado 2023'!$B:$B,'Compilado 2023'!D:D)</f>
        <v>14410.2</v>
      </c>
      <c r="E82" s="35">
        <f>_xlfn.XLOOKUP($B:$B,'Compilado 2023'!$B:$B,'Compilado 2023'!E:E)</f>
        <v>39.03</v>
      </c>
      <c r="F82" s="18">
        <f>_xlfn.XLOOKUP($B:$B,'Compilado 2023'!$B:$B,'Compilado 2023'!F:F)</f>
        <v>55</v>
      </c>
      <c r="G82" s="18">
        <f>_xlfn.XLOOKUP($B:$B,'Compilado 2023'!$B:$B,'Compilado 2023'!G:G)</f>
        <v>59</v>
      </c>
      <c r="H82" s="35">
        <f t="shared" si="33"/>
        <v>262.71327272727274</v>
      </c>
      <c r="I82" s="19">
        <f t="shared" si="34"/>
        <v>357.49333333333334</v>
      </c>
      <c r="J82" s="122">
        <f t="shared" si="35"/>
        <v>40.41818029240639</v>
      </c>
      <c r="K82" s="18">
        <f>_xlfn.XLOOKUP($B:$B,'Compilado 2023'!$B:$B,'Compilado 2023'!K:K)</f>
        <v>1993</v>
      </c>
      <c r="L82" s="54">
        <f t="shared" si="36"/>
        <v>2.7596588058203714E-2</v>
      </c>
      <c r="M82" s="149"/>
      <c r="N82" s="106">
        <f>_xlfn.XLOOKUP($B:$B,'Compilado 2023'!$B:$B,'Compilado 2023'!N:N)</f>
        <v>0</v>
      </c>
      <c r="O82" s="106">
        <f>_xlfn.XLOOKUP($B:$B,'Compilado 2023'!$B:$B,'Compilado 2023'!O:O)</f>
        <v>304.16000000000003</v>
      </c>
      <c r="P82" s="106">
        <f>_xlfn.XLOOKUP($B:$B,'Compilado 2023'!$B:$B,'Compilado 2023'!P:P)</f>
        <v>0</v>
      </c>
      <c r="Q82" s="106">
        <f>_xlfn.XLOOKUP($B:$B,'Compilado 2023'!$B:$B,'Compilado 2023'!Q:Q)</f>
        <v>53.333333333333336</v>
      </c>
      <c r="R82" s="106">
        <f>_xlfn.XLOOKUP($B:$B,'Compilado 2023'!$B:$B,'Compilado 2023'!R:R)</f>
        <v>0</v>
      </c>
      <c r="S82" s="106">
        <f>_xlfn.XLOOKUP($B:$B,'Compilado 2023'!$B:$B,'Compilado 2023'!T:T)</f>
        <v>0</v>
      </c>
      <c r="T82" s="106">
        <f>_xlfn.XLOOKUP($B:$B,'Compilado 2023'!$B:$B,'Compilado 2023'!U:U)</f>
        <v>0</v>
      </c>
      <c r="U82" s="106">
        <f>_xlfn.XLOOKUP($B:$B,'Compilado 2023'!$B:$B,'Compilado 2023'!V:V)</f>
        <v>0</v>
      </c>
      <c r="V82" s="57"/>
      <c r="W82" s="106">
        <f>_xlfn.XLOOKUP($B:$B,'Compilado 2023'!$B:$B,'Compilado 2023'!X:X)</f>
        <v>0</v>
      </c>
      <c r="X82" s="106">
        <f>_xlfn.XLOOKUP($B:$B,'Compilado 2023'!$B:$B,'Compilado 2023'!Y:Y)</f>
        <v>0</v>
      </c>
      <c r="Y82" s="106">
        <f>_xlfn.XLOOKUP($B:$B,'Compilado 2023'!$B:$B,'Compilado 2023'!Z:Z)</f>
        <v>0</v>
      </c>
      <c r="AA82" s="208">
        <v>45126</v>
      </c>
    </row>
    <row r="83" spans="1:27" hidden="1" x14ac:dyDescent="0.2">
      <c r="A83" s="17" t="str">
        <f t="shared" ca="1" si="37"/>
        <v>Realizado</v>
      </c>
      <c r="B83" s="17">
        <v>44732</v>
      </c>
      <c r="C83" s="19">
        <f t="shared" si="32"/>
        <v>44265.18</v>
      </c>
      <c r="D83" s="35">
        <f>_xlfn.XLOOKUP($B:$B,'Compilado 2023'!$B:$B,'Compilado 2023'!D:D)</f>
        <v>44265.18</v>
      </c>
      <c r="E83" s="35">
        <f>_xlfn.XLOOKUP($B:$B,'Compilado 2023'!$B:$B,'Compilado 2023'!E:E)</f>
        <v>0</v>
      </c>
      <c r="F83" s="18">
        <f>_xlfn.XLOOKUP($B:$B,'Compilado 2023'!$B:$B,'Compilado 2023'!F:F)</f>
        <v>163</v>
      </c>
      <c r="G83" s="18">
        <f>_xlfn.XLOOKUP($B:$B,'Compilado 2023'!$B:$B,'Compilado 2023'!G:G)</f>
        <v>187</v>
      </c>
      <c r="H83" s="35">
        <f t="shared" si="33"/>
        <v>271.56552147239262</v>
      </c>
      <c r="I83" s="19">
        <f t="shared" si="34"/>
        <v>436.56333333333333</v>
      </c>
      <c r="J83" s="122">
        <f t="shared" si="35"/>
        <v>101.39463537172919</v>
      </c>
      <c r="K83" s="18">
        <f>_xlfn.XLOOKUP($B:$B,'Compilado 2023'!$B:$B,'Compilado 2023'!K:K)</f>
        <v>213</v>
      </c>
      <c r="L83" s="54">
        <f t="shared" si="36"/>
        <v>0.76525821596244137</v>
      </c>
      <c r="M83" s="149"/>
      <c r="N83" s="106">
        <f>_xlfn.XLOOKUP($B:$B,'Compilado 2023'!$B:$B,'Compilado 2023'!N:N)</f>
        <v>0</v>
      </c>
      <c r="O83" s="106">
        <f>_xlfn.XLOOKUP($B:$B,'Compilado 2023'!$B:$B,'Compilado 2023'!O:O)</f>
        <v>383.23</v>
      </c>
      <c r="P83" s="106">
        <f>_xlfn.XLOOKUP($B:$B,'Compilado 2023'!$B:$B,'Compilado 2023'!P:P)</f>
        <v>0</v>
      </c>
      <c r="Q83" s="106">
        <f>_xlfn.XLOOKUP($B:$B,'Compilado 2023'!$B:$B,'Compilado 2023'!Q:Q)</f>
        <v>53.333333333333336</v>
      </c>
      <c r="R83" s="106">
        <f>_xlfn.XLOOKUP($B:$B,'Compilado 2023'!$B:$B,'Compilado 2023'!R:R)</f>
        <v>0</v>
      </c>
      <c r="S83" s="106">
        <f>_xlfn.XLOOKUP($B:$B,'Compilado 2023'!$B:$B,'Compilado 2023'!T:T)</f>
        <v>0</v>
      </c>
      <c r="T83" s="106">
        <f>_xlfn.XLOOKUP($B:$B,'Compilado 2023'!$B:$B,'Compilado 2023'!U:U)</f>
        <v>0</v>
      </c>
      <c r="U83" s="106">
        <f>_xlfn.XLOOKUP($B:$B,'Compilado 2023'!$B:$B,'Compilado 2023'!V:V)</f>
        <v>0</v>
      </c>
      <c r="V83" s="57"/>
      <c r="W83" s="106">
        <f>_xlfn.XLOOKUP($B:$B,'Compilado 2023'!$B:$B,'Compilado 2023'!X:X)</f>
        <v>0</v>
      </c>
      <c r="X83" s="106">
        <f>_xlfn.XLOOKUP($B:$B,'Compilado 2023'!$B:$B,'Compilado 2023'!Y:Y)</f>
        <v>0</v>
      </c>
      <c r="Y83" s="106">
        <f>_xlfn.XLOOKUP($B:$B,'Compilado 2023'!$B:$B,'Compilado 2023'!Z:Z)</f>
        <v>0</v>
      </c>
      <c r="AA83" s="208">
        <v>45127</v>
      </c>
    </row>
    <row r="84" spans="1:27" hidden="1" x14ac:dyDescent="0.2">
      <c r="A84" s="17" t="str">
        <f t="shared" ca="1" si="37"/>
        <v>Realizado</v>
      </c>
      <c r="B84" s="17">
        <v>44733</v>
      </c>
      <c r="C84" s="19">
        <f t="shared" si="32"/>
        <v>35675.360000000001</v>
      </c>
      <c r="D84" s="35">
        <f>_xlfn.XLOOKUP($B:$B,'Compilado 2023'!$B:$B,'Compilado 2023'!D:D)</f>
        <v>35675.360000000001</v>
      </c>
      <c r="E84" s="35">
        <f>_xlfn.XLOOKUP($B:$B,'Compilado 2023'!$B:$B,'Compilado 2023'!E:E)</f>
        <v>0</v>
      </c>
      <c r="F84" s="18">
        <f>_xlfn.XLOOKUP($B:$B,'Compilado 2023'!$B:$B,'Compilado 2023'!F:F)</f>
        <v>140</v>
      </c>
      <c r="G84" s="18">
        <f>_xlfn.XLOOKUP($B:$B,'Compilado 2023'!$B:$B,'Compilado 2023'!G:G)</f>
        <v>160</v>
      </c>
      <c r="H84" s="35">
        <f t="shared" si="33"/>
        <v>254.82400000000001</v>
      </c>
      <c r="I84" s="19">
        <f t="shared" si="34"/>
        <v>364.9733333333333</v>
      </c>
      <c r="J84" s="122">
        <f t="shared" si="35"/>
        <v>97.747853724473032</v>
      </c>
      <c r="K84" s="18">
        <f>_xlfn.XLOOKUP($B:$B,'Compilado 2023'!$B:$B,'Compilado 2023'!K:K)</f>
        <v>181</v>
      </c>
      <c r="L84" s="54">
        <f t="shared" si="36"/>
        <v>0.77348066298342544</v>
      </c>
      <c r="M84" s="149"/>
      <c r="N84" s="106">
        <f>_xlfn.XLOOKUP($B:$B,'Compilado 2023'!$B:$B,'Compilado 2023'!N:N)</f>
        <v>0</v>
      </c>
      <c r="O84" s="106">
        <f>_xlfn.XLOOKUP($B:$B,'Compilado 2023'!$B:$B,'Compilado 2023'!O:O)</f>
        <v>311.64</v>
      </c>
      <c r="P84" s="106">
        <f>_xlfn.XLOOKUP($B:$B,'Compilado 2023'!$B:$B,'Compilado 2023'!P:P)</f>
        <v>0</v>
      </c>
      <c r="Q84" s="106">
        <f>_xlfn.XLOOKUP($B:$B,'Compilado 2023'!$B:$B,'Compilado 2023'!Q:Q)</f>
        <v>53.333333333333336</v>
      </c>
      <c r="R84" s="106">
        <f>_xlfn.XLOOKUP($B:$B,'Compilado 2023'!$B:$B,'Compilado 2023'!R:R)</f>
        <v>0</v>
      </c>
      <c r="S84" s="106">
        <f>_xlfn.XLOOKUP($B:$B,'Compilado 2023'!$B:$B,'Compilado 2023'!T:T)</f>
        <v>0</v>
      </c>
      <c r="T84" s="106">
        <f>_xlfn.XLOOKUP($B:$B,'Compilado 2023'!$B:$B,'Compilado 2023'!U:U)</f>
        <v>0</v>
      </c>
      <c r="U84" s="106">
        <f>_xlfn.XLOOKUP($B:$B,'Compilado 2023'!$B:$B,'Compilado 2023'!V:V)</f>
        <v>0</v>
      </c>
      <c r="V84" s="57"/>
      <c r="W84" s="106">
        <f>_xlfn.XLOOKUP($B:$B,'Compilado 2023'!$B:$B,'Compilado 2023'!X:X)</f>
        <v>0</v>
      </c>
      <c r="X84" s="106">
        <f>_xlfn.XLOOKUP($B:$B,'Compilado 2023'!$B:$B,'Compilado 2023'!Y:Y)</f>
        <v>0</v>
      </c>
      <c r="Y84" s="106">
        <f>_xlfn.XLOOKUP($B:$B,'Compilado 2023'!$B:$B,'Compilado 2023'!Z:Z)</f>
        <v>0</v>
      </c>
      <c r="AA84" s="208">
        <v>45128</v>
      </c>
    </row>
    <row r="85" spans="1:27" hidden="1" x14ac:dyDescent="0.2">
      <c r="A85" s="17" t="str">
        <f t="shared" ca="1" si="37"/>
        <v>Realizado</v>
      </c>
      <c r="B85" s="17">
        <v>44734</v>
      </c>
      <c r="C85" s="19">
        <f t="shared" si="32"/>
        <v>42666.17</v>
      </c>
      <c r="D85" s="35">
        <f>_xlfn.XLOOKUP($B:$B,'Compilado 2023'!$B:$B,'Compilado 2023'!D:D)</f>
        <v>42666.17</v>
      </c>
      <c r="E85" s="35">
        <f>_xlfn.XLOOKUP($B:$B,'Compilado 2023'!$B:$B,'Compilado 2023'!E:E)</f>
        <v>0</v>
      </c>
      <c r="F85" s="18">
        <f>_xlfn.XLOOKUP($B:$B,'Compilado 2023'!$B:$B,'Compilado 2023'!F:F)</f>
        <v>142</v>
      </c>
      <c r="G85" s="18">
        <f>_xlfn.XLOOKUP($B:$B,'Compilado 2023'!$B:$B,'Compilado 2023'!G:G)</f>
        <v>183</v>
      </c>
      <c r="H85" s="35">
        <f t="shared" si="33"/>
        <v>300.46598591549292</v>
      </c>
      <c r="I85" s="19">
        <f t="shared" si="34"/>
        <v>1172.1533333333334</v>
      </c>
      <c r="J85" s="122">
        <f t="shared" si="35"/>
        <v>36.399819705044273</v>
      </c>
      <c r="K85" s="18">
        <f>_xlfn.XLOOKUP($B:$B,'Compilado 2023'!$B:$B,'Compilado 2023'!K:K)</f>
        <v>3613</v>
      </c>
      <c r="L85" s="54">
        <f t="shared" si="36"/>
        <v>3.9302518682535287E-2</v>
      </c>
      <c r="M85" s="149"/>
      <c r="N85" s="106">
        <f>_xlfn.XLOOKUP($B:$B,'Compilado 2023'!$B:$B,'Compilado 2023'!N:N)</f>
        <v>862.09</v>
      </c>
      <c r="O85" s="106">
        <f>_xlfn.XLOOKUP($B:$B,'Compilado 2023'!$B:$B,'Compilado 2023'!O:O)</f>
        <v>256.73</v>
      </c>
      <c r="P85" s="106">
        <f>_xlfn.XLOOKUP($B:$B,'Compilado 2023'!$B:$B,'Compilado 2023'!P:P)</f>
        <v>0</v>
      </c>
      <c r="Q85" s="106">
        <f>_xlfn.XLOOKUP($B:$B,'Compilado 2023'!$B:$B,'Compilado 2023'!Q:Q)</f>
        <v>53.333333333333336</v>
      </c>
      <c r="R85" s="106">
        <f>_xlfn.XLOOKUP($B:$B,'Compilado 2023'!$B:$B,'Compilado 2023'!R:R)</f>
        <v>0</v>
      </c>
      <c r="S85" s="106">
        <f>_xlfn.XLOOKUP($B:$B,'Compilado 2023'!$B:$B,'Compilado 2023'!T:T)</f>
        <v>0</v>
      </c>
      <c r="T85" s="106">
        <f>_xlfn.XLOOKUP($B:$B,'Compilado 2023'!$B:$B,'Compilado 2023'!U:U)</f>
        <v>0</v>
      </c>
      <c r="U85" s="106">
        <f>_xlfn.XLOOKUP($B:$B,'Compilado 2023'!$B:$B,'Compilado 2023'!V:V)</f>
        <v>0</v>
      </c>
      <c r="V85" s="57"/>
      <c r="W85" s="106">
        <f>_xlfn.XLOOKUP($B:$B,'Compilado 2023'!$B:$B,'Compilado 2023'!X:X)</f>
        <v>0</v>
      </c>
      <c r="X85" s="106">
        <f>_xlfn.XLOOKUP($B:$B,'Compilado 2023'!$B:$B,'Compilado 2023'!Y:Y)</f>
        <v>0</v>
      </c>
      <c r="Y85" s="106">
        <f>_xlfn.XLOOKUP($B:$B,'Compilado 2023'!$B:$B,'Compilado 2023'!Z:Z)</f>
        <v>0</v>
      </c>
      <c r="AA85" s="208">
        <v>45129</v>
      </c>
    </row>
    <row r="86" spans="1:27" hidden="1" x14ac:dyDescent="0.2">
      <c r="A86" s="17" t="str">
        <f t="shared" ca="1" si="37"/>
        <v>Realizado</v>
      </c>
      <c r="B86" s="17">
        <v>44735</v>
      </c>
      <c r="C86" s="19">
        <f t="shared" si="32"/>
        <v>44840.61</v>
      </c>
      <c r="D86" s="35">
        <f>_xlfn.XLOOKUP($B:$B,'Compilado 2023'!$B:$B,'Compilado 2023'!D:D)</f>
        <v>44815.68</v>
      </c>
      <c r="E86" s="35">
        <f>_xlfn.XLOOKUP($B:$B,'Compilado 2023'!$B:$B,'Compilado 2023'!E:E)</f>
        <v>24.93</v>
      </c>
      <c r="F86" s="18">
        <f>_xlfn.XLOOKUP($B:$B,'Compilado 2023'!$B:$B,'Compilado 2023'!F:F)</f>
        <v>163</v>
      </c>
      <c r="G86" s="18">
        <f>_xlfn.XLOOKUP($B:$B,'Compilado 2023'!$B:$B,'Compilado 2023'!G:G)</f>
        <v>187</v>
      </c>
      <c r="H86" s="35">
        <f t="shared" si="33"/>
        <v>275.09576687116567</v>
      </c>
      <c r="I86" s="19">
        <f t="shared" si="34"/>
        <v>1347.3233333333333</v>
      </c>
      <c r="J86" s="122">
        <f t="shared" si="35"/>
        <v>33.281253943003044</v>
      </c>
      <c r="K86" s="18">
        <f>_xlfn.XLOOKUP($B:$B,'Compilado 2023'!$B:$B,'Compilado 2023'!K:K)</f>
        <v>3691</v>
      </c>
      <c r="L86" s="54">
        <f t="shared" si="36"/>
        <v>4.4161473855323763E-2</v>
      </c>
      <c r="M86" s="149"/>
      <c r="N86" s="106">
        <f>_xlfn.XLOOKUP($B:$B,'Compilado 2023'!$B:$B,'Compilado 2023'!N:N)</f>
        <v>991.36</v>
      </c>
      <c r="O86" s="106">
        <f>_xlfn.XLOOKUP($B:$B,'Compilado 2023'!$B:$B,'Compilado 2023'!O:O)</f>
        <v>302.63</v>
      </c>
      <c r="P86" s="106">
        <f>_xlfn.XLOOKUP($B:$B,'Compilado 2023'!$B:$B,'Compilado 2023'!P:P)</f>
        <v>0</v>
      </c>
      <c r="Q86" s="106">
        <f>_xlfn.XLOOKUP($B:$B,'Compilado 2023'!$B:$B,'Compilado 2023'!Q:Q)</f>
        <v>53.333333333333336</v>
      </c>
      <c r="R86" s="106">
        <f>_xlfn.XLOOKUP($B:$B,'Compilado 2023'!$B:$B,'Compilado 2023'!R:R)</f>
        <v>0</v>
      </c>
      <c r="S86" s="106">
        <f>_xlfn.XLOOKUP($B:$B,'Compilado 2023'!$B:$B,'Compilado 2023'!T:T)</f>
        <v>0</v>
      </c>
      <c r="T86" s="106">
        <f>_xlfn.XLOOKUP($B:$B,'Compilado 2023'!$B:$B,'Compilado 2023'!U:U)</f>
        <v>0</v>
      </c>
      <c r="U86" s="106">
        <f>_xlfn.XLOOKUP($B:$B,'Compilado 2023'!$B:$B,'Compilado 2023'!V:V)</f>
        <v>0</v>
      </c>
      <c r="V86" s="57"/>
      <c r="W86" s="106">
        <f>_xlfn.XLOOKUP($B:$B,'Compilado 2023'!$B:$B,'Compilado 2023'!X:X)</f>
        <v>0</v>
      </c>
      <c r="X86" s="106">
        <f>_xlfn.XLOOKUP($B:$B,'Compilado 2023'!$B:$B,'Compilado 2023'!Y:Y)</f>
        <v>0</v>
      </c>
      <c r="Y86" s="106">
        <f>_xlfn.XLOOKUP($B:$B,'Compilado 2023'!$B:$B,'Compilado 2023'!Z:Z)</f>
        <v>0</v>
      </c>
      <c r="AA86" s="208">
        <v>45130</v>
      </c>
    </row>
    <row r="87" spans="1:27" hidden="1" x14ac:dyDescent="0.2">
      <c r="A87" s="17" t="str">
        <f t="shared" ca="1" si="37"/>
        <v>Realizado</v>
      </c>
      <c r="B87" s="17">
        <v>44736</v>
      </c>
      <c r="C87" s="19">
        <f t="shared" si="32"/>
        <v>30881</v>
      </c>
      <c r="D87" s="35">
        <f>_xlfn.XLOOKUP($B:$B,'Compilado 2023'!$B:$B,'Compilado 2023'!D:D)</f>
        <v>30881</v>
      </c>
      <c r="E87" s="35">
        <f>_xlfn.XLOOKUP($B:$B,'Compilado 2023'!$B:$B,'Compilado 2023'!E:E)</f>
        <v>0</v>
      </c>
      <c r="F87" s="18">
        <f>_xlfn.XLOOKUP($B:$B,'Compilado 2023'!$B:$B,'Compilado 2023'!F:F)</f>
        <v>122</v>
      </c>
      <c r="G87" s="18">
        <f>_xlfn.XLOOKUP($B:$B,'Compilado 2023'!$B:$B,'Compilado 2023'!G:G)</f>
        <v>148</v>
      </c>
      <c r="H87" s="35">
        <f t="shared" si="33"/>
        <v>253.12295081967213</v>
      </c>
      <c r="I87" s="19">
        <f t="shared" si="34"/>
        <v>1432.7733333333333</v>
      </c>
      <c r="J87" s="122">
        <f t="shared" si="35"/>
        <v>21.55330454689274</v>
      </c>
      <c r="K87" s="18">
        <f>_xlfn.XLOOKUP($B:$B,'Compilado 2023'!$B:$B,'Compilado 2023'!K:K)</f>
        <v>3476</v>
      </c>
      <c r="L87" s="54">
        <f t="shared" si="36"/>
        <v>3.5097813578826235E-2</v>
      </c>
      <c r="M87" s="149"/>
      <c r="N87" s="106">
        <f>_xlfn.XLOOKUP($B:$B,'Compilado 2023'!$B:$B,'Compilado 2023'!N:N)</f>
        <v>1041</v>
      </c>
      <c r="O87" s="106">
        <f>_xlfn.XLOOKUP($B:$B,'Compilado 2023'!$B:$B,'Compilado 2023'!O:O)</f>
        <v>338.44</v>
      </c>
      <c r="P87" s="106">
        <f>_xlfn.XLOOKUP($B:$B,'Compilado 2023'!$B:$B,'Compilado 2023'!P:P)</f>
        <v>0</v>
      </c>
      <c r="Q87" s="106">
        <f>_xlfn.XLOOKUP($B:$B,'Compilado 2023'!$B:$B,'Compilado 2023'!Q:Q)</f>
        <v>53.333333333333336</v>
      </c>
      <c r="R87" s="106">
        <f>_xlfn.XLOOKUP($B:$B,'Compilado 2023'!$B:$B,'Compilado 2023'!R:R)</f>
        <v>0</v>
      </c>
      <c r="S87" s="106">
        <f>_xlfn.XLOOKUP($B:$B,'Compilado 2023'!$B:$B,'Compilado 2023'!T:T)</f>
        <v>0</v>
      </c>
      <c r="T87" s="106">
        <f>_xlfn.XLOOKUP($B:$B,'Compilado 2023'!$B:$B,'Compilado 2023'!U:U)</f>
        <v>0</v>
      </c>
      <c r="U87" s="106">
        <f>_xlfn.XLOOKUP($B:$B,'Compilado 2023'!$B:$B,'Compilado 2023'!V:V)</f>
        <v>0</v>
      </c>
      <c r="V87" s="57"/>
      <c r="W87" s="106">
        <f>_xlfn.XLOOKUP($B:$B,'Compilado 2023'!$B:$B,'Compilado 2023'!X:X)</f>
        <v>0</v>
      </c>
      <c r="X87" s="106">
        <f>_xlfn.XLOOKUP($B:$B,'Compilado 2023'!$B:$B,'Compilado 2023'!Y:Y)</f>
        <v>0</v>
      </c>
      <c r="Y87" s="106">
        <f>_xlfn.XLOOKUP($B:$B,'Compilado 2023'!$B:$B,'Compilado 2023'!Z:Z)</f>
        <v>0</v>
      </c>
      <c r="AA87" s="208">
        <v>45131</v>
      </c>
    </row>
    <row r="88" spans="1:27" hidden="1" x14ac:dyDescent="0.2">
      <c r="A88" s="17" t="str">
        <f t="shared" ca="1" si="37"/>
        <v>Realizado</v>
      </c>
      <c r="B88" s="17">
        <v>44737</v>
      </c>
      <c r="C88" s="19">
        <f t="shared" si="32"/>
        <v>32339.3</v>
      </c>
      <c r="D88" s="35">
        <f>_xlfn.XLOOKUP($B:$B,'Compilado 2023'!$B:$B,'Compilado 2023'!D:D)</f>
        <v>32339.3</v>
      </c>
      <c r="E88" s="35">
        <f>_xlfn.XLOOKUP($B:$B,'Compilado 2023'!$B:$B,'Compilado 2023'!E:E)</f>
        <v>0</v>
      </c>
      <c r="F88" s="18">
        <f>_xlfn.XLOOKUP($B:$B,'Compilado 2023'!$B:$B,'Compilado 2023'!F:F)</f>
        <v>116</v>
      </c>
      <c r="G88" s="18">
        <f>_xlfn.XLOOKUP($B:$B,'Compilado 2023'!$B:$B,'Compilado 2023'!G:G)</f>
        <v>144</v>
      </c>
      <c r="H88" s="35">
        <f t="shared" si="33"/>
        <v>278.78706896551722</v>
      </c>
      <c r="I88" s="19">
        <f t="shared" si="34"/>
        <v>1237.3933333333332</v>
      </c>
      <c r="J88" s="122">
        <f t="shared" si="35"/>
        <v>26.135020392330116</v>
      </c>
      <c r="K88" s="18">
        <f>_xlfn.XLOOKUP($B:$B,'Compilado 2023'!$B:$B,'Compilado 2023'!K:K)</f>
        <v>2733</v>
      </c>
      <c r="L88" s="54">
        <f t="shared" si="36"/>
        <v>4.2444200512257592E-2</v>
      </c>
      <c r="M88" s="149"/>
      <c r="N88" s="106">
        <f>_xlfn.XLOOKUP($B:$B,'Compilado 2023'!$B:$B,'Compilado 2023'!N:N)</f>
        <v>859.09</v>
      </c>
      <c r="O88" s="106">
        <f>_xlfn.XLOOKUP($B:$B,'Compilado 2023'!$B:$B,'Compilado 2023'!O:O)</f>
        <v>324.97000000000003</v>
      </c>
      <c r="P88" s="106">
        <f>_xlfn.XLOOKUP($B:$B,'Compilado 2023'!$B:$B,'Compilado 2023'!P:P)</f>
        <v>0</v>
      </c>
      <c r="Q88" s="106">
        <f>_xlfn.XLOOKUP($B:$B,'Compilado 2023'!$B:$B,'Compilado 2023'!Q:Q)</f>
        <v>53.333333333333336</v>
      </c>
      <c r="R88" s="106">
        <f>_xlfn.XLOOKUP($B:$B,'Compilado 2023'!$B:$B,'Compilado 2023'!R:R)</f>
        <v>0</v>
      </c>
      <c r="S88" s="106">
        <f>_xlfn.XLOOKUP($B:$B,'Compilado 2023'!$B:$B,'Compilado 2023'!T:T)</f>
        <v>0</v>
      </c>
      <c r="T88" s="106">
        <f>_xlfn.XLOOKUP($B:$B,'Compilado 2023'!$B:$B,'Compilado 2023'!U:U)</f>
        <v>0</v>
      </c>
      <c r="U88" s="106">
        <f>_xlfn.XLOOKUP($B:$B,'Compilado 2023'!$B:$B,'Compilado 2023'!V:V)</f>
        <v>0</v>
      </c>
      <c r="V88" s="57"/>
      <c r="W88" s="106">
        <f>_xlfn.XLOOKUP($B:$B,'Compilado 2023'!$B:$B,'Compilado 2023'!X:X)</f>
        <v>0</v>
      </c>
      <c r="X88" s="106">
        <f>_xlfn.XLOOKUP($B:$B,'Compilado 2023'!$B:$B,'Compilado 2023'!Y:Y)</f>
        <v>0</v>
      </c>
      <c r="Y88" s="106">
        <f>_xlfn.XLOOKUP($B:$B,'Compilado 2023'!$B:$B,'Compilado 2023'!Z:Z)</f>
        <v>0</v>
      </c>
      <c r="AA88" s="208">
        <v>45132</v>
      </c>
    </row>
    <row r="89" spans="1:27" hidden="1" x14ac:dyDescent="0.2">
      <c r="A89" s="17" t="str">
        <f t="shared" ca="1" si="37"/>
        <v>Realizado</v>
      </c>
      <c r="B89" s="17">
        <v>44738</v>
      </c>
      <c r="C89" s="19">
        <f t="shared" si="32"/>
        <v>22976.75</v>
      </c>
      <c r="D89" s="35">
        <f>_xlfn.XLOOKUP($B:$B,'Compilado 2023'!$B:$B,'Compilado 2023'!D:D)</f>
        <v>22976.75</v>
      </c>
      <c r="E89" s="35">
        <f>_xlfn.XLOOKUP($B:$B,'Compilado 2023'!$B:$B,'Compilado 2023'!E:E)</f>
        <v>0</v>
      </c>
      <c r="F89" s="18">
        <f>_xlfn.XLOOKUP($B:$B,'Compilado 2023'!$B:$B,'Compilado 2023'!F:F)</f>
        <v>82</v>
      </c>
      <c r="G89" s="18">
        <f>_xlfn.XLOOKUP($B:$B,'Compilado 2023'!$B:$B,'Compilado 2023'!G:G)</f>
        <v>123</v>
      </c>
      <c r="H89" s="35">
        <f t="shared" si="33"/>
        <v>280.20426829268291</v>
      </c>
      <c r="I89" s="19">
        <f t="shared" si="34"/>
        <v>1104.1933333333334</v>
      </c>
      <c r="J89" s="122">
        <f t="shared" si="35"/>
        <v>20.808629527437827</v>
      </c>
      <c r="K89" s="18">
        <f>_xlfn.XLOOKUP($B:$B,'Compilado 2023'!$B:$B,'Compilado 2023'!K:K)</f>
        <v>2391</v>
      </c>
      <c r="L89" s="54">
        <f t="shared" si="36"/>
        <v>3.4295273943956504E-2</v>
      </c>
      <c r="M89" s="149"/>
      <c r="N89" s="106">
        <f>_xlfn.XLOOKUP($B:$B,'Compilado 2023'!$B:$B,'Compilado 2023'!N:N)</f>
        <v>720</v>
      </c>
      <c r="O89" s="106">
        <f>_xlfn.XLOOKUP($B:$B,'Compilado 2023'!$B:$B,'Compilado 2023'!O:O)</f>
        <v>330.86</v>
      </c>
      <c r="P89" s="106">
        <f>_xlfn.XLOOKUP($B:$B,'Compilado 2023'!$B:$B,'Compilado 2023'!P:P)</f>
        <v>0</v>
      </c>
      <c r="Q89" s="106">
        <f>_xlfn.XLOOKUP($B:$B,'Compilado 2023'!$B:$B,'Compilado 2023'!Q:Q)</f>
        <v>53.333333333333336</v>
      </c>
      <c r="R89" s="106">
        <f>_xlfn.XLOOKUP($B:$B,'Compilado 2023'!$B:$B,'Compilado 2023'!R:R)</f>
        <v>0</v>
      </c>
      <c r="S89" s="106">
        <f>_xlfn.XLOOKUP($B:$B,'Compilado 2023'!$B:$B,'Compilado 2023'!T:T)</f>
        <v>0</v>
      </c>
      <c r="T89" s="106">
        <f>_xlfn.XLOOKUP($B:$B,'Compilado 2023'!$B:$B,'Compilado 2023'!U:U)</f>
        <v>0</v>
      </c>
      <c r="U89" s="106">
        <f>_xlfn.XLOOKUP($B:$B,'Compilado 2023'!$B:$B,'Compilado 2023'!V:V)</f>
        <v>0</v>
      </c>
      <c r="V89" s="57"/>
      <c r="W89" s="106">
        <f>_xlfn.XLOOKUP($B:$B,'Compilado 2023'!$B:$B,'Compilado 2023'!X:X)</f>
        <v>0</v>
      </c>
      <c r="X89" s="106">
        <f>_xlfn.XLOOKUP($B:$B,'Compilado 2023'!$B:$B,'Compilado 2023'!Y:Y)</f>
        <v>0</v>
      </c>
      <c r="Y89" s="106">
        <f>_xlfn.XLOOKUP($B:$B,'Compilado 2023'!$B:$B,'Compilado 2023'!Z:Z)</f>
        <v>0</v>
      </c>
      <c r="AA89" s="208">
        <v>45133</v>
      </c>
    </row>
    <row r="90" spans="1:27" hidden="1" x14ac:dyDescent="0.2">
      <c r="A90" s="17" t="str">
        <f t="shared" ca="1" si="37"/>
        <v>Realizado</v>
      </c>
      <c r="B90" s="17">
        <v>44739</v>
      </c>
      <c r="C90" s="19">
        <f t="shared" si="32"/>
        <v>42091.839999999997</v>
      </c>
      <c r="D90" s="35">
        <f>_xlfn.XLOOKUP($B:$B,'Compilado 2023'!$B:$B,'Compilado 2023'!D:D)</f>
        <v>42069.95</v>
      </c>
      <c r="E90" s="35">
        <f>_xlfn.XLOOKUP($B:$B,'Compilado 2023'!$B:$B,'Compilado 2023'!E:E)</f>
        <v>21.89</v>
      </c>
      <c r="F90" s="18">
        <f>_xlfn.XLOOKUP($B:$B,'Compilado 2023'!$B:$B,'Compilado 2023'!F:F)</f>
        <v>156</v>
      </c>
      <c r="G90" s="18">
        <f>_xlfn.XLOOKUP($B:$B,'Compilado 2023'!$B:$B,'Compilado 2023'!G:G)</f>
        <v>200</v>
      </c>
      <c r="H90" s="35">
        <f t="shared" si="33"/>
        <v>269.81948717948717</v>
      </c>
      <c r="I90" s="19">
        <f t="shared" si="34"/>
        <v>1209.1833333333332</v>
      </c>
      <c r="J90" s="122">
        <f t="shared" si="35"/>
        <v>34.810139074582018</v>
      </c>
      <c r="K90" s="18">
        <f>_xlfn.XLOOKUP($B:$B,'Compilado 2023'!$B:$B,'Compilado 2023'!K:K)</f>
        <v>3714</v>
      </c>
      <c r="L90" s="54">
        <f t="shared" si="36"/>
        <v>4.2003231017770599E-2</v>
      </c>
      <c r="M90" s="149"/>
      <c r="N90" s="106">
        <f>_xlfn.XLOOKUP($B:$B,'Compilado 2023'!$B:$B,'Compilado 2023'!N:N)</f>
        <v>886.39</v>
      </c>
      <c r="O90" s="106">
        <f>_xlfn.XLOOKUP($B:$B,'Compilado 2023'!$B:$B,'Compilado 2023'!O:O)</f>
        <v>269.45999999999998</v>
      </c>
      <c r="P90" s="106">
        <f>_xlfn.XLOOKUP($B:$B,'Compilado 2023'!$B:$B,'Compilado 2023'!P:P)</f>
        <v>0</v>
      </c>
      <c r="Q90" s="106">
        <f>_xlfn.XLOOKUP($B:$B,'Compilado 2023'!$B:$B,'Compilado 2023'!Q:Q)</f>
        <v>53.333333333333336</v>
      </c>
      <c r="R90" s="106">
        <f>_xlfn.XLOOKUP($B:$B,'Compilado 2023'!$B:$B,'Compilado 2023'!R:R)</f>
        <v>0</v>
      </c>
      <c r="S90" s="106">
        <f>_xlfn.XLOOKUP($B:$B,'Compilado 2023'!$B:$B,'Compilado 2023'!T:T)</f>
        <v>0</v>
      </c>
      <c r="T90" s="106">
        <f>_xlfn.XLOOKUP($B:$B,'Compilado 2023'!$B:$B,'Compilado 2023'!U:U)</f>
        <v>0</v>
      </c>
      <c r="U90" s="106">
        <f>_xlfn.XLOOKUP($B:$B,'Compilado 2023'!$B:$B,'Compilado 2023'!V:V)</f>
        <v>0</v>
      </c>
      <c r="V90" s="57"/>
      <c r="W90" s="106">
        <f>_xlfn.XLOOKUP($B:$B,'Compilado 2023'!$B:$B,'Compilado 2023'!X:X)</f>
        <v>0</v>
      </c>
      <c r="X90" s="106">
        <f>_xlfn.XLOOKUP($B:$B,'Compilado 2023'!$B:$B,'Compilado 2023'!Y:Y)</f>
        <v>0</v>
      </c>
      <c r="Y90" s="106">
        <f>_xlfn.XLOOKUP($B:$B,'Compilado 2023'!$B:$B,'Compilado 2023'!Z:Z)</f>
        <v>0</v>
      </c>
      <c r="AA90" s="208">
        <v>45134</v>
      </c>
    </row>
    <row r="91" spans="1:27" hidden="1" x14ac:dyDescent="0.2">
      <c r="A91" s="17" t="str">
        <f t="shared" ca="1" si="37"/>
        <v>Realizado</v>
      </c>
      <c r="B91" s="17">
        <v>44740</v>
      </c>
      <c r="C91" s="19">
        <f t="shared" si="32"/>
        <v>35210.839999999997</v>
      </c>
      <c r="D91" s="35">
        <f>_xlfn.XLOOKUP($B:$B,'Compilado 2023'!$B:$B,'Compilado 2023'!D:D)</f>
        <v>35154.35</v>
      </c>
      <c r="E91" s="35">
        <f>_xlfn.XLOOKUP($B:$B,'Compilado 2023'!$B:$B,'Compilado 2023'!E:E)</f>
        <v>56.49</v>
      </c>
      <c r="F91" s="18">
        <f>_xlfn.XLOOKUP($B:$B,'Compilado 2023'!$B:$B,'Compilado 2023'!F:F)</f>
        <v>117</v>
      </c>
      <c r="G91" s="18">
        <f>_xlfn.XLOOKUP($B:$B,'Compilado 2023'!$B:$B,'Compilado 2023'!G:G)</f>
        <v>179</v>
      </c>
      <c r="H91" s="35">
        <f t="shared" si="33"/>
        <v>300.94735042735039</v>
      </c>
      <c r="I91" s="19">
        <f t="shared" si="34"/>
        <v>1215.7133333333334</v>
      </c>
      <c r="J91" s="122">
        <f t="shared" si="35"/>
        <v>28.96311082108172</v>
      </c>
      <c r="K91" s="18">
        <f>_xlfn.XLOOKUP($B:$B,'Compilado 2023'!$B:$B,'Compilado 2023'!K:K)</f>
        <v>3531</v>
      </c>
      <c r="L91" s="54">
        <f t="shared" si="36"/>
        <v>3.3135089209855563E-2</v>
      </c>
      <c r="M91" s="149"/>
      <c r="N91" s="106">
        <f>_xlfn.XLOOKUP($B:$B,'Compilado 2023'!$B:$B,'Compilado 2023'!N:N)</f>
        <v>816.87</v>
      </c>
      <c r="O91" s="106">
        <f>_xlfn.XLOOKUP($B:$B,'Compilado 2023'!$B:$B,'Compilado 2023'!O:O)</f>
        <v>345.51</v>
      </c>
      <c r="P91" s="106">
        <f>_xlfn.XLOOKUP($B:$B,'Compilado 2023'!$B:$B,'Compilado 2023'!P:P)</f>
        <v>0</v>
      </c>
      <c r="Q91" s="106">
        <f>_xlfn.XLOOKUP($B:$B,'Compilado 2023'!$B:$B,'Compilado 2023'!Q:Q)</f>
        <v>53.333333333333336</v>
      </c>
      <c r="R91" s="106">
        <f>_xlfn.XLOOKUP($B:$B,'Compilado 2023'!$B:$B,'Compilado 2023'!R:R)</f>
        <v>0</v>
      </c>
      <c r="S91" s="106">
        <f>_xlfn.XLOOKUP($B:$B,'Compilado 2023'!$B:$B,'Compilado 2023'!T:T)</f>
        <v>0</v>
      </c>
      <c r="T91" s="106">
        <f>_xlfn.XLOOKUP($B:$B,'Compilado 2023'!$B:$B,'Compilado 2023'!U:U)</f>
        <v>0</v>
      </c>
      <c r="U91" s="106">
        <f>_xlfn.XLOOKUP($B:$B,'Compilado 2023'!$B:$B,'Compilado 2023'!V:V)</f>
        <v>0</v>
      </c>
      <c r="V91" s="57"/>
      <c r="W91" s="106">
        <f>_xlfn.XLOOKUP($B:$B,'Compilado 2023'!$B:$B,'Compilado 2023'!X:X)</f>
        <v>0</v>
      </c>
      <c r="X91" s="106">
        <f>_xlfn.XLOOKUP($B:$B,'Compilado 2023'!$B:$B,'Compilado 2023'!Y:Y)</f>
        <v>0</v>
      </c>
      <c r="Y91" s="106">
        <f>_xlfn.XLOOKUP($B:$B,'Compilado 2023'!$B:$B,'Compilado 2023'!Z:Z)</f>
        <v>0</v>
      </c>
      <c r="AA91" s="208">
        <v>45135</v>
      </c>
    </row>
    <row r="92" spans="1:27" hidden="1" x14ac:dyDescent="0.2">
      <c r="A92" s="17" t="str">
        <f t="shared" ca="1" si="37"/>
        <v>Realizado</v>
      </c>
      <c r="B92" s="17">
        <v>44741</v>
      </c>
      <c r="C92" s="19">
        <f t="shared" si="32"/>
        <v>55177.34</v>
      </c>
      <c r="D92" s="35">
        <f>_xlfn.XLOOKUP($B:$B,'Compilado 2023'!$B:$B,'Compilado 2023'!D:D)</f>
        <v>55177.34</v>
      </c>
      <c r="E92" s="35">
        <f>_xlfn.XLOOKUP($B:$B,'Compilado 2023'!$B:$B,'Compilado 2023'!E:E)</f>
        <v>0</v>
      </c>
      <c r="F92" s="18">
        <f>_xlfn.XLOOKUP($B:$B,'Compilado 2023'!$B:$B,'Compilado 2023'!F:F)</f>
        <v>155</v>
      </c>
      <c r="G92" s="18">
        <f>_xlfn.XLOOKUP($B:$B,'Compilado 2023'!$B:$B,'Compilado 2023'!G:G)</f>
        <v>198</v>
      </c>
      <c r="H92" s="35">
        <f t="shared" si="33"/>
        <v>355.98283870967742</v>
      </c>
      <c r="I92" s="19">
        <f t="shared" si="34"/>
        <v>1147.2033333333334</v>
      </c>
      <c r="J92" s="122">
        <f t="shared" si="35"/>
        <v>48.097262618367559</v>
      </c>
      <c r="K92" s="18">
        <f>_xlfn.XLOOKUP($B:$B,'Compilado 2023'!$B:$B,'Compilado 2023'!K:K)</f>
        <v>4086</v>
      </c>
      <c r="L92" s="54">
        <f t="shared" si="36"/>
        <v>3.7934410181106215E-2</v>
      </c>
      <c r="M92" s="149"/>
      <c r="N92" s="106">
        <f>_xlfn.XLOOKUP($B:$B,'Compilado 2023'!$B:$B,'Compilado 2023'!N:N)</f>
        <v>771.46</v>
      </c>
      <c r="O92" s="106">
        <f>_xlfn.XLOOKUP($B:$B,'Compilado 2023'!$B:$B,'Compilado 2023'!O:O)</f>
        <v>322.41000000000003</v>
      </c>
      <c r="P92" s="106">
        <f>_xlfn.XLOOKUP($B:$B,'Compilado 2023'!$B:$B,'Compilado 2023'!P:P)</f>
        <v>0</v>
      </c>
      <c r="Q92" s="106">
        <f>_xlfn.XLOOKUP($B:$B,'Compilado 2023'!$B:$B,'Compilado 2023'!Q:Q)</f>
        <v>53.333333333333336</v>
      </c>
      <c r="R92" s="106">
        <f>_xlfn.XLOOKUP($B:$B,'Compilado 2023'!$B:$B,'Compilado 2023'!R:R)</f>
        <v>0</v>
      </c>
      <c r="S92" s="106">
        <f>_xlfn.XLOOKUP($B:$B,'Compilado 2023'!$B:$B,'Compilado 2023'!T:T)</f>
        <v>0</v>
      </c>
      <c r="T92" s="106">
        <f>_xlfn.XLOOKUP($B:$B,'Compilado 2023'!$B:$B,'Compilado 2023'!U:U)</f>
        <v>0</v>
      </c>
      <c r="U92" s="106">
        <f>_xlfn.XLOOKUP($B:$B,'Compilado 2023'!$B:$B,'Compilado 2023'!V:V)</f>
        <v>0</v>
      </c>
      <c r="V92" s="57"/>
      <c r="W92" s="106">
        <f>_xlfn.XLOOKUP($B:$B,'Compilado 2023'!$B:$B,'Compilado 2023'!X:X)</f>
        <v>0</v>
      </c>
      <c r="X92" s="106">
        <f>_xlfn.XLOOKUP($B:$B,'Compilado 2023'!$B:$B,'Compilado 2023'!Y:Y)</f>
        <v>0</v>
      </c>
      <c r="Y92" s="106">
        <f>_xlfn.XLOOKUP($B:$B,'Compilado 2023'!$B:$B,'Compilado 2023'!Z:Z)</f>
        <v>0</v>
      </c>
      <c r="AA92" s="208">
        <v>45136</v>
      </c>
    </row>
    <row r="93" spans="1:27" hidden="1" x14ac:dyDescent="0.2">
      <c r="A93" s="17" t="str">
        <f t="shared" ca="1" si="37"/>
        <v>Realizado</v>
      </c>
      <c r="B93" s="17">
        <v>44742</v>
      </c>
      <c r="C93" s="19">
        <f t="shared" si="32"/>
        <v>43925.25</v>
      </c>
      <c r="D93" s="35">
        <f>_xlfn.XLOOKUP($B:$B,'Compilado 2023'!$B:$B,'Compilado 2023'!D:D)</f>
        <v>43925.25</v>
      </c>
      <c r="E93" s="35">
        <f>_xlfn.XLOOKUP($B:$B,'Compilado 2023'!$B:$B,'Compilado 2023'!E:E)</f>
        <v>0</v>
      </c>
      <c r="F93" s="18">
        <f>_xlfn.XLOOKUP($B:$B,'Compilado 2023'!$B:$B,'Compilado 2023'!F:F)</f>
        <v>160</v>
      </c>
      <c r="G93" s="18">
        <f>_xlfn.XLOOKUP($B:$B,'Compilado 2023'!$B:$B,'Compilado 2023'!G:G)</f>
        <v>177</v>
      </c>
      <c r="H93" s="35">
        <f t="shared" si="33"/>
        <v>274.53281249999998</v>
      </c>
      <c r="I93" s="19">
        <f t="shared" si="34"/>
        <v>931.59333333333336</v>
      </c>
      <c r="J93" s="122">
        <f t="shared" si="35"/>
        <v>47.150670177974654</v>
      </c>
      <c r="K93" s="18">
        <f>_xlfn.XLOOKUP($B:$B,'Compilado 2023'!$B:$B,'Compilado 2023'!K:K)</f>
        <v>3740</v>
      </c>
      <c r="L93" s="54">
        <f t="shared" si="36"/>
        <v>4.2780748663101602E-2</v>
      </c>
      <c r="M93" s="149"/>
      <c r="N93" s="106">
        <f>_xlfn.XLOOKUP($B:$B,'Compilado 2023'!$B:$B,'Compilado 2023'!N:N)</f>
        <v>591.4</v>
      </c>
      <c r="O93" s="106">
        <f>_xlfn.XLOOKUP($B:$B,'Compilado 2023'!$B:$B,'Compilado 2023'!O:O)</f>
        <v>286.86</v>
      </c>
      <c r="P93" s="106">
        <f>_xlfn.XLOOKUP($B:$B,'Compilado 2023'!$B:$B,'Compilado 2023'!P:P)</f>
        <v>0</v>
      </c>
      <c r="Q93" s="106">
        <f>_xlfn.XLOOKUP($B:$B,'Compilado 2023'!$B:$B,'Compilado 2023'!Q:Q)</f>
        <v>53.333333333333336</v>
      </c>
      <c r="R93" s="106">
        <f>_xlfn.XLOOKUP($B:$B,'Compilado 2023'!$B:$B,'Compilado 2023'!R:R)</f>
        <v>0</v>
      </c>
      <c r="S93" s="106">
        <f>_xlfn.XLOOKUP($B:$B,'Compilado 2023'!$B:$B,'Compilado 2023'!T:T)</f>
        <v>0</v>
      </c>
      <c r="T93" s="106">
        <f>_xlfn.XLOOKUP($B:$B,'Compilado 2023'!$B:$B,'Compilado 2023'!U:U)</f>
        <v>0</v>
      </c>
      <c r="U93" s="106">
        <f>_xlfn.XLOOKUP($B:$B,'Compilado 2023'!$B:$B,'Compilado 2023'!V:V)</f>
        <v>0</v>
      </c>
      <c r="V93" s="57"/>
      <c r="W93" s="106">
        <f>_xlfn.XLOOKUP($B:$B,'Compilado 2023'!$B:$B,'Compilado 2023'!X:X)</f>
        <v>0</v>
      </c>
      <c r="X93" s="106">
        <f>_xlfn.XLOOKUP($B:$B,'Compilado 2023'!$B:$B,'Compilado 2023'!Y:Y)</f>
        <v>0</v>
      </c>
      <c r="Y93" s="106">
        <f>_xlfn.XLOOKUP($B:$B,'Compilado 2023'!$B:$B,'Compilado 2023'!Z:Z)</f>
        <v>0</v>
      </c>
      <c r="AA93" s="208">
        <v>45137</v>
      </c>
    </row>
    <row r="94" spans="1:27" hidden="1" x14ac:dyDescent="0.2">
      <c r="A94" s="17" t="str">
        <f t="shared" ca="1" si="37"/>
        <v>Realizado</v>
      </c>
      <c r="C94" s="19">
        <f t="shared" si="32"/>
        <v>0</v>
      </c>
      <c r="D94" s="35">
        <f>_xlfn.XLOOKUP($B:$B,'Compilado 2023'!$B:$B,'Compilado 2023'!D:D)</f>
        <v>0</v>
      </c>
      <c r="E94" s="35">
        <f>_xlfn.XLOOKUP($B:$B,'Compilado 2023'!$B:$B,'Compilado 2023'!E:E)</f>
        <v>0</v>
      </c>
      <c r="F94" s="18">
        <f>_xlfn.XLOOKUP($B:$B,'Compilado 2023'!$B:$B,'Compilado 2023'!F:F)</f>
        <v>0</v>
      </c>
      <c r="G94" s="18">
        <f>_xlfn.XLOOKUP($B:$B,'Compilado 2023'!$B:$B,'Compilado 2023'!G:G)</f>
        <v>0</v>
      </c>
      <c r="H94" s="35">
        <f t="shared" si="33"/>
        <v>0</v>
      </c>
      <c r="I94" s="19">
        <f t="shared" si="34"/>
        <v>0</v>
      </c>
      <c r="J94" s="122">
        <f t="shared" si="35"/>
        <v>0</v>
      </c>
      <c r="K94" s="18">
        <f>_xlfn.XLOOKUP($B:$B,'Compilado 2023'!$B:$B,'Compilado 2023'!K:K)</f>
        <v>0</v>
      </c>
      <c r="L94" s="54">
        <f t="shared" si="36"/>
        <v>0</v>
      </c>
      <c r="M94" s="149"/>
      <c r="N94" s="106">
        <f>_xlfn.XLOOKUP($B:$B,'Compilado 2023'!$B:$B,'Compilado 2023'!N:N)</f>
        <v>0</v>
      </c>
      <c r="O94" s="106">
        <f>_xlfn.XLOOKUP($B:$B,'Compilado 2023'!$B:$B,'Compilado 2023'!O:O)</f>
        <v>0</v>
      </c>
      <c r="P94" s="106">
        <f>_xlfn.XLOOKUP($B:$B,'Compilado 2023'!$B:$B,'Compilado 2023'!P:P)</f>
        <v>0</v>
      </c>
      <c r="Q94" s="106">
        <f>_xlfn.XLOOKUP($B:$B,'Compilado 2023'!$B:$B,'Compilado 2023'!Q:Q)</f>
        <v>0</v>
      </c>
      <c r="R94" s="106">
        <f>_xlfn.XLOOKUP($B:$B,'Compilado 2023'!$B:$B,'Compilado 2023'!R:R)</f>
        <v>0</v>
      </c>
      <c r="S94" s="106">
        <f>_xlfn.XLOOKUP($B:$B,'Compilado 2023'!$B:$B,'Compilado 2023'!T:T)</f>
        <v>0</v>
      </c>
      <c r="T94" s="106">
        <f>_xlfn.XLOOKUP($B:$B,'Compilado 2023'!$B:$B,'Compilado 2023'!U:U)</f>
        <v>0</v>
      </c>
      <c r="U94" s="106">
        <f>_xlfn.XLOOKUP($B:$B,'Compilado 2023'!$B:$B,'Compilado 2023'!V:V)</f>
        <v>0</v>
      </c>
      <c r="V94" s="57"/>
      <c r="W94" s="106">
        <f>_xlfn.XLOOKUP($B:$B,'Compilado 2023'!$B:$B,'Compilado 2023'!X:X)</f>
        <v>0</v>
      </c>
      <c r="X94" s="106">
        <f>_xlfn.XLOOKUP($B:$B,'Compilado 2023'!$B:$B,'Compilado 2023'!Y:Y)</f>
        <v>0</v>
      </c>
      <c r="Y94" s="106">
        <f>_xlfn.XLOOKUP($B:$B,'Compilado 2023'!$B:$B,'Compilado 2023'!Z:Z)</f>
        <v>0</v>
      </c>
      <c r="AA94" s="208">
        <v>45138</v>
      </c>
    </row>
  </sheetData>
  <autoFilter ref="A3:AG35" xr:uid="{00000000-0001-0000-0200-000000000000}"/>
  <mergeCells count="3">
    <mergeCell ref="B41:D41"/>
    <mergeCell ref="B49:D49"/>
    <mergeCell ref="B57:D57"/>
  </mergeCells>
  <conditionalFormatting sqref="A64:A94">
    <cfRule type="cellIs" dxfId="182" priority="25" operator="equal">
      <formula>"Realizado"</formula>
    </cfRule>
    <cfRule type="cellIs" dxfId="181" priority="26" operator="equal">
      <formula>TODAY()</formula>
    </cfRule>
    <cfRule type="cellIs" dxfId="180" priority="23" operator="equal">
      <formula>"Realizado"</formula>
    </cfRule>
    <cfRule type="cellIs" dxfId="179" priority="24" operator="equal">
      <formula>TODAY()</formula>
    </cfRule>
  </conditionalFormatting>
  <conditionalFormatting sqref="A63:B63">
    <cfRule type="cellIs" dxfId="178" priority="34" operator="equal">
      <formula>TODAY()</formula>
    </cfRule>
  </conditionalFormatting>
  <conditionalFormatting sqref="B64:B93">
    <cfRule type="cellIs" dxfId="177" priority="44" operator="equal">
      <formula>TODAY()</formula>
    </cfRule>
  </conditionalFormatting>
  <conditionalFormatting sqref="B4:H34">
    <cfRule type="cellIs" dxfId="176" priority="52" operator="equal">
      <formula>TODAY()</formula>
    </cfRule>
  </conditionalFormatting>
  <conditionalFormatting sqref="C65:D93">
    <cfRule type="cellIs" dxfId="175" priority="22" operator="equal">
      <formula>TODAY()</formula>
    </cfRule>
    <cfRule type="cellIs" dxfId="174" priority="21" operator="equal">
      <formula>$A$1</formula>
    </cfRule>
  </conditionalFormatting>
  <conditionalFormatting sqref="C64:H94">
    <cfRule type="cellIs" dxfId="173" priority="1" operator="equal">
      <formula>TODAY()</formula>
    </cfRule>
  </conditionalFormatting>
  <conditionalFormatting sqref="C94:H94">
    <cfRule type="cellIs" dxfId="172" priority="18" operator="equal">
      <formula>$A$1</formula>
    </cfRule>
  </conditionalFormatting>
  <conditionalFormatting sqref="C46:L46">
    <cfRule type="cellIs" dxfId="171" priority="50" operator="lessThan">
      <formula>0</formula>
    </cfRule>
  </conditionalFormatting>
  <conditionalFormatting sqref="C47:L47">
    <cfRule type="cellIs" dxfId="170" priority="37" operator="lessThan">
      <formula>0</formula>
    </cfRule>
  </conditionalFormatting>
  <conditionalFormatting sqref="C53:L53">
    <cfRule type="cellIs" dxfId="169" priority="48" operator="lessThan">
      <formula>0</formula>
    </cfRule>
  </conditionalFormatting>
  <conditionalFormatting sqref="C54:L54">
    <cfRule type="cellIs" dxfId="168" priority="38" operator="lessThan">
      <formula>0</formula>
    </cfRule>
  </conditionalFormatting>
  <conditionalFormatting sqref="C61:L61">
    <cfRule type="cellIs" dxfId="167" priority="42" operator="lessThan">
      <formula>0</formula>
    </cfRule>
  </conditionalFormatting>
  <conditionalFormatting sqref="C62:L62">
    <cfRule type="cellIs" dxfId="166" priority="39" operator="lessThan">
      <formula>0</formula>
    </cfRule>
  </conditionalFormatting>
  <conditionalFormatting sqref="N4:Q34">
    <cfRule type="cellIs" dxfId="165" priority="73" operator="equal">
      <formula>TODAY()</formula>
    </cfRule>
  </conditionalFormatting>
  <conditionalFormatting sqref="N53:U53">
    <cfRule type="cellIs" dxfId="164" priority="29" operator="lessThan">
      <formula>0</formula>
    </cfRule>
  </conditionalFormatting>
  <conditionalFormatting sqref="N54:U54">
    <cfRule type="cellIs" dxfId="163" priority="28" operator="lessThan">
      <formula>0</formula>
    </cfRule>
  </conditionalFormatting>
  <conditionalFormatting sqref="N61:U61">
    <cfRule type="cellIs" dxfId="162" priority="31" operator="lessThan">
      <formula>0</formula>
    </cfRule>
  </conditionalFormatting>
  <conditionalFormatting sqref="N62:U62">
    <cfRule type="cellIs" dxfId="161" priority="30" operator="lessThan">
      <formula>0</formula>
    </cfRule>
  </conditionalFormatting>
  <conditionalFormatting sqref="N64:U94">
    <cfRule type="cellIs" dxfId="160" priority="5" operator="equal">
      <formula>TODAY()</formula>
    </cfRule>
  </conditionalFormatting>
  <conditionalFormatting sqref="R4 R5:S34">
    <cfRule type="cellIs" dxfId="159" priority="72" operator="equal">
      <formula>TODAY()</formula>
    </cfRule>
  </conditionalFormatting>
  <conditionalFormatting sqref="S4:U34">
    <cfRule type="cellIs" dxfId="158" priority="61" operator="equal">
      <formula>TODAY()</formula>
    </cfRule>
  </conditionalFormatting>
  <conditionalFormatting sqref="W4:Y34">
    <cfRule type="cellIs" dxfId="157" priority="59" operator="equal">
      <formula>TODAY()</formula>
    </cfRule>
  </conditionalFormatting>
  <conditionalFormatting sqref="W64:Y94">
    <cfRule type="cellIs" dxfId="156" priority="3" operator="equal">
      <formula>TODAY()</formula>
    </cfRule>
  </conditionalFormatting>
  <conditionalFormatting sqref="AA4:AA34">
    <cfRule type="cellIs" dxfId="155" priority="66" operator="equal">
      <formula>TODAY()</formula>
    </cfRule>
  </conditionalFormatting>
  <conditionalFormatting sqref="AA64:AA94">
    <cfRule type="cellIs" dxfId="154" priority="19" operator="equal">
      <formula>TODAY()</formula>
    </cfRule>
  </conditionalFormatting>
  <printOptions horizontalCentered="1" gridLines="1"/>
  <pageMargins left="0.7" right="0.7" top="0.75" bottom="0.75" header="0" footer="0"/>
  <pageSetup paperSize="9" fitToWidth="0" pageOrder="overThenDown" orientation="landscape" cellComments="atEnd"/>
  <ignoredErrors>
    <ignoredError sqref="V35:Y35" formulaRange="1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6D52-EA59-477F-B342-E05A6EA785E5}">
  <sheetPr codeName="Planilha11">
    <outlinePr applyStyles="1" summaryBelow="0" summaryRight="0"/>
    <pageSetUpPr fitToPage="1"/>
  </sheetPr>
  <dimension ref="A1:AG161"/>
  <sheetViews>
    <sheetView showGridLines="0" topLeftCell="A119" zoomScaleNormal="100" workbookViewId="0"/>
  </sheetViews>
  <sheetFormatPr defaultColWidth="0" defaultRowHeight="12.75" outlineLevelCol="1" x14ac:dyDescent="0.2"/>
  <cols>
    <col min="1" max="1" width="14" customWidth="1"/>
    <col min="2" max="2" width="11.7109375" customWidth="1"/>
    <col min="3" max="3" width="18.7109375" customWidth="1"/>
    <col min="4" max="4" width="17.42578125" bestFit="1" customWidth="1"/>
    <col min="5" max="5" width="12.7109375" bestFit="1" customWidth="1"/>
    <col min="6" max="6" width="8.42578125" bestFit="1" customWidth="1"/>
    <col min="7" max="7" width="8.85546875" bestFit="1" customWidth="1"/>
    <col min="8" max="8" width="15.140625" customWidth="1"/>
    <col min="9" max="9" width="15.28515625" customWidth="1"/>
    <col min="10" max="10" width="12.28515625" bestFit="1" customWidth="1"/>
    <col min="11" max="11" width="14.7109375" bestFit="1" customWidth="1"/>
    <col min="12" max="12" width="13.42578125" bestFit="1" customWidth="1"/>
    <col min="13" max="13" width="0.42578125" customWidth="1"/>
    <col min="14" max="14" width="15.5703125" bestFit="1" customWidth="1" outlineLevel="1"/>
    <col min="15" max="15" width="15.140625" bestFit="1" customWidth="1" outlineLevel="1"/>
    <col min="16" max="16" width="10.42578125" bestFit="1" customWidth="1" outlineLevel="1"/>
    <col min="17" max="17" width="14.7109375" bestFit="1" customWidth="1" outlineLevel="1"/>
    <col min="18" max="18" width="13.140625" bestFit="1" customWidth="1" outlineLevel="1"/>
    <col min="19" max="19" width="9" bestFit="1" customWidth="1" outlineLevel="1"/>
    <col min="20" max="20" width="9.85546875" bestFit="1" customWidth="1" outlineLevel="1"/>
    <col min="21" max="21" width="10.42578125" bestFit="1" customWidth="1" outlineLevel="1"/>
    <col min="22" max="22" width="1.140625" customWidth="1"/>
    <col min="23" max="23" width="10.42578125" bestFit="1" customWidth="1"/>
    <col min="24" max="24" width="12.140625" bestFit="1" customWidth="1"/>
    <col min="25" max="25" width="10.42578125" bestFit="1" customWidth="1"/>
    <col min="26" max="26" width="0.7109375" customWidth="1"/>
    <col min="27" max="27" width="45.28515625" customWidth="1"/>
    <col min="28" max="33" width="0" hidden="1" customWidth="1"/>
    <col min="34" max="16384" width="12.5703125" hidden="1"/>
  </cols>
  <sheetData>
    <row r="1" spans="1:27" s="8" customFormat="1" ht="78.75" x14ac:dyDescent="0.75">
      <c r="A1" s="6"/>
      <c r="B1" s="6"/>
      <c r="C1" s="7" t="s">
        <v>69</v>
      </c>
      <c r="D1" s="6"/>
      <c r="E1" s="6"/>
      <c r="F1" s="6"/>
      <c r="G1" s="6"/>
      <c r="H1" s="6"/>
      <c r="I1" s="6"/>
      <c r="J1" s="6"/>
      <c r="K1" s="6"/>
      <c r="L1" s="6"/>
      <c r="M1" s="146" t="s">
        <v>193</v>
      </c>
      <c r="N1" s="49">
        <f ca="1">TODAY()</f>
        <v>45834</v>
      </c>
      <c r="O1" s="50">
        <f>MONTH(B4)</f>
        <v>7</v>
      </c>
      <c r="P1" s="50">
        <f>YEAR(B4)</f>
        <v>2023</v>
      </c>
      <c r="Q1" s="49"/>
      <c r="R1" s="49"/>
      <c r="S1" s="49"/>
      <c r="T1" s="49"/>
      <c r="U1" s="36"/>
      <c r="V1" s="75" t="s">
        <v>185</v>
      </c>
      <c r="W1" s="36"/>
      <c r="X1" s="36"/>
      <c r="Y1" s="36"/>
      <c r="Z1" s="36"/>
      <c r="AA1" s="51" t="s">
        <v>73</v>
      </c>
    </row>
    <row r="2" spans="1:27" s="10" customFormat="1" ht="23.25" x14ac:dyDescent="0.2">
      <c r="A2" s="43"/>
      <c r="B2" s="11" t="str">
        <f>_xlfn.CONCAT(_xlfn.XLOOKUP(O1,Referencia!$B$1:$B$13,Referencia!$A$1:$A$13)," ",P1)</f>
        <v>Julho 2023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147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</row>
    <row r="3" spans="1:27" s="9" customFormat="1" ht="16.5" x14ac:dyDescent="0.35">
      <c r="A3" s="15" t="s">
        <v>74</v>
      </c>
      <c r="B3" s="13" t="s">
        <v>20</v>
      </c>
      <c r="C3" s="13" t="s">
        <v>75</v>
      </c>
      <c r="D3" s="13" t="s">
        <v>76</v>
      </c>
      <c r="E3" s="13" t="s">
        <v>77</v>
      </c>
      <c r="F3" s="13" t="s">
        <v>78</v>
      </c>
      <c r="G3" s="13" t="s">
        <v>79</v>
      </c>
      <c r="H3" s="13" t="s">
        <v>80</v>
      </c>
      <c r="I3" s="13" t="s">
        <v>81</v>
      </c>
      <c r="J3" s="13" t="s">
        <v>82</v>
      </c>
      <c r="K3" s="13" t="s">
        <v>40</v>
      </c>
      <c r="L3" s="13" t="s">
        <v>83</v>
      </c>
      <c r="M3" s="148"/>
      <c r="N3" s="13" t="s">
        <v>85</v>
      </c>
      <c r="O3" s="13" t="s">
        <v>155</v>
      </c>
      <c r="P3" s="13" t="s">
        <v>87</v>
      </c>
      <c r="Q3" s="13" t="s">
        <v>88</v>
      </c>
      <c r="R3" s="13" t="s">
        <v>89</v>
      </c>
      <c r="S3" s="13" t="s">
        <v>90</v>
      </c>
      <c r="T3" s="13" t="s">
        <v>91</v>
      </c>
      <c r="U3" s="13" t="s">
        <v>92</v>
      </c>
      <c r="V3" s="56"/>
      <c r="W3" s="13" t="s">
        <v>88</v>
      </c>
      <c r="X3" s="13" t="s">
        <v>91</v>
      </c>
      <c r="Y3" s="13" t="s">
        <v>92</v>
      </c>
      <c r="Z3" s="37"/>
      <c r="AA3" s="14" t="s">
        <v>73</v>
      </c>
    </row>
    <row r="4" spans="1:27" s="2" customFormat="1" x14ac:dyDescent="0.2">
      <c r="A4" s="16" t="str">
        <f t="shared" ref="A4:A34" si="0">TEXT(B4,"DDDD")</f>
        <v>sábado</v>
      </c>
      <c r="B4" s="17">
        <v>45108</v>
      </c>
      <c r="C4" s="19">
        <f t="shared" ref="C4:C12" si="1">D4+E4</f>
        <v>42346.6</v>
      </c>
      <c r="D4" s="35">
        <f>_xlfn.XLOOKUP($B:$B,'Compilado 2023'!$B:$B,'Compilado 2023'!D:D)</f>
        <v>42324.13</v>
      </c>
      <c r="E4" s="35">
        <f>_xlfn.XLOOKUP($B:$B,'Compilado 2023'!$B:$B,'Compilado 2023'!E:E)</f>
        <v>22.47</v>
      </c>
      <c r="F4" s="18">
        <f>_xlfn.XLOOKUP($B:$B,'Compilado 2023'!$B:$B,'Compilado 2023'!F:F)</f>
        <v>157</v>
      </c>
      <c r="G4" s="18">
        <f>_xlfn.XLOOKUP($B:$B,'Compilado 2023'!$B:$B,'Compilado 2023'!G:G)</f>
        <v>177</v>
      </c>
      <c r="H4" s="35">
        <f t="shared" ref="H4:H12" si="2">IFERROR(C4/F4,0)</f>
        <v>269.72356687898088</v>
      </c>
      <c r="I4" s="19">
        <f t="shared" ref="I4:I12" si="3">SUM(N4:U4)</f>
        <v>930.66290322580642</v>
      </c>
      <c r="J4" s="122">
        <f t="shared" ref="J4:J12" si="4">IF(I4&gt;0,C4/I4,0)</f>
        <v>45.501545031203911</v>
      </c>
      <c r="K4" s="18">
        <f>_xlfn.XLOOKUP($B:$B,'Compilado 2023'!$B:$B,'Compilado 2023'!K:K)</f>
        <v>3927</v>
      </c>
      <c r="L4" s="54">
        <f t="shared" ref="L4:L12" si="5">IFERROR(F4/K4,0)</f>
        <v>3.9979628214922333E-2</v>
      </c>
      <c r="M4" s="149"/>
      <c r="N4" s="106">
        <f>_xlfn.XLOOKUP($B:$B,'Compilado 2023'!$B:$B,'Compilado 2023'!N:N)</f>
        <v>468.71</v>
      </c>
      <c r="O4" s="106">
        <f>_xlfn.XLOOKUP($B:$B,'Compilado 2023'!$B:$B,'Compilado 2023'!O:O)</f>
        <v>364.33</v>
      </c>
      <c r="P4" s="106">
        <f>_xlfn.XLOOKUP($B:$B,'Compilado 2023'!$B:$B,'Compilado 2023'!P:P)</f>
        <v>0</v>
      </c>
      <c r="Q4" s="106">
        <f>_xlfn.XLOOKUP($B:$B,'Compilado 2023'!$B:$B,'Compilado 2023'!Q:Q)</f>
        <v>51.612903225806448</v>
      </c>
      <c r="R4" s="106">
        <f>_xlfn.XLOOKUP($B:$B,'Compilado 2023'!$B:$B,'Compilado 2023'!R:R)</f>
        <v>5.42</v>
      </c>
      <c r="S4" s="106">
        <f>_xlfn.XLOOKUP($B:$B,'Compilado 2023'!$B:$B,'Compilado 2023'!S:S)</f>
        <v>40.590000000000003</v>
      </c>
      <c r="T4" s="106">
        <f>_xlfn.XLOOKUP($B:$B,'Compilado 2023'!$B:$B,'Compilado 2023'!U:U)</f>
        <v>0</v>
      </c>
      <c r="U4" s="106">
        <f>_xlfn.XLOOKUP($B:$B,'Compilado 2023'!$B:$B,'Compilado 2023'!V:V)</f>
        <v>0</v>
      </c>
      <c r="V4" s="57"/>
      <c r="W4" s="106">
        <f>_xlfn.XLOOKUP($B:$B,'Compilado 2023'!$B:$B,'Compilado 2023'!X:X)</f>
        <v>0</v>
      </c>
      <c r="X4" s="106">
        <f>_xlfn.XLOOKUP($B:$B,'Compilado 2023'!$B:$B,'Compilado 2023'!Y:Y)</f>
        <v>0</v>
      </c>
      <c r="Y4" s="106">
        <f>_xlfn.XLOOKUP($B:$B,'Compilado 2023'!$B:$B,'Compilado 2023'!Z:Z)</f>
        <v>0</v>
      </c>
      <c r="Z4" s="38">
        <f>_xlfn.XLOOKUP($B:$B,'Compilado 2023'!$B:$B,'Compilado 2023'!Z:Z)</f>
        <v>0</v>
      </c>
      <c r="AA4" s="107" t="str">
        <f>_xlfn.XLOOKUP($B:$B,'Compilado 2023'!$B:$B,'Compilado 2023'!AA:AA)</f>
        <v xml:space="preserve">Inicio Menu Spa Experience </v>
      </c>
    </row>
    <row r="5" spans="1:27" s="2" customFormat="1" x14ac:dyDescent="0.2">
      <c r="A5" s="16" t="str">
        <f t="shared" si="0"/>
        <v>domingo</v>
      </c>
      <c r="B5" s="17">
        <f>B4+1</f>
        <v>45109</v>
      </c>
      <c r="C5" s="19">
        <f t="shared" si="1"/>
        <v>29860.62</v>
      </c>
      <c r="D5" s="35">
        <f>_xlfn.XLOOKUP($B:$B,'Compilado 2023'!$B:$B,'Compilado 2023'!D:D)</f>
        <v>29860.62</v>
      </c>
      <c r="E5" s="35">
        <f>_xlfn.XLOOKUP($B:$B,'Compilado 2023'!$B:$B,'Compilado 2023'!E:E)</f>
        <v>0</v>
      </c>
      <c r="F5" s="18">
        <f>_xlfn.XLOOKUP($B:$B,'Compilado 2023'!$B:$B,'Compilado 2023'!F:F)</f>
        <v>116</v>
      </c>
      <c r="G5" s="18">
        <f>_xlfn.XLOOKUP($B:$B,'Compilado 2023'!$B:$B,'Compilado 2023'!G:G)</f>
        <v>128</v>
      </c>
      <c r="H5" s="35">
        <f t="shared" si="2"/>
        <v>257.41913793103447</v>
      </c>
      <c r="I5" s="19">
        <f t="shared" si="3"/>
        <v>794.89290322580644</v>
      </c>
      <c r="J5" s="122">
        <f t="shared" si="4"/>
        <v>37.565588872187284</v>
      </c>
      <c r="K5" s="18">
        <f>_xlfn.XLOOKUP($B:$B,'Compilado 2023'!$B:$B,'Compilado 2023'!K:K)</f>
        <v>3239</v>
      </c>
      <c r="L5" s="54">
        <f t="shared" si="5"/>
        <v>3.5813522692188945E-2</v>
      </c>
      <c r="M5" s="149"/>
      <c r="N5" s="106">
        <f>_xlfn.XLOOKUP($B:$B,'Compilado 2023'!$B:$B,'Compilado 2023'!N:N)</f>
        <v>446.52</v>
      </c>
      <c r="O5" s="106">
        <f>_xlfn.XLOOKUP($B:$B,'Compilado 2023'!$B:$B,'Compilado 2023'!O:O)</f>
        <v>250.25</v>
      </c>
      <c r="P5" s="106">
        <f>_xlfn.XLOOKUP($B:$B,'Compilado 2023'!$B:$B,'Compilado 2023'!P:P)</f>
        <v>0</v>
      </c>
      <c r="Q5" s="106">
        <f>_xlfn.XLOOKUP($B:$B,'Compilado 2023'!$B:$B,'Compilado 2023'!Q:Q)</f>
        <v>51.612903225806448</v>
      </c>
      <c r="R5" s="106">
        <f>_xlfn.XLOOKUP($B:$B,'Compilado 2023'!$B:$B,'Compilado 2023'!R:R)</f>
        <v>4.8</v>
      </c>
      <c r="S5" s="106">
        <f>_xlfn.XLOOKUP($B:$B,'Compilado 2023'!$B:$B,'Compilado 2023'!S:S)</f>
        <v>41.71</v>
      </c>
      <c r="T5" s="106">
        <f>_xlfn.XLOOKUP($B:$B,'Compilado 2023'!$B:$B,'Compilado 2023'!U:U)</f>
        <v>0</v>
      </c>
      <c r="U5" s="106">
        <f>_xlfn.XLOOKUP($B:$B,'Compilado 2023'!$B:$B,'Compilado 2023'!V:V)</f>
        <v>0</v>
      </c>
      <c r="V5" s="57"/>
      <c r="W5" s="106">
        <f>_xlfn.XLOOKUP($B:$B,'Compilado 2023'!$B:$B,'Compilado 2023'!X:X)</f>
        <v>0</v>
      </c>
      <c r="X5" s="106">
        <f>_xlfn.XLOOKUP($B:$B,'Compilado 2023'!$B:$B,'Compilado 2023'!Y:Y)</f>
        <v>0</v>
      </c>
      <c r="Y5" s="106">
        <f>_xlfn.XLOOKUP($B:$B,'Compilado 2023'!$B:$B,'Compilado 2023'!Z:Z)</f>
        <v>0</v>
      </c>
      <c r="Z5" s="38">
        <f>_xlfn.XLOOKUP($B:$B,'Compilado 2023'!$B:$B,'Compilado 2023'!Z:Z)</f>
        <v>0</v>
      </c>
      <c r="AA5" s="107">
        <f>_xlfn.XLOOKUP($B:$B,'Compilado 2023'!$B:$B,'Compilado 2023'!AA:AA)</f>
        <v>0</v>
      </c>
    </row>
    <row r="6" spans="1:27" x14ac:dyDescent="0.2">
      <c r="A6" s="16" t="str">
        <f t="shared" si="0"/>
        <v>segunda-feira</v>
      </c>
      <c r="B6" s="17">
        <f t="shared" ref="B6:B34" si="6">B5+1</f>
        <v>45110</v>
      </c>
      <c r="C6" s="19">
        <f t="shared" si="1"/>
        <v>63094.61</v>
      </c>
      <c r="D6" s="35">
        <f>_xlfn.XLOOKUP($B:$B,'Compilado 2023'!$B:$B,'Compilado 2023'!D:D)</f>
        <v>63069.1</v>
      </c>
      <c r="E6" s="35">
        <f>_xlfn.XLOOKUP($B:$B,'Compilado 2023'!$B:$B,'Compilado 2023'!E:E)</f>
        <v>25.51</v>
      </c>
      <c r="F6" s="18">
        <f>_xlfn.XLOOKUP($B:$B,'Compilado 2023'!$B:$B,'Compilado 2023'!F:F)</f>
        <v>223</v>
      </c>
      <c r="G6" s="18">
        <f>_xlfn.XLOOKUP($B:$B,'Compilado 2023'!$B:$B,'Compilado 2023'!G:G)</f>
        <v>248</v>
      </c>
      <c r="H6" s="35">
        <f t="shared" si="2"/>
        <v>282.93547085201794</v>
      </c>
      <c r="I6" s="19">
        <f t="shared" si="3"/>
        <v>861.81290322580651</v>
      </c>
      <c r="J6" s="122">
        <f t="shared" si="4"/>
        <v>73.211493775312348</v>
      </c>
      <c r="K6" s="18">
        <f>_xlfn.XLOOKUP($B:$B,'Compilado 2023'!$B:$B,'Compilado 2023'!K:K)</f>
        <v>5686</v>
      </c>
      <c r="L6" s="54">
        <f t="shared" si="5"/>
        <v>3.9219134716848403E-2</v>
      </c>
      <c r="M6" s="149"/>
      <c r="N6" s="106">
        <f>_xlfn.XLOOKUP($B:$B,'Compilado 2023'!$B:$B,'Compilado 2023'!N:N)</f>
        <v>532.65</v>
      </c>
      <c r="O6" s="106">
        <f>_xlfn.XLOOKUP($B:$B,'Compilado 2023'!$B:$B,'Compilado 2023'!O:O)</f>
        <v>231.35</v>
      </c>
      <c r="P6" s="106">
        <f>_xlfn.XLOOKUP($B:$B,'Compilado 2023'!$B:$B,'Compilado 2023'!P:P)</f>
        <v>0</v>
      </c>
      <c r="Q6" s="106">
        <f>_xlfn.XLOOKUP($B:$B,'Compilado 2023'!$B:$B,'Compilado 2023'!Q:Q)</f>
        <v>51.612903225806448</v>
      </c>
      <c r="R6" s="106">
        <f>_xlfn.XLOOKUP($B:$B,'Compilado 2023'!$B:$B,'Compilado 2023'!R:R)</f>
        <v>4.8600000000000003</v>
      </c>
      <c r="S6" s="106">
        <f>_xlfn.XLOOKUP($B:$B,'Compilado 2023'!$B:$B,'Compilado 2023'!S:S)</f>
        <v>41.34</v>
      </c>
      <c r="T6" s="106">
        <f>_xlfn.XLOOKUP($B:$B,'Compilado 2023'!$B:$B,'Compilado 2023'!U:U)</f>
        <v>0</v>
      </c>
      <c r="U6" s="106">
        <f>_xlfn.XLOOKUP($B:$B,'Compilado 2023'!$B:$B,'Compilado 2023'!V:V)</f>
        <v>0</v>
      </c>
      <c r="V6" s="57"/>
      <c r="W6" s="106">
        <f>_xlfn.XLOOKUP($B:$B,'Compilado 2023'!$B:$B,'Compilado 2023'!X:X)</f>
        <v>0</v>
      </c>
      <c r="X6" s="106">
        <f>_xlfn.XLOOKUP($B:$B,'Compilado 2023'!$B:$B,'Compilado 2023'!Y:Y)</f>
        <v>0</v>
      </c>
      <c r="Y6" s="106">
        <f>_xlfn.XLOOKUP($B:$B,'Compilado 2023'!$B:$B,'Compilado 2023'!Z:Z)</f>
        <v>0</v>
      </c>
      <c r="Z6" s="38">
        <f>_xlfn.XLOOKUP($B:$B,'Compilado 2023'!$B:$B,'Compilado 2023'!Z:Z)</f>
        <v>0</v>
      </c>
      <c r="AA6" s="185" t="str">
        <f>_xlfn.XLOOKUP($B:$B,'Compilado 2023'!$B:$B,'Compilado 2023'!AA:AA)</f>
        <v>Temporada Day Spa (3 a 16/7)</v>
      </c>
    </row>
    <row r="7" spans="1:27" x14ac:dyDescent="0.2">
      <c r="A7" s="16" t="str">
        <f t="shared" si="0"/>
        <v>terça-feira</v>
      </c>
      <c r="B7" s="17">
        <f t="shared" si="6"/>
        <v>45111</v>
      </c>
      <c r="C7" s="19">
        <f t="shared" si="1"/>
        <v>51297.189999999995</v>
      </c>
      <c r="D7" s="35">
        <f>_xlfn.XLOOKUP($B:$B,'Compilado 2023'!$B:$B,'Compilado 2023'!D:D)</f>
        <v>51273.24</v>
      </c>
      <c r="E7" s="35">
        <f>_xlfn.XLOOKUP($B:$B,'Compilado 2023'!$B:$B,'Compilado 2023'!E:E)</f>
        <v>23.95</v>
      </c>
      <c r="F7" s="18">
        <f>_xlfn.XLOOKUP($B:$B,'Compilado 2023'!$B:$B,'Compilado 2023'!F:F)</f>
        <v>182</v>
      </c>
      <c r="G7" s="18">
        <f>_xlfn.XLOOKUP($B:$B,'Compilado 2023'!$B:$B,'Compilado 2023'!G:G)</f>
        <v>212</v>
      </c>
      <c r="H7" s="35">
        <f t="shared" si="2"/>
        <v>281.85269230769228</v>
      </c>
      <c r="I7" s="19">
        <f t="shared" si="3"/>
        <v>1044.8429032258064</v>
      </c>
      <c r="J7" s="122">
        <f t="shared" si="4"/>
        <v>49.095600727752561</v>
      </c>
      <c r="K7" s="18">
        <f>_xlfn.XLOOKUP($B:$B,'Compilado 2023'!$B:$B,'Compilado 2023'!K:K)</f>
        <v>5430</v>
      </c>
      <c r="L7" s="54">
        <f t="shared" si="5"/>
        <v>3.3517495395948435E-2</v>
      </c>
      <c r="M7" s="149"/>
      <c r="N7" s="106">
        <f>_xlfn.XLOOKUP($B:$B,'Compilado 2023'!$B:$B,'Compilado 2023'!N:N)</f>
        <v>713.77</v>
      </c>
      <c r="O7" s="106">
        <f>_xlfn.XLOOKUP($B:$B,'Compilado 2023'!$B:$B,'Compilado 2023'!O:O)</f>
        <v>232.43</v>
      </c>
      <c r="P7" s="106">
        <f>_xlfn.XLOOKUP($B:$B,'Compilado 2023'!$B:$B,'Compilado 2023'!P:P)</f>
        <v>0</v>
      </c>
      <c r="Q7" s="106">
        <f>_xlfn.XLOOKUP($B:$B,'Compilado 2023'!$B:$B,'Compilado 2023'!Q:Q)</f>
        <v>51.612903225806448</v>
      </c>
      <c r="R7" s="106">
        <f>_xlfn.XLOOKUP($B:$B,'Compilado 2023'!$B:$B,'Compilado 2023'!R:R)</f>
        <v>5.17</v>
      </c>
      <c r="S7" s="106">
        <f>_xlfn.XLOOKUP($B:$B,'Compilado 2023'!$B:$B,'Compilado 2023'!S:S)</f>
        <v>41.86</v>
      </c>
      <c r="T7" s="106">
        <f>_xlfn.XLOOKUP($B:$B,'Compilado 2023'!$B:$B,'Compilado 2023'!U:U)</f>
        <v>0</v>
      </c>
      <c r="U7" s="106">
        <f>_xlfn.XLOOKUP($B:$B,'Compilado 2023'!$B:$B,'Compilado 2023'!V:V)</f>
        <v>0</v>
      </c>
      <c r="V7" s="57"/>
      <c r="W7" s="106">
        <f>_xlfn.XLOOKUP($B:$B,'Compilado 2023'!$B:$B,'Compilado 2023'!X:X)</f>
        <v>0</v>
      </c>
      <c r="X7" s="106">
        <f>_xlfn.XLOOKUP($B:$B,'Compilado 2023'!$B:$B,'Compilado 2023'!Y:Y)</f>
        <v>0</v>
      </c>
      <c r="Y7" s="106">
        <f>_xlfn.XLOOKUP($B:$B,'Compilado 2023'!$B:$B,'Compilado 2023'!Z:Z)</f>
        <v>0</v>
      </c>
      <c r="Z7" s="38">
        <f>_xlfn.XLOOKUP($B:$B,'Compilado 2023'!$B:$B,'Compilado 2023'!Z:Z)</f>
        <v>0</v>
      </c>
      <c r="AA7" s="107">
        <f>_xlfn.XLOOKUP($B:$B,'Compilado 2023'!$B:$B,'Compilado 2023'!AA:AA)</f>
        <v>0</v>
      </c>
    </row>
    <row r="8" spans="1:27" s="2" customFormat="1" x14ac:dyDescent="0.2">
      <c r="A8" s="16" t="str">
        <f t="shared" si="0"/>
        <v>quarta-feira</v>
      </c>
      <c r="B8" s="17">
        <f t="shared" si="6"/>
        <v>45112</v>
      </c>
      <c r="C8" s="19">
        <f t="shared" si="1"/>
        <v>57068.22</v>
      </c>
      <c r="D8" s="35">
        <f>_xlfn.XLOOKUP($B:$B,'Compilado 2023'!$B:$B,'Compilado 2023'!D:D)</f>
        <v>57068.22</v>
      </c>
      <c r="E8" s="35">
        <f>_xlfn.XLOOKUP($B:$B,'Compilado 2023'!$B:$B,'Compilado 2023'!E:E)</f>
        <v>0</v>
      </c>
      <c r="F8" s="18">
        <f>_xlfn.XLOOKUP($B:$B,'Compilado 2023'!$B:$B,'Compilado 2023'!F:F)</f>
        <v>196</v>
      </c>
      <c r="G8" s="18">
        <f>_xlfn.XLOOKUP($B:$B,'Compilado 2023'!$B:$B,'Compilado 2023'!G:G)</f>
        <v>222</v>
      </c>
      <c r="H8" s="35">
        <f t="shared" si="2"/>
        <v>291.16438775510204</v>
      </c>
      <c r="I8" s="19">
        <f t="shared" si="3"/>
        <v>1078.1429032258063</v>
      </c>
      <c r="J8" s="122">
        <f t="shared" si="4"/>
        <v>52.931962756747495</v>
      </c>
      <c r="K8" s="18">
        <f>_xlfn.XLOOKUP($B:$B,'Compilado 2023'!$B:$B,'Compilado 2023'!K:K)</f>
        <v>5074</v>
      </c>
      <c r="L8" s="54">
        <f t="shared" si="5"/>
        <v>3.8628301143082383E-2</v>
      </c>
      <c r="M8" s="149"/>
      <c r="N8" s="106">
        <f>_xlfn.XLOOKUP($B:$B,'Compilado 2023'!$B:$B,'Compilado 2023'!N:N)</f>
        <v>745.55</v>
      </c>
      <c r="O8" s="106">
        <f>_xlfn.XLOOKUP($B:$B,'Compilado 2023'!$B:$B,'Compilado 2023'!O:O)</f>
        <v>245.91</v>
      </c>
      <c r="P8" s="106">
        <f>_xlfn.XLOOKUP($B:$B,'Compilado 2023'!$B:$B,'Compilado 2023'!P:P)</f>
        <v>0</v>
      </c>
      <c r="Q8" s="106">
        <f>_xlfn.XLOOKUP($B:$B,'Compilado 2023'!$B:$B,'Compilado 2023'!Q:Q)</f>
        <v>51.612903225806448</v>
      </c>
      <c r="R8" s="106">
        <f>_xlfn.XLOOKUP($B:$B,'Compilado 2023'!$B:$B,'Compilado 2023'!R:R)</f>
        <v>0</v>
      </c>
      <c r="S8" s="106">
        <f>_xlfn.XLOOKUP($B:$B,'Compilado 2023'!$B:$B,'Compilado 2023'!S:S)</f>
        <v>35.07</v>
      </c>
      <c r="T8" s="106">
        <f>_xlfn.XLOOKUP($B:$B,'Compilado 2023'!$B:$B,'Compilado 2023'!U:U)</f>
        <v>0</v>
      </c>
      <c r="U8" s="106">
        <f>_xlfn.XLOOKUP($B:$B,'Compilado 2023'!$B:$B,'Compilado 2023'!V:V)</f>
        <v>0</v>
      </c>
      <c r="V8" s="57"/>
      <c r="W8" s="106">
        <f>_xlfn.XLOOKUP($B:$B,'Compilado 2023'!$B:$B,'Compilado 2023'!X:X)</f>
        <v>0</v>
      </c>
      <c r="X8" s="106">
        <f>_xlfn.XLOOKUP($B:$B,'Compilado 2023'!$B:$B,'Compilado 2023'!Y:Y)</f>
        <v>0</v>
      </c>
      <c r="Y8" s="106">
        <f>_xlfn.XLOOKUP($B:$B,'Compilado 2023'!$B:$B,'Compilado 2023'!Z:Z)</f>
        <v>0</v>
      </c>
      <c r="Z8" s="38">
        <f>_xlfn.XLOOKUP($B:$B,'Compilado 2023'!$B:$B,'Compilado 2023'!Z:Z)</f>
        <v>0</v>
      </c>
      <c r="AA8" s="107">
        <f>_xlfn.XLOOKUP($B:$B,'Compilado 2023'!$B:$B,'Compilado 2023'!AA:AA)</f>
        <v>0</v>
      </c>
    </row>
    <row r="9" spans="1:27" s="2" customFormat="1" x14ac:dyDescent="0.2">
      <c r="A9" s="16" t="str">
        <f t="shared" si="0"/>
        <v>quinta-feira</v>
      </c>
      <c r="B9" s="17">
        <f t="shared" si="6"/>
        <v>45113</v>
      </c>
      <c r="C9" s="19">
        <f t="shared" si="1"/>
        <v>67730.460000000006</v>
      </c>
      <c r="D9" s="35">
        <f>_xlfn.XLOOKUP($B:$B,'Compilado 2023'!$B:$B,'Compilado 2023'!D:D)</f>
        <v>67730.460000000006</v>
      </c>
      <c r="E9" s="35">
        <f>_xlfn.XLOOKUP($B:$B,'Compilado 2023'!$B:$B,'Compilado 2023'!E:E)</f>
        <v>0</v>
      </c>
      <c r="F9" s="18">
        <f>_xlfn.XLOOKUP($B:$B,'Compilado 2023'!$B:$B,'Compilado 2023'!F:F)</f>
        <v>248</v>
      </c>
      <c r="G9" s="18">
        <f>_xlfn.XLOOKUP($B:$B,'Compilado 2023'!$B:$B,'Compilado 2023'!G:G)</f>
        <v>290</v>
      </c>
      <c r="H9" s="35">
        <f t="shared" si="2"/>
        <v>273.10669354838711</v>
      </c>
      <c r="I9" s="19">
        <f t="shared" si="3"/>
        <v>1219.7829032258064</v>
      </c>
      <c r="J9" s="122">
        <f t="shared" si="4"/>
        <v>55.526651358107891</v>
      </c>
      <c r="K9" s="18">
        <f>_xlfn.XLOOKUP($B:$B,'Compilado 2023'!$B:$B,'Compilado 2023'!K:K)</f>
        <v>5305</v>
      </c>
      <c r="L9" s="54">
        <f t="shared" si="5"/>
        <v>4.6748350612629594E-2</v>
      </c>
      <c r="M9" s="149"/>
      <c r="N9" s="106">
        <f>_xlfn.XLOOKUP($B:$B,'Compilado 2023'!$B:$B,'Compilado 2023'!N:N)</f>
        <v>798.92</v>
      </c>
      <c r="O9" s="106">
        <f>_xlfn.XLOOKUP($B:$B,'Compilado 2023'!$B:$B,'Compilado 2023'!O:O)</f>
        <v>346.48</v>
      </c>
      <c r="P9" s="106">
        <f>_xlfn.XLOOKUP($B:$B,'Compilado 2023'!$B:$B,'Compilado 2023'!P:P)</f>
        <v>0</v>
      </c>
      <c r="Q9" s="106">
        <f>_xlfn.XLOOKUP($B:$B,'Compilado 2023'!$B:$B,'Compilado 2023'!Q:Q)</f>
        <v>51.612903225806448</v>
      </c>
      <c r="R9" s="106">
        <f>_xlfn.XLOOKUP($B:$B,'Compilado 2023'!$B:$B,'Compilado 2023'!R:R)</f>
        <v>5.55</v>
      </c>
      <c r="S9" s="106">
        <f>_xlfn.XLOOKUP($B:$B,'Compilado 2023'!$B:$B,'Compilado 2023'!S:S)</f>
        <v>17.22</v>
      </c>
      <c r="T9" s="106">
        <f>_xlfn.XLOOKUP($B:$B,'Compilado 2023'!$B:$B,'Compilado 2023'!U:U)</f>
        <v>0</v>
      </c>
      <c r="U9" s="106">
        <f>_xlfn.XLOOKUP($B:$B,'Compilado 2023'!$B:$B,'Compilado 2023'!V:V)</f>
        <v>0</v>
      </c>
      <c r="V9" s="57"/>
      <c r="W9" s="106">
        <f>_xlfn.XLOOKUP($B:$B,'Compilado 2023'!$B:$B,'Compilado 2023'!X:X)</f>
        <v>0</v>
      </c>
      <c r="X9" s="106">
        <f>_xlfn.XLOOKUP($B:$B,'Compilado 2023'!$B:$B,'Compilado 2023'!Y:Y)</f>
        <v>0</v>
      </c>
      <c r="Y9" s="106">
        <f>_xlfn.XLOOKUP($B:$B,'Compilado 2023'!$B:$B,'Compilado 2023'!Z:Z)</f>
        <v>0</v>
      </c>
      <c r="Z9" s="38">
        <f>_xlfn.XLOOKUP($B:$B,'Compilado 2023'!$B:$B,'Compilado 2023'!Z:Z)</f>
        <v>0</v>
      </c>
      <c r="AA9" s="107" t="str">
        <f>_xlfn.XLOOKUP($B:$B,'Compilado 2023'!$B:$B,'Compilado 2023'!AA:AA)</f>
        <v>Instabilidade no pagamento Paypal | Ativou a prorrogação de voucher |  Inicio Voucher Experience Shopping Santa Úrsula</v>
      </c>
    </row>
    <row r="10" spans="1:27" s="2" customFormat="1" x14ac:dyDescent="0.2">
      <c r="A10" s="16" t="str">
        <f t="shared" si="0"/>
        <v>sexta-feira</v>
      </c>
      <c r="B10" s="17">
        <f t="shared" si="6"/>
        <v>45114</v>
      </c>
      <c r="C10" s="19">
        <f t="shared" si="1"/>
        <v>58300.55</v>
      </c>
      <c r="D10" s="35">
        <f>_xlfn.XLOOKUP($B:$B,'Compilado 2023'!$B:$B,'Compilado 2023'!D:D)</f>
        <v>58300.55</v>
      </c>
      <c r="E10" s="35">
        <f>_xlfn.XLOOKUP($B:$B,'Compilado 2023'!$B:$B,'Compilado 2023'!E:E)</f>
        <v>0</v>
      </c>
      <c r="F10" s="18">
        <f>_xlfn.XLOOKUP($B:$B,'Compilado 2023'!$B:$B,'Compilado 2023'!F:F)</f>
        <v>230</v>
      </c>
      <c r="G10" s="18">
        <f>_xlfn.XLOOKUP($B:$B,'Compilado 2023'!$B:$B,'Compilado 2023'!G:G)</f>
        <v>273</v>
      </c>
      <c r="H10" s="35">
        <f t="shared" si="2"/>
        <v>253.48065217391306</v>
      </c>
      <c r="I10" s="19">
        <f t="shared" si="3"/>
        <v>1183.8429032258064</v>
      </c>
      <c r="J10" s="122">
        <f t="shared" si="4"/>
        <v>49.246863617747891</v>
      </c>
      <c r="K10" s="18">
        <f>_xlfn.XLOOKUP($B:$B,'Compilado 2023'!$B:$B,'Compilado 2023'!K:K)</f>
        <v>5122</v>
      </c>
      <c r="L10" s="54">
        <f t="shared" si="5"/>
        <v>4.4904334244435767E-2</v>
      </c>
      <c r="M10" s="149"/>
      <c r="N10" s="106">
        <f>_xlfn.XLOOKUP($B:$B,'Compilado 2023'!$B:$B,'Compilado 2023'!N:N)</f>
        <v>719.43</v>
      </c>
      <c r="O10" s="106">
        <f>_xlfn.XLOOKUP($B:$B,'Compilado 2023'!$B:$B,'Compilado 2023'!O:O)</f>
        <v>402.54</v>
      </c>
      <c r="P10" s="106">
        <f>_xlfn.XLOOKUP($B:$B,'Compilado 2023'!$B:$B,'Compilado 2023'!P:P)</f>
        <v>0</v>
      </c>
      <c r="Q10" s="106">
        <f>_xlfn.XLOOKUP($B:$B,'Compilado 2023'!$B:$B,'Compilado 2023'!Q:Q)</f>
        <v>51.612903225806448</v>
      </c>
      <c r="R10" s="106">
        <f>_xlfn.XLOOKUP($B:$B,'Compilado 2023'!$B:$B,'Compilado 2023'!R:R)</f>
        <v>5.0199999999999996</v>
      </c>
      <c r="S10" s="106">
        <f>_xlfn.XLOOKUP($B:$B,'Compilado 2023'!$B:$B,'Compilado 2023'!S:S)</f>
        <v>5.24</v>
      </c>
      <c r="T10" s="106">
        <f>_xlfn.XLOOKUP($B:$B,'Compilado 2023'!$B:$B,'Compilado 2023'!U:U)</f>
        <v>0</v>
      </c>
      <c r="U10" s="106">
        <f>_xlfn.XLOOKUP($B:$B,'Compilado 2023'!$B:$B,'Compilado 2023'!V:V)</f>
        <v>0</v>
      </c>
      <c r="V10" s="57"/>
      <c r="W10" s="106">
        <f>_xlfn.XLOOKUP($B:$B,'Compilado 2023'!$B:$B,'Compilado 2023'!X:X)</f>
        <v>0</v>
      </c>
      <c r="X10" s="106">
        <f>_xlfn.XLOOKUP($B:$B,'Compilado 2023'!$B:$B,'Compilado 2023'!Y:Y)</f>
        <v>0</v>
      </c>
      <c r="Y10" s="106">
        <f>_xlfn.XLOOKUP($B:$B,'Compilado 2023'!$B:$B,'Compilado 2023'!Z:Z)</f>
        <v>0</v>
      </c>
      <c r="Z10" s="38">
        <f>_xlfn.XLOOKUP($B:$B,'Compilado 2023'!$B:$B,'Compilado 2023'!Z:Z)</f>
        <v>0</v>
      </c>
      <c r="AA10" s="107" t="str">
        <f>_xlfn.XLOOKUP($B:$B,'Compilado 2023'!$B:$B,'Compilado 2023'!AA:AA)</f>
        <v>Pagamentos estável | ativou Pix na prorrogação de voucher/Campanha Quero ser Franqueado-Franquias</v>
      </c>
    </row>
    <row r="11" spans="1:27" s="2" customFormat="1" x14ac:dyDescent="0.2">
      <c r="A11" s="16" t="str">
        <f t="shared" si="0"/>
        <v>sábado</v>
      </c>
      <c r="B11" s="17">
        <f t="shared" si="6"/>
        <v>45115</v>
      </c>
      <c r="C11" s="19">
        <f t="shared" si="1"/>
        <v>35975.949999999997</v>
      </c>
      <c r="D11" s="35">
        <f>_xlfn.XLOOKUP($B:$B,'Compilado 2023'!$B:$B,'Compilado 2023'!D:D)</f>
        <v>35975.949999999997</v>
      </c>
      <c r="E11" s="35">
        <f>_xlfn.XLOOKUP($B:$B,'Compilado 2023'!$B:$B,'Compilado 2023'!E:E)</f>
        <v>0</v>
      </c>
      <c r="F11" s="18">
        <f>_xlfn.XLOOKUP($B:$B,'Compilado 2023'!$B:$B,'Compilado 2023'!F:F)</f>
        <v>139</v>
      </c>
      <c r="G11" s="18">
        <f>_xlfn.XLOOKUP($B:$B,'Compilado 2023'!$B:$B,'Compilado 2023'!G:G)</f>
        <v>154</v>
      </c>
      <c r="H11" s="35">
        <f t="shared" si="2"/>
        <v>258.81978417266185</v>
      </c>
      <c r="I11" s="19">
        <f t="shared" si="3"/>
        <v>1383.4429032258063</v>
      </c>
      <c r="J11" s="122">
        <f t="shared" si="4"/>
        <v>26.004651089043161</v>
      </c>
      <c r="K11" s="18">
        <f>_xlfn.XLOOKUP($B:$B,'Compilado 2023'!$B:$B,'Compilado 2023'!K:K)</f>
        <v>4070</v>
      </c>
      <c r="L11" s="54">
        <f t="shared" si="5"/>
        <v>3.4152334152334152E-2</v>
      </c>
      <c r="M11" s="149"/>
      <c r="N11" s="106">
        <f>_xlfn.XLOOKUP($B:$B,'Compilado 2023'!$B:$B,'Compilado 2023'!N:N)</f>
        <v>843.49</v>
      </c>
      <c r="O11" s="106">
        <f>_xlfn.XLOOKUP($B:$B,'Compilado 2023'!$B:$B,'Compilado 2023'!O:O)</f>
        <v>485.3</v>
      </c>
      <c r="P11" s="106">
        <f>_xlfn.XLOOKUP($B:$B,'Compilado 2023'!$B:$B,'Compilado 2023'!P:P)</f>
        <v>0</v>
      </c>
      <c r="Q11" s="106">
        <f>_xlfn.XLOOKUP($B:$B,'Compilado 2023'!$B:$B,'Compilado 2023'!Q:Q)</f>
        <v>51.612903225806448</v>
      </c>
      <c r="R11" s="106">
        <f>_xlfn.XLOOKUP($B:$B,'Compilado 2023'!$B:$B,'Compilado 2023'!R:R)</f>
        <v>3.04</v>
      </c>
      <c r="S11" s="106">
        <f>_xlfn.XLOOKUP($B:$B,'Compilado 2023'!$B:$B,'Compilado 2023'!S:S)</f>
        <v>0</v>
      </c>
      <c r="T11" s="106">
        <f>_xlfn.XLOOKUP($B:$B,'Compilado 2023'!$B:$B,'Compilado 2023'!U:U)</f>
        <v>0</v>
      </c>
      <c r="U11" s="106">
        <f>_xlfn.XLOOKUP($B:$B,'Compilado 2023'!$B:$B,'Compilado 2023'!V:V)</f>
        <v>0</v>
      </c>
      <c r="V11" s="57"/>
      <c r="W11" s="106">
        <f>_xlfn.XLOOKUP($B:$B,'Compilado 2023'!$B:$B,'Compilado 2023'!X:X)</f>
        <v>0</v>
      </c>
      <c r="X11" s="106">
        <f>_xlfn.XLOOKUP($B:$B,'Compilado 2023'!$B:$B,'Compilado 2023'!Y:Y)</f>
        <v>0</v>
      </c>
      <c r="Y11" s="106">
        <f>_xlfn.XLOOKUP($B:$B,'Compilado 2023'!$B:$B,'Compilado 2023'!Z:Z)</f>
        <v>0</v>
      </c>
      <c r="Z11" s="38">
        <f>_xlfn.XLOOKUP($B:$B,'Compilado 2023'!$B:$B,'Compilado 2023'!Z:Z)</f>
        <v>0</v>
      </c>
      <c r="AA11" s="107">
        <f>_xlfn.XLOOKUP($B:$B,'Compilado 2023'!$B:$B,'Compilado 2023'!AA:AA)</f>
        <v>0</v>
      </c>
    </row>
    <row r="12" spans="1:27" s="2" customFormat="1" x14ac:dyDescent="0.2">
      <c r="A12" s="16" t="str">
        <f t="shared" si="0"/>
        <v>domingo</v>
      </c>
      <c r="B12" s="17">
        <f t="shared" si="6"/>
        <v>45116</v>
      </c>
      <c r="C12" s="19">
        <f t="shared" si="1"/>
        <v>29340.36</v>
      </c>
      <c r="D12" s="35">
        <f>_xlfn.XLOOKUP($B:$B,'Compilado 2023'!$B:$B,'Compilado 2023'!D:D)</f>
        <v>29303.97</v>
      </c>
      <c r="E12" s="35">
        <f>_xlfn.XLOOKUP($B:$B,'Compilado 2023'!$B:$B,'Compilado 2023'!E:E)</f>
        <v>36.39</v>
      </c>
      <c r="F12" s="18">
        <f>_xlfn.XLOOKUP($B:$B,'Compilado 2023'!$B:$B,'Compilado 2023'!F:F)</f>
        <v>102</v>
      </c>
      <c r="G12" s="18">
        <f>_xlfn.XLOOKUP($B:$B,'Compilado 2023'!$B:$B,'Compilado 2023'!G:G)</f>
        <v>122</v>
      </c>
      <c r="H12" s="35">
        <f t="shared" si="2"/>
        <v>287.65058823529415</v>
      </c>
      <c r="I12" s="19">
        <f t="shared" si="3"/>
        <v>1540.1129032258063</v>
      </c>
      <c r="J12" s="122">
        <f t="shared" si="4"/>
        <v>19.050785133054763</v>
      </c>
      <c r="K12" s="18">
        <f>_xlfn.XLOOKUP($B:$B,'Compilado 2023'!$B:$B,'Compilado 2023'!K:K)</f>
        <v>3898</v>
      </c>
      <c r="L12" s="54">
        <f t="shared" si="5"/>
        <v>2.6167265264238071E-2</v>
      </c>
      <c r="M12" s="149"/>
      <c r="N12" s="106">
        <f>_xlfn.XLOOKUP($B:$B,'Compilado 2023'!$B:$B,'Compilado 2023'!N:N)</f>
        <v>1026.8499999999999</v>
      </c>
      <c r="O12" s="106">
        <f>_xlfn.XLOOKUP($B:$B,'Compilado 2023'!$B:$B,'Compilado 2023'!O:O)</f>
        <v>456.99</v>
      </c>
      <c r="P12" s="106">
        <f>_xlfn.XLOOKUP($B:$B,'Compilado 2023'!$B:$B,'Compilado 2023'!P:P)</f>
        <v>0</v>
      </c>
      <c r="Q12" s="106">
        <f>_xlfn.XLOOKUP($B:$B,'Compilado 2023'!$B:$B,'Compilado 2023'!Q:Q)</f>
        <v>51.612903225806448</v>
      </c>
      <c r="R12" s="106">
        <f>_xlfn.XLOOKUP($B:$B,'Compilado 2023'!$B:$B,'Compilado 2023'!R:R)</f>
        <v>4.66</v>
      </c>
      <c r="S12" s="106">
        <f>_xlfn.XLOOKUP($B:$B,'Compilado 2023'!$B:$B,'Compilado 2023'!S:S)</f>
        <v>0</v>
      </c>
      <c r="T12" s="106">
        <f>_xlfn.XLOOKUP($B:$B,'Compilado 2023'!$B:$B,'Compilado 2023'!U:U)</f>
        <v>0</v>
      </c>
      <c r="U12" s="106">
        <f>_xlfn.XLOOKUP($B:$B,'Compilado 2023'!$B:$B,'Compilado 2023'!V:V)</f>
        <v>0</v>
      </c>
      <c r="V12" s="57"/>
      <c r="W12" s="106">
        <f>_xlfn.XLOOKUP($B:$B,'Compilado 2023'!$B:$B,'Compilado 2023'!X:X)</f>
        <v>0</v>
      </c>
      <c r="X12" s="106">
        <f>_xlfn.XLOOKUP($B:$B,'Compilado 2023'!$B:$B,'Compilado 2023'!Y:Y)</f>
        <v>0</v>
      </c>
      <c r="Y12" s="106">
        <f>_xlfn.XLOOKUP($B:$B,'Compilado 2023'!$B:$B,'Compilado 2023'!Z:Z)</f>
        <v>0</v>
      </c>
      <c r="Z12" s="38">
        <f>_xlfn.XLOOKUP($B:$B,'Compilado 2023'!$B:$B,'Compilado 2023'!Z:Z)</f>
        <v>0</v>
      </c>
      <c r="AA12" s="107">
        <f>_xlfn.XLOOKUP($B:$B,'Compilado 2023'!$B:$B,'Compilado 2023'!AA:AA)</f>
        <v>0</v>
      </c>
    </row>
    <row r="13" spans="1:27" x14ac:dyDescent="0.2">
      <c r="A13" s="16" t="str">
        <f t="shared" si="0"/>
        <v>segunda-feira</v>
      </c>
      <c r="B13" s="17">
        <f t="shared" si="6"/>
        <v>45117</v>
      </c>
      <c r="C13" s="19">
        <f t="shared" ref="C13:C34" si="7">D13+E13</f>
        <v>61533.279999999999</v>
      </c>
      <c r="D13" s="35">
        <f>_xlfn.XLOOKUP($B:$B,'Compilado 2023'!$B:$B,'Compilado 2023'!D:D)</f>
        <v>61533.279999999999</v>
      </c>
      <c r="E13" s="35">
        <f>_xlfn.XLOOKUP($B:$B,'Compilado 2023'!$B:$B,'Compilado 2023'!E:E)</f>
        <v>0</v>
      </c>
      <c r="F13" s="18">
        <f>_xlfn.XLOOKUP($B:$B,'Compilado 2023'!$B:$B,'Compilado 2023'!F:F)</f>
        <v>227</v>
      </c>
      <c r="G13" s="18">
        <f>_xlfn.XLOOKUP($B:$B,'Compilado 2023'!$B:$B,'Compilado 2023'!G:G)</f>
        <v>268</v>
      </c>
      <c r="H13" s="35">
        <f t="shared" ref="H13:H34" si="8">IFERROR(C13/F13,0)</f>
        <v>271.07171806167401</v>
      </c>
      <c r="I13" s="19">
        <f t="shared" ref="I13:I34" si="9">SUM(N13:U13)</f>
        <v>1745.4429032258065</v>
      </c>
      <c r="J13" s="122">
        <f t="shared" ref="J13:J34" si="10">IF(I13&gt;0,C13/I13,0)</f>
        <v>35.253676809638662</v>
      </c>
      <c r="K13" s="18">
        <f>_xlfn.XLOOKUP($B:$B,'Compilado 2023'!$B:$B,'Compilado 2023'!K:K)</f>
        <v>5968</v>
      </c>
      <c r="L13" s="54">
        <f t="shared" ref="L13:L34" si="11">IFERROR(F13/K13,0)</f>
        <v>3.8036193029490614E-2</v>
      </c>
      <c r="M13" s="149"/>
      <c r="N13" s="106">
        <f>_xlfn.XLOOKUP($B:$B,'Compilado 2023'!$B:$B,'Compilado 2023'!N:N)</f>
        <v>1164.1400000000001</v>
      </c>
      <c r="O13" s="106">
        <f>_xlfn.XLOOKUP($B:$B,'Compilado 2023'!$B:$B,'Compilado 2023'!O:O)</f>
        <v>529.69000000000005</v>
      </c>
      <c r="P13" s="106">
        <f>_xlfn.XLOOKUP($B:$B,'Compilado 2023'!$B:$B,'Compilado 2023'!P:P)</f>
        <v>0</v>
      </c>
      <c r="Q13" s="106">
        <f>_xlfn.XLOOKUP($B:$B,'Compilado 2023'!$B:$B,'Compilado 2023'!Q:Q)</f>
        <v>51.612903225806448</v>
      </c>
      <c r="R13" s="106">
        <f>_xlfn.XLOOKUP($B:$B,'Compilado 2023'!$B:$B,'Compilado 2023'!R:R)</f>
        <v>0</v>
      </c>
      <c r="S13" s="106">
        <f>_xlfn.XLOOKUP($B:$B,'Compilado 2023'!$B:$B,'Compilado 2023'!S:S)</f>
        <v>0</v>
      </c>
      <c r="T13" s="106">
        <f>_xlfn.XLOOKUP($B:$B,'Compilado 2023'!$B:$B,'Compilado 2023'!U:U)</f>
        <v>0</v>
      </c>
      <c r="U13" s="106">
        <f>_xlfn.XLOOKUP($B:$B,'Compilado 2023'!$B:$B,'Compilado 2023'!V:V)</f>
        <v>0</v>
      </c>
      <c r="V13" s="57"/>
      <c r="W13" s="106">
        <f>_xlfn.XLOOKUP($B:$B,'Compilado 2023'!$B:$B,'Compilado 2023'!X:X)</f>
        <v>0</v>
      </c>
      <c r="X13" s="106">
        <f>_xlfn.XLOOKUP($B:$B,'Compilado 2023'!$B:$B,'Compilado 2023'!Y:Y)</f>
        <v>0</v>
      </c>
      <c r="Y13" s="106">
        <f>_xlfn.XLOOKUP($B:$B,'Compilado 2023'!$B:$B,'Compilado 2023'!Z:Z)</f>
        <v>0</v>
      </c>
      <c r="Z13" s="38">
        <f>_xlfn.XLOOKUP($B:$B,'Compilado 2023'!$B:$B,'Compilado 2023'!Z:Z)</f>
        <v>0</v>
      </c>
      <c r="AA13" s="107" t="str">
        <f>_xlfn.XLOOKUP($B:$B,'Compilado 2023'!$B:$B,'Compilado 2023'!AA:AA)</f>
        <v>Ativou VE Blue Tree Thermas Lins | Fim Voucher Experience Shopping Santa Úrsula</v>
      </c>
    </row>
    <row r="14" spans="1:27" x14ac:dyDescent="0.2">
      <c r="A14" s="16" t="str">
        <f t="shared" si="0"/>
        <v>terça-feira</v>
      </c>
      <c r="B14" s="17">
        <f t="shared" si="6"/>
        <v>45118</v>
      </c>
      <c r="C14" s="19">
        <f t="shared" si="7"/>
        <v>63601.54</v>
      </c>
      <c r="D14" s="35">
        <f>_xlfn.XLOOKUP($B:$B,'Compilado 2023'!$B:$B,'Compilado 2023'!D:D)</f>
        <v>63601.54</v>
      </c>
      <c r="E14" s="35">
        <f>_xlfn.XLOOKUP($B:$B,'Compilado 2023'!$B:$B,'Compilado 2023'!E:E)</f>
        <v>0</v>
      </c>
      <c r="F14" s="18">
        <f>_xlfn.XLOOKUP($B:$B,'Compilado 2023'!$B:$B,'Compilado 2023'!F:F)</f>
        <v>229</v>
      </c>
      <c r="G14" s="18">
        <f>_xlfn.XLOOKUP($B:$B,'Compilado 2023'!$B:$B,'Compilado 2023'!G:G)</f>
        <v>262</v>
      </c>
      <c r="H14" s="35">
        <f t="shared" si="8"/>
        <v>277.73598253275111</v>
      </c>
      <c r="I14" s="19">
        <f t="shared" si="9"/>
        <v>1325.3929032258063</v>
      </c>
      <c r="J14" s="122">
        <f t="shared" si="10"/>
        <v>47.986932663667844</v>
      </c>
      <c r="K14" s="18">
        <f>_xlfn.XLOOKUP($B:$B,'Compilado 2023'!$B:$B,'Compilado 2023'!K:K)</f>
        <v>5753</v>
      </c>
      <c r="L14" s="54">
        <f t="shared" si="11"/>
        <v>3.9805318964018774E-2</v>
      </c>
      <c r="M14" s="149"/>
      <c r="N14" s="106">
        <f>_xlfn.XLOOKUP($B:$B,'Compilado 2023'!$B:$B,'Compilado 2023'!N:N)</f>
        <v>877.59</v>
      </c>
      <c r="O14" s="106">
        <f>_xlfn.XLOOKUP($B:$B,'Compilado 2023'!$B:$B,'Compilado 2023'!O:O)</f>
        <v>396.19</v>
      </c>
      <c r="P14" s="106">
        <f>_xlfn.XLOOKUP($B:$B,'Compilado 2023'!$B:$B,'Compilado 2023'!P:P)</f>
        <v>0</v>
      </c>
      <c r="Q14" s="106">
        <f>_xlfn.XLOOKUP($B:$B,'Compilado 2023'!$B:$B,'Compilado 2023'!Q:Q)</f>
        <v>51.612903225806448</v>
      </c>
      <c r="R14" s="106">
        <f>_xlfn.XLOOKUP($B:$B,'Compilado 2023'!$B:$B,'Compilado 2023'!R:R)</f>
        <v>0</v>
      </c>
      <c r="S14" s="106">
        <f>_xlfn.XLOOKUP($B:$B,'Compilado 2023'!$B:$B,'Compilado 2023'!S:S)</f>
        <v>0</v>
      </c>
      <c r="T14" s="106">
        <f>_xlfn.XLOOKUP($B:$B,'Compilado 2023'!$B:$B,'Compilado 2023'!U:U)</f>
        <v>0</v>
      </c>
      <c r="U14" s="106">
        <f>_xlfn.XLOOKUP($B:$B,'Compilado 2023'!$B:$B,'Compilado 2023'!V:V)</f>
        <v>0</v>
      </c>
      <c r="V14" s="57"/>
      <c r="W14" s="106">
        <f>_xlfn.XLOOKUP($B:$B,'Compilado 2023'!$B:$B,'Compilado 2023'!X:X)</f>
        <v>0</v>
      </c>
      <c r="X14" s="106">
        <f>_xlfn.XLOOKUP($B:$B,'Compilado 2023'!$B:$B,'Compilado 2023'!Y:Y)</f>
        <v>0</v>
      </c>
      <c r="Y14" s="106">
        <f>_xlfn.XLOOKUP($B:$B,'Compilado 2023'!$B:$B,'Compilado 2023'!Z:Z)</f>
        <v>0</v>
      </c>
      <c r="Z14" s="38">
        <f>_xlfn.XLOOKUP($B:$B,'Compilado 2023'!$B:$B,'Compilado 2023'!Z:Z)</f>
        <v>0</v>
      </c>
      <c r="AA14" s="107">
        <f>_xlfn.XLOOKUP($B:$B,'Compilado 2023'!$B:$B,'Compilado 2023'!AA:AA)</f>
        <v>0</v>
      </c>
    </row>
    <row r="15" spans="1:27" s="2" customFormat="1" x14ac:dyDescent="0.2">
      <c r="A15" s="16" t="str">
        <f t="shared" si="0"/>
        <v>quarta-feira</v>
      </c>
      <c r="B15" s="17">
        <f t="shared" si="6"/>
        <v>45119</v>
      </c>
      <c r="C15" s="19">
        <f t="shared" si="7"/>
        <v>62310.720000000001</v>
      </c>
      <c r="D15" s="35">
        <f>_xlfn.XLOOKUP($B:$B,'Compilado 2023'!$B:$B,'Compilado 2023'!D:D)</f>
        <v>62310.720000000001</v>
      </c>
      <c r="E15" s="35">
        <f>_xlfn.XLOOKUP($B:$B,'Compilado 2023'!$B:$B,'Compilado 2023'!E:E)</f>
        <v>0</v>
      </c>
      <c r="F15" s="18">
        <f>_xlfn.XLOOKUP($B:$B,'Compilado 2023'!$B:$B,'Compilado 2023'!F:F)</f>
        <v>211</v>
      </c>
      <c r="G15" s="18">
        <f>_xlfn.XLOOKUP($B:$B,'Compilado 2023'!$B:$B,'Compilado 2023'!G:G)</f>
        <v>243</v>
      </c>
      <c r="H15" s="35">
        <f t="shared" si="8"/>
        <v>295.31146919431279</v>
      </c>
      <c r="I15" s="19">
        <f t="shared" si="9"/>
        <v>1650.5729032258064</v>
      </c>
      <c r="J15" s="122">
        <f t="shared" si="10"/>
        <v>37.75096506081173</v>
      </c>
      <c r="K15" s="18">
        <f>_xlfn.XLOOKUP($B:$B,'Compilado 2023'!$B:$B,'Compilado 2023'!K:K)</f>
        <v>5662</v>
      </c>
      <c r="L15" s="54">
        <f t="shared" si="11"/>
        <v>3.7265983751324623E-2</v>
      </c>
      <c r="M15" s="149"/>
      <c r="N15" s="106">
        <f>_xlfn.XLOOKUP($B:$B,'Compilado 2023'!$B:$B,'Compilado 2023'!N:N)</f>
        <v>1237.43</v>
      </c>
      <c r="O15" s="106">
        <f>_xlfn.XLOOKUP($B:$B,'Compilado 2023'!$B:$B,'Compilado 2023'!O:O)</f>
        <v>360.56</v>
      </c>
      <c r="P15" s="106">
        <f>_xlfn.XLOOKUP($B:$B,'Compilado 2023'!$B:$B,'Compilado 2023'!P:P)</f>
        <v>0</v>
      </c>
      <c r="Q15" s="106">
        <f>_xlfn.XLOOKUP($B:$B,'Compilado 2023'!$B:$B,'Compilado 2023'!Q:Q)</f>
        <v>51.612903225806448</v>
      </c>
      <c r="R15" s="106">
        <f>_xlfn.XLOOKUP($B:$B,'Compilado 2023'!$B:$B,'Compilado 2023'!R:R)</f>
        <v>0.97</v>
      </c>
      <c r="S15" s="106">
        <f>_xlfn.XLOOKUP($B:$B,'Compilado 2023'!$B:$B,'Compilado 2023'!S:S)</f>
        <v>0</v>
      </c>
      <c r="T15" s="106">
        <f>_xlfn.XLOOKUP($B:$B,'Compilado 2023'!$B:$B,'Compilado 2023'!U:U)</f>
        <v>0</v>
      </c>
      <c r="U15" s="106">
        <f>_xlfn.XLOOKUP($B:$B,'Compilado 2023'!$B:$B,'Compilado 2023'!V:V)</f>
        <v>0</v>
      </c>
      <c r="V15" s="57"/>
      <c r="W15" s="106">
        <f>_xlfn.XLOOKUP($B:$B,'Compilado 2023'!$B:$B,'Compilado 2023'!X:X)</f>
        <v>0</v>
      </c>
      <c r="X15" s="106">
        <f>_xlfn.XLOOKUP($B:$B,'Compilado 2023'!$B:$B,'Compilado 2023'!Y:Y)</f>
        <v>0</v>
      </c>
      <c r="Y15" s="106">
        <f>_xlfn.XLOOKUP($B:$B,'Compilado 2023'!$B:$B,'Compilado 2023'!Z:Z)</f>
        <v>0</v>
      </c>
      <c r="Z15" s="38">
        <f>_xlfn.XLOOKUP($B:$B,'Compilado 2023'!$B:$B,'Compilado 2023'!Z:Z)</f>
        <v>0</v>
      </c>
      <c r="AA15" s="107" t="str">
        <f>_xlfn.XLOOKUP($B:$B,'Compilado 2023'!$B:$B,'Compilado 2023'!AA:AA)</f>
        <v>Fim VE Blue Tree Thermas Lins</v>
      </c>
    </row>
    <row r="16" spans="1:27" s="2" customFormat="1" x14ac:dyDescent="0.2">
      <c r="A16" s="16" t="str">
        <f t="shared" si="0"/>
        <v>quinta-feira</v>
      </c>
      <c r="B16" s="17">
        <f t="shared" si="6"/>
        <v>45120</v>
      </c>
      <c r="C16" s="19">
        <f t="shared" si="7"/>
        <v>60212.45</v>
      </c>
      <c r="D16" s="35">
        <f>_xlfn.XLOOKUP($B:$B,'Compilado 2023'!$B:$B,'Compilado 2023'!D:D)</f>
        <v>60212.45</v>
      </c>
      <c r="E16" s="35">
        <f>_xlfn.XLOOKUP($B:$B,'Compilado 2023'!$B:$B,'Compilado 2023'!E:E)</f>
        <v>0</v>
      </c>
      <c r="F16" s="18">
        <f>_xlfn.XLOOKUP($B:$B,'Compilado 2023'!$B:$B,'Compilado 2023'!F:F)</f>
        <v>206</v>
      </c>
      <c r="G16" s="18">
        <f>_xlfn.XLOOKUP($B:$B,'Compilado 2023'!$B:$B,'Compilado 2023'!G:G)</f>
        <v>229</v>
      </c>
      <c r="H16" s="35">
        <f t="shared" si="8"/>
        <v>292.29344660194175</v>
      </c>
      <c r="I16" s="19">
        <f t="shared" si="9"/>
        <v>1027.8029032258064</v>
      </c>
      <c r="J16" s="122">
        <f t="shared" si="10"/>
        <v>58.583654328101694</v>
      </c>
      <c r="K16" s="18">
        <f>_xlfn.XLOOKUP($B:$B,'Compilado 2023'!$B:$B,'Compilado 2023'!K:K)</f>
        <v>5299</v>
      </c>
      <c r="L16" s="54">
        <f t="shared" si="11"/>
        <v>3.8875259482921302E-2</v>
      </c>
      <c r="M16" s="149"/>
      <c r="N16" s="106">
        <f>_xlfn.XLOOKUP($B:$B,'Compilado 2023'!$B:$B,'Compilado 2023'!N:N)</f>
        <v>770.22</v>
      </c>
      <c r="O16" s="106">
        <f>_xlfn.XLOOKUP($B:$B,'Compilado 2023'!$B:$B,'Compilado 2023'!O:O)</f>
        <v>204.85</v>
      </c>
      <c r="P16" s="106">
        <f>_xlfn.XLOOKUP($B:$B,'Compilado 2023'!$B:$B,'Compilado 2023'!P:P)</f>
        <v>0</v>
      </c>
      <c r="Q16" s="106">
        <f>_xlfn.XLOOKUP($B:$B,'Compilado 2023'!$B:$B,'Compilado 2023'!Q:Q)</f>
        <v>51.612903225806448</v>
      </c>
      <c r="R16" s="106">
        <f>_xlfn.XLOOKUP($B:$B,'Compilado 2023'!$B:$B,'Compilado 2023'!R:R)</f>
        <v>1.1200000000000001</v>
      </c>
      <c r="S16" s="106">
        <f>_xlfn.XLOOKUP($B:$B,'Compilado 2023'!$B:$B,'Compilado 2023'!S:S)</f>
        <v>0</v>
      </c>
      <c r="T16" s="106">
        <f>_xlfn.XLOOKUP($B:$B,'Compilado 2023'!$B:$B,'Compilado 2023'!U:U)</f>
        <v>0</v>
      </c>
      <c r="U16" s="106">
        <f>_xlfn.XLOOKUP($B:$B,'Compilado 2023'!$B:$B,'Compilado 2023'!V:V)</f>
        <v>0</v>
      </c>
      <c r="V16" s="57"/>
      <c r="W16" s="106">
        <f>_xlfn.XLOOKUP($B:$B,'Compilado 2023'!$B:$B,'Compilado 2023'!X:X)</f>
        <v>0</v>
      </c>
      <c r="X16" s="106">
        <f>_xlfn.XLOOKUP($B:$B,'Compilado 2023'!$B:$B,'Compilado 2023'!Y:Y)</f>
        <v>0</v>
      </c>
      <c r="Y16" s="106">
        <f>_xlfn.XLOOKUP($B:$B,'Compilado 2023'!$B:$B,'Compilado 2023'!Z:Z)</f>
        <v>0</v>
      </c>
      <c r="Z16" s="38">
        <f>_xlfn.XLOOKUP($B:$B,'Compilado 2023'!$B:$B,'Compilado 2023'!Z:Z)</f>
        <v>0</v>
      </c>
      <c r="AA16" s="107">
        <f>_xlfn.XLOOKUP($B:$B,'Compilado 2023'!$B:$B,'Compilado 2023'!AA:AA)</f>
        <v>0</v>
      </c>
    </row>
    <row r="17" spans="1:27" s="2" customFormat="1" x14ac:dyDescent="0.2">
      <c r="A17" s="16" t="str">
        <f t="shared" si="0"/>
        <v>sexta-feira</v>
      </c>
      <c r="B17" s="17">
        <f t="shared" si="6"/>
        <v>45121</v>
      </c>
      <c r="C17" s="19">
        <f t="shared" si="7"/>
        <v>67998.05</v>
      </c>
      <c r="D17" s="35">
        <f>_xlfn.XLOOKUP($B:$B,'Compilado 2023'!$B:$B,'Compilado 2023'!D:D)</f>
        <v>67998.05</v>
      </c>
      <c r="E17" s="35">
        <f>_xlfn.XLOOKUP($B:$B,'Compilado 2023'!$B:$B,'Compilado 2023'!E:E)</f>
        <v>0</v>
      </c>
      <c r="F17" s="18">
        <f>_xlfn.XLOOKUP($B:$B,'Compilado 2023'!$B:$B,'Compilado 2023'!F:F)</f>
        <v>234</v>
      </c>
      <c r="G17" s="18">
        <f>_xlfn.XLOOKUP($B:$B,'Compilado 2023'!$B:$B,'Compilado 2023'!G:G)</f>
        <v>267</v>
      </c>
      <c r="H17" s="35">
        <f t="shared" si="8"/>
        <v>290.58995726495726</v>
      </c>
      <c r="I17" s="19">
        <f t="shared" si="9"/>
        <v>960.24290322580646</v>
      </c>
      <c r="J17" s="122">
        <f t="shared" si="10"/>
        <v>70.813384583806581</v>
      </c>
      <c r="K17" s="18">
        <f>_xlfn.XLOOKUP($B:$B,'Compilado 2023'!$B:$B,'Compilado 2023'!K:K)</f>
        <v>5028</v>
      </c>
      <c r="L17" s="54">
        <f t="shared" si="11"/>
        <v>4.6539379474940336E-2</v>
      </c>
      <c r="M17" s="149"/>
      <c r="N17" s="106">
        <f>_xlfn.XLOOKUP($B:$B,'Compilado 2023'!$B:$B,'Compilado 2023'!N:N)</f>
        <v>704.24</v>
      </c>
      <c r="O17" s="106">
        <f>_xlfn.XLOOKUP($B:$B,'Compilado 2023'!$B:$B,'Compilado 2023'!O:O)</f>
        <v>203.34</v>
      </c>
      <c r="P17" s="106">
        <f>_xlfn.XLOOKUP($B:$B,'Compilado 2023'!$B:$B,'Compilado 2023'!P:P)</f>
        <v>0</v>
      </c>
      <c r="Q17" s="106">
        <f>_xlfn.XLOOKUP($B:$B,'Compilado 2023'!$B:$B,'Compilado 2023'!Q:Q)</f>
        <v>51.612903225806448</v>
      </c>
      <c r="R17" s="106">
        <f>_xlfn.XLOOKUP($B:$B,'Compilado 2023'!$B:$B,'Compilado 2023'!R:R)</f>
        <v>1.05</v>
      </c>
      <c r="S17" s="106">
        <f>_xlfn.XLOOKUP($B:$B,'Compilado 2023'!$B:$B,'Compilado 2023'!S:S)</f>
        <v>0</v>
      </c>
      <c r="T17" s="106">
        <f>_xlfn.XLOOKUP($B:$B,'Compilado 2023'!$B:$B,'Compilado 2023'!U:U)</f>
        <v>0</v>
      </c>
      <c r="U17" s="106">
        <f>_xlfn.XLOOKUP($B:$B,'Compilado 2023'!$B:$B,'Compilado 2023'!V:V)</f>
        <v>0</v>
      </c>
      <c r="V17" s="57"/>
      <c r="W17" s="106">
        <f>_xlfn.XLOOKUP($B:$B,'Compilado 2023'!$B:$B,'Compilado 2023'!X:X)</f>
        <v>0</v>
      </c>
      <c r="X17" s="106">
        <f>_xlfn.XLOOKUP($B:$B,'Compilado 2023'!$B:$B,'Compilado 2023'!Y:Y)</f>
        <v>0</v>
      </c>
      <c r="Y17" s="106">
        <f>_xlfn.XLOOKUP($B:$B,'Compilado 2023'!$B:$B,'Compilado 2023'!Z:Z)</f>
        <v>0</v>
      </c>
      <c r="Z17" s="38">
        <f>_xlfn.XLOOKUP($B:$B,'Compilado 2023'!$B:$B,'Compilado 2023'!Z:Z)</f>
        <v>0</v>
      </c>
      <c r="AA17" s="107">
        <f>_xlfn.XLOOKUP($B:$B,'Compilado 2023'!$B:$B,'Compilado 2023'!AA:AA)</f>
        <v>0</v>
      </c>
    </row>
    <row r="18" spans="1:27" s="2" customFormat="1" x14ac:dyDescent="0.2">
      <c r="A18" s="16" t="str">
        <f t="shared" si="0"/>
        <v>sábado</v>
      </c>
      <c r="B18" s="17">
        <f t="shared" si="6"/>
        <v>45122</v>
      </c>
      <c r="C18" s="19">
        <f t="shared" si="7"/>
        <v>38647.75</v>
      </c>
      <c r="D18" s="35">
        <f>_xlfn.XLOOKUP($B:$B,'Compilado 2023'!$B:$B,'Compilado 2023'!D:D)</f>
        <v>38647.75</v>
      </c>
      <c r="E18" s="35">
        <f>_xlfn.XLOOKUP($B:$B,'Compilado 2023'!$B:$B,'Compilado 2023'!E:E)</f>
        <v>0</v>
      </c>
      <c r="F18" s="18">
        <f>_xlfn.XLOOKUP($B:$B,'Compilado 2023'!$B:$B,'Compilado 2023'!F:F)</f>
        <v>145</v>
      </c>
      <c r="G18" s="18">
        <f>_xlfn.XLOOKUP($B:$B,'Compilado 2023'!$B:$B,'Compilado 2023'!G:G)</f>
        <v>166</v>
      </c>
      <c r="H18" s="35">
        <f t="shared" si="8"/>
        <v>266.53620689655173</v>
      </c>
      <c r="I18" s="19">
        <f t="shared" si="9"/>
        <v>853.98290322580647</v>
      </c>
      <c r="J18" s="122">
        <f t="shared" si="10"/>
        <v>45.255882587360098</v>
      </c>
      <c r="K18" s="18">
        <f>_xlfn.XLOOKUP($B:$B,'Compilado 2023'!$B:$B,'Compilado 2023'!K:K)</f>
        <v>3757</v>
      </c>
      <c r="L18" s="54">
        <f t="shared" si="11"/>
        <v>3.8594623369709875E-2</v>
      </c>
      <c r="M18" s="149"/>
      <c r="N18" s="106">
        <f>_xlfn.XLOOKUP($B:$B,'Compilado 2023'!$B:$B,'Compilado 2023'!N:N)</f>
        <v>587.48</v>
      </c>
      <c r="O18" s="106">
        <f>_xlfn.XLOOKUP($B:$B,'Compilado 2023'!$B:$B,'Compilado 2023'!O:O)</f>
        <v>212.55</v>
      </c>
      <c r="P18" s="106">
        <f>_xlfn.XLOOKUP($B:$B,'Compilado 2023'!$B:$B,'Compilado 2023'!P:P)</f>
        <v>0</v>
      </c>
      <c r="Q18" s="106">
        <f>_xlfn.XLOOKUP($B:$B,'Compilado 2023'!$B:$B,'Compilado 2023'!Q:Q)</f>
        <v>51.612903225806448</v>
      </c>
      <c r="R18" s="106">
        <f>_xlfn.XLOOKUP($B:$B,'Compilado 2023'!$B:$B,'Compilado 2023'!R:R)</f>
        <v>2.34</v>
      </c>
      <c r="S18" s="106">
        <f>_xlfn.XLOOKUP($B:$B,'Compilado 2023'!$B:$B,'Compilado 2023'!S:S)</f>
        <v>0</v>
      </c>
      <c r="T18" s="106">
        <f>_xlfn.XLOOKUP($B:$B,'Compilado 2023'!$B:$B,'Compilado 2023'!U:U)</f>
        <v>0</v>
      </c>
      <c r="U18" s="106">
        <f>_xlfn.XLOOKUP($B:$B,'Compilado 2023'!$B:$B,'Compilado 2023'!V:V)</f>
        <v>0</v>
      </c>
      <c r="V18" s="57"/>
      <c r="W18" s="106">
        <f>_xlfn.XLOOKUP($B:$B,'Compilado 2023'!$B:$B,'Compilado 2023'!X:X)</f>
        <v>0</v>
      </c>
      <c r="X18" s="106">
        <f>_xlfn.XLOOKUP($B:$B,'Compilado 2023'!$B:$B,'Compilado 2023'!Y:Y)</f>
        <v>0</v>
      </c>
      <c r="Y18" s="106">
        <f>_xlfn.XLOOKUP($B:$B,'Compilado 2023'!$B:$B,'Compilado 2023'!Z:Z)</f>
        <v>0</v>
      </c>
      <c r="Z18" s="38">
        <f>_xlfn.XLOOKUP($B:$B,'Compilado 2023'!$B:$B,'Compilado 2023'!Z:Z)</f>
        <v>0</v>
      </c>
      <c r="AA18" s="107">
        <f>_xlfn.XLOOKUP($B:$B,'Compilado 2023'!$B:$B,'Compilado 2023'!AA:AA)</f>
        <v>0</v>
      </c>
    </row>
    <row r="19" spans="1:27" s="2" customFormat="1" x14ac:dyDescent="0.2">
      <c r="A19" s="16" t="str">
        <f t="shared" si="0"/>
        <v>domingo</v>
      </c>
      <c r="B19" s="17">
        <f t="shared" si="6"/>
        <v>45123</v>
      </c>
      <c r="C19" s="19">
        <f t="shared" si="7"/>
        <v>26806.639999999999</v>
      </c>
      <c r="D19" s="35">
        <f>_xlfn.XLOOKUP($B:$B,'Compilado 2023'!$B:$B,'Compilado 2023'!D:D)</f>
        <v>26806.639999999999</v>
      </c>
      <c r="E19" s="35">
        <f>_xlfn.XLOOKUP($B:$B,'Compilado 2023'!$B:$B,'Compilado 2023'!E:E)</f>
        <v>0</v>
      </c>
      <c r="F19" s="18">
        <f>_xlfn.XLOOKUP($B:$B,'Compilado 2023'!$B:$B,'Compilado 2023'!F:F)</f>
        <v>99</v>
      </c>
      <c r="G19" s="18">
        <f>_xlfn.XLOOKUP($B:$B,'Compilado 2023'!$B:$B,'Compilado 2023'!G:G)</f>
        <v>106</v>
      </c>
      <c r="H19" s="35">
        <f t="shared" si="8"/>
        <v>270.77414141414141</v>
      </c>
      <c r="I19" s="19">
        <f t="shared" si="9"/>
        <v>887.25290322580656</v>
      </c>
      <c r="J19" s="122">
        <f t="shared" si="10"/>
        <v>30.213076680322441</v>
      </c>
      <c r="K19" s="18">
        <f>_xlfn.XLOOKUP($B:$B,'Compilado 2023'!$B:$B,'Compilado 2023'!K:K)</f>
        <v>3159</v>
      </c>
      <c r="L19" s="54">
        <f t="shared" si="11"/>
        <v>3.1339031339031341E-2</v>
      </c>
      <c r="M19" s="149"/>
      <c r="N19" s="106">
        <f>_xlfn.XLOOKUP($B:$B,'Compilado 2023'!$B:$B,'Compilado 2023'!N:N)</f>
        <v>610.47</v>
      </c>
      <c r="O19" s="106">
        <f>_xlfn.XLOOKUP($B:$B,'Compilado 2023'!$B:$B,'Compilado 2023'!O:O)</f>
        <v>220.22</v>
      </c>
      <c r="P19" s="106">
        <f>_xlfn.XLOOKUP($B:$B,'Compilado 2023'!$B:$B,'Compilado 2023'!P:P)</f>
        <v>0</v>
      </c>
      <c r="Q19" s="106">
        <f>_xlfn.XLOOKUP($B:$B,'Compilado 2023'!$B:$B,'Compilado 2023'!Q:Q)</f>
        <v>51.612903225806448</v>
      </c>
      <c r="R19" s="106">
        <f>_xlfn.XLOOKUP($B:$B,'Compilado 2023'!$B:$B,'Compilado 2023'!R:R)</f>
        <v>4.95</v>
      </c>
      <c r="S19" s="106">
        <f>_xlfn.XLOOKUP($B:$B,'Compilado 2023'!$B:$B,'Compilado 2023'!S:S)</f>
        <v>0</v>
      </c>
      <c r="T19" s="106">
        <f>_xlfn.XLOOKUP($B:$B,'Compilado 2023'!$B:$B,'Compilado 2023'!U:U)</f>
        <v>0</v>
      </c>
      <c r="U19" s="106">
        <f>_xlfn.XLOOKUP($B:$B,'Compilado 2023'!$B:$B,'Compilado 2023'!V:V)</f>
        <v>0</v>
      </c>
      <c r="V19" s="57"/>
      <c r="W19" s="106">
        <f>_xlfn.XLOOKUP($B:$B,'Compilado 2023'!$B:$B,'Compilado 2023'!X:X)</f>
        <v>0</v>
      </c>
      <c r="X19" s="106">
        <f>_xlfn.XLOOKUP($B:$B,'Compilado 2023'!$B:$B,'Compilado 2023'!Y:Y)</f>
        <v>0</v>
      </c>
      <c r="Y19" s="106">
        <f>_xlfn.XLOOKUP($B:$B,'Compilado 2023'!$B:$B,'Compilado 2023'!Z:Z)</f>
        <v>0</v>
      </c>
      <c r="Z19" s="38">
        <f>_xlfn.XLOOKUP($B:$B,'Compilado 2023'!$B:$B,'Compilado 2023'!Z:Z)</f>
        <v>0</v>
      </c>
      <c r="AA19" s="107" t="str">
        <f>_xlfn.XLOOKUP($B:$B,'Compilado 2023'!$B:$B,'Compilado 2023'!AA:AA)</f>
        <v>Fim do VE Anália Franco | Fim Temporada Day Spa</v>
      </c>
    </row>
    <row r="20" spans="1:27" x14ac:dyDescent="0.2">
      <c r="A20" s="16" t="str">
        <f t="shared" si="0"/>
        <v>segunda-feira</v>
      </c>
      <c r="B20" s="17">
        <f t="shared" si="6"/>
        <v>45124</v>
      </c>
      <c r="C20" s="19">
        <f t="shared" si="7"/>
        <v>67591.179999999993</v>
      </c>
      <c r="D20" s="35">
        <f>_xlfn.XLOOKUP($B:$B,'Compilado 2023'!$B:$B,'Compilado 2023'!D:D)</f>
        <v>67591.179999999993</v>
      </c>
      <c r="E20" s="35">
        <f>_xlfn.XLOOKUP($B:$B,'Compilado 2023'!$B:$B,'Compilado 2023'!E:E)</f>
        <v>0</v>
      </c>
      <c r="F20" s="18">
        <f>_xlfn.XLOOKUP($B:$B,'Compilado 2023'!$B:$B,'Compilado 2023'!F:F)</f>
        <v>227</v>
      </c>
      <c r="G20" s="18">
        <f>_xlfn.XLOOKUP($B:$B,'Compilado 2023'!$B:$B,'Compilado 2023'!G:G)</f>
        <v>264</v>
      </c>
      <c r="H20" s="35">
        <f t="shared" si="8"/>
        <v>297.75850220264311</v>
      </c>
      <c r="I20" s="19">
        <f t="shared" si="9"/>
        <v>1223.4529032258063</v>
      </c>
      <c r="J20" s="122">
        <f t="shared" si="10"/>
        <v>55.246245950118968</v>
      </c>
      <c r="K20" s="18">
        <f>_xlfn.XLOOKUP($B:$B,'Compilado 2023'!$B:$B,'Compilado 2023'!K:K)</f>
        <v>5415</v>
      </c>
      <c r="L20" s="54">
        <f t="shared" si="11"/>
        <v>4.1920590951061862E-2</v>
      </c>
      <c r="M20" s="149"/>
      <c r="N20" s="106">
        <f>_xlfn.XLOOKUP($B:$B,'Compilado 2023'!$B:$B,'Compilado 2023'!N:N)</f>
        <v>985.29</v>
      </c>
      <c r="O20" s="106">
        <f>_xlfn.XLOOKUP($B:$B,'Compilado 2023'!$B:$B,'Compilado 2023'!O:O)</f>
        <v>184.37</v>
      </c>
      <c r="P20" s="106">
        <f>_xlfn.XLOOKUP($B:$B,'Compilado 2023'!$B:$B,'Compilado 2023'!P:P)</f>
        <v>0</v>
      </c>
      <c r="Q20" s="106">
        <f>_xlfn.XLOOKUP($B:$B,'Compilado 2023'!$B:$B,'Compilado 2023'!Q:Q)</f>
        <v>51.612903225806448</v>
      </c>
      <c r="R20" s="106">
        <f>_xlfn.XLOOKUP($B:$B,'Compilado 2023'!$B:$B,'Compilado 2023'!R:R)</f>
        <v>2.1800000000000002</v>
      </c>
      <c r="S20" s="106">
        <f>_xlfn.XLOOKUP($B:$B,'Compilado 2023'!$B:$B,'Compilado 2023'!S:S)</f>
        <v>0</v>
      </c>
      <c r="T20" s="106">
        <f>_xlfn.XLOOKUP($B:$B,'Compilado 2023'!$B:$B,'Compilado 2023'!U:U)</f>
        <v>0</v>
      </c>
      <c r="U20" s="106">
        <f>_xlfn.XLOOKUP($B:$B,'Compilado 2023'!$B:$B,'Compilado 2023'!V:V)</f>
        <v>0</v>
      </c>
      <c r="V20" s="57"/>
      <c r="W20" s="106">
        <f>_xlfn.XLOOKUP($B:$B,'Compilado 2023'!$B:$B,'Compilado 2023'!X:X)</f>
        <v>0</v>
      </c>
      <c r="X20" s="106">
        <f>_xlfn.XLOOKUP($B:$B,'Compilado 2023'!$B:$B,'Compilado 2023'!Y:Y)</f>
        <v>0</v>
      </c>
      <c r="Y20" s="106">
        <f>_xlfn.XLOOKUP($B:$B,'Compilado 2023'!$B:$B,'Compilado 2023'!Z:Z)</f>
        <v>0</v>
      </c>
      <c r="Z20" s="38">
        <f>_xlfn.XLOOKUP($B:$B,'Compilado 2023'!$B:$B,'Compilado 2023'!Z:Z)</f>
        <v>0</v>
      </c>
      <c r="AA20" s="107">
        <f>_xlfn.XLOOKUP($B:$B,'Compilado 2023'!$B:$B,'Compilado 2023'!AA:AA)</f>
        <v>0</v>
      </c>
    </row>
    <row r="21" spans="1:27" x14ac:dyDescent="0.2">
      <c r="A21" s="16" t="str">
        <f t="shared" si="0"/>
        <v>terça-feira</v>
      </c>
      <c r="B21" s="17">
        <f t="shared" si="6"/>
        <v>45125</v>
      </c>
      <c r="C21" s="19">
        <f t="shared" si="7"/>
        <v>40260.420000000006</v>
      </c>
      <c r="D21" s="35">
        <f>_xlfn.XLOOKUP($B:$B,'Compilado 2023'!$B:$B,'Compilado 2023'!D:D)</f>
        <v>40213.870000000003</v>
      </c>
      <c r="E21" s="35">
        <f>_xlfn.XLOOKUP($B:$B,'Compilado 2023'!$B:$B,'Compilado 2023'!E:E)</f>
        <v>46.55</v>
      </c>
      <c r="F21" s="18">
        <f>_xlfn.XLOOKUP($B:$B,'Compilado 2023'!$B:$B,'Compilado 2023'!F:F)</f>
        <v>147</v>
      </c>
      <c r="G21" s="18">
        <f>_xlfn.XLOOKUP($B:$B,'Compilado 2023'!$B:$B,'Compilado 2023'!G:G)</f>
        <v>174</v>
      </c>
      <c r="H21" s="35">
        <f t="shared" si="8"/>
        <v>273.88040816326537</v>
      </c>
      <c r="I21" s="19">
        <f t="shared" si="9"/>
        <v>1132.5029032258064</v>
      </c>
      <c r="J21" s="122">
        <f t="shared" si="10"/>
        <v>35.549948600858109</v>
      </c>
      <c r="K21" s="18">
        <f>_xlfn.XLOOKUP($B:$B,'Compilado 2023'!$B:$B,'Compilado 2023'!K:K)</f>
        <v>5161</v>
      </c>
      <c r="L21" s="54">
        <f t="shared" si="11"/>
        <v>2.8482852160434023E-2</v>
      </c>
      <c r="M21" s="149"/>
      <c r="N21" s="106">
        <f>_xlfn.XLOOKUP($B:$B,'Compilado 2023'!$B:$B,'Compilado 2023'!N:N)</f>
        <v>898.43</v>
      </c>
      <c r="O21" s="106">
        <f>_xlfn.XLOOKUP($B:$B,'Compilado 2023'!$B:$B,'Compilado 2023'!O:O)</f>
        <v>182.08</v>
      </c>
      <c r="P21" s="106">
        <f>_xlfn.XLOOKUP($B:$B,'Compilado 2023'!$B:$B,'Compilado 2023'!P:P)</f>
        <v>0</v>
      </c>
      <c r="Q21" s="106">
        <f>_xlfn.XLOOKUP($B:$B,'Compilado 2023'!$B:$B,'Compilado 2023'!Q:Q)</f>
        <v>51.612903225806448</v>
      </c>
      <c r="R21" s="106">
        <f>_xlfn.XLOOKUP($B:$B,'Compilado 2023'!$B:$B,'Compilado 2023'!R:R)</f>
        <v>0.38</v>
      </c>
      <c r="S21" s="106">
        <f>_xlfn.XLOOKUP($B:$B,'Compilado 2023'!$B:$B,'Compilado 2023'!S:S)</f>
        <v>0</v>
      </c>
      <c r="T21" s="106">
        <f>_xlfn.XLOOKUP($B:$B,'Compilado 2023'!$B:$B,'Compilado 2023'!U:U)</f>
        <v>0</v>
      </c>
      <c r="U21" s="106">
        <f>_xlfn.XLOOKUP($B:$B,'Compilado 2023'!$B:$B,'Compilado 2023'!V:V)</f>
        <v>0</v>
      </c>
      <c r="V21" s="57"/>
      <c r="W21" s="106">
        <f>_xlfn.XLOOKUP($B:$B,'Compilado 2023'!$B:$B,'Compilado 2023'!X:X)</f>
        <v>0</v>
      </c>
      <c r="X21" s="106">
        <f>_xlfn.XLOOKUP($B:$B,'Compilado 2023'!$B:$B,'Compilado 2023'!Y:Y)</f>
        <v>0</v>
      </c>
      <c r="Y21" s="106">
        <f>_xlfn.XLOOKUP($B:$B,'Compilado 2023'!$B:$B,'Compilado 2023'!Z:Z)</f>
        <v>0</v>
      </c>
      <c r="Z21" s="38">
        <f>_xlfn.XLOOKUP($B:$B,'Compilado 2023'!$B:$B,'Compilado 2023'!Z:Z)</f>
        <v>0</v>
      </c>
      <c r="AA21" s="107" t="s">
        <v>194</v>
      </c>
    </row>
    <row r="22" spans="1:27" s="2" customFormat="1" x14ac:dyDescent="0.2">
      <c r="A22" s="16" t="str">
        <f t="shared" si="0"/>
        <v>quarta-feira</v>
      </c>
      <c r="B22" s="17">
        <f t="shared" si="6"/>
        <v>45126</v>
      </c>
      <c r="C22" s="19">
        <f t="shared" si="7"/>
        <v>47614.62</v>
      </c>
      <c r="D22" s="35">
        <f>_xlfn.XLOOKUP($B:$B,'Compilado 2023'!$B:$B,'Compilado 2023'!D:D)</f>
        <v>47614.62</v>
      </c>
      <c r="E22" s="35">
        <f>_xlfn.XLOOKUP($B:$B,'Compilado 2023'!$B:$B,'Compilado 2023'!E:E)</f>
        <v>0</v>
      </c>
      <c r="F22" s="18">
        <f>_xlfn.XLOOKUP($B:$B,'Compilado 2023'!$B:$B,'Compilado 2023'!F:F)</f>
        <v>177</v>
      </c>
      <c r="G22" s="18">
        <f>_xlfn.XLOOKUP($B:$B,'Compilado 2023'!$B:$B,'Compilado 2023'!G:G)</f>
        <v>199</v>
      </c>
      <c r="H22" s="35">
        <f t="shared" si="8"/>
        <v>269.00915254237287</v>
      </c>
      <c r="I22" s="19">
        <f t="shared" si="9"/>
        <v>1162.7529032258064</v>
      </c>
      <c r="J22" s="122">
        <f t="shared" si="10"/>
        <v>40.949904203983095</v>
      </c>
      <c r="K22" s="18">
        <f>_xlfn.XLOOKUP($B:$B,'Compilado 2023'!$B:$B,'Compilado 2023'!K:K)</f>
        <v>5204</v>
      </c>
      <c r="L22" s="54">
        <f t="shared" si="11"/>
        <v>3.4012298232129132E-2</v>
      </c>
      <c r="M22" s="149"/>
      <c r="N22" s="106">
        <f>_xlfn.XLOOKUP($B:$B,'Compilado 2023'!$B:$B,'Compilado 2023'!N:N)</f>
        <v>885.31</v>
      </c>
      <c r="O22" s="106">
        <f>_xlfn.XLOOKUP($B:$B,'Compilado 2023'!$B:$B,'Compilado 2023'!O:O)</f>
        <v>206.11</v>
      </c>
      <c r="P22" s="106">
        <f>_xlfn.XLOOKUP($B:$B,'Compilado 2023'!$B:$B,'Compilado 2023'!P:P)</f>
        <v>0</v>
      </c>
      <c r="Q22" s="106">
        <f>_xlfn.XLOOKUP($B:$B,'Compilado 2023'!$B:$B,'Compilado 2023'!Q:Q)</f>
        <v>51.612903225806448</v>
      </c>
      <c r="R22" s="106">
        <f>_xlfn.XLOOKUP($B:$B,'Compilado 2023'!$B:$B,'Compilado 2023'!R:R)</f>
        <v>0.42</v>
      </c>
      <c r="S22" s="106">
        <f>_xlfn.XLOOKUP($B:$B,'Compilado 2023'!$B:$B,'Compilado 2023'!S:S)</f>
        <v>19.3</v>
      </c>
      <c r="T22" s="106">
        <f>_xlfn.XLOOKUP($B:$B,'Compilado 2023'!$B:$B,'Compilado 2023'!U:U)</f>
        <v>0</v>
      </c>
      <c r="U22" s="106">
        <f>_xlfn.XLOOKUP($B:$B,'Compilado 2023'!$B:$B,'Compilado 2023'!V:V)</f>
        <v>0</v>
      </c>
      <c r="V22" s="57"/>
      <c r="W22" s="106">
        <f>_xlfn.XLOOKUP($B:$B,'Compilado 2023'!$B:$B,'Compilado 2023'!X:X)</f>
        <v>0</v>
      </c>
      <c r="X22" s="106">
        <f>_xlfn.XLOOKUP($B:$B,'Compilado 2023'!$B:$B,'Compilado 2023'!Y:Y)</f>
        <v>0</v>
      </c>
      <c r="Y22" s="106">
        <f>_xlfn.XLOOKUP($B:$B,'Compilado 2023'!$B:$B,'Compilado 2023'!Z:Z)</f>
        <v>0</v>
      </c>
      <c r="Z22" s="38">
        <f>_xlfn.XLOOKUP($B:$B,'Compilado 2023'!$B:$B,'Compilado 2023'!Z:Z)</f>
        <v>0</v>
      </c>
      <c r="AA22" s="107">
        <f>_xlfn.XLOOKUP($B:$B,'Compilado 2023'!$B:$B,'Compilado 2023'!AA:AA)</f>
        <v>0</v>
      </c>
    </row>
    <row r="23" spans="1:27" s="2" customFormat="1" x14ac:dyDescent="0.2">
      <c r="A23" s="16" t="str">
        <f t="shared" si="0"/>
        <v>quinta-feira</v>
      </c>
      <c r="B23" s="17">
        <f t="shared" si="6"/>
        <v>45127</v>
      </c>
      <c r="C23" s="19">
        <f t="shared" ref="C23" si="12">D23+E23</f>
        <v>48753.4</v>
      </c>
      <c r="D23" s="35">
        <f>_xlfn.XLOOKUP($B:$B,'Compilado 2023'!$B:$B,'Compilado 2023'!D:D)</f>
        <v>48753.4</v>
      </c>
      <c r="E23" s="35">
        <f>_xlfn.XLOOKUP($B:$B,'Compilado 2023'!$B:$B,'Compilado 2023'!E:E)</f>
        <v>0</v>
      </c>
      <c r="F23" s="18">
        <f>_xlfn.XLOOKUP($B:$B,'Compilado 2023'!$B:$B,'Compilado 2023'!F:F)</f>
        <v>172</v>
      </c>
      <c r="G23" s="18">
        <f>_xlfn.XLOOKUP($B:$B,'Compilado 2023'!$B:$B,'Compilado 2023'!G:G)</f>
        <v>201</v>
      </c>
      <c r="H23" s="35">
        <f t="shared" ref="H23" si="13">IFERROR(C23/F23,0)</f>
        <v>283.45</v>
      </c>
      <c r="I23" s="19">
        <f t="shared" ref="I23" si="14">SUM(N23:U23)</f>
        <v>1157.3729032258063</v>
      </c>
      <c r="J23" s="122">
        <f t="shared" ref="J23" si="15">IF(I23&gt;0,C23/I23,0)</f>
        <v>42.124193390147212</v>
      </c>
      <c r="K23" s="18">
        <f>_xlfn.XLOOKUP($B:$B,'Compilado 2023'!$B:$B,'Compilado 2023'!K:K)</f>
        <v>5012</v>
      </c>
      <c r="L23" s="54">
        <f t="shared" ref="L23" si="16">IFERROR(F23/K23,0)</f>
        <v>3.4317637669592976E-2</v>
      </c>
      <c r="M23" s="149"/>
      <c r="N23" s="106">
        <f>_xlfn.XLOOKUP($B:$B,'Compilado 2023'!$B:$B,'Compilado 2023'!N:N)</f>
        <v>851.39</v>
      </c>
      <c r="O23" s="106">
        <f>_xlfn.XLOOKUP($B:$B,'Compilado 2023'!$B:$B,'Compilado 2023'!O:O)</f>
        <v>234.62</v>
      </c>
      <c r="P23" s="106">
        <f>_xlfn.XLOOKUP($B:$B,'Compilado 2023'!$B:$B,'Compilado 2023'!P:P)</f>
        <v>0</v>
      </c>
      <c r="Q23" s="106">
        <f>_xlfn.XLOOKUP($B:$B,'Compilado 2023'!$B:$B,'Compilado 2023'!Q:Q)</f>
        <v>51.612903225806448</v>
      </c>
      <c r="R23" s="106">
        <f>_xlfn.XLOOKUP($B:$B,'Compilado 2023'!$B:$B,'Compilado 2023'!R:R)</f>
        <v>0</v>
      </c>
      <c r="S23" s="106">
        <f>_xlfn.XLOOKUP($B:$B,'Compilado 2023'!$B:$B,'Compilado 2023'!S:S)</f>
        <v>19.75</v>
      </c>
      <c r="T23" s="106">
        <f>_xlfn.XLOOKUP($B:$B,'Compilado 2023'!$B:$B,'Compilado 2023'!U:U)</f>
        <v>0</v>
      </c>
      <c r="U23" s="106">
        <f>_xlfn.XLOOKUP($B:$B,'Compilado 2023'!$B:$B,'Compilado 2023'!V:V)</f>
        <v>0</v>
      </c>
      <c r="V23" s="57"/>
      <c r="W23" s="106">
        <f>_xlfn.XLOOKUP($B:$B,'Compilado 2023'!$B:$B,'Compilado 2023'!X:X)</f>
        <v>0</v>
      </c>
      <c r="X23" s="106">
        <f>_xlfn.XLOOKUP($B:$B,'Compilado 2023'!$B:$B,'Compilado 2023'!Y:Y)</f>
        <v>0</v>
      </c>
      <c r="Y23" s="106">
        <f>_xlfn.XLOOKUP($B:$B,'Compilado 2023'!$B:$B,'Compilado 2023'!Z:Z)</f>
        <v>0</v>
      </c>
      <c r="Z23" s="38">
        <f>_xlfn.XLOOKUP($B:$B,'Compilado 2023'!$B:$B,'Compilado 2023'!Z:Z)</f>
        <v>0</v>
      </c>
      <c r="AA23" s="107">
        <f>_xlfn.XLOOKUP($B:$B,'Compilado 2023'!$B:$B,'Compilado 2023'!AA:AA)</f>
        <v>0</v>
      </c>
    </row>
    <row r="24" spans="1:27" s="2" customFormat="1" x14ac:dyDescent="0.2">
      <c r="A24" s="16" t="str">
        <f t="shared" si="0"/>
        <v>sexta-feira</v>
      </c>
      <c r="B24" s="17">
        <f t="shared" si="6"/>
        <v>45128</v>
      </c>
      <c r="C24" s="19">
        <f t="shared" si="7"/>
        <v>49015.22</v>
      </c>
      <c r="D24" s="35">
        <f>_xlfn.XLOOKUP($B:$B,'Compilado 2023'!$B:$B,'Compilado 2023'!D:D)</f>
        <v>49015.22</v>
      </c>
      <c r="E24" s="35">
        <f>_xlfn.XLOOKUP($B:$B,'Compilado 2023'!$B:$B,'Compilado 2023'!E:E)</f>
        <v>0</v>
      </c>
      <c r="F24" s="18">
        <f>_xlfn.XLOOKUP($B:$B,'Compilado 2023'!$B:$B,'Compilado 2023'!F:F)</f>
        <v>178</v>
      </c>
      <c r="G24" s="18">
        <f>_xlfn.XLOOKUP($B:$B,'Compilado 2023'!$B:$B,'Compilado 2023'!G:G)</f>
        <v>206</v>
      </c>
      <c r="H24" s="35">
        <f t="shared" si="8"/>
        <v>275.36640449438204</v>
      </c>
      <c r="I24" s="19">
        <f t="shared" si="9"/>
        <v>1063.1029032258064</v>
      </c>
      <c r="J24" s="122">
        <f t="shared" si="10"/>
        <v>46.105809561117354</v>
      </c>
      <c r="K24" s="18">
        <f>_xlfn.XLOOKUP($B:$B,'Compilado 2023'!$B:$B,'Compilado 2023'!K:K)</f>
        <v>5214</v>
      </c>
      <c r="L24" s="54">
        <f t="shared" si="11"/>
        <v>3.4138856923667048E-2</v>
      </c>
      <c r="M24" s="149"/>
      <c r="N24" s="106">
        <f>_xlfn.XLOOKUP($B:$B,'Compilado 2023'!$B:$B,'Compilado 2023'!N:N)</f>
        <v>743.38</v>
      </c>
      <c r="O24" s="106">
        <f>_xlfn.XLOOKUP($B:$B,'Compilado 2023'!$B:$B,'Compilado 2023'!O:O)</f>
        <v>247.42</v>
      </c>
      <c r="P24" s="106">
        <f>_xlfn.XLOOKUP($B:$B,'Compilado 2023'!$B:$B,'Compilado 2023'!P:P)</f>
        <v>0</v>
      </c>
      <c r="Q24" s="106">
        <f>_xlfn.XLOOKUP($B:$B,'Compilado 2023'!$B:$B,'Compilado 2023'!Q:Q)</f>
        <v>51.612903225806448</v>
      </c>
      <c r="R24" s="106">
        <f>_xlfn.XLOOKUP($B:$B,'Compilado 2023'!$B:$B,'Compilado 2023'!R:R)</f>
        <v>1.01</v>
      </c>
      <c r="S24" s="106">
        <f>_xlfn.XLOOKUP($B:$B,'Compilado 2023'!$B:$B,'Compilado 2023'!S:S)</f>
        <v>19.68</v>
      </c>
      <c r="T24" s="106">
        <f>_xlfn.XLOOKUP($B:$B,'Compilado 2023'!$B:$B,'Compilado 2023'!U:U)</f>
        <v>0</v>
      </c>
      <c r="U24" s="106">
        <f>_xlfn.XLOOKUP($B:$B,'Compilado 2023'!$B:$B,'Compilado 2023'!V:V)</f>
        <v>0</v>
      </c>
      <c r="V24" s="57"/>
      <c r="W24" s="106">
        <f>_xlfn.XLOOKUP($B:$B,'Compilado 2023'!$B:$B,'Compilado 2023'!X:X)</f>
        <v>0</v>
      </c>
      <c r="X24" s="106">
        <f>_xlfn.XLOOKUP($B:$B,'Compilado 2023'!$B:$B,'Compilado 2023'!Y:Y)</f>
        <v>0</v>
      </c>
      <c r="Y24" s="106">
        <f>_xlfn.XLOOKUP($B:$B,'Compilado 2023'!$B:$B,'Compilado 2023'!Z:Z)</f>
        <v>0</v>
      </c>
      <c r="Z24" s="38">
        <f>_xlfn.XLOOKUP($B:$B,'Compilado 2023'!$B:$B,'Compilado 2023'!Z:Z)</f>
        <v>0</v>
      </c>
      <c r="AA24" s="107">
        <f>_xlfn.XLOOKUP($B:$B,'Compilado 2023'!$B:$B,'Compilado 2023'!AA:AA)</f>
        <v>0</v>
      </c>
    </row>
    <row r="25" spans="1:27" s="2" customFormat="1" x14ac:dyDescent="0.2">
      <c r="A25" s="16" t="str">
        <f t="shared" si="0"/>
        <v>sábado</v>
      </c>
      <c r="B25" s="17">
        <f t="shared" si="6"/>
        <v>45129</v>
      </c>
      <c r="C25" s="19">
        <f t="shared" si="7"/>
        <v>33277.61</v>
      </c>
      <c r="D25" s="35">
        <f>_xlfn.XLOOKUP($B:$B,'Compilado 2023'!$B:$B,'Compilado 2023'!D:D)</f>
        <v>33277.61</v>
      </c>
      <c r="E25" s="35">
        <f>_xlfn.XLOOKUP($B:$B,'Compilado 2023'!$B:$B,'Compilado 2023'!E:E)</f>
        <v>0</v>
      </c>
      <c r="F25" s="18">
        <f>_xlfn.XLOOKUP($B:$B,'Compilado 2023'!$B:$B,'Compilado 2023'!F:F)</f>
        <v>130</v>
      </c>
      <c r="G25" s="18">
        <f>_xlfn.XLOOKUP($B:$B,'Compilado 2023'!$B:$B,'Compilado 2023'!G:G)</f>
        <v>143</v>
      </c>
      <c r="H25" s="35">
        <f t="shared" si="8"/>
        <v>255.9816153846154</v>
      </c>
      <c r="I25" s="19">
        <f t="shared" si="9"/>
        <v>837.79290322580653</v>
      </c>
      <c r="J25" s="122">
        <f t="shared" si="10"/>
        <v>39.720568020890525</v>
      </c>
      <c r="K25" s="18">
        <f>_xlfn.XLOOKUP($B:$B,'Compilado 2023'!$B:$B,'Compilado 2023'!K:K)</f>
        <v>3862</v>
      </c>
      <c r="L25" s="54">
        <f t="shared" si="11"/>
        <v>3.3661315380631794E-2</v>
      </c>
      <c r="M25" s="149"/>
      <c r="N25" s="106">
        <f>_xlfn.XLOOKUP($B:$B,'Compilado 2023'!$B:$B,'Compilado 2023'!N:N)</f>
        <v>505.57</v>
      </c>
      <c r="O25" s="106">
        <f>_xlfn.XLOOKUP($B:$B,'Compilado 2023'!$B:$B,'Compilado 2023'!O:O)</f>
        <v>260.13</v>
      </c>
      <c r="P25" s="106">
        <f>_xlfn.XLOOKUP($B:$B,'Compilado 2023'!$B:$B,'Compilado 2023'!P:P)</f>
        <v>0</v>
      </c>
      <c r="Q25" s="106">
        <f>_xlfn.XLOOKUP($B:$B,'Compilado 2023'!$B:$B,'Compilado 2023'!Q:Q)</f>
        <v>51.612903225806448</v>
      </c>
      <c r="R25" s="106">
        <f>_xlfn.XLOOKUP($B:$B,'Compilado 2023'!$B:$B,'Compilado 2023'!R:R)</f>
        <v>0.99</v>
      </c>
      <c r="S25" s="106">
        <f>_xlfn.XLOOKUP($B:$B,'Compilado 2023'!$B:$B,'Compilado 2023'!S:S)</f>
        <v>19.489999999999998</v>
      </c>
      <c r="T25" s="106">
        <f>_xlfn.XLOOKUP($B:$B,'Compilado 2023'!$B:$B,'Compilado 2023'!U:U)</f>
        <v>0</v>
      </c>
      <c r="U25" s="106">
        <f>_xlfn.XLOOKUP($B:$B,'Compilado 2023'!$B:$B,'Compilado 2023'!V:V)</f>
        <v>0</v>
      </c>
      <c r="V25" s="57"/>
      <c r="W25" s="106">
        <f>_xlfn.XLOOKUP($B:$B,'Compilado 2023'!$B:$B,'Compilado 2023'!X:X)</f>
        <v>0</v>
      </c>
      <c r="X25" s="106">
        <f>_xlfn.XLOOKUP($B:$B,'Compilado 2023'!$B:$B,'Compilado 2023'!Y:Y)</f>
        <v>0</v>
      </c>
      <c r="Y25" s="106">
        <f>_xlfn.XLOOKUP($B:$B,'Compilado 2023'!$B:$B,'Compilado 2023'!Z:Z)</f>
        <v>0</v>
      </c>
      <c r="Z25" s="38">
        <f>_xlfn.XLOOKUP($B:$B,'Compilado 2023'!$B:$B,'Compilado 2023'!Z:Z)</f>
        <v>0</v>
      </c>
      <c r="AA25" s="107">
        <f>_xlfn.XLOOKUP($B:$B,'Compilado 2023'!$B:$B,'Compilado 2023'!AA:AA)</f>
        <v>0</v>
      </c>
    </row>
    <row r="26" spans="1:27" s="2" customFormat="1" x14ac:dyDescent="0.2">
      <c r="A26" s="16" t="str">
        <f t="shared" si="0"/>
        <v>domingo</v>
      </c>
      <c r="B26" s="17">
        <f t="shared" si="6"/>
        <v>45130</v>
      </c>
      <c r="C26" s="19">
        <f t="shared" si="7"/>
        <v>24143.34</v>
      </c>
      <c r="D26" s="35">
        <f>_xlfn.XLOOKUP($B:$B,'Compilado 2023'!$B:$B,'Compilado 2023'!D:D)</f>
        <v>24143.34</v>
      </c>
      <c r="E26" s="35">
        <f>_xlfn.XLOOKUP($B:$B,'Compilado 2023'!$B:$B,'Compilado 2023'!E:E)</f>
        <v>0</v>
      </c>
      <c r="F26" s="18">
        <f>_xlfn.XLOOKUP($B:$B,'Compilado 2023'!$B:$B,'Compilado 2023'!F:F)</f>
        <v>80</v>
      </c>
      <c r="G26" s="18">
        <f>_xlfn.XLOOKUP($B:$B,'Compilado 2023'!$B:$B,'Compilado 2023'!G:G)</f>
        <v>100</v>
      </c>
      <c r="H26" s="35">
        <f t="shared" si="8"/>
        <v>301.79174999999998</v>
      </c>
      <c r="I26" s="19">
        <f t="shared" si="9"/>
        <v>913.53290322580654</v>
      </c>
      <c r="J26" s="122">
        <f t="shared" si="10"/>
        <v>26.428539043034625</v>
      </c>
      <c r="K26" s="18">
        <f>_xlfn.XLOOKUP($B:$B,'Compilado 2023'!$B:$B,'Compilado 2023'!K:K)</f>
        <v>3401</v>
      </c>
      <c r="L26" s="54">
        <f t="shared" si="11"/>
        <v>2.3522493384298737E-2</v>
      </c>
      <c r="M26" s="149"/>
      <c r="N26" s="106">
        <f>_xlfn.XLOOKUP($B:$B,'Compilado 2023'!$B:$B,'Compilado 2023'!N:N)</f>
        <v>565.17999999999995</v>
      </c>
      <c r="O26" s="106">
        <f>_xlfn.XLOOKUP($B:$B,'Compilado 2023'!$B:$B,'Compilado 2023'!O:O)</f>
        <v>274.10000000000002</v>
      </c>
      <c r="P26" s="106">
        <f>_xlfn.XLOOKUP($B:$B,'Compilado 2023'!$B:$B,'Compilado 2023'!P:P)</f>
        <v>0</v>
      </c>
      <c r="Q26" s="106">
        <f>_xlfn.XLOOKUP($B:$B,'Compilado 2023'!$B:$B,'Compilado 2023'!Q:Q)</f>
        <v>51.612903225806448</v>
      </c>
      <c r="R26" s="106">
        <f>_xlfn.XLOOKUP($B:$B,'Compilado 2023'!$B:$B,'Compilado 2023'!R:R)</f>
        <v>2.69</v>
      </c>
      <c r="S26" s="106">
        <f>_xlfn.XLOOKUP($B:$B,'Compilado 2023'!$B:$B,'Compilado 2023'!S:S)</f>
        <v>19.95</v>
      </c>
      <c r="T26" s="106">
        <f>_xlfn.XLOOKUP($B:$B,'Compilado 2023'!$B:$B,'Compilado 2023'!U:U)</f>
        <v>0</v>
      </c>
      <c r="U26" s="106">
        <f>_xlfn.XLOOKUP($B:$B,'Compilado 2023'!$B:$B,'Compilado 2023'!V:V)</f>
        <v>0</v>
      </c>
      <c r="V26" s="57"/>
      <c r="W26" s="106">
        <f>_xlfn.XLOOKUP($B:$B,'Compilado 2023'!$B:$B,'Compilado 2023'!X:X)</f>
        <v>0</v>
      </c>
      <c r="X26" s="106">
        <f>_xlfn.XLOOKUP($B:$B,'Compilado 2023'!$B:$B,'Compilado 2023'!Y:Y)</f>
        <v>0</v>
      </c>
      <c r="Y26" s="106">
        <f>_xlfn.XLOOKUP($B:$B,'Compilado 2023'!$B:$B,'Compilado 2023'!Z:Z)</f>
        <v>0</v>
      </c>
      <c r="Z26" s="38">
        <f>_xlfn.XLOOKUP($B:$B,'Compilado 2023'!$B:$B,'Compilado 2023'!Z:Z)</f>
        <v>0</v>
      </c>
      <c r="AA26" s="107">
        <f>_xlfn.XLOOKUP($B:$B,'Compilado 2023'!$B:$B,'Compilado 2023'!AA:AA)</f>
        <v>0</v>
      </c>
    </row>
    <row r="27" spans="1:27" x14ac:dyDescent="0.2">
      <c r="A27" s="16" t="str">
        <f t="shared" si="0"/>
        <v>segunda-feira</v>
      </c>
      <c r="B27" s="17">
        <f t="shared" si="6"/>
        <v>45131</v>
      </c>
      <c r="C27" s="19">
        <f t="shared" si="7"/>
        <v>58669.01</v>
      </c>
      <c r="D27" s="35">
        <f>_xlfn.XLOOKUP($B:$B,'Compilado 2023'!$B:$B,'Compilado 2023'!D:D)</f>
        <v>58669.01</v>
      </c>
      <c r="E27" s="35">
        <f>_xlfn.XLOOKUP($B:$B,'Compilado 2023'!$B:$B,'Compilado 2023'!E:E)</f>
        <v>0</v>
      </c>
      <c r="F27" s="18">
        <f>_xlfn.XLOOKUP($B:$B,'Compilado 2023'!$B:$B,'Compilado 2023'!F:F)</f>
        <v>246</v>
      </c>
      <c r="G27" s="18">
        <f>_xlfn.XLOOKUP($B:$B,'Compilado 2023'!$B:$B,'Compilado 2023'!G:G)</f>
        <v>325</v>
      </c>
      <c r="H27" s="35">
        <f t="shared" si="8"/>
        <v>238.4919105691057</v>
      </c>
      <c r="I27" s="19">
        <f t="shared" ca="1" si="9"/>
        <v>1319.2629032258064</v>
      </c>
      <c r="J27" s="122">
        <f t="shared" ca="1" si="10"/>
        <v>44.471052628361633</v>
      </c>
      <c r="K27" s="18">
        <f>_xlfn.XLOOKUP($B:$B,'Compilado 2023'!$B:$B,'Compilado 2023'!K:K)</f>
        <v>5839</v>
      </c>
      <c r="L27" s="54">
        <f t="shared" si="11"/>
        <v>4.2130501798253124E-2</v>
      </c>
      <c r="M27" s="149"/>
      <c r="N27" s="106">
        <f>_xlfn.XLOOKUP($B:$B,'Compilado 2023'!$B:$B,'Compilado 2023'!N:N)</f>
        <v>840.42</v>
      </c>
      <c r="O27" s="106">
        <f>_xlfn.XLOOKUP($B:$B,'Compilado 2023'!$B:$B,'Compilado 2023'!O:O)</f>
        <v>406.98</v>
      </c>
      <c r="P27" s="106">
        <f>_xlfn.XLOOKUP($B:$B,'Compilado 2023'!$B:$B,'Compilado 2023'!P:P)</f>
        <v>0</v>
      </c>
      <c r="Q27" s="106">
        <f ca="1">_xlfn.XLOOKUP($B:$B,'Compilado 2023'!$B:$B,'Compilado 2023'!Q:Q)</f>
        <v>51.612903225806448</v>
      </c>
      <c r="R27" s="106">
        <f>_xlfn.XLOOKUP($B:$B,'Compilado 2023'!$B:$B,'Compilado 2023'!R:R)</f>
        <v>0.32</v>
      </c>
      <c r="S27" s="106">
        <f>_xlfn.XLOOKUP($B:$B,'Compilado 2023'!$B:$B,'Compilado 2023'!S:S)</f>
        <v>19.93</v>
      </c>
      <c r="T27" s="106">
        <f>_xlfn.XLOOKUP($B:$B,'Compilado 2023'!$B:$B,'Compilado 2023'!U:U)</f>
        <v>0</v>
      </c>
      <c r="U27" s="106">
        <f>_xlfn.XLOOKUP($B:$B,'Compilado 2023'!$B:$B,'Compilado 2023'!V:V)</f>
        <v>0</v>
      </c>
      <c r="V27" s="57"/>
      <c r="W27" s="106">
        <f>_xlfn.XLOOKUP($B:$B,'Compilado 2023'!$B:$B,'Compilado 2023'!X:X)</f>
        <v>0</v>
      </c>
      <c r="X27" s="106">
        <f>_xlfn.XLOOKUP($B:$B,'Compilado 2023'!$B:$B,'Compilado 2023'!Y:Y)</f>
        <v>0</v>
      </c>
      <c r="Y27" s="106">
        <f>_xlfn.XLOOKUP($B:$B,'Compilado 2023'!$B:$B,'Compilado 2023'!Z:Z)</f>
        <v>0</v>
      </c>
      <c r="Z27" s="38">
        <f>_xlfn.XLOOKUP($B:$B,'Compilado 2023'!$B:$B,'Compilado 2023'!Z:Z)</f>
        <v>0</v>
      </c>
      <c r="AA27" s="107" t="str">
        <f>_xlfn.XLOOKUP($B:$B,'Compilado 2023'!$B:$B,'Compilado 2023'!AA:AA)</f>
        <v>Início VE Jardim Marajoara</v>
      </c>
    </row>
    <row r="28" spans="1:27" x14ac:dyDescent="0.2">
      <c r="A28" s="16" t="str">
        <f t="shared" si="0"/>
        <v>terça-feira</v>
      </c>
      <c r="B28" s="17">
        <f t="shared" si="6"/>
        <v>45132</v>
      </c>
      <c r="C28" s="19">
        <f t="shared" si="7"/>
        <v>69821.009999999995</v>
      </c>
      <c r="D28" s="35">
        <f>_xlfn.XLOOKUP($B:$B,'Compilado 2023'!$B:$B,'Compilado 2023'!D:D)</f>
        <v>69821.009999999995</v>
      </c>
      <c r="E28" s="35">
        <f>_xlfn.XLOOKUP($B:$B,'Compilado 2023'!$B:$B,'Compilado 2023'!E:E)</f>
        <v>0</v>
      </c>
      <c r="F28" s="18">
        <f>_xlfn.XLOOKUP($B:$B,'Compilado 2023'!$B:$B,'Compilado 2023'!F:F)</f>
        <v>283</v>
      </c>
      <c r="G28" s="18">
        <f>_xlfn.XLOOKUP($B:$B,'Compilado 2023'!$B:$B,'Compilado 2023'!G:G)</f>
        <v>360</v>
      </c>
      <c r="H28" s="35">
        <f t="shared" si="8"/>
        <v>246.71734982332154</v>
      </c>
      <c r="I28" s="19">
        <f t="shared" ca="1" si="9"/>
        <v>1250.2429032258065</v>
      </c>
      <c r="J28" s="122">
        <f t="shared" ca="1" si="10"/>
        <v>55.845955869736791</v>
      </c>
      <c r="K28" s="18">
        <f>_xlfn.XLOOKUP($B:$B,'Compilado 2023'!$B:$B,'Compilado 2023'!K:K)</f>
        <v>5278</v>
      </c>
      <c r="L28" s="54">
        <f t="shared" si="11"/>
        <v>5.3618794998105346E-2</v>
      </c>
      <c r="M28" s="149"/>
      <c r="N28" s="106">
        <f>_xlfn.XLOOKUP($B:$B,'Compilado 2023'!$B:$B,'Compilado 2023'!N:N)</f>
        <v>712.09</v>
      </c>
      <c r="O28" s="106">
        <f>_xlfn.XLOOKUP($B:$B,'Compilado 2023'!$B:$B,'Compilado 2023'!O:O)</f>
        <v>485.58</v>
      </c>
      <c r="P28" s="106">
        <f>_xlfn.XLOOKUP($B:$B,'Compilado 2023'!$B:$B,'Compilado 2023'!P:P)</f>
        <v>0</v>
      </c>
      <c r="Q28" s="106">
        <f ca="1">_xlfn.XLOOKUP($B:$B,'Compilado 2023'!$B:$B,'Compilado 2023'!Q:Q)</f>
        <v>51.612903225806448</v>
      </c>
      <c r="R28" s="106">
        <f>_xlfn.XLOOKUP($B:$B,'Compilado 2023'!$B:$B,'Compilado 2023'!R:R)</f>
        <v>0.96</v>
      </c>
      <c r="S28" s="106">
        <f>_xlfn.XLOOKUP($B:$B,'Compilado 2023'!$B:$B,'Compilado 2023'!S:S)</f>
        <v>0</v>
      </c>
      <c r="T28" s="106">
        <f>_xlfn.XLOOKUP($B:$B,'Compilado 2023'!$B:$B,'Compilado 2023'!U:U)</f>
        <v>0</v>
      </c>
      <c r="U28" s="106">
        <f>_xlfn.XLOOKUP($B:$B,'Compilado 2023'!$B:$B,'Compilado 2023'!V:V)</f>
        <v>0</v>
      </c>
      <c r="V28" s="57"/>
      <c r="W28" s="106">
        <f>_xlfn.XLOOKUP($B:$B,'Compilado 2023'!$B:$B,'Compilado 2023'!X:X)</f>
        <v>0</v>
      </c>
      <c r="X28" s="106">
        <f>_xlfn.XLOOKUP($B:$B,'Compilado 2023'!$B:$B,'Compilado 2023'!Y:Y)</f>
        <v>0</v>
      </c>
      <c r="Y28" s="106">
        <f>_xlfn.XLOOKUP($B:$B,'Compilado 2023'!$B:$B,'Compilado 2023'!Z:Z)</f>
        <v>0</v>
      </c>
      <c r="Z28" s="38">
        <f>_xlfn.XLOOKUP($B:$B,'Compilado 2023'!$B:$B,'Compilado 2023'!Z:Z)</f>
        <v>0</v>
      </c>
      <c r="AA28" s="107">
        <f>_xlfn.XLOOKUP($B:$B,'Compilado 2023'!$B:$B,'Compilado 2023'!AA:AA)</f>
        <v>0</v>
      </c>
    </row>
    <row r="29" spans="1:27" s="2" customFormat="1" x14ac:dyDescent="0.2">
      <c r="A29" s="16" t="str">
        <f t="shared" si="0"/>
        <v>quarta-feira</v>
      </c>
      <c r="B29" s="17">
        <f t="shared" si="6"/>
        <v>45133</v>
      </c>
      <c r="C29" s="19">
        <f t="shared" si="7"/>
        <v>38679.120000000003</v>
      </c>
      <c r="D29" s="35">
        <f>_xlfn.XLOOKUP($B:$B,'Compilado 2023'!$B:$B,'Compilado 2023'!D:D)</f>
        <v>38679.120000000003</v>
      </c>
      <c r="E29" s="35">
        <f>_xlfn.XLOOKUP($B:$B,'Compilado 2023'!$B:$B,'Compilado 2023'!E:E)</f>
        <v>0</v>
      </c>
      <c r="F29" s="18">
        <f>_xlfn.XLOOKUP($B:$B,'Compilado 2023'!$B:$B,'Compilado 2023'!F:F)</f>
        <v>139</v>
      </c>
      <c r="G29" s="18">
        <f>_xlfn.XLOOKUP($B:$B,'Compilado 2023'!$B:$B,'Compilado 2023'!G:G)</f>
        <v>187</v>
      </c>
      <c r="H29" s="35">
        <f t="shared" si="8"/>
        <v>278.26705035971224</v>
      </c>
      <c r="I29" s="19">
        <f t="shared" ca="1" si="9"/>
        <v>1314.4929032258065</v>
      </c>
      <c r="J29" s="122">
        <f t="shared" ca="1" si="10"/>
        <v>29.425126529842984</v>
      </c>
      <c r="K29" s="18">
        <f>_xlfn.XLOOKUP($B:$B,'Compilado 2023'!$B:$B,'Compilado 2023'!K:K)</f>
        <v>4620</v>
      </c>
      <c r="L29" s="54">
        <f t="shared" si="11"/>
        <v>3.0086580086580085E-2</v>
      </c>
      <c r="M29" s="149"/>
      <c r="N29" s="106">
        <f>_xlfn.XLOOKUP($B:$B,'Compilado 2023'!$B:$B,'Compilado 2023'!N:N)</f>
        <v>726.96</v>
      </c>
      <c r="O29" s="106">
        <f>_xlfn.XLOOKUP($B:$B,'Compilado 2023'!$B:$B,'Compilado 2023'!O:O)</f>
        <v>534.07000000000005</v>
      </c>
      <c r="P29" s="106">
        <f>_xlfn.XLOOKUP($B:$B,'Compilado 2023'!$B:$B,'Compilado 2023'!P:P)</f>
        <v>0</v>
      </c>
      <c r="Q29" s="106">
        <f ca="1">_xlfn.XLOOKUP($B:$B,'Compilado 2023'!$B:$B,'Compilado 2023'!Q:Q)</f>
        <v>51.612903225806448</v>
      </c>
      <c r="R29" s="106">
        <f>_xlfn.XLOOKUP($B:$B,'Compilado 2023'!$B:$B,'Compilado 2023'!R:R)</f>
        <v>1.85</v>
      </c>
      <c r="S29" s="106">
        <f>_xlfn.XLOOKUP($B:$B,'Compilado 2023'!$B:$B,'Compilado 2023'!S:S)</f>
        <v>0</v>
      </c>
      <c r="T29" s="106">
        <f>_xlfn.XLOOKUP($B:$B,'Compilado 2023'!$B:$B,'Compilado 2023'!U:U)</f>
        <v>0</v>
      </c>
      <c r="U29" s="106">
        <f>_xlfn.XLOOKUP($B:$B,'Compilado 2023'!$B:$B,'Compilado 2023'!V:V)</f>
        <v>0</v>
      </c>
      <c r="V29" s="57"/>
      <c r="W29" s="106">
        <f>_xlfn.XLOOKUP($B:$B,'Compilado 2023'!$B:$B,'Compilado 2023'!X:X)</f>
        <v>0</v>
      </c>
      <c r="X29" s="106">
        <f>_xlfn.XLOOKUP($B:$B,'Compilado 2023'!$B:$B,'Compilado 2023'!Y:Y)</f>
        <v>0</v>
      </c>
      <c r="Y29" s="106">
        <f>_xlfn.XLOOKUP($B:$B,'Compilado 2023'!$B:$B,'Compilado 2023'!Z:Z)</f>
        <v>0</v>
      </c>
      <c r="Z29" s="38">
        <f>_xlfn.XLOOKUP($B:$B,'Compilado 2023'!$B:$B,'Compilado 2023'!Z:Z)</f>
        <v>0</v>
      </c>
      <c r="AA29" s="107" t="str">
        <f>_xlfn.XLOOKUP($B:$B,'Compilado 2023'!$B:$B,'Compilado 2023'!AA:AA)</f>
        <v>Fim VE Jardim Marajoara| Início VE Ribeirão Shopping |Instabilidade no site</v>
      </c>
    </row>
    <row r="30" spans="1:27" s="2" customFormat="1" x14ac:dyDescent="0.2">
      <c r="A30" s="16" t="str">
        <f t="shared" si="0"/>
        <v>quinta-feira</v>
      </c>
      <c r="B30" s="17">
        <f t="shared" si="6"/>
        <v>45134</v>
      </c>
      <c r="C30" s="19">
        <f t="shared" si="7"/>
        <v>55341.440000000002</v>
      </c>
      <c r="D30" s="35">
        <f>_xlfn.XLOOKUP($B:$B,'Compilado 2023'!$B:$B,'Compilado 2023'!D:D)</f>
        <v>55341.440000000002</v>
      </c>
      <c r="E30" s="35">
        <f>_xlfn.XLOOKUP($B:$B,'Compilado 2023'!$B:$B,'Compilado 2023'!E:E)</f>
        <v>0</v>
      </c>
      <c r="F30" s="18">
        <f>_xlfn.XLOOKUP($B:$B,'Compilado 2023'!$B:$B,'Compilado 2023'!F:F)</f>
        <v>228</v>
      </c>
      <c r="G30" s="18">
        <f>_xlfn.XLOOKUP($B:$B,'Compilado 2023'!$B:$B,'Compilado 2023'!G:G)</f>
        <v>274</v>
      </c>
      <c r="H30" s="35">
        <f t="shared" si="8"/>
        <v>242.72561403508772</v>
      </c>
      <c r="I30" s="19">
        <f t="shared" ca="1" si="9"/>
        <v>1130.2129032258065</v>
      </c>
      <c r="J30" s="122">
        <f t="shared" ca="1" si="10"/>
        <v>48.965500077062273</v>
      </c>
      <c r="K30" s="18">
        <f>_xlfn.XLOOKUP($B:$B,'Compilado 2023'!$B:$B,'Compilado 2023'!K:K)</f>
        <v>4169</v>
      </c>
      <c r="L30" s="54">
        <f t="shared" si="11"/>
        <v>5.4689373950587671E-2</v>
      </c>
      <c r="M30" s="149"/>
      <c r="N30" s="106">
        <f>_xlfn.XLOOKUP($B:$B,'Compilado 2023'!$B:$B,'Compilado 2023'!N:N)</f>
        <v>711.19</v>
      </c>
      <c r="O30" s="106">
        <f>_xlfn.XLOOKUP($B:$B,'Compilado 2023'!$B:$B,'Compilado 2023'!O:O)</f>
        <v>366.41</v>
      </c>
      <c r="P30" s="106">
        <f>_xlfn.XLOOKUP($B:$B,'Compilado 2023'!$B:$B,'Compilado 2023'!P:P)</f>
        <v>0</v>
      </c>
      <c r="Q30" s="106">
        <f ca="1">_xlfn.XLOOKUP($B:$B,'Compilado 2023'!$B:$B,'Compilado 2023'!Q:Q)</f>
        <v>51.612903225806448</v>
      </c>
      <c r="R30" s="106">
        <f>_xlfn.XLOOKUP($B:$B,'Compilado 2023'!$B:$B,'Compilado 2023'!R:R)</f>
        <v>1</v>
      </c>
      <c r="S30" s="106">
        <f>_xlfn.XLOOKUP($B:$B,'Compilado 2023'!$B:$B,'Compilado 2023'!S:S)</f>
        <v>0</v>
      </c>
      <c r="T30" s="106">
        <f>_xlfn.XLOOKUP($B:$B,'Compilado 2023'!$B:$B,'Compilado 2023'!U:U)</f>
        <v>0</v>
      </c>
      <c r="U30" s="106">
        <f>_xlfn.XLOOKUP($B:$B,'Compilado 2023'!$B:$B,'Compilado 2023'!V:V)</f>
        <v>0</v>
      </c>
      <c r="V30" s="57"/>
      <c r="W30" s="106">
        <f>_xlfn.XLOOKUP($B:$B,'Compilado 2023'!$B:$B,'Compilado 2023'!X:X)</f>
        <v>0</v>
      </c>
      <c r="X30" s="106">
        <f>_xlfn.XLOOKUP($B:$B,'Compilado 2023'!$B:$B,'Compilado 2023'!Y:Y)</f>
        <v>0</v>
      </c>
      <c r="Y30" s="106">
        <f>_xlfn.XLOOKUP($B:$B,'Compilado 2023'!$B:$B,'Compilado 2023'!Z:Z)</f>
        <v>0</v>
      </c>
      <c r="Z30" s="38">
        <f>_xlfn.XLOOKUP($B:$B,'Compilado 2023'!$B:$B,'Compilado 2023'!Z:Z)</f>
        <v>0</v>
      </c>
      <c r="AA30" s="107" t="str">
        <f>_xlfn.XLOOKUP($B:$B,'Compilado 2023'!$B:$B,'Compilado 2023'!AA:AA)</f>
        <v>Instabilidade no site</v>
      </c>
    </row>
    <row r="31" spans="1:27" s="2" customFormat="1" x14ac:dyDescent="0.2">
      <c r="A31" s="16" t="str">
        <f t="shared" si="0"/>
        <v>sexta-feira</v>
      </c>
      <c r="B31" s="17">
        <f t="shared" si="6"/>
        <v>45135</v>
      </c>
      <c r="C31" s="19">
        <f t="shared" si="7"/>
        <v>56585.719999999994</v>
      </c>
      <c r="D31" s="35">
        <f>_xlfn.XLOOKUP($B:$B,'Compilado 2023'!$B:$B,'Compilado 2023'!D:D)</f>
        <v>56559.63</v>
      </c>
      <c r="E31" s="35">
        <f>_xlfn.XLOOKUP($B:$B,'Compilado 2023'!$B:$B,'Compilado 2023'!E:E)</f>
        <v>26.09</v>
      </c>
      <c r="F31" s="18">
        <f>_xlfn.XLOOKUP($B:$B,'Compilado 2023'!$B:$B,'Compilado 2023'!F:F)</f>
        <v>218</v>
      </c>
      <c r="G31" s="18">
        <f>_xlfn.XLOOKUP($B:$B,'Compilado 2023'!$B:$B,'Compilado 2023'!G:G)</f>
        <v>245</v>
      </c>
      <c r="H31" s="35">
        <f t="shared" si="8"/>
        <v>259.56752293577978</v>
      </c>
      <c r="I31" s="19">
        <f t="shared" ca="1" si="9"/>
        <v>1091.9329032258063</v>
      </c>
      <c r="J31" s="122">
        <f t="shared" ca="1" si="10"/>
        <v>51.82160903186773</v>
      </c>
      <c r="K31" s="18">
        <f>_xlfn.XLOOKUP($B:$B,'Compilado 2023'!$B:$B,'Compilado 2023'!K:K)</f>
        <v>0</v>
      </c>
      <c r="L31" s="54">
        <f t="shared" si="11"/>
        <v>0</v>
      </c>
      <c r="M31" s="149"/>
      <c r="N31" s="106">
        <f>_xlfn.XLOOKUP($B:$B,'Compilado 2023'!$B:$B,'Compilado 2023'!N:N)</f>
        <v>703.64</v>
      </c>
      <c r="O31" s="106">
        <f>_xlfn.XLOOKUP($B:$B,'Compilado 2023'!$B:$B,'Compilado 2023'!O:O)</f>
        <v>335.52</v>
      </c>
      <c r="P31" s="106">
        <f>_xlfn.XLOOKUP($B:$B,'Compilado 2023'!$B:$B,'Compilado 2023'!P:P)</f>
        <v>0</v>
      </c>
      <c r="Q31" s="106">
        <f ca="1">_xlfn.XLOOKUP($B:$B,'Compilado 2023'!$B:$B,'Compilado 2023'!Q:Q)</f>
        <v>51.612903225806448</v>
      </c>
      <c r="R31" s="106">
        <f>_xlfn.XLOOKUP($B:$B,'Compilado 2023'!$B:$B,'Compilado 2023'!R:R)</f>
        <v>1.1599999999999999</v>
      </c>
      <c r="S31" s="106">
        <f>_xlfn.XLOOKUP($B:$B,'Compilado 2023'!$B:$B,'Compilado 2023'!S:S)</f>
        <v>0</v>
      </c>
      <c r="T31" s="106">
        <f>_xlfn.XLOOKUP($B:$B,'Compilado 2023'!$B:$B,'Compilado 2023'!U:U)</f>
        <v>0</v>
      </c>
      <c r="U31" s="106">
        <f>_xlfn.XLOOKUP($B:$B,'Compilado 2023'!$B:$B,'Compilado 2023'!V:V)</f>
        <v>0</v>
      </c>
      <c r="V31" s="57"/>
      <c r="W31" s="106">
        <f>_xlfn.XLOOKUP($B:$B,'Compilado 2023'!$B:$B,'Compilado 2023'!X:X)</f>
        <v>0</v>
      </c>
      <c r="X31" s="106">
        <f>_xlfn.XLOOKUP($B:$B,'Compilado 2023'!$B:$B,'Compilado 2023'!Y:Y)</f>
        <v>0</v>
      </c>
      <c r="Y31" s="106">
        <f>_xlfn.XLOOKUP($B:$B,'Compilado 2023'!$B:$B,'Compilado 2023'!Z:Z)</f>
        <v>0</v>
      </c>
      <c r="Z31" s="38">
        <f>_xlfn.XLOOKUP($B:$B,'Compilado 2023'!$B:$B,'Compilado 2023'!Z:Z)</f>
        <v>0</v>
      </c>
      <c r="AA31" s="107">
        <f>_xlfn.XLOOKUP($B:$B,'Compilado 2023'!$B:$B,'Compilado 2023'!AA:AA)</f>
        <v>0</v>
      </c>
    </row>
    <row r="32" spans="1:27" s="2" customFormat="1" x14ac:dyDescent="0.2">
      <c r="A32" s="16" t="str">
        <f t="shared" si="0"/>
        <v>sábado</v>
      </c>
      <c r="B32" s="17">
        <f t="shared" si="6"/>
        <v>45136</v>
      </c>
      <c r="C32" s="19">
        <f t="shared" si="7"/>
        <v>43999.29</v>
      </c>
      <c r="D32" s="35">
        <f>_xlfn.XLOOKUP($B:$B,'Compilado 2023'!$B:$B,'Compilado 2023'!D:D)</f>
        <v>43999.29</v>
      </c>
      <c r="E32" s="35">
        <f>_xlfn.XLOOKUP($B:$B,'Compilado 2023'!$B:$B,'Compilado 2023'!E:E)</f>
        <v>0</v>
      </c>
      <c r="F32" s="18">
        <f>_xlfn.XLOOKUP($B:$B,'Compilado 2023'!$B:$B,'Compilado 2023'!F:F)</f>
        <v>164</v>
      </c>
      <c r="G32" s="18">
        <f>_xlfn.XLOOKUP($B:$B,'Compilado 2023'!$B:$B,'Compilado 2023'!G:G)</f>
        <v>198</v>
      </c>
      <c r="H32" s="35">
        <f t="shared" si="8"/>
        <v>268.28835365853661</v>
      </c>
      <c r="I32" s="19">
        <f t="shared" ca="1" si="9"/>
        <v>854.5529032258064</v>
      </c>
      <c r="J32" s="122">
        <f t="shared" ca="1" si="10"/>
        <v>51.488082053093983</v>
      </c>
      <c r="K32" s="18">
        <f>_xlfn.XLOOKUP($B:$B,'Compilado 2023'!$B:$B,'Compilado 2023'!K:K)</f>
        <v>0</v>
      </c>
      <c r="L32" s="54">
        <f t="shared" si="11"/>
        <v>0</v>
      </c>
      <c r="M32" s="149"/>
      <c r="N32" s="106">
        <f>_xlfn.XLOOKUP($B:$B,'Compilado 2023'!$B:$B,'Compilado 2023'!N:N)</f>
        <v>471.07</v>
      </c>
      <c r="O32" s="106">
        <f>_xlfn.XLOOKUP($B:$B,'Compilado 2023'!$B:$B,'Compilado 2023'!O:O)</f>
        <v>330.82</v>
      </c>
      <c r="P32" s="106">
        <f>_xlfn.XLOOKUP($B:$B,'Compilado 2023'!$B:$B,'Compilado 2023'!P:P)</f>
        <v>0</v>
      </c>
      <c r="Q32" s="106">
        <f ca="1">_xlfn.XLOOKUP($B:$B,'Compilado 2023'!$B:$B,'Compilado 2023'!Q:Q)</f>
        <v>51.612903225806448</v>
      </c>
      <c r="R32" s="106">
        <f>_xlfn.XLOOKUP($B:$B,'Compilado 2023'!$B:$B,'Compilado 2023'!R:R)</f>
        <v>1.05</v>
      </c>
      <c r="S32" s="106">
        <f>_xlfn.XLOOKUP($B:$B,'Compilado 2023'!$B:$B,'Compilado 2023'!S:S)</f>
        <v>0</v>
      </c>
      <c r="T32" s="106">
        <f>_xlfn.XLOOKUP($B:$B,'Compilado 2023'!$B:$B,'Compilado 2023'!U:U)</f>
        <v>0</v>
      </c>
      <c r="U32" s="106">
        <f>_xlfn.XLOOKUP($B:$B,'Compilado 2023'!$B:$B,'Compilado 2023'!V:V)</f>
        <v>0</v>
      </c>
      <c r="V32" s="57"/>
      <c r="W32" s="106">
        <f>_xlfn.XLOOKUP($B:$B,'Compilado 2023'!$B:$B,'Compilado 2023'!X:X)</f>
        <v>0</v>
      </c>
      <c r="X32" s="106">
        <f>_xlfn.XLOOKUP($B:$B,'Compilado 2023'!$B:$B,'Compilado 2023'!Y:Y)</f>
        <v>0</v>
      </c>
      <c r="Y32" s="106">
        <f>_xlfn.XLOOKUP($B:$B,'Compilado 2023'!$B:$B,'Compilado 2023'!Z:Z)</f>
        <v>0</v>
      </c>
      <c r="Z32" s="38">
        <f>_xlfn.XLOOKUP($B:$B,'Compilado 2023'!$B:$B,'Compilado 2023'!Z:Z)</f>
        <v>0</v>
      </c>
      <c r="AA32" s="107">
        <f>_xlfn.XLOOKUP($B:$B,'Compilado 2023'!$B:$B,'Compilado 2023'!AA:AA)</f>
        <v>0</v>
      </c>
    </row>
    <row r="33" spans="1:27" s="2" customFormat="1" x14ac:dyDescent="0.2">
      <c r="A33" s="16" t="str">
        <f t="shared" si="0"/>
        <v>domingo</v>
      </c>
      <c r="B33" s="17">
        <f t="shared" si="6"/>
        <v>45137</v>
      </c>
      <c r="C33" s="19">
        <f t="shared" si="7"/>
        <v>39462.46</v>
      </c>
      <c r="D33" s="35">
        <f>_xlfn.XLOOKUP($B:$B,'Compilado 2023'!$B:$B,'Compilado 2023'!D:D)</f>
        <v>39462.46</v>
      </c>
      <c r="E33" s="35">
        <f>_xlfn.XLOOKUP($B:$B,'Compilado 2023'!$B:$B,'Compilado 2023'!E:E)</f>
        <v>0</v>
      </c>
      <c r="F33" s="18">
        <f>_xlfn.XLOOKUP($B:$B,'Compilado 2023'!$B:$B,'Compilado 2023'!F:F)</f>
        <v>147</v>
      </c>
      <c r="G33" s="18">
        <f>_xlfn.XLOOKUP($B:$B,'Compilado 2023'!$B:$B,'Compilado 2023'!G:G)</f>
        <v>187</v>
      </c>
      <c r="H33" s="35">
        <f t="shared" si="8"/>
        <v>268.45210884353742</v>
      </c>
      <c r="I33" s="19">
        <f t="shared" ca="1" si="9"/>
        <v>940.27290322580654</v>
      </c>
      <c r="J33" s="122">
        <f t="shared" ca="1" si="10"/>
        <v>41.969155831903294</v>
      </c>
      <c r="K33" s="18">
        <f>_xlfn.XLOOKUP($B:$B,'Compilado 2023'!$B:$B,'Compilado 2023'!K:K)</f>
        <v>0</v>
      </c>
      <c r="L33" s="54">
        <f t="shared" si="11"/>
        <v>0</v>
      </c>
      <c r="M33" s="149"/>
      <c r="N33" s="106">
        <f>_xlfn.XLOOKUP($B:$B,'Compilado 2023'!$B:$B,'Compilado 2023'!N:N)</f>
        <v>531.39</v>
      </c>
      <c r="O33" s="106">
        <f>_xlfn.XLOOKUP($B:$B,'Compilado 2023'!$B:$B,'Compilado 2023'!O:O)</f>
        <v>352.29</v>
      </c>
      <c r="P33" s="106">
        <f>_xlfn.XLOOKUP($B:$B,'Compilado 2023'!$B:$B,'Compilado 2023'!P:P)</f>
        <v>0</v>
      </c>
      <c r="Q33" s="106">
        <f ca="1">_xlfn.XLOOKUP($B:$B,'Compilado 2023'!$B:$B,'Compilado 2023'!Q:Q)</f>
        <v>51.612903225806448</v>
      </c>
      <c r="R33" s="106">
        <f>_xlfn.XLOOKUP($B:$B,'Compilado 2023'!$B:$B,'Compilado 2023'!R:R)</f>
        <v>4.9800000000000004</v>
      </c>
      <c r="S33" s="106">
        <f>_xlfn.XLOOKUP($B:$B,'Compilado 2023'!$B:$B,'Compilado 2023'!S:S)</f>
        <v>0</v>
      </c>
      <c r="T33" s="106">
        <f>_xlfn.XLOOKUP($B:$B,'Compilado 2023'!$B:$B,'Compilado 2023'!U:U)</f>
        <v>0</v>
      </c>
      <c r="U33" s="106">
        <f>_xlfn.XLOOKUP($B:$B,'Compilado 2023'!$B:$B,'Compilado 2023'!V:V)</f>
        <v>0</v>
      </c>
      <c r="V33" s="57"/>
      <c r="W33" s="106">
        <f>_xlfn.XLOOKUP($B:$B,'Compilado 2023'!$B:$B,'Compilado 2023'!X:X)</f>
        <v>0</v>
      </c>
      <c r="X33" s="106">
        <f>_xlfn.XLOOKUP($B:$B,'Compilado 2023'!$B:$B,'Compilado 2023'!Y:Y)</f>
        <v>0</v>
      </c>
      <c r="Y33" s="106">
        <f>_xlfn.XLOOKUP($B:$B,'Compilado 2023'!$B:$B,'Compilado 2023'!Z:Z)</f>
        <v>0</v>
      </c>
      <c r="Z33" s="38">
        <f>_xlfn.XLOOKUP($B:$B,'Compilado 2023'!$B:$B,'Compilado 2023'!Z:Z)</f>
        <v>0</v>
      </c>
      <c r="AA33" s="107">
        <f>_xlfn.XLOOKUP($B:$B,'Compilado 2023'!$B:$B,'Compilado 2023'!AA:AA)</f>
        <v>0</v>
      </c>
    </row>
    <row r="34" spans="1:27" x14ac:dyDescent="0.2">
      <c r="A34" s="16" t="str">
        <f t="shared" si="0"/>
        <v>segunda-feira</v>
      </c>
      <c r="B34" s="17">
        <f t="shared" si="6"/>
        <v>45138</v>
      </c>
      <c r="C34" s="19">
        <f t="shared" si="7"/>
        <v>51227.97</v>
      </c>
      <c r="D34" s="35">
        <f>_xlfn.XLOOKUP($B:$B,'Compilado 2023'!$B:$B,'Compilado 2023'!D:D)</f>
        <v>51227.97</v>
      </c>
      <c r="E34" s="35">
        <f>_xlfn.XLOOKUP($B:$B,'Compilado 2023'!$B:$B,'Compilado 2023'!E:E)</f>
        <v>0</v>
      </c>
      <c r="F34" s="18">
        <f>_xlfn.XLOOKUP($B:$B,'Compilado 2023'!$B:$B,'Compilado 2023'!F:F)</f>
        <v>182</v>
      </c>
      <c r="G34" s="18">
        <f>_xlfn.XLOOKUP($B:$B,'Compilado 2023'!$B:$B,'Compilado 2023'!G:G)</f>
        <v>212</v>
      </c>
      <c r="H34" s="35">
        <f t="shared" si="8"/>
        <v>281.47236263736266</v>
      </c>
      <c r="I34" s="19">
        <f t="shared" ca="1" si="9"/>
        <v>1043.8829032258066</v>
      </c>
      <c r="J34" s="122">
        <f t="shared" ca="1" si="10"/>
        <v>49.074441052435432</v>
      </c>
      <c r="K34" s="18">
        <f>_xlfn.XLOOKUP($B:$B,'Compilado 2023'!$B:$B,'Compilado 2023'!K:K)</f>
        <v>0</v>
      </c>
      <c r="L34" s="54">
        <f t="shared" si="11"/>
        <v>0</v>
      </c>
      <c r="M34" s="149"/>
      <c r="N34" s="106">
        <f>_xlfn.XLOOKUP($B:$B,'Compilado 2023'!$B:$B,'Compilado 2023'!N:N)</f>
        <v>782.9</v>
      </c>
      <c r="O34" s="106">
        <f>_xlfn.XLOOKUP($B:$B,'Compilado 2023'!$B:$B,'Compilado 2023'!O:O)</f>
        <v>207.22</v>
      </c>
      <c r="P34" s="106">
        <f>_xlfn.XLOOKUP($B:$B,'Compilado 2023'!$B:$B,'Compilado 2023'!P:P)</f>
        <v>0</v>
      </c>
      <c r="Q34" s="106">
        <f ca="1">_xlfn.XLOOKUP($B:$B,'Compilado 2023'!$B:$B,'Compilado 2023'!Q:Q)</f>
        <v>51.612903225806448</v>
      </c>
      <c r="R34" s="106">
        <f>_xlfn.XLOOKUP($B:$B,'Compilado 2023'!$B:$B,'Compilado 2023'!R:R)</f>
        <v>2.15</v>
      </c>
      <c r="S34" s="106">
        <f>_xlfn.XLOOKUP($B:$B,'Compilado 2023'!$B:$B,'Compilado 2023'!S:S)</f>
        <v>0</v>
      </c>
      <c r="T34" s="106">
        <f>_xlfn.XLOOKUP($B:$B,'Compilado 2023'!$B:$B,'Compilado 2023'!U:U)</f>
        <v>0</v>
      </c>
      <c r="U34" s="106">
        <f>_xlfn.XLOOKUP($B:$B,'Compilado 2023'!$B:$B,'Compilado 2023'!V:V)</f>
        <v>0</v>
      </c>
      <c r="V34" s="57"/>
      <c r="W34" s="106">
        <f>_xlfn.XLOOKUP($B:$B,'Compilado 2023'!$B:$B,'Compilado 2023'!X:X)</f>
        <v>0</v>
      </c>
      <c r="X34" s="106">
        <f>_xlfn.XLOOKUP($B:$B,'Compilado 2023'!$B:$B,'Compilado 2023'!Y:Y)</f>
        <v>0</v>
      </c>
      <c r="Y34" s="106">
        <f>_xlfn.XLOOKUP($B:$B,'Compilado 2023'!$B:$B,'Compilado 2023'!Z:Z)</f>
        <v>0</v>
      </c>
      <c r="Z34" s="38">
        <f>_xlfn.XLOOKUP($B:$B,'Compilado 2023'!$B:$B,'Compilado 2023'!Z:Z)</f>
        <v>0</v>
      </c>
      <c r="AA34" s="107" t="str">
        <f>_xlfn.XLOOKUP($B:$B,'Compilado 2023'!$B:$B,'Compilado 2023'!AA:AA)</f>
        <v xml:space="preserve">Site ficou caiu 3x no dia ficando fora por aproximanete 30min cada vez que caiu. </v>
      </c>
    </row>
    <row r="35" spans="1:27" s="61" customFormat="1" ht="12" x14ac:dyDescent="0.2">
      <c r="A35" s="90" t="s">
        <v>186</v>
      </c>
      <c r="B35" s="91">
        <f>COUNTA(B4:B33)</f>
        <v>30</v>
      </c>
      <c r="C35" s="92">
        <f>SUM(C4:C34)</f>
        <v>1540566.8000000003</v>
      </c>
      <c r="D35" s="92">
        <f>SUM(D4:D34)</f>
        <v>1540385.8400000003</v>
      </c>
      <c r="E35" s="92">
        <f>SUM(E4:E34)</f>
        <v>180.96</v>
      </c>
      <c r="F35" s="93">
        <f>SUM(F4:F34)</f>
        <v>5662</v>
      </c>
      <c r="G35" s="93">
        <f>SUM(G4:G34)</f>
        <v>6642</v>
      </c>
      <c r="H35" s="92">
        <f>C35/F35</f>
        <v>272.08880254327096</v>
      </c>
      <c r="I35" s="92">
        <f ca="1">SUM(I4:I34)</f>
        <v>34923.589999999997</v>
      </c>
      <c r="J35" s="123">
        <f ca="1">C35/I35</f>
        <v>44.112498171007061</v>
      </c>
      <c r="K35" s="93">
        <f>SUM(K4:K34)</f>
        <v>129552</v>
      </c>
      <c r="L35" s="94">
        <f>IFERROR(F35/K35,0)</f>
        <v>4.3704458441398052E-2</v>
      </c>
      <c r="M35" s="95"/>
      <c r="N35" s="92">
        <f t="shared" ref="N35:U35" si="17">SUM(N4:N34)</f>
        <v>23161.669999999991</v>
      </c>
      <c r="O35" s="92">
        <f>SUM(O4:O34)</f>
        <v>9750.7000000000007</v>
      </c>
      <c r="P35" s="92">
        <f t="shared" si="17"/>
        <v>0</v>
      </c>
      <c r="Q35" s="92">
        <f t="shared" ca="1" si="17"/>
        <v>1599.9999999999989</v>
      </c>
      <c r="R35" s="92">
        <f t="shared" si="17"/>
        <v>70.089999999999989</v>
      </c>
      <c r="S35" s="92">
        <f>SUM(S4:S34)</f>
        <v>341.13000000000005</v>
      </c>
      <c r="T35" s="92">
        <f t="shared" si="17"/>
        <v>0</v>
      </c>
      <c r="U35" s="92">
        <f t="shared" si="17"/>
        <v>0</v>
      </c>
      <c r="V35" s="97">
        <f t="shared" ref="V35:Y35" si="18">SUM(V4:V33)</f>
        <v>0</v>
      </c>
      <c r="W35" s="96">
        <f t="shared" si="18"/>
        <v>0</v>
      </c>
      <c r="X35" s="92">
        <f t="shared" si="18"/>
        <v>0</v>
      </c>
      <c r="Y35" s="92">
        <f t="shared" si="18"/>
        <v>0</v>
      </c>
      <c r="Z35" s="95"/>
      <c r="AA35" s="98"/>
    </row>
    <row r="36" spans="1:27" ht="6.75" customHeight="1" x14ac:dyDescent="0.2">
      <c r="M36" s="150"/>
    </row>
    <row r="37" spans="1:27" s="34" customFormat="1" ht="15.75" x14ac:dyDescent="0.3">
      <c r="A37" s="99" t="str">
        <f>JUN!A38</f>
        <v>Média Junho 2023</v>
      </c>
      <c r="B37" s="100"/>
      <c r="C37" s="101">
        <f>JUN!C38</f>
        <v>84241.98533333333</v>
      </c>
      <c r="D37" s="101">
        <f>JUN!D38</f>
        <v>84746.618965517249</v>
      </c>
      <c r="E37" s="101">
        <f>JUN!E38</f>
        <v>7.3568965517241391</v>
      </c>
      <c r="F37" s="102">
        <f>JUN!F38</f>
        <v>294.06896551724139</v>
      </c>
      <c r="G37" s="102">
        <f>JUN!G38</f>
        <v>352.48275862068965</v>
      </c>
      <c r="H37" s="103">
        <f>JUN!H38</f>
        <v>288.302482318047</v>
      </c>
      <c r="I37" s="101">
        <f>JUN!I38</f>
        <v>1210.2867816091953</v>
      </c>
      <c r="J37" s="124">
        <f>JUN!J38</f>
        <v>69.604978434388357</v>
      </c>
      <c r="K37" s="104">
        <f>JUN!K38</f>
        <v>5185.2758620689656</v>
      </c>
      <c r="L37" s="105">
        <f>JUN!L38</f>
        <v>5.6712308725635589E-2</v>
      </c>
      <c r="M37" s="150"/>
      <c r="N37"/>
      <c r="O37"/>
      <c r="P37"/>
      <c r="Q37"/>
      <c r="R37"/>
      <c r="S37"/>
      <c r="T37"/>
      <c r="U37"/>
      <c r="V37"/>
      <c r="W37"/>
      <c r="X37"/>
      <c r="Y37"/>
      <c r="Z37"/>
      <c r="AA37"/>
    </row>
    <row r="38" spans="1:27" s="34" customFormat="1" ht="15.75" x14ac:dyDescent="0.3">
      <c r="A38" s="99" t="str">
        <f>_xlfn.CONCAT("Média ",B2)</f>
        <v>Média Julho 2023</v>
      </c>
      <c r="B38" s="100"/>
      <c r="C38" s="101">
        <f>AVERAGE(C4:C34)</f>
        <v>49695.703225806457</v>
      </c>
      <c r="D38" s="101">
        <f>AVERAGE(D5:D34)</f>
        <v>49935.390333333329</v>
      </c>
      <c r="E38" s="101">
        <f>AVERAGE(E5:E34)</f>
        <v>5.2829999999999995</v>
      </c>
      <c r="F38" s="102">
        <f>AVERAGE(F5:F34)</f>
        <v>183.5</v>
      </c>
      <c r="G38" s="102">
        <f>AVERAGE(G5:G34)</f>
        <v>215.5</v>
      </c>
      <c r="H38" s="103">
        <f>H35</f>
        <v>272.08880254327096</v>
      </c>
      <c r="I38" s="101">
        <f ca="1">AVERAGE(I5:I34)</f>
        <v>1133.0975698924731</v>
      </c>
      <c r="J38" s="124">
        <f ca="1">IFERROR(C38/I38,0)</f>
        <v>43.858273591145732</v>
      </c>
      <c r="K38" s="104">
        <f>AVERAGE(K5:K34)</f>
        <v>4187.5</v>
      </c>
      <c r="L38" s="105">
        <f>IFERROR(F38/K38,0)</f>
        <v>4.3820895522388062E-2</v>
      </c>
      <c r="M38" s="150"/>
      <c r="N38"/>
      <c r="O38"/>
      <c r="P38"/>
      <c r="Q38"/>
      <c r="R38"/>
      <c r="S38"/>
      <c r="T38"/>
      <c r="U38"/>
      <c r="V38"/>
      <c r="W38"/>
      <c r="X38"/>
      <c r="Y38"/>
      <c r="Z38"/>
      <c r="AA38"/>
    </row>
    <row r="39" spans="1:27" ht="15.75" customHeight="1" x14ac:dyDescent="0.2">
      <c r="M39" s="150"/>
    </row>
    <row r="40" spans="1:27" ht="15.75" customHeight="1" x14ac:dyDescent="0.2">
      <c r="D40" s="159"/>
      <c r="M40" s="150"/>
    </row>
    <row r="41" spans="1:27" x14ac:dyDescent="0.2">
      <c r="B41" s="223" t="s">
        <v>188</v>
      </c>
      <c r="C41" s="223"/>
      <c r="D41" s="223"/>
      <c r="E41" s="76"/>
      <c r="F41" s="76"/>
      <c r="G41" s="76"/>
      <c r="H41" s="76"/>
      <c r="I41" s="76"/>
      <c r="J41" s="76"/>
      <c r="K41" s="76"/>
      <c r="L41" s="76"/>
      <c r="M41" s="150"/>
    </row>
    <row r="42" spans="1:27" ht="15.75" customHeight="1" x14ac:dyDescent="0.2"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150"/>
    </row>
    <row r="43" spans="1:27" ht="15" customHeight="1" thickBot="1" x14ac:dyDescent="0.25">
      <c r="B43" s="77" t="s">
        <v>153</v>
      </c>
      <c r="C43" s="78" t="s">
        <v>75</v>
      </c>
      <c r="D43" s="78" t="s">
        <v>154</v>
      </c>
      <c r="E43" s="78" t="s">
        <v>77</v>
      </c>
      <c r="F43" s="78" t="s">
        <v>78</v>
      </c>
      <c r="G43" s="78" t="s">
        <v>79</v>
      </c>
      <c r="H43" s="78" t="s">
        <v>80</v>
      </c>
      <c r="I43" s="78" t="s">
        <v>81</v>
      </c>
      <c r="J43" s="78" t="s">
        <v>82</v>
      </c>
      <c r="K43" s="78" t="s">
        <v>40</v>
      </c>
      <c r="L43" s="78" t="s">
        <v>83</v>
      </c>
      <c r="M43" s="150"/>
      <c r="N43" s="78" t="s">
        <v>85</v>
      </c>
      <c r="O43" s="78" t="s">
        <v>155</v>
      </c>
      <c r="P43" s="78" t="s">
        <v>87</v>
      </c>
      <c r="Q43" s="78" t="s">
        <v>88</v>
      </c>
      <c r="R43" s="78" t="s">
        <v>89</v>
      </c>
      <c r="S43" s="78" t="s">
        <v>90</v>
      </c>
      <c r="T43" s="78" t="s">
        <v>91</v>
      </c>
      <c r="U43" s="78" t="s">
        <v>92</v>
      </c>
    </row>
    <row r="44" spans="1:27" s="20" customFormat="1" ht="14.25" x14ac:dyDescent="0.2">
      <c r="B44" s="79" t="str">
        <f>_xlfn.CONCAT(_xlfn.XLOOKUP(O1,Referencia!B1:B13,Referencia!C1:C13),"/",P1)</f>
        <v>JUL/2023</v>
      </c>
      <c r="C44" s="80">
        <f>C35</f>
        <v>1540566.8000000003</v>
      </c>
      <c r="D44" s="80">
        <f t="shared" ref="D44:K44" si="19">D35</f>
        <v>1540385.8400000003</v>
      </c>
      <c r="E44" s="80">
        <f t="shared" si="19"/>
        <v>180.96</v>
      </c>
      <c r="F44" s="81">
        <f t="shared" si="19"/>
        <v>5662</v>
      </c>
      <c r="G44" s="81">
        <f t="shared" si="19"/>
        <v>6642</v>
      </c>
      <c r="H44" s="80">
        <f>C44/F44</f>
        <v>272.08880254327096</v>
      </c>
      <c r="I44" s="80">
        <f t="shared" ca="1" si="19"/>
        <v>34923.589999999997</v>
      </c>
      <c r="J44" s="118">
        <f ca="1">C44/I44</f>
        <v>44.112498171007061</v>
      </c>
      <c r="K44" s="81">
        <f t="shared" si="19"/>
        <v>129552</v>
      </c>
      <c r="L44" s="82">
        <f>F44/K44</f>
        <v>4.3704458441398052E-2</v>
      </c>
      <c r="M44" s="150"/>
      <c r="N44" s="134">
        <f>N35</f>
        <v>23161.669999999991</v>
      </c>
      <c r="O44" s="134">
        <f>O35</f>
        <v>9750.7000000000007</v>
      </c>
      <c r="P44" s="134">
        <f t="shared" ref="P44:U44" si="20">P35</f>
        <v>0</v>
      </c>
      <c r="Q44" s="134">
        <f t="shared" ca="1" si="20"/>
        <v>1599.9999999999989</v>
      </c>
      <c r="R44" s="134">
        <f t="shared" si="20"/>
        <v>70.089999999999989</v>
      </c>
      <c r="S44" s="134">
        <f t="shared" si="20"/>
        <v>341.13000000000005</v>
      </c>
      <c r="T44" s="134">
        <f t="shared" si="20"/>
        <v>0</v>
      </c>
      <c r="U44" s="134">
        <f t="shared" si="20"/>
        <v>0</v>
      </c>
      <c r="V44"/>
      <c r="W44"/>
      <c r="X44"/>
      <c r="Y44"/>
      <c r="Z44"/>
      <c r="AA44"/>
    </row>
    <row r="45" spans="1:27" s="20" customFormat="1" ht="14.25" x14ac:dyDescent="0.2">
      <c r="B45" s="79" t="str">
        <f>_xlfn.CONCAT(_xlfn.XLOOKUP(O1,Referencia!B1:B13,Referencia!C1:C13),"/",(P1-1))</f>
        <v>JUL/2022</v>
      </c>
      <c r="C45" s="134">
        <f>SUM(C64:C94)</f>
        <v>1090274.3299999998</v>
      </c>
      <c r="D45" s="134">
        <f>SUM(D64:D94)</f>
        <v>1089982.27</v>
      </c>
      <c r="E45" s="134">
        <f>SUM(E64:E94)</f>
        <v>292.05999999999995</v>
      </c>
      <c r="F45" s="135">
        <f>SUM(F64:F94)</f>
        <v>3930</v>
      </c>
      <c r="G45" s="135">
        <f>SUM(G64:G94)</f>
        <v>4989</v>
      </c>
      <c r="H45" s="134">
        <f>C45/F45</f>
        <v>277.4234936386768</v>
      </c>
      <c r="I45" s="134">
        <f>SUM(I64:I94)</f>
        <v>22770.15</v>
      </c>
      <c r="J45" s="136">
        <f>C45/I45</f>
        <v>47.881736835286539</v>
      </c>
      <c r="K45" s="135">
        <f>SUM(K64:K94)</f>
        <v>106442</v>
      </c>
      <c r="L45" s="137">
        <f>F45/K45</f>
        <v>3.6921515942954848E-2</v>
      </c>
      <c r="M45" s="207"/>
      <c r="N45" s="134">
        <f>SUM(N64:N94)</f>
        <v>14506.720000000001</v>
      </c>
      <c r="O45" s="134">
        <f t="shared" ref="O45:V45" si="21">SUM(O64:O94)</f>
        <v>6663.4299999999985</v>
      </c>
      <c r="P45" s="134">
        <f t="shared" si="21"/>
        <v>0</v>
      </c>
      <c r="Q45" s="134">
        <f t="shared" si="21"/>
        <v>1599.9999999999989</v>
      </c>
      <c r="R45" s="134">
        <f t="shared" si="21"/>
        <v>0</v>
      </c>
      <c r="S45" s="134">
        <f t="shared" si="21"/>
        <v>0</v>
      </c>
      <c r="T45" s="134">
        <f t="shared" si="21"/>
        <v>0</v>
      </c>
      <c r="U45" s="134">
        <f t="shared" si="21"/>
        <v>0</v>
      </c>
      <c r="V45" s="134">
        <f t="shared" si="21"/>
        <v>0</v>
      </c>
      <c r="W45"/>
      <c r="X45"/>
      <c r="Y45"/>
      <c r="Z45"/>
      <c r="AA45"/>
    </row>
    <row r="46" spans="1:27" x14ac:dyDescent="0.2">
      <c r="B46" s="83"/>
      <c r="C46" s="87">
        <f>C44-C45</f>
        <v>450292.47000000044</v>
      </c>
      <c r="D46" s="87">
        <f t="shared" ref="D46:L46" si="22">D44-D45</f>
        <v>450403.5700000003</v>
      </c>
      <c r="E46" s="87">
        <f t="shared" si="22"/>
        <v>-111.09999999999994</v>
      </c>
      <c r="F46" s="88">
        <f t="shared" si="22"/>
        <v>1732</v>
      </c>
      <c r="G46" s="88">
        <f t="shared" si="22"/>
        <v>1653</v>
      </c>
      <c r="H46" s="87">
        <f t="shared" si="22"/>
        <v>-5.3346910954058444</v>
      </c>
      <c r="I46" s="87">
        <f t="shared" ca="1" si="22"/>
        <v>12153.439999999995</v>
      </c>
      <c r="J46" s="125">
        <f t="shared" ca="1" si="22"/>
        <v>-3.7692386642794773</v>
      </c>
      <c r="K46" s="88">
        <f t="shared" si="22"/>
        <v>23110</v>
      </c>
      <c r="L46" s="89">
        <f t="shared" si="22"/>
        <v>6.7829424984432035E-3</v>
      </c>
      <c r="M46" s="150"/>
    </row>
    <row r="47" spans="1:27" ht="15.75" customHeight="1" x14ac:dyDescent="0.2">
      <c r="B47" s="84"/>
      <c r="C47" s="85">
        <f>IFERROR(1-(C45/C44),0)</f>
        <v>0.29229012984052383</v>
      </c>
      <c r="D47" s="85">
        <f t="shared" ref="D47:L47" si="23">IFERROR(1-(D45/D44),0)</f>
        <v>0.29239659201229751</v>
      </c>
      <c r="E47" s="85">
        <f t="shared" si="23"/>
        <v>-0.61394783377541962</v>
      </c>
      <c r="F47" s="85">
        <f t="shared" si="23"/>
        <v>0.30589897562698698</v>
      </c>
      <c r="G47" s="85">
        <f t="shared" si="23"/>
        <v>0.24887082204155375</v>
      </c>
      <c r="H47" s="85">
        <f t="shared" si="23"/>
        <v>-1.9606433802278334E-2</v>
      </c>
      <c r="I47" s="85">
        <f t="shared" ca="1" si="23"/>
        <v>0.34800087848929606</v>
      </c>
      <c r="J47" s="85">
        <f t="shared" ca="1" si="23"/>
        <v>-8.5446048638361027E-2</v>
      </c>
      <c r="K47" s="85">
        <f t="shared" si="23"/>
        <v>0.17838396937137213</v>
      </c>
      <c r="L47" s="85">
        <f t="shared" si="23"/>
        <v>0.15520024135611332</v>
      </c>
      <c r="M47" s="150"/>
    </row>
    <row r="48" spans="1:27" x14ac:dyDescent="0.2"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</row>
    <row r="49" spans="1:27" ht="15" customHeight="1" x14ac:dyDescent="0.2">
      <c r="B49" s="223" t="s">
        <v>195</v>
      </c>
      <c r="C49" s="223"/>
      <c r="D49" s="223"/>
      <c r="E49" s="84"/>
      <c r="F49" s="84"/>
      <c r="G49" s="84"/>
      <c r="H49" s="84"/>
      <c r="I49" s="84"/>
      <c r="J49" s="84"/>
      <c r="K49" s="84"/>
      <c r="L49" s="84"/>
      <c r="M49" s="150"/>
    </row>
    <row r="50" spans="1:27" ht="13.5" thickBot="1" x14ac:dyDescent="0.25">
      <c r="B50" s="77" t="s">
        <v>153</v>
      </c>
      <c r="C50" s="78" t="s">
        <v>75</v>
      </c>
      <c r="D50" s="78" t="s">
        <v>154</v>
      </c>
      <c r="E50" s="78" t="s">
        <v>77</v>
      </c>
      <c r="F50" s="78" t="s">
        <v>78</v>
      </c>
      <c r="G50" s="78" t="s">
        <v>79</v>
      </c>
      <c r="H50" s="78" t="s">
        <v>80</v>
      </c>
      <c r="I50" s="78" t="s">
        <v>81</v>
      </c>
      <c r="J50" s="78" t="s">
        <v>82</v>
      </c>
      <c r="K50" s="78" t="s">
        <v>40</v>
      </c>
      <c r="L50" s="78" t="s">
        <v>83</v>
      </c>
      <c r="M50" s="150"/>
      <c r="N50" s="78" t="s">
        <v>85</v>
      </c>
      <c r="O50" s="78" t="s">
        <v>155</v>
      </c>
      <c r="P50" s="78" t="s">
        <v>87</v>
      </c>
      <c r="Q50" s="78" t="s">
        <v>88</v>
      </c>
      <c r="R50" s="78" t="s">
        <v>89</v>
      </c>
      <c r="S50" s="78" t="s">
        <v>90</v>
      </c>
      <c r="T50" s="78" t="s">
        <v>91</v>
      </c>
      <c r="U50" s="78" t="s">
        <v>92</v>
      </c>
    </row>
    <row r="51" spans="1:27" s="20" customFormat="1" ht="14.25" x14ac:dyDescent="0.2">
      <c r="B51" s="79" t="str">
        <f>B44</f>
        <v>JUL/2023</v>
      </c>
      <c r="C51" s="80">
        <f>C44</f>
        <v>1540566.8000000003</v>
      </c>
      <c r="D51" s="80">
        <f t="shared" ref="D51:U51" si="24">D44</f>
        <v>1540385.8400000003</v>
      </c>
      <c r="E51" s="80">
        <f t="shared" si="24"/>
        <v>180.96</v>
      </c>
      <c r="F51" s="81">
        <f t="shared" si="24"/>
        <v>5662</v>
      </c>
      <c r="G51" s="81">
        <f t="shared" si="24"/>
        <v>6642</v>
      </c>
      <c r="H51" s="80">
        <f t="shared" si="24"/>
        <v>272.08880254327096</v>
      </c>
      <c r="I51" s="80">
        <f t="shared" ca="1" si="24"/>
        <v>34923.589999999997</v>
      </c>
      <c r="J51" s="118">
        <f t="shared" ca="1" si="24"/>
        <v>44.112498171007061</v>
      </c>
      <c r="K51" s="81">
        <f t="shared" si="24"/>
        <v>129552</v>
      </c>
      <c r="L51" s="82">
        <f t="shared" si="24"/>
        <v>4.3704458441398052E-2</v>
      </c>
      <c r="M51" s="150"/>
      <c r="N51" s="134">
        <f t="shared" si="24"/>
        <v>23161.669999999991</v>
      </c>
      <c r="O51" s="134">
        <f t="shared" si="24"/>
        <v>9750.7000000000007</v>
      </c>
      <c r="P51" s="134">
        <f t="shared" si="24"/>
        <v>0</v>
      </c>
      <c r="Q51" s="134">
        <f t="shared" ca="1" si="24"/>
        <v>1599.9999999999989</v>
      </c>
      <c r="R51" s="134">
        <f t="shared" si="24"/>
        <v>70.089999999999989</v>
      </c>
      <c r="S51" s="134">
        <f t="shared" si="24"/>
        <v>341.13000000000005</v>
      </c>
      <c r="T51" s="134">
        <f t="shared" si="24"/>
        <v>0</v>
      </c>
      <c r="U51" s="134">
        <f t="shared" si="24"/>
        <v>0</v>
      </c>
      <c r="V51"/>
      <c r="W51"/>
      <c r="X51"/>
      <c r="Y51"/>
      <c r="Z51"/>
      <c r="AA51"/>
    </row>
    <row r="52" spans="1:27" x14ac:dyDescent="0.2">
      <c r="B52" s="138" t="str">
        <f>JUN!B51</f>
        <v>JUN/2023</v>
      </c>
      <c r="C52" s="134" cm="1">
        <f t="array" ref="C52">JUN!C44:C44</f>
        <v>2527259.56</v>
      </c>
      <c r="D52" s="134">
        <f>JUN!D51</f>
        <v>2527005.66</v>
      </c>
      <c r="E52" s="134">
        <f>JUN!E51</f>
        <v>253.9</v>
      </c>
      <c r="F52" s="135">
        <f>JUN!F51</f>
        <v>8766</v>
      </c>
      <c r="G52" s="135">
        <f>JUN!G51</f>
        <v>10491</v>
      </c>
      <c r="H52" s="134">
        <f>JUN!H51</f>
        <v>288.302482318047</v>
      </c>
      <c r="I52" s="134">
        <f>JUN!I51</f>
        <v>35929.379999999997</v>
      </c>
      <c r="J52" s="136">
        <f>JUN!J51</f>
        <v>70.339637366411566</v>
      </c>
      <c r="K52" s="135">
        <f>JUN!K51</f>
        <v>156794</v>
      </c>
      <c r="L52" s="137">
        <f>JUN!L51</f>
        <v>5.5907751572126484E-2</v>
      </c>
      <c r="M52" s="150"/>
      <c r="N52" s="134">
        <f>JUN!N51</f>
        <v>26447.75</v>
      </c>
      <c r="O52" s="134">
        <f>JUN!O51</f>
        <v>7122.3</v>
      </c>
      <c r="P52" s="134">
        <f>JUN!P51</f>
        <v>0</v>
      </c>
      <c r="Q52" s="134">
        <f>JUN!Q51</f>
        <v>1599.9999999999995</v>
      </c>
      <c r="R52" s="134">
        <f>JUN!R51</f>
        <v>16.73</v>
      </c>
      <c r="S52" s="134">
        <f>JUN!S51</f>
        <v>742.6</v>
      </c>
      <c r="T52" s="134">
        <f>JUN!T51</f>
        <v>0</v>
      </c>
      <c r="U52" s="134">
        <f>JUN!U51</f>
        <v>0</v>
      </c>
    </row>
    <row r="53" spans="1:27" x14ac:dyDescent="0.2">
      <c r="B53" s="83"/>
      <c r="C53" s="87">
        <f t="shared" ref="C53:U53" si="25">C51-C52</f>
        <v>-986692.75999999978</v>
      </c>
      <c r="D53" s="87">
        <f t="shared" si="25"/>
        <v>-986619.81999999983</v>
      </c>
      <c r="E53" s="87">
        <f t="shared" si="25"/>
        <v>-72.94</v>
      </c>
      <c r="F53" s="88">
        <f t="shared" si="25"/>
        <v>-3104</v>
      </c>
      <c r="G53" s="88">
        <f t="shared" si="25"/>
        <v>-3849</v>
      </c>
      <c r="H53" s="87">
        <f t="shared" si="25"/>
        <v>-16.21367977477604</v>
      </c>
      <c r="I53" s="87">
        <f t="shared" ca="1" si="25"/>
        <v>-1005.7900000000009</v>
      </c>
      <c r="J53" s="125">
        <f t="shared" ca="1" si="25"/>
        <v>-26.227139195404504</v>
      </c>
      <c r="K53" s="88">
        <f t="shared" si="25"/>
        <v>-27242</v>
      </c>
      <c r="L53" s="89">
        <f t="shared" si="25"/>
        <v>-1.2203293130728432E-2</v>
      </c>
      <c r="M53" s="150"/>
      <c r="N53" s="88">
        <f t="shared" si="25"/>
        <v>-3286.080000000009</v>
      </c>
      <c r="O53" s="88">
        <f t="shared" si="25"/>
        <v>2628.4000000000005</v>
      </c>
      <c r="P53" s="88">
        <f t="shared" si="25"/>
        <v>0</v>
      </c>
      <c r="Q53" s="88">
        <f t="shared" ca="1" si="25"/>
        <v>0</v>
      </c>
      <c r="R53" s="88">
        <f t="shared" si="25"/>
        <v>53.359999999999985</v>
      </c>
      <c r="S53" s="88">
        <f t="shared" si="25"/>
        <v>-401.46999999999997</v>
      </c>
      <c r="T53" s="88">
        <f t="shared" si="25"/>
        <v>0</v>
      </c>
      <c r="U53" s="88">
        <f t="shared" si="25"/>
        <v>0</v>
      </c>
    </row>
    <row r="54" spans="1:27" x14ac:dyDescent="0.2">
      <c r="B54" s="84"/>
      <c r="C54" s="85">
        <f>IFERROR(1-(C52/C51),0)</f>
        <v>-0.64047385676492552</v>
      </c>
      <c r="D54" s="85">
        <f t="shared" ref="D54:U54" si="26">IFERROR(1-(D52/D51),0)</f>
        <v>-0.64050174597813725</v>
      </c>
      <c r="E54" s="85">
        <f t="shared" si="26"/>
        <v>-0.40307250221043311</v>
      </c>
      <c r="F54" s="85">
        <f t="shared" si="26"/>
        <v>-0.54821617802896494</v>
      </c>
      <c r="G54" s="85">
        <f t="shared" si="26"/>
        <v>-0.57949412827461599</v>
      </c>
      <c r="H54" s="85">
        <f t="shared" si="26"/>
        <v>-5.9589661989848164E-2</v>
      </c>
      <c r="I54" s="85">
        <f t="shared" ca="1" si="26"/>
        <v>-2.879973107003031E-2</v>
      </c>
      <c r="J54" s="85">
        <f t="shared" ca="1" si="26"/>
        <v>-0.59455121071883177</v>
      </c>
      <c r="K54" s="85">
        <f t="shared" si="26"/>
        <v>-0.21027849820921318</v>
      </c>
      <c r="L54" s="85">
        <f t="shared" si="26"/>
        <v>-0.27922307164820381</v>
      </c>
      <c r="M54" s="150"/>
      <c r="N54" s="85">
        <f t="shared" si="26"/>
        <v>-0.14187578011430135</v>
      </c>
      <c r="O54" s="85">
        <f t="shared" si="26"/>
        <v>0.26956013414421531</v>
      </c>
      <c r="P54" s="85">
        <f t="shared" si="26"/>
        <v>0</v>
      </c>
      <c r="Q54" s="85">
        <f t="shared" ca="1" si="26"/>
        <v>-4.4408920985006262E-16</v>
      </c>
      <c r="R54" s="85">
        <f t="shared" si="26"/>
        <v>0.76130689113996286</v>
      </c>
      <c r="S54" s="85">
        <f t="shared" si="26"/>
        <v>-1.1768827133350919</v>
      </c>
      <c r="T54" s="85">
        <f t="shared" si="26"/>
        <v>0</v>
      </c>
      <c r="U54" s="85">
        <f t="shared" si="26"/>
        <v>0</v>
      </c>
    </row>
    <row r="57" spans="1:27" x14ac:dyDescent="0.2">
      <c r="B57" s="223" t="s">
        <v>191</v>
      </c>
      <c r="C57" s="223"/>
      <c r="D57" s="223"/>
      <c r="E57" s="84"/>
      <c r="F57" s="84"/>
      <c r="G57" s="84"/>
      <c r="H57" s="84"/>
      <c r="I57" s="84"/>
      <c r="J57" s="84"/>
      <c r="K57" s="84"/>
      <c r="L57" s="84"/>
      <c r="M57" s="150"/>
    </row>
    <row r="58" spans="1:27" ht="13.5" thickBot="1" x14ac:dyDescent="0.25">
      <c r="B58" s="77" t="s">
        <v>153</v>
      </c>
      <c r="C58" s="78" t="s">
        <v>75</v>
      </c>
      <c r="D58" s="78" t="s">
        <v>154</v>
      </c>
      <c r="E58" s="78" t="s">
        <v>77</v>
      </c>
      <c r="F58" s="78" t="s">
        <v>78</v>
      </c>
      <c r="G58" s="78" t="s">
        <v>79</v>
      </c>
      <c r="H58" s="78" t="s">
        <v>80</v>
      </c>
      <c r="I58" s="78" t="s">
        <v>81</v>
      </c>
      <c r="J58" s="78" t="s">
        <v>82</v>
      </c>
      <c r="K58" s="78" t="s">
        <v>40</v>
      </c>
      <c r="L58" s="78" t="s">
        <v>83</v>
      </c>
      <c r="M58" s="150"/>
      <c r="N58" s="78" t="s">
        <v>85</v>
      </c>
      <c r="O58" s="78" t="s">
        <v>155</v>
      </c>
      <c r="P58" s="78" t="s">
        <v>87</v>
      </c>
      <c r="Q58" s="78" t="s">
        <v>88</v>
      </c>
      <c r="R58" s="78" t="s">
        <v>89</v>
      </c>
      <c r="S58" s="78" t="s">
        <v>90</v>
      </c>
      <c r="T58" s="78" t="s">
        <v>91</v>
      </c>
      <c r="U58" s="78" t="s">
        <v>92</v>
      </c>
    </row>
    <row r="59" spans="1:27" s="20" customFormat="1" ht="14.25" x14ac:dyDescent="0.2">
      <c r="B59" s="79" t="str">
        <f t="shared" ref="B59:L59" si="27">B51</f>
        <v>JUL/2023</v>
      </c>
      <c r="C59" s="80">
        <f t="shared" si="27"/>
        <v>1540566.8000000003</v>
      </c>
      <c r="D59" s="80">
        <f t="shared" si="27"/>
        <v>1540385.8400000003</v>
      </c>
      <c r="E59" s="80">
        <f t="shared" si="27"/>
        <v>180.96</v>
      </c>
      <c r="F59" s="81">
        <f t="shared" si="27"/>
        <v>5662</v>
      </c>
      <c r="G59" s="81">
        <f t="shared" si="27"/>
        <v>6642</v>
      </c>
      <c r="H59" s="80">
        <f t="shared" si="27"/>
        <v>272.08880254327096</v>
      </c>
      <c r="I59" s="80">
        <f t="shared" ca="1" si="27"/>
        <v>34923.589999999997</v>
      </c>
      <c r="J59" s="118">
        <f t="shared" ca="1" si="27"/>
        <v>44.112498171007061</v>
      </c>
      <c r="K59" s="81">
        <f t="shared" si="27"/>
        <v>129552</v>
      </c>
      <c r="L59" s="82">
        <f t="shared" si="27"/>
        <v>4.3704458441398052E-2</v>
      </c>
      <c r="M59" s="150"/>
      <c r="N59" s="134">
        <f t="shared" ref="N59:U59" si="28">N51</f>
        <v>23161.669999999991</v>
      </c>
      <c r="O59" s="134">
        <f t="shared" si="28"/>
        <v>9750.7000000000007</v>
      </c>
      <c r="P59" s="134">
        <f t="shared" si="28"/>
        <v>0</v>
      </c>
      <c r="Q59" s="134">
        <f t="shared" ca="1" si="28"/>
        <v>1599.9999999999989</v>
      </c>
      <c r="R59" s="134">
        <f t="shared" si="28"/>
        <v>70.089999999999989</v>
      </c>
      <c r="S59" s="134">
        <f t="shared" si="28"/>
        <v>341.13000000000005</v>
      </c>
      <c r="T59" s="134">
        <f t="shared" si="28"/>
        <v>0</v>
      </c>
      <c r="U59" s="134">
        <f t="shared" si="28"/>
        <v>0</v>
      </c>
      <c r="V59"/>
      <c r="W59"/>
      <c r="X59"/>
      <c r="Y59"/>
      <c r="Z59"/>
      <c r="AA59"/>
    </row>
    <row r="60" spans="1:27" x14ac:dyDescent="0.2">
      <c r="A60" s="128"/>
      <c r="B60" s="138" t="str">
        <f>B45</f>
        <v>JUL/2022</v>
      </c>
      <c r="C60" s="134">
        <f t="shared" ref="C60:K60" ca="1" si="29">SUMIF($A$64:$A$94,"Realizado",C64:C94)</f>
        <v>1090274.3299999998</v>
      </c>
      <c r="D60" s="134">
        <f t="shared" ca="1" si="29"/>
        <v>1089982.27</v>
      </c>
      <c r="E60" s="134">
        <f t="shared" ca="1" si="29"/>
        <v>292.05999999999995</v>
      </c>
      <c r="F60" s="135">
        <f t="shared" ca="1" si="29"/>
        <v>3930</v>
      </c>
      <c r="G60" s="135">
        <f t="shared" ca="1" si="29"/>
        <v>4989</v>
      </c>
      <c r="H60" s="134">
        <f ca="1">C60/F60</f>
        <v>277.4234936386768</v>
      </c>
      <c r="I60" s="134">
        <f t="shared" ca="1" si="29"/>
        <v>22770.15</v>
      </c>
      <c r="J60" s="136">
        <f ca="1">C60/I60</f>
        <v>47.881736835286539</v>
      </c>
      <c r="K60" s="135">
        <f t="shared" ca="1" si="29"/>
        <v>106442</v>
      </c>
      <c r="L60" s="137">
        <f ca="1">F60/K60</f>
        <v>3.6921515942954848E-2</v>
      </c>
      <c r="M60" s="150"/>
      <c r="N60" s="134">
        <f t="shared" ref="N60:U60" ca="1" si="30">SUMIF($A$64:$A$94,"Realizado",N64:N94)</f>
        <v>14506.720000000001</v>
      </c>
      <c r="O60" s="134">
        <f t="shared" ca="1" si="30"/>
        <v>6663.4299999999985</v>
      </c>
      <c r="P60" s="134">
        <f t="shared" ca="1" si="30"/>
        <v>0</v>
      </c>
      <c r="Q60" s="134">
        <f t="shared" ca="1" si="30"/>
        <v>1599.9999999999989</v>
      </c>
      <c r="R60" s="134">
        <f t="shared" ca="1" si="30"/>
        <v>0</v>
      </c>
      <c r="S60" s="134">
        <f t="shared" ca="1" si="30"/>
        <v>0</v>
      </c>
      <c r="T60" s="134">
        <f t="shared" ca="1" si="30"/>
        <v>0</v>
      </c>
      <c r="U60" s="134">
        <f t="shared" ca="1" si="30"/>
        <v>0</v>
      </c>
    </row>
    <row r="61" spans="1:27" x14ac:dyDescent="0.2">
      <c r="B61" s="83"/>
      <c r="C61" s="87">
        <f t="shared" ref="C61:L61" ca="1" si="31">C59-C60</f>
        <v>450292.47000000044</v>
      </c>
      <c r="D61" s="87">
        <f t="shared" ca="1" si="31"/>
        <v>450403.5700000003</v>
      </c>
      <c r="E61" s="87">
        <f t="shared" ca="1" si="31"/>
        <v>-111.09999999999994</v>
      </c>
      <c r="F61" s="88">
        <f t="shared" ca="1" si="31"/>
        <v>1732</v>
      </c>
      <c r="G61" s="88">
        <f t="shared" ca="1" si="31"/>
        <v>1653</v>
      </c>
      <c r="H61" s="87">
        <f t="shared" ca="1" si="31"/>
        <v>-5.3346910954058444</v>
      </c>
      <c r="I61" s="87">
        <f t="shared" ca="1" si="31"/>
        <v>12153.439999999995</v>
      </c>
      <c r="J61" s="125">
        <f t="shared" ca="1" si="31"/>
        <v>-3.7692386642794773</v>
      </c>
      <c r="K61" s="88">
        <f t="shared" ca="1" si="31"/>
        <v>23110</v>
      </c>
      <c r="L61" s="89">
        <f t="shared" ca="1" si="31"/>
        <v>6.7829424984432035E-3</v>
      </c>
      <c r="M61" s="150"/>
    </row>
    <row r="62" spans="1:27" x14ac:dyDescent="0.2">
      <c r="B62" s="84"/>
      <c r="C62" s="85">
        <f ca="1">IFERROR(1-(C60/C59),0)</f>
        <v>0.29229012984052383</v>
      </c>
      <c r="D62" s="85">
        <f t="shared" ref="D62:L62" ca="1" si="32">IFERROR(1-(D60/D59),0)</f>
        <v>0.29239659201229751</v>
      </c>
      <c r="E62" s="85">
        <f t="shared" ca="1" si="32"/>
        <v>-0.61394783377541962</v>
      </c>
      <c r="F62" s="85">
        <f t="shared" ca="1" si="32"/>
        <v>0.30589897562698698</v>
      </c>
      <c r="G62" s="85">
        <f t="shared" ca="1" si="32"/>
        <v>0.24887082204155375</v>
      </c>
      <c r="H62" s="85">
        <f t="shared" ca="1" si="32"/>
        <v>-1.9606433802278334E-2</v>
      </c>
      <c r="I62" s="85">
        <f t="shared" ca="1" si="32"/>
        <v>0.34800087848929606</v>
      </c>
      <c r="J62" s="85">
        <f t="shared" ca="1" si="32"/>
        <v>-8.5446048638361027E-2</v>
      </c>
      <c r="K62" s="85">
        <f t="shared" ca="1" si="32"/>
        <v>0.17838396937137213</v>
      </c>
      <c r="L62" s="85">
        <f t="shared" ca="1" si="32"/>
        <v>0.15520024135611332</v>
      </c>
      <c r="M62" s="150"/>
      <c r="N62" s="85">
        <f t="shared" ref="N62:U62" ca="1" si="33">IFERROR(1-(N60/N59),0)</f>
        <v>0.37367555966387545</v>
      </c>
      <c r="O62" s="85">
        <f t="shared" ca="1" si="33"/>
        <v>0.31662034520598537</v>
      </c>
      <c r="P62" s="85">
        <f t="shared" ca="1" si="33"/>
        <v>0</v>
      </c>
      <c r="Q62" s="85">
        <f t="shared" ca="1" si="33"/>
        <v>0</v>
      </c>
      <c r="R62" s="85">
        <f t="shared" ca="1" si="33"/>
        <v>1</v>
      </c>
      <c r="S62" s="85">
        <f t="shared" ca="1" si="33"/>
        <v>1</v>
      </c>
      <c r="T62" s="85">
        <f t="shared" ca="1" si="33"/>
        <v>0</v>
      </c>
      <c r="U62" s="85">
        <f t="shared" ca="1" si="33"/>
        <v>0</v>
      </c>
    </row>
    <row r="63" spans="1:27" x14ac:dyDescent="0.2">
      <c r="A63" s="180">
        <f ca="1">TODAY()</f>
        <v>45834</v>
      </c>
      <c r="B63" s="201"/>
    </row>
    <row r="64" spans="1:27" hidden="1" x14ac:dyDescent="0.2">
      <c r="A64" s="17" t="str">
        <f t="shared" ref="A64:A68" ca="1" si="34">IF($A$63&lt;=AA64,"Previsto","Realizado")</f>
        <v>Realizado</v>
      </c>
      <c r="B64" s="17">
        <v>44743</v>
      </c>
      <c r="C64" s="19">
        <f t="shared" ref="C64" si="35">D64+E64</f>
        <v>39442.19</v>
      </c>
      <c r="D64" s="35">
        <f>_xlfn.XLOOKUP($B:$B,'Compilado 2023'!$B:$B,'Compilado 2023'!D:D)</f>
        <v>39442.19</v>
      </c>
      <c r="E64" s="35">
        <f>_xlfn.XLOOKUP($B:$B,'Compilado 2023'!$B:$B,'Compilado 2023'!E:E)</f>
        <v>0</v>
      </c>
      <c r="F64" s="18">
        <f>_xlfn.XLOOKUP($B:$B,'Compilado 2023'!$B:$B,'Compilado 2023'!F:F)</f>
        <v>134</v>
      </c>
      <c r="G64" s="18">
        <f>_xlfn.XLOOKUP($B:$B,'Compilado 2023'!$B:$B,'Compilado 2023'!G:G)</f>
        <v>179</v>
      </c>
      <c r="H64" s="35">
        <f t="shared" ref="H64" si="36">IFERROR(C64/F64,0)</f>
        <v>294.34470149253735</v>
      </c>
      <c r="I64" s="19">
        <f t="shared" ref="I64" si="37">SUM(N64:U64)</f>
        <v>824.48290322580658</v>
      </c>
      <c r="J64" s="122">
        <f t="shared" ref="J64" si="38">IF(I64&gt;0,C64/I64,0)</f>
        <v>47.83869968155993</v>
      </c>
      <c r="K64" s="18">
        <f>_xlfn.XLOOKUP($B:$B,'Compilado 2023'!$B:$B,'Compilado 2023'!K:K)</f>
        <v>3383</v>
      </c>
      <c r="L64" s="54">
        <f t="shared" ref="L64" si="39">IFERROR(F64/K64,0)</f>
        <v>3.9609813774756135E-2</v>
      </c>
      <c r="M64" s="149"/>
      <c r="N64" s="106">
        <f>_xlfn.XLOOKUP($B:$B,'Compilado 2023'!$B:$B,'Compilado 2023'!N:N)</f>
        <v>608.69000000000005</v>
      </c>
      <c r="O64" s="106">
        <f>_xlfn.XLOOKUP($B:$B,'Compilado 2023'!$B:$B,'Compilado 2023'!O:O)</f>
        <v>164.18</v>
      </c>
      <c r="P64" s="106">
        <f>_xlfn.XLOOKUP($B:$B,'Compilado 2023'!$B:$B,'Compilado 2023'!P:P)</f>
        <v>0</v>
      </c>
      <c r="Q64" s="106">
        <f>_xlfn.XLOOKUP($B:$B,'Compilado 2023'!$B:$B,'Compilado 2023'!Q:Q)</f>
        <v>51.612903225806448</v>
      </c>
      <c r="R64" s="106">
        <f>_xlfn.XLOOKUP($B:$B,'Compilado 2023'!$B:$B,'Compilado 2023'!R:R)</f>
        <v>0</v>
      </c>
      <c r="S64" s="106">
        <f>_xlfn.XLOOKUP($B:$B,'Compilado 2023'!$B:$B,'Compilado 2023'!T:T)</f>
        <v>0</v>
      </c>
      <c r="T64" s="106">
        <f>_xlfn.XLOOKUP($B:$B,'Compilado 2023'!$B:$B,'Compilado 2023'!U:U)</f>
        <v>0</v>
      </c>
      <c r="U64" s="106">
        <f>_xlfn.XLOOKUP($B:$B,'Compilado 2023'!$B:$B,'Compilado 2023'!V:V)</f>
        <v>0</v>
      </c>
      <c r="V64" s="57"/>
      <c r="W64" s="106">
        <f>_xlfn.XLOOKUP($B:$B,'Compilado 2023'!$B:$B,'Compilado 2023'!X:X)</f>
        <v>0</v>
      </c>
      <c r="X64" s="106">
        <f>_xlfn.XLOOKUP($B:$B,'Compilado 2023'!$B:$B,'Compilado 2023'!Y:Y)</f>
        <v>0</v>
      </c>
      <c r="Y64" s="106">
        <f>_xlfn.XLOOKUP($B:$B,'Compilado 2023'!$B:$B,'Compilado 2023'!Z:Z)</f>
        <v>0</v>
      </c>
      <c r="AA64" s="208">
        <v>45108</v>
      </c>
    </row>
    <row r="65" spans="1:27" hidden="1" x14ac:dyDescent="0.2">
      <c r="A65" s="17" t="str">
        <f t="shared" ca="1" si="34"/>
        <v>Realizado</v>
      </c>
      <c r="B65" s="17">
        <v>44744</v>
      </c>
      <c r="C65" s="19">
        <f t="shared" ref="C65:C94" si="40">D65+E65</f>
        <v>26341.55</v>
      </c>
      <c r="D65" s="35">
        <f>_xlfn.XLOOKUP($B:$B,'Compilado 2023'!$B:$B,'Compilado 2023'!D:D)</f>
        <v>26341.55</v>
      </c>
      <c r="E65" s="35">
        <f>_xlfn.XLOOKUP($B:$B,'Compilado 2023'!$B:$B,'Compilado 2023'!E:E)</f>
        <v>0</v>
      </c>
      <c r="F65" s="18">
        <f>_xlfn.XLOOKUP($B:$B,'Compilado 2023'!$B:$B,'Compilado 2023'!F:F)</f>
        <v>90</v>
      </c>
      <c r="G65" s="18">
        <f>_xlfn.XLOOKUP($B:$B,'Compilado 2023'!$B:$B,'Compilado 2023'!G:G)</f>
        <v>115</v>
      </c>
      <c r="H65" s="35">
        <f t="shared" ref="H65:H94" si="41">IFERROR(C65/F65,0)</f>
        <v>292.68388888888887</v>
      </c>
      <c r="I65" s="19">
        <f t="shared" ref="I65:I94" si="42">SUM(N65:U65)</f>
        <v>689.43290322580651</v>
      </c>
      <c r="J65" s="122">
        <f t="shared" ref="J65:J94" si="43">IF(I65&gt;0,C65/I65,0)</f>
        <v>38.207561427297421</v>
      </c>
      <c r="K65" s="18">
        <f>_xlfn.XLOOKUP($B:$B,'Compilado 2023'!$B:$B,'Compilado 2023'!K:K)</f>
        <v>2584</v>
      </c>
      <c r="L65" s="54">
        <f t="shared" ref="L65:L94" si="44">IFERROR(F65/K65,0)</f>
        <v>3.4829721362229102E-2</v>
      </c>
      <c r="M65" s="149"/>
      <c r="N65" s="106">
        <f>_xlfn.XLOOKUP($B:$B,'Compilado 2023'!$B:$B,'Compilado 2023'!N:N)</f>
        <v>505.8</v>
      </c>
      <c r="O65" s="106">
        <f>_xlfn.XLOOKUP($B:$B,'Compilado 2023'!$B:$B,'Compilado 2023'!O:O)</f>
        <v>132.02000000000001</v>
      </c>
      <c r="P65" s="106">
        <f>_xlfn.XLOOKUP($B:$B,'Compilado 2023'!$B:$B,'Compilado 2023'!P:P)</f>
        <v>0</v>
      </c>
      <c r="Q65" s="106">
        <f>_xlfn.XLOOKUP($B:$B,'Compilado 2023'!$B:$B,'Compilado 2023'!Q:Q)</f>
        <v>51.612903225806448</v>
      </c>
      <c r="R65" s="106">
        <f>_xlfn.XLOOKUP($B:$B,'Compilado 2023'!$B:$B,'Compilado 2023'!R:R)</f>
        <v>0</v>
      </c>
      <c r="S65" s="106">
        <f>_xlfn.XLOOKUP($B:$B,'Compilado 2023'!$B:$B,'Compilado 2023'!T:T)</f>
        <v>0</v>
      </c>
      <c r="T65" s="106">
        <f>_xlfn.XLOOKUP($B:$B,'Compilado 2023'!$B:$B,'Compilado 2023'!U:U)</f>
        <v>0</v>
      </c>
      <c r="U65" s="106">
        <f>_xlfn.XLOOKUP($B:$B,'Compilado 2023'!$B:$B,'Compilado 2023'!V:V)</f>
        <v>0</v>
      </c>
      <c r="V65" s="57"/>
      <c r="W65" s="106">
        <f>_xlfn.XLOOKUP($B:$B,'Compilado 2023'!$B:$B,'Compilado 2023'!X:X)</f>
        <v>0</v>
      </c>
      <c r="X65" s="106">
        <f>_xlfn.XLOOKUP($B:$B,'Compilado 2023'!$B:$B,'Compilado 2023'!Y:Y)</f>
        <v>0</v>
      </c>
      <c r="Y65" s="106">
        <f>_xlfn.XLOOKUP($B:$B,'Compilado 2023'!$B:$B,'Compilado 2023'!Z:Z)</f>
        <v>0</v>
      </c>
      <c r="AA65" s="208">
        <v>45109</v>
      </c>
    </row>
    <row r="66" spans="1:27" hidden="1" x14ac:dyDescent="0.2">
      <c r="A66" s="17" t="str">
        <f t="shared" ca="1" si="34"/>
        <v>Realizado</v>
      </c>
      <c r="B66" s="17">
        <v>44745</v>
      </c>
      <c r="C66" s="19">
        <f t="shared" si="40"/>
        <v>15608.35</v>
      </c>
      <c r="D66" s="35">
        <f>_xlfn.XLOOKUP($B:$B,'Compilado 2023'!$B:$B,'Compilado 2023'!D:D)</f>
        <v>15608.35</v>
      </c>
      <c r="E66" s="35">
        <f>_xlfn.XLOOKUP($B:$B,'Compilado 2023'!$B:$B,'Compilado 2023'!E:E)</f>
        <v>0</v>
      </c>
      <c r="F66" s="18">
        <f>_xlfn.XLOOKUP($B:$B,'Compilado 2023'!$B:$B,'Compilado 2023'!F:F)</f>
        <v>59</v>
      </c>
      <c r="G66" s="18">
        <f>_xlfn.XLOOKUP($B:$B,'Compilado 2023'!$B:$B,'Compilado 2023'!G:G)</f>
        <v>74</v>
      </c>
      <c r="H66" s="35">
        <f t="shared" si="41"/>
        <v>264.54830508474578</v>
      </c>
      <c r="I66" s="19">
        <f t="shared" si="42"/>
        <v>717.84290322580648</v>
      </c>
      <c r="J66" s="122">
        <f t="shared" si="43"/>
        <v>21.743406433162434</v>
      </c>
      <c r="K66" s="18">
        <f>_xlfn.XLOOKUP($B:$B,'Compilado 2023'!$B:$B,'Compilado 2023'!K:K)</f>
        <v>2372</v>
      </c>
      <c r="L66" s="54">
        <f t="shared" si="44"/>
        <v>2.4873524451939293E-2</v>
      </c>
      <c r="M66" s="149"/>
      <c r="N66" s="106">
        <f>_xlfn.XLOOKUP($B:$B,'Compilado 2023'!$B:$B,'Compilado 2023'!N:N)</f>
        <v>543.34</v>
      </c>
      <c r="O66" s="106">
        <f>_xlfn.XLOOKUP($B:$B,'Compilado 2023'!$B:$B,'Compilado 2023'!O:O)</f>
        <v>122.89</v>
      </c>
      <c r="P66" s="106">
        <f>_xlfn.XLOOKUP($B:$B,'Compilado 2023'!$B:$B,'Compilado 2023'!P:P)</f>
        <v>0</v>
      </c>
      <c r="Q66" s="106">
        <f>_xlfn.XLOOKUP($B:$B,'Compilado 2023'!$B:$B,'Compilado 2023'!Q:Q)</f>
        <v>51.612903225806448</v>
      </c>
      <c r="R66" s="106">
        <f>_xlfn.XLOOKUP($B:$B,'Compilado 2023'!$B:$B,'Compilado 2023'!R:R)</f>
        <v>0</v>
      </c>
      <c r="S66" s="106">
        <f>_xlfn.XLOOKUP($B:$B,'Compilado 2023'!$B:$B,'Compilado 2023'!T:T)</f>
        <v>0</v>
      </c>
      <c r="T66" s="106">
        <f>_xlfn.XLOOKUP($B:$B,'Compilado 2023'!$B:$B,'Compilado 2023'!U:U)</f>
        <v>0</v>
      </c>
      <c r="U66" s="106">
        <f>_xlfn.XLOOKUP($B:$B,'Compilado 2023'!$B:$B,'Compilado 2023'!V:V)</f>
        <v>0</v>
      </c>
      <c r="V66" s="57"/>
      <c r="W66" s="106">
        <f>_xlfn.XLOOKUP($B:$B,'Compilado 2023'!$B:$B,'Compilado 2023'!X:X)</f>
        <v>0</v>
      </c>
      <c r="X66" s="106">
        <f>_xlfn.XLOOKUP($B:$B,'Compilado 2023'!$B:$B,'Compilado 2023'!Y:Y)</f>
        <v>0</v>
      </c>
      <c r="Y66" s="106">
        <f>_xlfn.XLOOKUP($B:$B,'Compilado 2023'!$B:$B,'Compilado 2023'!Z:Z)</f>
        <v>0</v>
      </c>
      <c r="AA66" s="208">
        <v>45110</v>
      </c>
    </row>
    <row r="67" spans="1:27" hidden="1" x14ac:dyDescent="0.2">
      <c r="A67" s="17" t="str">
        <f t="shared" ca="1" si="34"/>
        <v>Realizado</v>
      </c>
      <c r="B67" s="17">
        <v>44746</v>
      </c>
      <c r="C67" s="19">
        <f t="shared" si="40"/>
        <v>29378.33</v>
      </c>
      <c r="D67" s="35">
        <f>_xlfn.XLOOKUP($B:$B,'Compilado 2023'!$B:$B,'Compilado 2023'!D:D)</f>
        <v>29378.33</v>
      </c>
      <c r="E67" s="35">
        <f>_xlfn.XLOOKUP($B:$B,'Compilado 2023'!$B:$B,'Compilado 2023'!E:E)</f>
        <v>0</v>
      </c>
      <c r="F67" s="18">
        <f>_xlfn.XLOOKUP($B:$B,'Compilado 2023'!$B:$B,'Compilado 2023'!F:F)</f>
        <v>103</v>
      </c>
      <c r="G67" s="18">
        <f>_xlfn.XLOOKUP($B:$B,'Compilado 2023'!$B:$B,'Compilado 2023'!G:G)</f>
        <v>132</v>
      </c>
      <c r="H67" s="35">
        <f t="shared" si="41"/>
        <v>285.22650485436895</v>
      </c>
      <c r="I67" s="19">
        <f t="shared" si="42"/>
        <v>824.87290322580645</v>
      </c>
      <c r="J67" s="122">
        <f t="shared" si="43"/>
        <v>35.615583788861315</v>
      </c>
      <c r="K67" s="18">
        <f>_xlfn.XLOOKUP($B:$B,'Compilado 2023'!$B:$B,'Compilado 2023'!K:K)</f>
        <v>3866</v>
      </c>
      <c r="L67" s="54">
        <f t="shared" si="44"/>
        <v>2.6642524573202275E-2</v>
      </c>
      <c r="M67" s="149"/>
      <c r="N67" s="106">
        <f>_xlfn.XLOOKUP($B:$B,'Compilado 2023'!$B:$B,'Compilado 2023'!N:N)</f>
        <v>662.2</v>
      </c>
      <c r="O67" s="106">
        <f>_xlfn.XLOOKUP($B:$B,'Compilado 2023'!$B:$B,'Compilado 2023'!O:O)</f>
        <v>111.06</v>
      </c>
      <c r="P67" s="106">
        <f>_xlfn.XLOOKUP($B:$B,'Compilado 2023'!$B:$B,'Compilado 2023'!P:P)</f>
        <v>0</v>
      </c>
      <c r="Q67" s="106">
        <f>_xlfn.XLOOKUP($B:$B,'Compilado 2023'!$B:$B,'Compilado 2023'!Q:Q)</f>
        <v>51.612903225806448</v>
      </c>
      <c r="R67" s="106">
        <f>_xlfn.XLOOKUP($B:$B,'Compilado 2023'!$B:$B,'Compilado 2023'!R:R)</f>
        <v>0</v>
      </c>
      <c r="S67" s="106">
        <f>_xlfn.XLOOKUP($B:$B,'Compilado 2023'!$B:$B,'Compilado 2023'!T:T)</f>
        <v>0</v>
      </c>
      <c r="T67" s="106">
        <f>_xlfn.XLOOKUP($B:$B,'Compilado 2023'!$B:$B,'Compilado 2023'!U:U)</f>
        <v>0</v>
      </c>
      <c r="U67" s="106">
        <f>_xlfn.XLOOKUP($B:$B,'Compilado 2023'!$B:$B,'Compilado 2023'!V:V)</f>
        <v>0</v>
      </c>
      <c r="V67" s="57"/>
      <c r="W67" s="106">
        <f>_xlfn.XLOOKUP($B:$B,'Compilado 2023'!$B:$B,'Compilado 2023'!X:X)</f>
        <v>0</v>
      </c>
      <c r="X67" s="106">
        <f>_xlfn.XLOOKUP($B:$B,'Compilado 2023'!$B:$B,'Compilado 2023'!Y:Y)</f>
        <v>0</v>
      </c>
      <c r="Y67" s="106">
        <f>_xlfn.XLOOKUP($B:$B,'Compilado 2023'!$B:$B,'Compilado 2023'!Z:Z)</f>
        <v>0</v>
      </c>
      <c r="AA67" s="208">
        <v>45111</v>
      </c>
    </row>
    <row r="68" spans="1:27" hidden="1" x14ac:dyDescent="0.2">
      <c r="A68" s="17" t="str">
        <f t="shared" ca="1" si="34"/>
        <v>Realizado</v>
      </c>
      <c r="B68" s="17">
        <v>44747</v>
      </c>
      <c r="C68" s="19">
        <f t="shared" si="40"/>
        <v>36634.06</v>
      </c>
      <c r="D68" s="35">
        <f>_xlfn.XLOOKUP($B:$B,'Compilado 2023'!$B:$B,'Compilado 2023'!D:D)</f>
        <v>36634.06</v>
      </c>
      <c r="E68" s="35">
        <f>_xlfn.XLOOKUP($B:$B,'Compilado 2023'!$B:$B,'Compilado 2023'!E:E)</f>
        <v>0</v>
      </c>
      <c r="F68" s="18">
        <f>_xlfn.XLOOKUP($B:$B,'Compilado 2023'!$B:$B,'Compilado 2023'!F:F)</f>
        <v>128</v>
      </c>
      <c r="G68" s="18">
        <f>_xlfn.XLOOKUP($B:$B,'Compilado 2023'!$B:$B,'Compilado 2023'!G:G)</f>
        <v>152</v>
      </c>
      <c r="H68" s="35">
        <f t="shared" si="41"/>
        <v>286.20359374999998</v>
      </c>
      <c r="I68" s="19">
        <f t="shared" si="42"/>
        <v>790.31290322580651</v>
      </c>
      <c r="J68" s="122">
        <f t="shared" si="43"/>
        <v>46.35386800654701</v>
      </c>
      <c r="K68" s="18">
        <f>_xlfn.XLOOKUP($B:$B,'Compilado 2023'!$B:$B,'Compilado 2023'!K:K)</f>
        <v>3732</v>
      </c>
      <c r="L68" s="54">
        <f t="shared" si="44"/>
        <v>3.4297963558413719E-2</v>
      </c>
      <c r="M68" s="149"/>
      <c r="N68" s="106">
        <f>_xlfn.XLOOKUP($B:$B,'Compilado 2023'!$B:$B,'Compilado 2023'!N:N)</f>
        <v>612.45000000000005</v>
      </c>
      <c r="O68" s="106">
        <f>_xlfn.XLOOKUP($B:$B,'Compilado 2023'!$B:$B,'Compilado 2023'!O:O)</f>
        <v>126.25</v>
      </c>
      <c r="P68" s="106">
        <f>_xlfn.XLOOKUP($B:$B,'Compilado 2023'!$B:$B,'Compilado 2023'!P:P)</f>
        <v>0</v>
      </c>
      <c r="Q68" s="106">
        <f>_xlfn.XLOOKUP($B:$B,'Compilado 2023'!$B:$B,'Compilado 2023'!Q:Q)</f>
        <v>51.612903225806448</v>
      </c>
      <c r="R68" s="106">
        <f>_xlfn.XLOOKUP($B:$B,'Compilado 2023'!$B:$B,'Compilado 2023'!R:R)</f>
        <v>0</v>
      </c>
      <c r="S68" s="106">
        <f>_xlfn.XLOOKUP($B:$B,'Compilado 2023'!$B:$B,'Compilado 2023'!T:T)</f>
        <v>0</v>
      </c>
      <c r="T68" s="106">
        <f>_xlfn.XLOOKUP($B:$B,'Compilado 2023'!$B:$B,'Compilado 2023'!U:U)</f>
        <v>0</v>
      </c>
      <c r="U68" s="106">
        <f>_xlfn.XLOOKUP($B:$B,'Compilado 2023'!$B:$B,'Compilado 2023'!V:V)</f>
        <v>0</v>
      </c>
      <c r="V68" s="57"/>
      <c r="W68" s="106">
        <f>_xlfn.XLOOKUP($B:$B,'Compilado 2023'!$B:$B,'Compilado 2023'!X:X)</f>
        <v>0</v>
      </c>
      <c r="X68" s="106">
        <f>_xlfn.XLOOKUP($B:$B,'Compilado 2023'!$B:$B,'Compilado 2023'!Y:Y)</f>
        <v>0</v>
      </c>
      <c r="Y68" s="106">
        <f>_xlfn.XLOOKUP($B:$B,'Compilado 2023'!$B:$B,'Compilado 2023'!Z:Z)</f>
        <v>0</v>
      </c>
      <c r="AA68" s="208">
        <v>45112</v>
      </c>
    </row>
    <row r="69" spans="1:27" hidden="1" x14ac:dyDescent="0.2">
      <c r="A69" s="17" t="str">
        <f ca="1">IF($A$63&lt;=AA69,"Previsto","Realizado")</f>
        <v>Realizado</v>
      </c>
      <c r="B69" s="17">
        <v>44748</v>
      </c>
      <c r="C69" s="19">
        <f t="shared" si="40"/>
        <v>42395.32</v>
      </c>
      <c r="D69" s="35">
        <f>_xlfn.XLOOKUP($B:$B,'Compilado 2023'!$B:$B,'Compilado 2023'!D:D)</f>
        <v>42395.32</v>
      </c>
      <c r="E69" s="35">
        <f>_xlfn.XLOOKUP($B:$B,'Compilado 2023'!$B:$B,'Compilado 2023'!E:E)</f>
        <v>0</v>
      </c>
      <c r="F69" s="18">
        <f>_xlfn.XLOOKUP($B:$B,'Compilado 2023'!$B:$B,'Compilado 2023'!F:F)</f>
        <v>142</v>
      </c>
      <c r="G69" s="18">
        <f>_xlfn.XLOOKUP($B:$B,'Compilado 2023'!$B:$B,'Compilado 2023'!G:G)</f>
        <v>182</v>
      </c>
      <c r="H69" s="35">
        <f t="shared" si="41"/>
        <v>298.55859154929578</v>
      </c>
      <c r="I69" s="19">
        <f t="shared" si="42"/>
        <v>250.74290322580646</v>
      </c>
      <c r="J69" s="122">
        <f t="shared" si="43"/>
        <v>169.07884312809804</v>
      </c>
      <c r="K69" s="18">
        <f>_xlfn.XLOOKUP($B:$B,'Compilado 2023'!$B:$B,'Compilado 2023'!K:K)</f>
        <v>3529</v>
      </c>
      <c r="L69" s="54">
        <f t="shared" si="44"/>
        <v>4.0238027769906488E-2</v>
      </c>
      <c r="M69" s="149"/>
      <c r="N69" s="106">
        <f>_xlfn.XLOOKUP($B:$B,'Compilado 2023'!$B:$B,'Compilado 2023'!N:N)</f>
        <v>70.27</v>
      </c>
      <c r="O69" s="106">
        <f>_xlfn.XLOOKUP($B:$B,'Compilado 2023'!$B:$B,'Compilado 2023'!O:O)</f>
        <v>128.86000000000001</v>
      </c>
      <c r="P69" s="106">
        <f>_xlfn.XLOOKUP($B:$B,'Compilado 2023'!$B:$B,'Compilado 2023'!P:P)</f>
        <v>0</v>
      </c>
      <c r="Q69" s="106">
        <f>_xlfn.XLOOKUP($B:$B,'Compilado 2023'!$B:$B,'Compilado 2023'!Q:Q)</f>
        <v>51.612903225806448</v>
      </c>
      <c r="R69" s="106">
        <f>_xlfn.XLOOKUP($B:$B,'Compilado 2023'!$B:$B,'Compilado 2023'!R:R)</f>
        <v>0</v>
      </c>
      <c r="S69" s="106">
        <f>_xlfn.XLOOKUP($B:$B,'Compilado 2023'!$B:$B,'Compilado 2023'!T:T)</f>
        <v>0</v>
      </c>
      <c r="T69" s="106">
        <f>_xlfn.XLOOKUP($B:$B,'Compilado 2023'!$B:$B,'Compilado 2023'!U:U)</f>
        <v>0</v>
      </c>
      <c r="U69" s="106">
        <f>_xlfn.XLOOKUP($B:$B,'Compilado 2023'!$B:$B,'Compilado 2023'!V:V)</f>
        <v>0</v>
      </c>
      <c r="V69" s="57"/>
      <c r="W69" s="106">
        <f>_xlfn.XLOOKUP($B:$B,'Compilado 2023'!$B:$B,'Compilado 2023'!X:X)</f>
        <v>0</v>
      </c>
      <c r="X69" s="106">
        <f>_xlfn.XLOOKUP($B:$B,'Compilado 2023'!$B:$B,'Compilado 2023'!Y:Y)</f>
        <v>0</v>
      </c>
      <c r="Y69" s="106">
        <f>_xlfn.XLOOKUP($B:$B,'Compilado 2023'!$B:$B,'Compilado 2023'!Z:Z)</f>
        <v>0</v>
      </c>
      <c r="AA69" s="208">
        <v>45113</v>
      </c>
    </row>
    <row r="70" spans="1:27" hidden="1" x14ac:dyDescent="0.2">
      <c r="A70" s="17" t="str">
        <f t="shared" ref="A70:A94" ca="1" si="45">IF($A$63&lt;=AA70,"Previsto","Realizado")</f>
        <v>Realizado</v>
      </c>
      <c r="B70" s="17">
        <v>44749</v>
      </c>
      <c r="C70" s="19">
        <f t="shared" si="40"/>
        <v>37505.440000000002</v>
      </c>
      <c r="D70" s="35">
        <f>_xlfn.XLOOKUP($B:$B,'Compilado 2023'!$B:$B,'Compilado 2023'!D:D)</f>
        <v>37455.300000000003</v>
      </c>
      <c r="E70" s="35">
        <f>_xlfn.XLOOKUP($B:$B,'Compilado 2023'!$B:$B,'Compilado 2023'!E:E)</f>
        <v>50.14</v>
      </c>
      <c r="F70" s="18">
        <f>_xlfn.XLOOKUP($B:$B,'Compilado 2023'!$B:$B,'Compilado 2023'!F:F)</f>
        <v>127</v>
      </c>
      <c r="G70" s="18">
        <f>_xlfn.XLOOKUP($B:$B,'Compilado 2023'!$B:$B,'Compilado 2023'!G:G)</f>
        <v>156</v>
      </c>
      <c r="H70" s="35">
        <f t="shared" si="41"/>
        <v>295.3184251968504</v>
      </c>
      <c r="I70" s="19">
        <f t="shared" si="42"/>
        <v>222.32290322580644</v>
      </c>
      <c r="J70" s="122">
        <f t="shared" si="43"/>
        <v>168.69804890010317</v>
      </c>
      <c r="K70" s="18">
        <f>_xlfn.XLOOKUP($B:$B,'Compilado 2023'!$B:$B,'Compilado 2023'!K:K)</f>
        <v>3390</v>
      </c>
      <c r="L70" s="54">
        <f t="shared" si="44"/>
        <v>3.7463126843657817E-2</v>
      </c>
      <c r="M70" s="149"/>
      <c r="N70" s="106">
        <f>_xlfn.XLOOKUP($B:$B,'Compilado 2023'!$B:$B,'Compilado 2023'!N:N)</f>
        <v>0</v>
      </c>
      <c r="O70" s="106">
        <f>_xlfn.XLOOKUP($B:$B,'Compilado 2023'!$B:$B,'Compilado 2023'!O:O)</f>
        <v>170.71</v>
      </c>
      <c r="P70" s="106">
        <f>_xlfn.XLOOKUP($B:$B,'Compilado 2023'!$B:$B,'Compilado 2023'!P:P)</f>
        <v>0</v>
      </c>
      <c r="Q70" s="106">
        <f>_xlfn.XLOOKUP($B:$B,'Compilado 2023'!$B:$B,'Compilado 2023'!Q:Q)</f>
        <v>51.612903225806448</v>
      </c>
      <c r="R70" s="106">
        <f>_xlfn.XLOOKUP($B:$B,'Compilado 2023'!$B:$B,'Compilado 2023'!R:R)</f>
        <v>0</v>
      </c>
      <c r="S70" s="106">
        <f>_xlfn.XLOOKUP($B:$B,'Compilado 2023'!$B:$B,'Compilado 2023'!T:T)</f>
        <v>0</v>
      </c>
      <c r="T70" s="106">
        <f>_xlfn.XLOOKUP($B:$B,'Compilado 2023'!$B:$B,'Compilado 2023'!U:U)</f>
        <v>0</v>
      </c>
      <c r="U70" s="106">
        <f>_xlfn.XLOOKUP($B:$B,'Compilado 2023'!$B:$B,'Compilado 2023'!V:V)</f>
        <v>0</v>
      </c>
      <c r="V70" s="57"/>
      <c r="W70" s="106">
        <f>_xlfn.XLOOKUP($B:$B,'Compilado 2023'!$B:$B,'Compilado 2023'!X:X)</f>
        <v>0</v>
      </c>
      <c r="X70" s="106">
        <f>_xlfn.XLOOKUP($B:$B,'Compilado 2023'!$B:$B,'Compilado 2023'!Y:Y)</f>
        <v>0</v>
      </c>
      <c r="Y70" s="106">
        <f>_xlfn.XLOOKUP($B:$B,'Compilado 2023'!$B:$B,'Compilado 2023'!Z:Z)</f>
        <v>0</v>
      </c>
      <c r="AA70" s="208">
        <v>45114</v>
      </c>
    </row>
    <row r="71" spans="1:27" hidden="1" x14ac:dyDescent="0.2">
      <c r="A71" s="17" t="str">
        <f t="shared" ca="1" si="45"/>
        <v>Realizado</v>
      </c>
      <c r="B71" s="17">
        <v>44750</v>
      </c>
      <c r="C71" s="19">
        <f t="shared" si="40"/>
        <v>50251.18</v>
      </c>
      <c r="D71" s="35">
        <f>_xlfn.XLOOKUP($B:$B,'Compilado 2023'!$B:$B,'Compilado 2023'!D:D)</f>
        <v>50186.29</v>
      </c>
      <c r="E71" s="35">
        <f>_xlfn.XLOOKUP($B:$B,'Compilado 2023'!$B:$B,'Compilado 2023'!E:E)</f>
        <v>64.89</v>
      </c>
      <c r="F71" s="18">
        <f>_xlfn.XLOOKUP($B:$B,'Compilado 2023'!$B:$B,'Compilado 2023'!F:F)</f>
        <v>169</v>
      </c>
      <c r="G71" s="18">
        <f>_xlfn.XLOOKUP($B:$B,'Compilado 2023'!$B:$B,'Compilado 2023'!G:G)</f>
        <v>196</v>
      </c>
      <c r="H71" s="35">
        <f t="shared" si="41"/>
        <v>297.34426035502958</v>
      </c>
      <c r="I71" s="19">
        <f t="shared" si="42"/>
        <v>325.79290322580647</v>
      </c>
      <c r="J71" s="122">
        <f t="shared" si="43"/>
        <v>154.24270910275476</v>
      </c>
      <c r="K71" s="18">
        <f>_xlfn.XLOOKUP($B:$B,'Compilado 2023'!$B:$B,'Compilado 2023'!K:K)</f>
        <v>3477</v>
      </c>
      <c r="L71" s="54">
        <f t="shared" si="44"/>
        <v>4.8605119355766467E-2</v>
      </c>
      <c r="M71" s="149"/>
      <c r="N71" s="106">
        <f>_xlfn.XLOOKUP($B:$B,'Compilado 2023'!$B:$B,'Compilado 2023'!N:N)</f>
        <v>0</v>
      </c>
      <c r="O71" s="106">
        <f>_xlfn.XLOOKUP($B:$B,'Compilado 2023'!$B:$B,'Compilado 2023'!O:O)</f>
        <v>274.18</v>
      </c>
      <c r="P71" s="106">
        <f>_xlfn.XLOOKUP($B:$B,'Compilado 2023'!$B:$B,'Compilado 2023'!P:P)</f>
        <v>0</v>
      </c>
      <c r="Q71" s="106">
        <f>_xlfn.XLOOKUP($B:$B,'Compilado 2023'!$B:$B,'Compilado 2023'!Q:Q)</f>
        <v>51.612903225806448</v>
      </c>
      <c r="R71" s="106">
        <f>_xlfn.XLOOKUP($B:$B,'Compilado 2023'!$B:$B,'Compilado 2023'!R:R)</f>
        <v>0</v>
      </c>
      <c r="S71" s="106">
        <f>_xlfn.XLOOKUP($B:$B,'Compilado 2023'!$B:$B,'Compilado 2023'!T:T)</f>
        <v>0</v>
      </c>
      <c r="T71" s="106">
        <f>_xlfn.XLOOKUP($B:$B,'Compilado 2023'!$B:$B,'Compilado 2023'!U:U)</f>
        <v>0</v>
      </c>
      <c r="U71" s="106">
        <f>_xlfn.XLOOKUP($B:$B,'Compilado 2023'!$B:$B,'Compilado 2023'!V:V)</f>
        <v>0</v>
      </c>
      <c r="V71" s="57"/>
      <c r="W71" s="106">
        <f>_xlfn.XLOOKUP($B:$B,'Compilado 2023'!$B:$B,'Compilado 2023'!X:X)</f>
        <v>0</v>
      </c>
      <c r="X71" s="106">
        <f>_xlfn.XLOOKUP($B:$B,'Compilado 2023'!$B:$B,'Compilado 2023'!Y:Y)</f>
        <v>0</v>
      </c>
      <c r="Y71" s="106">
        <f>_xlfn.XLOOKUP($B:$B,'Compilado 2023'!$B:$B,'Compilado 2023'!Z:Z)</f>
        <v>0</v>
      </c>
      <c r="AA71" s="208">
        <v>45115</v>
      </c>
    </row>
    <row r="72" spans="1:27" hidden="1" x14ac:dyDescent="0.2">
      <c r="A72" s="17" t="str">
        <f t="shared" ca="1" si="45"/>
        <v>Realizado</v>
      </c>
      <c r="B72" s="17">
        <v>44751</v>
      </c>
      <c r="C72" s="19">
        <f t="shared" si="40"/>
        <v>28220.48</v>
      </c>
      <c r="D72" s="35">
        <f>_xlfn.XLOOKUP($B:$B,'Compilado 2023'!$B:$B,'Compilado 2023'!D:D)</f>
        <v>28220.48</v>
      </c>
      <c r="E72" s="35">
        <f>_xlfn.XLOOKUP($B:$B,'Compilado 2023'!$B:$B,'Compilado 2023'!E:E)</f>
        <v>0</v>
      </c>
      <c r="F72" s="18">
        <f>_xlfn.XLOOKUP($B:$B,'Compilado 2023'!$B:$B,'Compilado 2023'!F:F)</f>
        <v>95</v>
      </c>
      <c r="G72" s="18">
        <f>_xlfn.XLOOKUP($B:$B,'Compilado 2023'!$B:$B,'Compilado 2023'!G:G)</f>
        <v>117</v>
      </c>
      <c r="H72" s="35">
        <f t="shared" si="41"/>
        <v>297.0576842105263</v>
      </c>
      <c r="I72" s="19">
        <f t="shared" si="42"/>
        <v>362.39290322580644</v>
      </c>
      <c r="J72" s="122">
        <f t="shared" si="43"/>
        <v>77.872606634396107</v>
      </c>
      <c r="K72" s="18">
        <f>_xlfn.XLOOKUP($B:$B,'Compilado 2023'!$B:$B,'Compilado 2023'!K:K)</f>
        <v>2534</v>
      </c>
      <c r="L72" s="54">
        <f t="shared" si="44"/>
        <v>3.7490134175217051E-2</v>
      </c>
      <c r="M72" s="149"/>
      <c r="N72" s="106">
        <f>_xlfn.XLOOKUP($B:$B,'Compilado 2023'!$B:$B,'Compilado 2023'!N:N)</f>
        <v>0</v>
      </c>
      <c r="O72" s="106">
        <f>_xlfn.XLOOKUP($B:$B,'Compilado 2023'!$B:$B,'Compilado 2023'!O:O)</f>
        <v>310.77999999999997</v>
      </c>
      <c r="P72" s="106">
        <f>_xlfn.XLOOKUP($B:$B,'Compilado 2023'!$B:$B,'Compilado 2023'!P:P)</f>
        <v>0</v>
      </c>
      <c r="Q72" s="106">
        <f>_xlfn.XLOOKUP($B:$B,'Compilado 2023'!$B:$B,'Compilado 2023'!Q:Q)</f>
        <v>51.612903225806448</v>
      </c>
      <c r="R72" s="106">
        <f>_xlfn.XLOOKUP($B:$B,'Compilado 2023'!$B:$B,'Compilado 2023'!R:R)</f>
        <v>0</v>
      </c>
      <c r="S72" s="106">
        <f>_xlfn.XLOOKUP($B:$B,'Compilado 2023'!$B:$B,'Compilado 2023'!T:T)</f>
        <v>0</v>
      </c>
      <c r="T72" s="106">
        <f>_xlfn.XLOOKUP($B:$B,'Compilado 2023'!$B:$B,'Compilado 2023'!U:U)</f>
        <v>0</v>
      </c>
      <c r="U72" s="106">
        <f>_xlfn.XLOOKUP($B:$B,'Compilado 2023'!$B:$B,'Compilado 2023'!V:V)</f>
        <v>0</v>
      </c>
      <c r="V72" s="57"/>
      <c r="W72" s="106">
        <f>_xlfn.XLOOKUP($B:$B,'Compilado 2023'!$B:$B,'Compilado 2023'!X:X)</f>
        <v>0</v>
      </c>
      <c r="X72" s="106">
        <f>_xlfn.XLOOKUP($B:$B,'Compilado 2023'!$B:$B,'Compilado 2023'!Y:Y)</f>
        <v>0</v>
      </c>
      <c r="Y72" s="106">
        <f>_xlfn.XLOOKUP($B:$B,'Compilado 2023'!$B:$B,'Compilado 2023'!Z:Z)</f>
        <v>0</v>
      </c>
      <c r="AA72" s="208">
        <v>45116</v>
      </c>
    </row>
    <row r="73" spans="1:27" hidden="1" x14ac:dyDescent="0.2">
      <c r="A73" s="17" t="str">
        <f t="shared" ca="1" si="45"/>
        <v>Realizado</v>
      </c>
      <c r="B73" s="17">
        <v>44752</v>
      </c>
      <c r="C73" s="19">
        <f t="shared" si="40"/>
        <v>17813.48</v>
      </c>
      <c r="D73" s="35">
        <f>_xlfn.XLOOKUP($B:$B,'Compilado 2023'!$B:$B,'Compilado 2023'!D:D)</f>
        <v>17813.48</v>
      </c>
      <c r="E73" s="35">
        <f>_xlfn.XLOOKUP($B:$B,'Compilado 2023'!$B:$B,'Compilado 2023'!E:E)</f>
        <v>0</v>
      </c>
      <c r="F73" s="18">
        <f>_xlfn.XLOOKUP($B:$B,'Compilado 2023'!$B:$B,'Compilado 2023'!F:F)</f>
        <v>64</v>
      </c>
      <c r="G73" s="18">
        <f>_xlfn.XLOOKUP($B:$B,'Compilado 2023'!$B:$B,'Compilado 2023'!G:G)</f>
        <v>79</v>
      </c>
      <c r="H73" s="35">
        <f t="shared" si="41"/>
        <v>278.33562499999999</v>
      </c>
      <c r="I73" s="19">
        <f t="shared" si="42"/>
        <v>362.72290322580648</v>
      </c>
      <c r="J73" s="122">
        <f t="shared" si="43"/>
        <v>49.110436207857944</v>
      </c>
      <c r="K73" s="18">
        <f>_xlfn.XLOOKUP($B:$B,'Compilado 2023'!$B:$B,'Compilado 2023'!K:K)</f>
        <v>2218</v>
      </c>
      <c r="L73" s="54">
        <f t="shared" si="44"/>
        <v>2.8854824165915238E-2</v>
      </c>
      <c r="M73" s="149"/>
      <c r="N73" s="106">
        <f>_xlfn.XLOOKUP($B:$B,'Compilado 2023'!$B:$B,'Compilado 2023'!N:N)</f>
        <v>0</v>
      </c>
      <c r="O73" s="106">
        <f>_xlfn.XLOOKUP($B:$B,'Compilado 2023'!$B:$B,'Compilado 2023'!O:O)</f>
        <v>311.11</v>
      </c>
      <c r="P73" s="106">
        <f>_xlfn.XLOOKUP($B:$B,'Compilado 2023'!$B:$B,'Compilado 2023'!P:P)</f>
        <v>0</v>
      </c>
      <c r="Q73" s="106">
        <f>_xlfn.XLOOKUP($B:$B,'Compilado 2023'!$B:$B,'Compilado 2023'!Q:Q)</f>
        <v>51.612903225806448</v>
      </c>
      <c r="R73" s="106">
        <f>_xlfn.XLOOKUP($B:$B,'Compilado 2023'!$B:$B,'Compilado 2023'!R:R)</f>
        <v>0</v>
      </c>
      <c r="S73" s="106">
        <f>_xlfn.XLOOKUP($B:$B,'Compilado 2023'!$B:$B,'Compilado 2023'!T:T)</f>
        <v>0</v>
      </c>
      <c r="T73" s="106">
        <f>_xlfn.XLOOKUP($B:$B,'Compilado 2023'!$B:$B,'Compilado 2023'!U:U)</f>
        <v>0</v>
      </c>
      <c r="U73" s="106">
        <f>_xlfn.XLOOKUP($B:$B,'Compilado 2023'!$B:$B,'Compilado 2023'!V:V)</f>
        <v>0</v>
      </c>
      <c r="V73" s="57"/>
      <c r="W73" s="106">
        <f>_xlfn.XLOOKUP($B:$B,'Compilado 2023'!$B:$B,'Compilado 2023'!X:X)</f>
        <v>0</v>
      </c>
      <c r="X73" s="106">
        <f>_xlfn.XLOOKUP($B:$B,'Compilado 2023'!$B:$B,'Compilado 2023'!Y:Y)</f>
        <v>0</v>
      </c>
      <c r="Y73" s="106">
        <f>_xlfn.XLOOKUP($B:$B,'Compilado 2023'!$B:$B,'Compilado 2023'!Z:Z)</f>
        <v>0</v>
      </c>
      <c r="AA73" s="208">
        <v>45117</v>
      </c>
    </row>
    <row r="74" spans="1:27" hidden="1" x14ac:dyDescent="0.2">
      <c r="A74" s="17" t="str">
        <f t="shared" ca="1" si="45"/>
        <v>Realizado</v>
      </c>
      <c r="B74" s="17">
        <v>44753</v>
      </c>
      <c r="C74" s="19">
        <f t="shared" si="40"/>
        <v>41088.559999999998</v>
      </c>
      <c r="D74" s="35">
        <f>_xlfn.XLOOKUP($B:$B,'Compilado 2023'!$B:$B,'Compilado 2023'!D:D)</f>
        <v>41088.559999999998</v>
      </c>
      <c r="E74" s="35">
        <f>_xlfn.XLOOKUP($B:$B,'Compilado 2023'!$B:$B,'Compilado 2023'!E:E)</f>
        <v>0</v>
      </c>
      <c r="F74" s="18">
        <f>_xlfn.XLOOKUP($B:$B,'Compilado 2023'!$B:$B,'Compilado 2023'!F:F)</f>
        <v>135</v>
      </c>
      <c r="G74" s="18">
        <f>_xlfn.XLOOKUP($B:$B,'Compilado 2023'!$B:$B,'Compilado 2023'!G:G)</f>
        <v>198</v>
      </c>
      <c r="H74" s="35">
        <f t="shared" si="41"/>
        <v>304.3597037037037</v>
      </c>
      <c r="I74" s="19">
        <f t="shared" si="42"/>
        <v>249.36290322580646</v>
      </c>
      <c r="J74" s="122">
        <f t="shared" si="43"/>
        <v>164.77414831344393</v>
      </c>
      <c r="K74" s="18">
        <f>_xlfn.XLOOKUP($B:$B,'Compilado 2023'!$B:$B,'Compilado 2023'!K:K)</f>
        <v>3435</v>
      </c>
      <c r="L74" s="54">
        <f t="shared" si="44"/>
        <v>3.9301310043668124E-2</v>
      </c>
      <c r="M74" s="149"/>
      <c r="N74" s="106">
        <f>_xlfn.XLOOKUP($B:$B,'Compilado 2023'!$B:$B,'Compilado 2023'!N:N)</f>
        <v>0</v>
      </c>
      <c r="O74" s="106">
        <f>_xlfn.XLOOKUP($B:$B,'Compilado 2023'!$B:$B,'Compilado 2023'!O:O)</f>
        <v>197.75</v>
      </c>
      <c r="P74" s="106">
        <f>_xlfn.XLOOKUP($B:$B,'Compilado 2023'!$B:$B,'Compilado 2023'!P:P)</f>
        <v>0</v>
      </c>
      <c r="Q74" s="106">
        <f>_xlfn.XLOOKUP($B:$B,'Compilado 2023'!$B:$B,'Compilado 2023'!Q:Q)</f>
        <v>51.612903225806448</v>
      </c>
      <c r="R74" s="106">
        <f>_xlfn.XLOOKUP($B:$B,'Compilado 2023'!$B:$B,'Compilado 2023'!R:R)</f>
        <v>0</v>
      </c>
      <c r="S74" s="106">
        <f>_xlfn.XLOOKUP($B:$B,'Compilado 2023'!$B:$B,'Compilado 2023'!T:T)</f>
        <v>0</v>
      </c>
      <c r="T74" s="106">
        <f>_xlfn.XLOOKUP($B:$B,'Compilado 2023'!$B:$B,'Compilado 2023'!U:U)</f>
        <v>0</v>
      </c>
      <c r="U74" s="106">
        <f>_xlfn.XLOOKUP($B:$B,'Compilado 2023'!$B:$B,'Compilado 2023'!V:V)</f>
        <v>0</v>
      </c>
      <c r="V74" s="57"/>
      <c r="W74" s="106">
        <f>_xlfn.XLOOKUP($B:$B,'Compilado 2023'!$B:$B,'Compilado 2023'!X:X)</f>
        <v>0</v>
      </c>
      <c r="X74" s="106">
        <f>_xlfn.XLOOKUP($B:$B,'Compilado 2023'!$B:$B,'Compilado 2023'!Y:Y)</f>
        <v>0</v>
      </c>
      <c r="Y74" s="106">
        <f>_xlfn.XLOOKUP($B:$B,'Compilado 2023'!$B:$B,'Compilado 2023'!Z:Z)</f>
        <v>0</v>
      </c>
      <c r="AA74" s="208">
        <v>45118</v>
      </c>
    </row>
    <row r="75" spans="1:27" hidden="1" x14ac:dyDescent="0.2">
      <c r="A75" s="17" t="str">
        <f t="shared" ca="1" si="45"/>
        <v>Realizado</v>
      </c>
      <c r="B75" s="17">
        <v>44754</v>
      </c>
      <c r="C75" s="19">
        <f t="shared" si="40"/>
        <v>39520.199999999997</v>
      </c>
      <c r="D75" s="35">
        <f>_xlfn.XLOOKUP($B:$B,'Compilado 2023'!$B:$B,'Compilado 2023'!D:D)</f>
        <v>39520.199999999997</v>
      </c>
      <c r="E75" s="35">
        <f>_xlfn.XLOOKUP($B:$B,'Compilado 2023'!$B:$B,'Compilado 2023'!E:E)</f>
        <v>0</v>
      </c>
      <c r="F75" s="18">
        <f>_xlfn.XLOOKUP($B:$B,'Compilado 2023'!$B:$B,'Compilado 2023'!F:F)</f>
        <v>124</v>
      </c>
      <c r="G75" s="18">
        <f>_xlfn.XLOOKUP($B:$B,'Compilado 2023'!$B:$B,'Compilado 2023'!G:G)</f>
        <v>138</v>
      </c>
      <c r="H75" s="35">
        <f t="shared" si="41"/>
        <v>318.71129032258062</v>
      </c>
      <c r="I75" s="19">
        <f t="shared" si="42"/>
        <v>1134.9829032258062</v>
      </c>
      <c r="J75" s="122">
        <f t="shared" si="43"/>
        <v>34.820083974549</v>
      </c>
      <c r="K75" s="18">
        <f>_xlfn.XLOOKUP($B:$B,'Compilado 2023'!$B:$B,'Compilado 2023'!K:K)</f>
        <v>4038</v>
      </c>
      <c r="L75" s="54">
        <f t="shared" si="44"/>
        <v>3.0708271421495788E-2</v>
      </c>
      <c r="M75" s="149"/>
      <c r="N75" s="106">
        <f>_xlfn.XLOOKUP($B:$B,'Compilado 2023'!$B:$B,'Compilado 2023'!N:N)</f>
        <v>853.98</v>
      </c>
      <c r="O75" s="106">
        <f>_xlfn.XLOOKUP($B:$B,'Compilado 2023'!$B:$B,'Compilado 2023'!O:O)</f>
        <v>229.39</v>
      </c>
      <c r="P75" s="106">
        <f>_xlfn.XLOOKUP($B:$B,'Compilado 2023'!$B:$B,'Compilado 2023'!P:P)</f>
        <v>0</v>
      </c>
      <c r="Q75" s="106">
        <f>_xlfn.XLOOKUP($B:$B,'Compilado 2023'!$B:$B,'Compilado 2023'!Q:Q)</f>
        <v>51.612903225806448</v>
      </c>
      <c r="R75" s="106">
        <f>_xlfn.XLOOKUP($B:$B,'Compilado 2023'!$B:$B,'Compilado 2023'!R:R)</f>
        <v>0</v>
      </c>
      <c r="S75" s="106">
        <f>_xlfn.XLOOKUP($B:$B,'Compilado 2023'!$B:$B,'Compilado 2023'!T:T)</f>
        <v>0</v>
      </c>
      <c r="T75" s="106">
        <f>_xlfn.XLOOKUP($B:$B,'Compilado 2023'!$B:$B,'Compilado 2023'!U:U)</f>
        <v>0</v>
      </c>
      <c r="U75" s="106">
        <f>_xlfn.XLOOKUP($B:$B,'Compilado 2023'!$B:$B,'Compilado 2023'!V:V)</f>
        <v>0</v>
      </c>
      <c r="V75" s="57"/>
      <c r="W75" s="106">
        <f>_xlfn.XLOOKUP($B:$B,'Compilado 2023'!$B:$B,'Compilado 2023'!X:X)</f>
        <v>0</v>
      </c>
      <c r="X75" s="106">
        <f>_xlfn.XLOOKUP($B:$B,'Compilado 2023'!$B:$B,'Compilado 2023'!Y:Y)</f>
        <v>0</v>
      </c>
      <c r="Y75" s="106">
        <f>_xlfn.XLOOKUP($B:$B,'Compilado 2023'!$B:$B,'Compilado 2023'!Z:Z)</f>
        <v>0</v>
      </c>
      <c r="AA75" s="208">
        <v>45119</v>
      </c>
    </row>
    <row r="76" spans="1:27" hidden="1" x14ac:dyDescent="0.2">
      <c r="A76" s="17" t="str">
        <f t="shared" ca="1" si="45"/>
        <v>Realizado</v>
      </c>
      <c r="B76" s="17">
        <v>44755</v>
      </c>
      <c r="C76" s="19">
        <f t="shared" si="40"/>
        <v>29366.97</v>
      </c>
      <c r="D76" s="35">
        <f>_xlfn.XLOOKUP($B:$B,'Compilado 2023'!$B:$B,'Compilado 2023'!D:D)</f>
        <v>29344.74</v>
      </c>
      <c r="E76" s="35">
        <f>_xlfn.XLOOKUP($B:$B,'Compilado 2023'!$B:$B,'Compilado 2023'!E:E)</f>
        <v>22.23</v>
      </c>
      <c r="F76" s="18">
        <f>_xlfn.XLOOKUP($B:$B,'Compilado 2023'!$B:$B,'Compilado 2023'!F:F)</f>
        <v>108</v>
      </c>
      <c r="G76" s="18">
        <f>_xlfn.XLOOKUP($B:$B,'Compilado 2023'!$B:$B,'Compilado 2023'!G:G)</f>
        <v>132</v>
      </c>
      <c r="H76" s="35">
        <f t="shared" si="41"/>
        <v>271.91638888888889</v>
      </c>
      <c r="I76" s="19">
        <f t="shared" si="42"/>
        <v>1154.2429032258065</v>
      </c>
      <c r="J76" s="122">
        <f t="shared" si="43"/>
        <v>25.442625566877663</v>
      </c>
      <c r="K76" s="18">
        <f>_xlfn.XLOOKUP($B:$B,'Compilado 2023'!$B:$B,'Compilado 2023'!K:K)</f>
        <v>3921</v>
      </c>
      <c r="L76" s="54">
        <f t="shared" si="44"/>
        <v>2.754399387911247E-2</v>
      </c>
      <c r="M76" s="149"/>
      <c r="N76" s="106">
        <f>_xlfn.XLOOKUP($B:$B,'Compilado 2023'!$B:$B,'Compilado 2023'!N:N)</f>
        <v>788.24</v>
      </c>
      <c r="O76" s="106">
        <f>_xlfn.XLOOKUP($B:$B,'Compilado 2023'!$B:$B,'Compilado 2023'!O:O)</f>
        <v>314.39</v>
      </c>
      <c r="P76" s="106">
        <f>_xlfn.XLOOKUP($B:$B,'Compilado 2023'!$B:$B,'Compilado 2023'!P:P)</f>
        <v>0</v>
      </c>
      <c r="Q76" s="106">
        <f>_xlfn.XLOOKUP($B:$B,'Compilado 2023'!$B:$B,'Compilado 2023'!Q:Q)</f>
        <v>51.612903225806448</v>
      </c>
      <c r="R76" s="106">
        <f>_xlfn.XLOOKUP($B:$B,'Compilado 2023'!$B:$B,'Compilado 2023'!R:R)</f>
        <v>0</v>
      </c>
      <c r="S76" s="106">
        <f>_xlfn.XLOOKUP($B:$B,'Compilado 2023'!$B:$B,'Compilado 2023'!T:T)</f>
        <v>0</v>
      </c>
      <c r="T76" s="106">
        <f>_xlfn.XLOOKUP($B:$B,'Compilado 2023'!$B:$B,'Compilado 2023'!U:U)</f>
        <v>0</v>
      </c>
      <c r="U76" s="106">
        <f>_xlfn.XLOOKUP($B:$B,'Compilado 2023'!$B:$B,'Compilado 2023'!V:V)</f>
        <v>0</v>
      </c>
      <c r="V76" s="57"/>
      <c r="W76" s="106">
        <f>_xlfn.XLOOKUP($B:$B,'Compilado 2023'!$B:$B,'Compilado 2023'!X:X)</f>
        <v>0</v>
      </c>
      <c r="X76" s="106">
        <f>_xlfn.XLOOKUP($B:$B,'Compilado 2023'!$B:$B,'Compilado 2023'!Y:Y)</f>
        <v>0</v>
      </c>
      <c r="Y76" s="106">
        <f>_xlfn.XLOOKUP($B:$B,'Compilado 2023'!$B:$B,'Compilado 2023'!Z:Z)</f>
        <v>0</v>
      </c>
      <c r="AA76" s="208">
        <v>45120</v>
      </c>
    </row>
    <row r="77" spans="1:27" hidden="1" x14ac:dyDescent="0.2">
      <c r="A77" s="17" t="str">
        <f t="shared" ca="1" si="45"/>
        <v>Realizado</v>
      </c>
      <c r="B77" s="17">
        <v>44756</v>
      </c>
      <c r="C77" s="19">
        <f t="shared" si="40"/>
        <v>43354.31</v>
      </c>
      <c r="D77" s="35">
        <f>_xlfn.XLOOKUP($B:$B,'Compilado 2023'!$B:$B,'Compilado 2023'!D:D)</f>
        <v>43354.31</v>
      </c>
      <c r="E77" s="35">
        <f>_xlfn.XLOOKUP($B:$B,'Compilado 2023'!$B:$B,'Compilado 2023'!E:E)</f>
        <v>0</v>
      </c>
      <c r="F77" s="18">
        <f>_xlfn.XLOOKUP($B:$B,'Compilado 2023'!$B:$B,'Compilado 2023'!F:F)</f>
        <v>150</v>
      </c>
      <c r="G77" s="18">
        <f>_xlfn.XLOOKUP($B:$B,'Compilado 2023'!$B:$B,'Compilado 2023'!G:G)</f>
        <v>188</v>
      </c>
      <c r="H77" s="35">
        <f t="shared" si="41"/>
        <v>289.02873333333332</v>
      </c>
      <c r="I77" s="19">
        <f t="shared" si="42"/>
        <v>928.38290322580644</v>
      </c>
      <c r="J77" s="122">
        <f t="shared" si="43"/>
        <v>46.698738041554741</v>
      </c>
      <c r="K77" s="18">
        <f>_xlfn.XLOOKUP($B:$B,'Compilado 2023'!$B:$B,'Compilado 2023'!K:K)</f>
        <v>3954</v>
      </c>
      <c r="L77" s="54">
        <f t="shared" si="44"/>
        <v>3.7936267071320182E-2</v>
      </c>
      <c r="M77" s="149"/>
      <c r="N77" s="106">
        <f>_xlfn.XLOOKUP($B:$B,'Compilado 2023'!$B:$B,'Compilado 2023'!N:N)</f>
        <v>644.99</v>
      </c>
      <c r="O77" s="106">
        <f>_xlfn.XLOOKUP($B:$B,'Compilado 2023'!$B:$B,'Compilado 2023'!O:O)</f>
        <v>231.78</v>
      </c>
      <c r="P77" s="106">
        <f>_xlfn.XLOOKUP($B:$B,'Compilado 2023'!$B:$B,'Compilado 2023'!P:P)</f>
        <v>0</v>
      </c>
      <c r="Q77" s="106">
        <f>_xlfn.XLOOKUP($B:$B,'Compilado 2023'!$B:$B,'Compilado 2023'!Q:Q)</f>
        <v>51.612903225806448</v>
      </c>
      <c r="R77" s="106">
        <f>_xlfn.XLOOKUP($B:$B,'Compilado 2023'!$B:$B,'Compilado 2023'!R:R)</f>
        <v>0</v>
      </c>
      <c r="S77" s="106">
        <f>_xlfn.XLOOKUP($B:$B,'Compilado 2023'!$B:$B,'Compilado 2023'!T:T)</f>
        <v>0</v>
      </c>
      <c r="T77" s="106">
        <f>_xlfn.XLOOKUP($B:$B,'Compilado 2023'!$B:$B,'Compilado 2023'!U:U)</f>
        <v>0</v>
      </c>
      <c r="U77" s="106">
        <f>_xlfn.XLOOKUP($B:$B,'Compilado 2023'!$B:$B,'Compilado 2023'!V:V)</f>
        <v>0</v>
      </c>
      <c r="V77" s="57"/>
      <c r="W77" s="106">
        <f>_xlfn.XLOOKUP($B:$B,'Compilado 2023'!$B:$B,'Compilado 2023'!X:X)</f>
        <v>0</v>
      </c>
      <c r="X77" s="106">
        <f>_xlfn.XLOOKUP($B:$B,'Compilado 2023'!$B:$B,'Compilado 2023'!Y:Y)</f>
        <v>0</v>
      </c>
      <c r="Y77" s="106">
        <f>_xlfn.XLOOKUP($B:$B,'Compilado 2023'!$B:$B,'Compilado 2023'!Z:Z)</f>
        <v>0</v>
      </c>
      <c r="AA77" s="208">
        <v>45121</v>
      </c>
    </row>
    <row r="78" spans="1:27" hidden="1" x14ac:dyDescent="0.2">
      <c r="A78" s="17" t="str">
        <f t="shared" ca="1" si="45"/>
        <v>Realizado</v>
      </c>
      <c r="B78" s="17">
        <v>44757</v>
      </c>
      <c r="C78" s="19">
        <f t="shared" si="40"/>
        <v>31410.61</v>
      </c>
      <c r="D78" s="35">
        <f>_xlfn.XLOOKUP($B:$B,'Compilado 2023'!$B:$B,'Compilado 2023'!D:D)</f>
        <v>31410.61</v>
      </c>
      <c r="E78" s="35">
        <f>_xlfn.XLOOKUP($B:$B,'Compilado 2023'!$B:$B,'Compilado 2023'!E:E)</f>
        <v>0</v>
      </c>
      <c r="F78" s="18">
        <f>_xlfn.XLOOKUP($B:$B,'Compilado 2023'!$B:$B,'Compilado 2023'!F:F)</f>
        <v>123</v>
      </c>
      <c r="G78" s="18">
        <f>_xlfn.XLOOKUP($B:$B,'Compilado 2023'!$B:$B,'Compilado 2023'!G:G)</f>
        <v>132</v>
      </c>
      <c r="H78" s="35">
        <f t="shared" si="41"/>
        <v>255.37081300813009</v>
      </c>
      <c r="I78" s="19">
        <f t="shared" si="42"/>
        <v>815.39290322580644</v>
      </c>
      <c r="J78" s="122">
        <f t="shared" si="43"/>
        <v>38.522054675402877</v>
      </c>
      <c r="K78" s="18">
        <f>_xlfn.XLOOKUP($B:$B,'Compilado 2023'!$B:$B,'Compilado 2023'!K:K)</f>
        <v>3743</v>
      </c>
      <c r="L78" s="54">
        <f t="shared" si="44"/>
        <v>3.2861341170184341E-2</v>
      </c>
      <c r="M78" s="149"/>
      <c r="N78" s="106">
        <f>_xlfn.XLOOKUP($B:$B,'Compilado 2023'!$B:$B,'Compilado 2023'!N:N)</f>
        <v>566.66</v>
      </c>
      <c r="O78" s="106">
        <f>_xlfn.XLOOKUP($B:$B,'Compilado 2023'!$B:$B,'Compilado 2023'!O:O)</f>
        <v>197.12</v>
      </c>
      <c r="P78" s="106">
        <f>_xlfn.XLOOKUP($B:$B,'Compilado 2023'!$B:$B,'Compilado 2023'!P:P)</f>
        <v>0</v>
      </c>
      <c r="Q78" s="106">
        <f>_xlfn.XLOOKUP($B:$B,'Compilado 2023'!$B:$B,'Compilado 2023'!Q:Q)</f>
        <v>51.612903225806448</v>
      </c>
      <c r="R78" s="106">
        <f>_xlfn.XLOOKUP($B:$B,'Compilado 2023'!$B:$B,'Compilado 2023'!R:R)</f>
        <v>0</v>
      </c>
      <c r="S78" s="106">
        <f>_xlfn.XLOOKUP($B:$B,'Compilado 2023'!$B:$B,'Compilado 2023'!T:T)</f>
        <v>0</v>
      </c>
      <c r="T78" s="106">
        <f>_xlfn.XLOOKUP($B:$B,'Compilado 2023'!$B:$B,'Compilado 2023'!U:U)</f>
        <v>0</v>
      </c>
      <c r="U78" s="106">
        <f>_xlfn.XLOOKUP($B:$B,'Compilado 2023'!$B:$B,'Compilado 2023'!V:V)</f>
        <v>0</v>
      </c>
      <c r="V78" s="57"/>
      <c r="W78" s="106">
        <f>_xlfn.XLOOKUP($B:$B,'Compilado 2023'!$B:$B,'Compilado 2023'!X:X)</f>
        <v>0</v>
      </c>
      <c r="X78" s="106">
        <f>_xlfn.XLOOKUP($B:$B,'Compilado 2023'!$B:$B,'Compilado 2023'!Y:Y)</f>
        <v>0</v>
      </c>
      <c r="Y78" s="106">
        <f>_xlfn.XLOOKUP($B:$B,'Compilado 2023'!$B:$B,'Compilado 2023'!Z:Z)</f>
        <v>0</v>
      </c>
      <c r="AA78" s="208">
        <v>45122</v>
      </c>
    </row>
    <row r="79" spans="1:27" hidden="1" x14ac:dyDescent="0.2">
      <c r="A79" s="17" t="str">
        <f t="shared" ca="1" si="45"/>
        <v>Realizado</v>
      </c>
      <c r="B79" s="17">
        <v>44758</v>
      </c>
      <c r="C79" s="19">
        <f t="shared" si="40"/>
        <v>25911.83</v>
      </c>
      <c r="D79" s="35">
        <f>_xlfn.XLOOKUP($B:$B,'Compilado 2023'!$B:$B,'Compilado 2023'!D:D)</f>
        <v>25911.83</v>
      </c>
      <c r="E79" s="35">
        <f>_xlfn.XLOOKUP($B:$B,'Compilado 2023'!$B:$B,'Compilado 2023'!E:E)</f>
        <v>0</v>
      </c>
      <c r="F79" s="18">
        <f>_xlfn.XLOOKUP($B:$B,'Compilado 2023'!$B:$B,'Compilado 2023'!F:F)</f>
        <v>93</v>
      </c>
      <c r="G79" s="18">
        <f>_xlfn.XLOOKUP($B:$B,'Compilado 2023'!$B:$B,'Compilado 2023'!G:G)</f>
        <v>108</v>
      </c>
      <c r="H79" s="35">
        <f t="shared" si="41"/>
        <v>278.62182795698925</v>
      </c>
      <c r="I79" s="19">
        <f t="shared" si="42"/>
        <v>719.41290322580642</v>
      </c>
      <c r="J79" s="122">
        <f t="shared" si="43"/>
        <v>36.018022312100371</v>
      </c>
      <c r="K79" s="18">
        <f>_xlfn.XLOOKUP($B:$B,'Compilado 2023'!$B:$B,'Compilado 2023'!K:K)</f>
        <v>2786</v>
      </c>
      <c r="L79" s="54">
        <f t="shared" si="44"/>
        <v>3.3381191672648962E-2</v>
      </c>
      <c r="M79" s="149"/>
      <c r="N79" s="106">
        <f>_xlfn.XLOOKUP($B:$B,'Compilado 2023'!$B:$B,'Compilado 2023'!N:N)</f>
        <v>463.59</v>
      </c>
      <c r="O79" s="106">
        <f>_xlfn.XLOOKUP($B:$B,'Compilado 2023'!$B:$B,'Compilado 2023'!O:O)</f>
        <v>204.21</v>
      </c>
      <c r="P79" s="106">
        <f>_xlfn.XLOOKUP($B:$B,'Compilado 2023'!$B:$B,'Compilado 2023'!P:P)</f>
        <v>0</v>
      </c>
      <c r="Q79" s="106">
        <f>_xlfn.XLOOKUP($B:$B,'Compilado 2023'!$B:$B,'Compilado 2023'!Q:Q)</f>
        <v>51.612903225806448</v>
      </c>
      <c r="R79" s="106">
        <f>_xlfn.XLOOKUP($B:$B,'Compilado 2023'!$B:$B,'Compilado 2023'!R:R)</f>
        <v>0</v>
      </c>
      <c r="S79" s="106">
        <f>_xlfn.XLOOKUP($B:$B,'Compilado 2023'!$B:$B,'Compilado 2023'!T:T)</f>
        <v>0</v>
      </c>
      <c r="T79" s="106">
        <f>_xlfn.XLOOKUP($B:$B,'Compilado 2023'!$B:$B,'Compilado 2023'!U:U)</f>
        <v>0</v>
      </c>
      <c r="U79" s="106">
        <f>_xlfn.XLOOKUP($B:$B,'Compilado 2023'!$B:$B,'Compilado 2023'!V:V)</f>
        <v>0</v>
      </c>
      <c r="V79" s="57"/>
      <c r="W79" s="106">
        <f>_xlfn.XLOOKUP($B:$B,'Compilado 2023'!$B:$B,'Compilado 2023'!X:X)</f>
        <v>0</v>
      </c>
      <c r="X79" s="106">
        <f>_xlfn.XLOOKUP($B:$B,'Compilado 2023'!$B:$B,'Compilado 2023'!Y:Y)</f>
        <v>0</v>
      </c>
      <c r="Y79" s="106">
        <f>_xlfn.XLOOKUP($B:$B,'Compilado 2023'!$B:$B,'Compilado 2023'!Z:Z)</f>
        <v>0</v>
      </c>
      <c r="AA79" s="208">
        <v>45123</v>
      </c>
    </row>
    <row r="80" spans="1:27" hidden="1" x14ac:dyDescent="0.2">
      <c r="A80" s="17" t="str">
        <f t="shared" ca="1" si="45"/>
        <v>Realizado</v>
      </c>
      <c r="B80" s="17">
        <v>44759</v>
      </c>
      <c r="C80" s="19">
        <f t="shared" si="40"/>
        <v>16770.150000000001</v>
      </c>
      <c r="D80" s="35">
        <f>_xlfn.XLOOKUP($B:$B,'Compilado 2023'!$B:$B,'Compilado 2023'!D:D)</f>
        <v>16770.150000000001</v>
      </c>
      <c r="E80" s="35">
        <f>_xlfn.XLOOKUP($B:$B,'Compilado 2023'!$B:$B,'Compilado 2023'!E:E)</f>
        <v>0</v>
      </c>
      <c r="F80" s="18">
        <f>_xlfn.XLOOKUP($B:$B,'Compilado 2023'!$B:$B,'Compilado 2023'!F:F)</f>
        <v>55</v>
      </c>
      <c r="G80" s="18">
        <f>_xlfn.XLOOKUP($B:$B,'Compilado 2023'!$B:$B,'Compilado 2023'!G:G)</f>
        <v>64</v>
      </c>
      <c r="H80" s="35">
        <f t="shared" si="41"/>
        <v>304.91181818181821</v>
      </c>
      <c r="I80" s="19">
        <f t="shared" si="42"/>
        <v>679.50290322580645</v>
      </c>
      <c r="J80" s="122">
        <f t="shared" si="43"/>
        <v>24.680027002661816</v>
      </c>
      <c r="K80" s="18">
        <f>_xlfn.XLOOKUP($B:$B,'Compilado 2023'!$B:$B,'Compilado 2023'!K:K)</f>
        <v>2429</v>
      </c>
      <c r="L80" s="54">
        <f t="shared" si="44"/>
        <v>2.2643062988884313E-2</v>
      </c>
      <c r="M80" s="149"/>
      <c r="N80" s="106">
        <f>_xlfn.XLOOKUP($B:$B,'Compilado 2023'!$B:$B,'Compilado 2023'!N:N)</f>
        <v>428.38</v>
      </c>
      <c r="O80" s="106">
        <f>_xlfn.XLOOKUP($B:$B,'Compilado 2023'!$B:$B,'Compilado 2023'!O:O)</f>
        <v>199.51</v>
      </c>
      <c r="P80" s="106">
        <f>_xlfn.XLOOKUP($B:$B,'Compilado 2023'!$B:$B,'Compilado 2023'!P:P)</f>
        <v>0</v>
      </c>
      <c r="Q80" s="106">
        <f>_xlfn.XLOOKUP($B:$B,'Compilado 2023'!$B:$B,'Compilado 2023'!Q:Q)</f>
        <v>51.612903225806448</v>
      </c>
      <c r="R80" s="106">
        <f>_xlfn.XLOOKUP($B:$B,'Compilado 2023'!$B:$B,'Compilado 2023'!R:R)</f>
        <v>0</v>
      </c>
      <c r="S80" s="106">
        <f>_xlfn.XLOOKUP($B:$B,'Compilado 2023'!$B:$B,'Compilado 2023'!T:T)</f>
        <v>0</v>
      </c>
      <c r="T80" s="106">
        <f>_xlfn.XLOOKUP($B:$B,'Compilado 2023'!$B:$B,'Compilado 2023'!U:U)</f>
        <v>0</v>
      </c>
      <c r="U80" s="106">
        <f>_xlfn.XLOOKUP($B:$B,'Compilado 2023'!$B:$B,'Compilado 2023'!V:V)</f>
        <v>0</v>
      </c>
      <c r="V80" s="57"/>
      <c r="W80" s="106">
        <f>_xlfn.XLOOKUP($B:$B,'Compilado 2023'!$B:$B,'Compilado 2023'!X:X)</f>
        <v>0</v>
      </c>
      <c r="X80" s="106">
        <f>_xlfn.XLOOKUP($B:$B,'Compilado 2023'!$B:$B,'Compilado 2023'!Y:Y)</f>
        <v>0</v>
      </c>
      <c r="Y80" s="106">
        <f>_xlfn.XLOOKUP($B:$B,'Compilado 2023'!$B:$B,'Compilado 2023'!Z:Z)</f>
        <v>0</v>
      </c>
      <c r="AA80" s="208">
        <v>45124</v>
      </c>
    </row>
    <row r="81" spans="1:27" hidden="1" x14ac:dyDescent="0.2">
      <c r="A81" s="17" t="str">
        <f t="shared" ca="1" si="45"/>
        <v>Realizado</v>
      </c>
      <c r="B81" s="17">
        <v>44760</v>
      </c>
      <c r="C81" s="19">
        <f t="shared" si="40"/>
        <v>44997.21</v>
      </c>
      <c r="D81" s="35">
        <f>_xlfn.XLOOKUP($B:$B,'Compilado 2023'!$B:$B,'Compilado 2023'!D:D)</f>
        <v>44997.21</v>
      </c>
      <c r="E81" s="35">
        <f>_xlfn.XLOOKUP($B:$B,'Compilado 2023'!$B:$B,'Compilado 2023'!E:E)</f>
        <v>0</v>
      </c>
      <c r="F81" s="18">
        <f>_xlfn.XLOOKUP($B:$B,'Compilado 2023'!$B:$B,'Compilado 2023'!F:F)</f>
        <v>146</v>
      </c>
      <c r="G81" s="18">
        <f>_xlfn.XLOOKUP($B:$B,'Compilado 2023'!$B:$B,'Compilado 2023'!G:G)</f>
        <v>175</v>
      </c>
      <c r="H81" s="35">
        <f t="shared" si="41"/>
        <v>308.2000684931507</v>
      </c>
      <c r="I81" s="19">
        <f t="shared" si="42"/>
        <v>938.78290322580642</v>
      </c>
      <c r="J81" s="122">
        <f t="shared" si="43"/>
        <v>47.931433183734462</v>
      </c>
      <c r="K81" s="18">
        <f>_xlfn.XLOOKUP($B:$B,'Compilado 2023'!$B:$B,'Compilado 2023'!K:K)</f>
        <v>4268</v>
      </c>
      <c r="L81" s="54">
        <f t="shared" si="44"/>
        <v>3.420805998125586E-2</v>
      </c>
      <c r="M81" s="149"/>
      <c r="N81" s="106">
        <f>_xlfn.XLOOKUP($B:$B,'Compilado 2023'!$B:$B,'Compilado 2023'!N:N)</f>
        <v>729.38</v>
      </c>
      <c r="O81" s="106">
        <f>_xlfn.XLOOKUP($B:$B,'Compilado 2023'!$B:$B,'Compilado 2023'!O:O)</f>
        <v>157.79</v>
      </c>
      <c r="P81" s="106">
        <f>_xlfn.XLOOKUP($B:$B,'Compilado 2023'!$B:$B,'Compilado 2023'!P:P)</f>
        <v>0</v>
      </c>
      <c r="Q81" s="106">
        <f>_xlfn.XLOOKUP($B:$B,'Compilado 2023'!$B:$B,'Compilado 2023'!Q:Q)</f>
        <v>51.612903225806448</v>
      </c>
      <c r="R81" s="106">
        <f>_xlfn.XLOOKUP($B:$B,'Compilado 2023'!$B:$B,'Compilado 2023'!R:R)</f>
        <v>0</v>
      </c>
      <c r="S81" s="106">
        <f>_xlfn.XLOOKUP($B:$B,'Compilado 2023'!$B:$B,'Compilado 2023'!T:T)</f>
        <v>0</v>
      </c>
      <c r="T81" s="106">
        <f>_xlfn.XLOOKUP($B:$B,'Compilado 2023'!$B:$B,'Compilado 2023'!U:U)</f>
        <v>0</v>
      </c>
      <c r="U81" s="106">
        <f>_xlfn.XLOOKUP($B:$B,'Compilado 2023'!$B:$B,'Compilado 2023'!V:V)</f>
        <v>0</v>
      </c>
      <c r="V81" s="57"/>
      <c r="W81" s="106">
        <f>_xlfn.XLOOKUP($B:$B,'Compilado 2023'!$B:$B,'Compilado 2023'!X:X)</f>
        <v>0</v>
      </c>
      <c r="X81" s="106">
        <f>_xlfn.XLOOKUP($B:$B,'Compilado 2023'!$B:$B,'Compilado 2023'!Y:Y)</f>
        <v>0</v>
      </c>
      <c r="Y81" s="106">
        <f>_xlfn.XLOOKUP($B:$B,'Compilado 2023'!$B:$B,'Compilado 2023'!Z:Z)</f>
        <v>0</v>
      </c>
      <c r="AA81" s="208">
        <v>45125</v>
      </c>
    </row>
    <row r="82" spans="1:27" hidden="1" x14ac:dyDescent="0.2">
      <c r="A82" s="17" t="str">
        <f t="shared" ca="1" si="45"/>
        <v>Realizado</v>
      </c>
      <c r="B82" s="17">
        <v>44761</v>
      </c>
      <c r="C82" s="19">
        <f t="shared" si="40"/>
        <v>30103.75</v>
      </c>
      <c r="D82" s="35">
        <f>_xlfn.XLOOKUP($B:$B,'Compilado 2023'!$B:$B,'Compilado 2023'!D:D)</f>
        <v>30103.75</v>
      </c>
      <c r="E82" s="35">
        <f>_xlfn.XLOOKUP($B:$B,'Compilado 2023'!$B:$B,'Compilado 2023'!E:E)</f>
        <v>0</v>
      </c>
      <c r="F82" s="18">
        <f>_xlfn.XLOOKUP($B:$B,'Compilado 2023'!$B:$B,'Compilado 2023'!F:F)</f>
        <v>110</v>
      </c>
      <c r="G82" s="18">
        <f>_xlfn.XLOOKUP($B:$B,'Compilado 2023'!$B:$B,'Compilado 2023'!G:G)</f>
        <v>128</v>
      </c>
      <c r="H82" s="35">
        <f t="shared" si="41"/>
        <v>273.67045454545456</v>
      </c>
      <c r="I82" s="19">
        <f t="shared" si="42"/>
        <v>843.36290322580646</v>
      </c>
      <c r="J82" s="122">
        <f t="shared" si="43"/>
        <v>35.69489467091234</v>
      </c>
      <c r="K82" s="18">
        <f>_xlfn.XLOOKUP($B:$B,'Compilado 2023'!$B:$B,'Compilado 2023'!K:K)</f>
        <v>4017</v>
      </c>
      <c r="L82" s="54">
        <f t="shared" si="44"/>
        <v>2.7383619616629325E-2</v>
      </c>
      <c r="M82" s="149"/>
      <c r="N82" s="106">
        <f>_xlfn.XLOOKUP($B:$B,'Compilado 2023'!$B:$B,'Compilado 2023'!N:N)</f>
        <v>606.92999999999995</v>
      </c>
      <c r="O82" s="106">
        <f>_xlfn.XLOOKUP($B:$B,'Compilado 2023'!$B:$B,'Compilado 2023'!O:O)</f>
        <v>184.82</v>
      </c>
      <c r="P82" s="106">
        <f>_xlfn.XLOOKUP($B:$B,'Compilado 2023'!$B:$B,'Compilado 2023'!P:P)</f>
        <v>0</v>
      </c>
      <c r="Q82" s="106">
        <f>_xlfn.XLOOKUP($B:$B,'Compilado 2023'!$B:$B,'Compilado 2023'!Q:Q)</f>
        <v>51.612903225806448</v>
      </c>
      <c r="R82" s="106">
        <f>_xlfn.XLOOKUP($B:$B,'Compilado 2023'!$B:$B,'Compilado 2023'!R:R)</f>
        <v>0</v>
      </c>
      <c r="S82" s="106">
        <f>_xlfn.XLOOKUP($B:$B,'Compilado 2023'!$B:$B,'Compilado 2023'!T:T)</f>
        <v>0</v>
      </c>
      <c r="T82" s="106">
        <f>_xlfn.XLOOKUP($B:$B,'Compilado 2023'!$B:$B,'Compilado 2023'!U:U)</f>
        <v>0</v>
      </c>
      <c r="U82" s="106">
        <f>_xlfn.XLOOKUP($B:$B,'Compilado 2023'!$B:$B,'Compilado 2023'!V:V)</f>
        <v>0</v>
      </c>
      <c r="V82" s="57"/>
      <c r="W82" s="106">
        <f>_xlfn.XLOOKUP($B:$B,'Compilado 2023'!$B:$B,'Compilado 2023'!X:X)</f>
        <v>0</v>
      </c>
      <c r="X82" s="106">
        <f>_xlfn.XLOOKUP($B:$B,'Compilado 2023'!$B:$B,'Compilado 2023'!Y:Y)</f>
        <v>0</v>
      </c>
      <c r="Y82" s="106">
        <f>_xlfn.XLOOKUP($B:$B,'Compilado 2023'!$B:$B,'Compilado 2023'!Z:Z)</f>
        <v>0</v>
      </c>
      <c r="AA82" s="208">
        <v>45126</v>
      </c>
    </row>
    <row r="83" spans="1:27" hidden="1" x14ac:dyDescent="0.2">
      <c r="A83" s="17" t="str">
        <f t="shared" ca="1" si="45"/>
        <v>Realizado</v>
      </c>
      <c r="B83" s="17">
        <v>44762</v>
      </c>
      <c r="C83" s="19">
        <f t="shared" si="40"/>
        <v>38463.339999999997</v>
      </c>
      <c r="D83" s="35">
        <f>_xlfn.XLOOKUP($B:$B,'Compilado 2023'!$B:$B,'Compilado 2023'!D:D)</f>
        <v>38441.449999999997</v>
      </c>
      <c r="E83" s="35">
        <f>_xlfn.XLOOKUP($B:$B,'Compilado 2023'!$B:$B,'Compilado 2023'!E:E)</f>
        <v>21.89</v>
      </c>
      <c r="F83" s="18">
        <f>_xlfn.XLOOKUP($B:$B,'Compilado 2023'!$B:$B,'Compilado 2023'!F:F)</f>
        <v>139</v>
      </c>
      <c r="G83" s="18">
        <f>_xlfn.XLOOKUP($B:$B,'Compilado 2023'!$B:$B,'Compilado 2023'!G:G)</f>
        <v>172</v>
      </c>
      <c r="H83" s="35">
        <f t="shared" si="41"/>
        <v>276.71467625899277</v>
      </c>
      <c r="I83" s="19">
        <f t="shared" si="42"/>
        <v>827.84290322580648</v>
      </c>
      <c r="J83" s="122">
        <f t="shared" si="43"/>
        <v>46.462124456369892</v>
      </c>
      <c r="K83" s="18">
        <f>_xlfn.XLOOKUP($B:$B,'Compilado 2023'!$B:$B,'Compilado 2023'!K:K)</f>
        <v>3957</v>
      </c>
      <c r="L83" s="54">
        <f t="shared" si="44"/>
        <v>3.5127621935809955E-2</v>
      </c>
      <c r="M83" s="149"/>
      <c r="N83" s="106">
        <f>_xlfn.XLOOKUP($B:$B,'Compilado 2023'!$B:$B,'Compilado 2023'!N:N)</f>
        <v>599.52</v>
      </c>
      <c r="O83" s="106">
        <f>_xlfn.XLOOKUP($B:$B,'Compilado 2023'!$B:$B,'Compilado 2023'!O:O)</f>
        <v>176.71</v>
      </c>
      <c r="P83" s="106">
        <f>_xlfn.XLOOKUP($B:$B,'Compilado 2023'!$B:$B,'Compilado 2023'!P:P)</f>
        <v>0</v>
      </c>
      <c r="Q83" s="106">
        <f>_xlfn.XLOOKUP($B:$B,'Compilado 2023'!$B:$B,'Compilado 2023'!Q:Q)</f>
        <v>51.612903225806448</v>
      </c>
      <c r="R83" s="106">
        <f>_xlfn.XLOOKUP($B:$B,'Compilado 2023'!$B:$B,'Compilado 2023'!R:R)</f>
        <v>0</v>
      </c>
      <c r="S83" s="106">
        <f>_xlfn.XLOOKUP($B:$B,'Compilado 2023'!$B:$B,'Compilado 2023'!T:T)</f>
        <v>0</v>
      </c>
      <c r="T83" s="106">
        <f>_xlfn.XLOOKUP($B:$B,'Compilado 2023'!$B:$B,'Compilado 2023'!U:U)</f>
        <v>0</v>
      </c>
      <c r="U83" s="106">
        <f>_xlfn.XLOOKUP($B:$B,'Compilado 2023'!$B:$B,'Compilado 2023'!V:V)</f>
        <v>0</v>
      </c>
      <c r="V83" s="57"/>
      <c r="W83" s="106">
        <f>_xlfn.XLOOKUP($B:$B,'Compilado 2023'!$B:$B,'Compilado 2023'!X:X)</f>
        <v>0</v>
      </c>
      <c r="X83" s="106">
        <f>_xlfn.XLOOKUP($B:$B,'Compilado 2023'!$B:$B,'Compilado 2023'!Y:Y)</f>
        <v>0</v>
      </c>
      <c r="Y83" s="106">
        <f>_xlfn.XLOOKUP($B:$B,'Compilado 2023'!$B:$B,'Compilado 2023'!Z:Z)</f>
        <v>0</v>
      </c>
      <c r="AA83" s="208">
        <v>45127</v>
      </c>
    </row>
    <row r="84" spans="1:27" hidden="1" x14ac:dyDescent="0.2">
      <c r="A84" s="17" t="str">
        <f t="shared" ca="1" si="45"/>
        <v>Realizado</v>
      </c>
      <c r="B84" s="17">
        <v>44763</v>
      </c>
      <c r="C84" s="19">
        <f t="shared" si="40"/>
        <v>43953.520000000004</v>
      </c>
      <c r="D84" s="35">
        <f>_xlfn.XLOOKUP($B:$B,'Compilado 2023'!$B:$B,'Compilado 2023'!D:D)</f>
        <v>43931.29</v>
      </c>
      <c r="E84" s="35">
        <f>_xlfn.XLOOKUP($B:$B,'Compilado 2023'!$B:$B,'Compilado 2023'!E:E)</f>
        <v>22.23</v>
      </c>
      <c r="F84" s="18">
        <f>_xlfn.XLOOKUP($B:$B,'Compilado 2023'!$B:$B,'Compilado 2023'!F:F)</f>
        <v>146</v>
      </c>
      <c r="G84" s="18">
        <f>_xlfn.XLOOKUP($B:$B,'Compilado 2023'!$B:$B,'Compilado 2023'!G:G)</f>
        <v>178</v>
      </c>
      <c r="H84" s="35">
        <f t="shared" si="41"/>
        <v>301.0515068493151</v>
      </c>
      <c r="I84" s="19">
        <f t="shared" si="42"/>
        <v>851.1829032258064</v>
      </c>
      <c r="J84" s="122">
        <f t="shared" si="43"/>
        <v>51.638161238231284</v>
      </c>
      <c r="K84" s="18">
        <f>_xlfn.XLOOKUP($B:$B,'Compilado 2023'!$B:$B,'Compilado 2023'!K:K)</f>
        <v>3647</v>
      </c>
      <c r="L84" s="54">
        <f t="shared" si="44"/>
        <v>4.0032903756512202E-2</v>
      </c>
      <c r="M84" s="149"/>
      <c r="N84" s="106">
        <f>_xlfn.XLOOKUP($B:$B,'Compilado 2023'!$B:$B,'Compilado 2023'!N:N)</f>
        <v>621.15</v>
      </c>
      <c r="O84" s="106">
        <f>_xlfn.XLOOKUP($B:$B,'Compilado 2023'!$B:$B,'Compilado 2023'!O:O)</f>
        <v>178.42</v>
      </c>
      <c r="P84" s="106">
        <f>_xlfn.XLOOKUP($B:$B,'Compilado 2023'!$B:$B,'Compilado 2023'!P:P)</f>
        <v>0</v>
      </c>
      <c r="Q84" s="106">
        <f>_xlfn.XLOOKUP($B:$B,'Compilado 2023'!$B:$B,'Compilado 2023'!Q:Q)</f>
        <v>51.612903225806448</v>
      </c>
      <c r="R84" s="106">
        <f>_xlfn.XLOOKUP($B:$B,'Compilado 2023'!$B:$B,'Compilado 2023'!R:R)</f>
        <v>0</v>
      </c>
      <c r="S84" s="106">
        <f>_xlfn.XLOOKUP($B:$B,'Compilado 2023'!$B:$B,'Compilado 2023'!T:T)</f>
        <v>0</v>
      </c>
      <c r="T84" s="106">
        <f>_xlfn.XLOOKUP($B:$B,'Compilado 2023'!$B:$B,'Compilado 2023'!U:U)</f>
        <v>0</v>
      </c>
      <c r="U84" s="106">
        <f>_xlfn.XLOOKUP($B:$B,'Compilado 2023'!$B:$B,'Compilado 2023'!V:V)</f>
        <v>0</v>
      </c>
      <c r="V84" s="57"/>
      <c r="W84" s="106">
        <f>_xlfn.XLOOKUP($B:$B,'Compilado 2023'!$B:$B,'Compilado 2023'!X:X)</f>
        <v>0</v>
      </c>
      <c r="X84" s="106">
        <f>_xlfn.XLOOKUP($B:$B,'Compilado 2023'!$B:$B,'Compilado 2023'!Y:Y)</f>
        <v>0</v>
      </c>
      <c r="Y84" s="106">
        <f>_xlfn.XLOOKUP($B:$B,'Compilado 2023'!$B:$B,'Compilado 2023'!Z:Z)</f>
        <v>0</v>
      </c>
      <c r="AA84" s="208">
        <v>45128</v>
      </c>
    </row>
    <row r="85" spans="1:27" hidden="1" x14ac:dyDescent="0.2">
      <c r="A85" s="17" t="str">
        <f t="shared" ca="1" si="45"/>
        <v>Realizado</v>
      </c>
      <c r="B85" s="17">
        <v>44764</v>
      </c>
      <c r="C85" s="19">
        <f t="shared" si="40"/>
        <v>46043.340000000004</v>
      </c>
      <c r="D85" s="35">
        <f>_xlfn.XLOOKUP($B:$B,'Compilado 2023'!$B:$B,'Compilado 2023'!D:D)</f>
        <v>45932.66</v>
      </c>
      <c r="E85" s="35">
        <f>_xlfn.XLOOKUP($B:$B,'Compilado 2023'!$B:$B,'Compilado 2023'!E:E)</f>
        <v>110.68</v>
      </c>
      <c r="F85" s="18">
        <f>_xlfn.XLOOKUP($B:$B,'Compilado 2023'!$B:$B,'Compilado 2023'!F:F)</f>
        <v>142</v>
      </c>
      <c r="G85" s="18">
        <f>_xlfn.XLOOKUP($B:$B,'Compilado 2023'!$B:$B,'Compilado 2023'!G:G)</f>
        <v>219</v>
      </c>
      <c r="H85" s="35">
        <f t="shared" si="41"/>
        <v>324.24887323943665</v>
      </c>
      <c r="I85" s="19">
        <f t="shared" si="42"/>
        <v>774.81290322580651</v>
      </c>
      <c r="J85" s="122">
        <f t="shared" si="43"/>
        <v>59.425107414068748</v>
      </c>
      <c r="K85" s="18">
        <f>_xlfn.XLOOKUP($B:$B,'Compilado 2023'!$B:$B,'Compilado 2023'!K:K)</f>
        <v>3499</v>
      </c>
      <c r="L85" s="54">
        <f t="shared" si="44"/>
        <v>4.0583023721063163E-2</v>
      </c>
      <c r="M85" s="149"/>
      <c r="N85" s="106">
        <f>_xlfn.XLOOKUP($B:$B,'Compilado 2023'!$B:$B,'Compilado 2023'!N:N)</f>
        <v>544</v>
      </c>
      <c r="O85" s="106">
        <f>_xlfn.XLOOKUP($B:$B,'Compilado 2023'!$B:$B,'Compilado 2023'!O:O)</f>
        <v>179.2</v>
      </c>
      <c r="P85" s="106">
        <f>_xlfn.XLOOKUP($B:$B,'Compilado 2023'!$B:$B,'Compilado 2023'!P:P)</f>
        <v>0</v>
      </c>
      <c r="Q85" s="106">
        <f>_xlfn.XLOOKUP($B:$B,'Compilado 2023'!$B:$B,'Compilado 2023'!Q:Q)</f>
        <v>51.612903225806448</v>
      </c>
      <c r="R85" s="106">
        <f>_xlfn.XLOOKUP($B:$B,'Compilado 2023'!$B:$B,'Compilado 2023'!R:R)</f>
        <v>0</v>
      </c>
      <c r="S85" s="106">
        <f>_xlfn.XLOOKUP($B:$B,'Compilado 2023'!$B:$B,'Compilado 2023'!T:T)</f>
        <v>0</v>
      </c>
      <c r="T85" s="106">
        <f>_xlfn.XLOOKUP($B:$B,'Compilado 2023'!$B:$B,'Compilado 2023'!U:U)</f>
        <v>0</v>
      </c>
      <c r="U85" s="106">
        <f>_xlfn.XLOOKUP($B:$B,'Compilado 2023'!$B:$B,'Compilado 2023'!V:V)</f>
        <v>0</v>
      </c>
      <c r="V85" s="57"/>
      <c r="W85" s="106">
        <f>_xlfn.XLOOKUP($B:$B,'Compilado 2023'!$B:$B,'Compilado 2023'!X:X)</f>
        <v>0</v>
      </c>
      <c r="X85" s="106">
        <f>_xlfn.XLOOKUP($B:$B,'Compilado 2023'!$B:$B,'Compilado 2023'!Y:Y)</f>
        <v>0</v>
      </c>
      <c r="Y85" s="106">
        <f>_xlfn.XLOOKUP($B:$B,'Compilado 2023'!$B:$B,'Compilado 2023'!Z:Z)</f>
        <v>0</v>
      </c>
      <c r="AA85" s="208">
        <v>45129</v>
      </c>
    </row>
    <row r="86" spans="1:27" hidden="1" x14ac:dyDescent="0.2">
      <c r="A86" s="17" t="str">
        <f t="shared" ca="1" si="45"/>
        <v>Realizado</v>
      </c>
      <c r="B86" s="17">
        <v>44765</v>
      </c>
      <c r="C86" s="19">
        <f t="shared" si="40"/>
        <v>29208.240000000002</v>
      </c>
      <c r="D86" s="35">
        <f>_xlfn.XLOOKUP($B:$B,'Compilado 2023'!$B:$B,'Compilado 2023'!D:D)</f>
        <v>29208.240000000002</v>
      </c>
      <c r="E86" s="35">
        <f>_xlfn.XLOOKUP($B:$B,'Compilado 2023'!$B:$B,'Compilado 2023'!E:E)</f>
        <v>0</v>
      </c>
      <c r="F86" s="18">
        <f>_xlfn.XLOOKUP($B:$B,'Compilado 2023'!$B:$B,'Compilado 2023'!F:F)</f>
        <v>101</v>
      </c>
      <c r="G86" s="18">
        <f>_xlfn.XLOOKUP($B:$B,'Compilado 2023'!$B:$B,'Compilado 2023'!G:G)</f>
        <v>116</v>
      </c>
      <c r="H86" s="35">
        <f t="shared" si="41"/>
        <v>289.19049504950499</v>
      </c>
      <c r="I86" s="19">
        <f t="shared" si="42"/>
        <v>662.65290322580643</v>
      </c>
      <c r="J86" s="122">
        <f t="shared" si="43"/>
        <v>44.077736410440153</v>
      </c>
      <c r="K86" s="18">
        <f>_xlfn.XLOOKUP($B:$B,'Compilado 2023'!$B:$B,'Compilado 2023'!K:K)</f>
        <v>2695</v>
      </c>
      <c r="L86" s="54">
        <f t="shared" si="44"/>
        <v>3.7476808905380334E-2</v>
      </c>
      <c r="M86" s="149"/>
      <c r="N86" s="106">
        <f>_xlfn.XLOOKUP($B:$B,'Compilado 2023'!$B:$B,'Compilado 2023'!N:N)</f>
        <v>425.99</v>
      </c>
      <c r="O86" s="106">
        <f>_xlfn.XLOOKUP($B:$B,'Compilado 2023'!$B:$B,'Compilado 2023'!O:O)</f>
        <v>185.05</v>
      </c>
      <c r="P86" s="106">
        <f>_xlfn.XLOOKUP($B:$B,'Compilado 2023'!$B:$B,'Compilado 2023'!P:P)</f>
        <v>0</v>
      </c>
      <c r="Q86" s="106">
        <f>_xlfn.XLOOKUP($B:$B,'Compilado 2023'!$B:$B,'Compilado 2023'!Q:Q)</f>
        <v>51.612903225806448</v>
      </c>
      <c r="R86" s="106">
        <f>_xlfn.XLOOKUP($B:$B,'Compilado 2023'!$B:$B,'Compilado 2023'!R:R)</f>
        <v>0</v>
      </c>
      <c r="S86" s="106">
        <f>_xlfn.XLOOKUP($B:$B,'Compilado 2023'!$B:$B,'Compilado 2023'!T:T)</f>
        <v>0</v>
      </c>
      <c r="T86" s="106">
        <f>_xlfn.XLOOKUP($B:$B,'Compilado 2023'!$B:$B,'Compilado 2023'!U:U)</f>
        <v>0</v>
      </c>
      <c r="U86" s="106">
        <f>_xlfn.XLOOKUP($B:$B,'Compilado 2023'!$B:$B,'Compilado 2023'!V:V)</f>
        <v>0</v>
      </c>
      <c r="V86" s="57"/>
      <c r="W86" s="106">
        <f>_xlfn.XLOOKUP($B:$B,'Compilado 2023'!$B:$B,'Compilado 2023'!X:X)</f>
        <v>0</v>
      </c>
      <c r="X86" s="106">
        <f>_xlfn.XLOOKUP($B:$B,'Compilado 2023'!$B:$B,'Compilado 2023'!Y:Y)</f>
        <v>0</v>
      </c>
      <c r="Y86" s="106">
        <f>_xlfn.XLOOKUP($B:$B,'Compilado 2023'!$B:$B,'Compilado 2023'!Z:Z)</f>
        <v>0</v>
      </c>
      <c r="AA86" s="208">
        <v>45130</v>
      </c>
    </row>
    <row r="87" spans="1:27" hidden="1" x14ac:dyDescent="0.2">
      <c r="A87" s="17" t="str">
        <f t="shared" ca="1" si="45"/>
        <v>Realizado</v>
      </c>
      <c r="B87" s="17">
        <v>44766</v>
      </c>
      <c r="C87" s="19">
        <f t="shared" si="40"/>
        <v>15852.57</v>
      </c>
      <c r="D87" s="35">
        <f>_xlfn.XLOOKUP($B:$B,'Compilado 2023'!$B:$B,'Compilado 2023'!D:D)</f>
        <v>15852.57</v>
      </c>
      <c r="E87" s="35">
        <f>_xlfn.XLOOKUP($B:$B,'Compilado 2023'!$B:$B,'Compilado 2023'!E:E)</f>
        <v>0</v>
      </c>
      <c r="F87" s="18">
        <f>_xlfn.XLOOKUP($B:$B,'Compilado 2023'!$B:$B,'Compilado 2023'!F:F)</f>
        <v>61</v>
      </c>
      <c r="G87" s="18">
        <f>_xlfn.XLOOKUP($B:$B,'Compilado 2023'!$B:$B,'Compilado 2023'!G:G)</f>
        <v>75</v>
      </c>
      <c r="H87" s="35">
        <f t="shared" si="41"/>
        <v>259.8781967213115</v>
      </c>
      <c r="I87" s="19">
        <f t="shared" si="42"/>
        <v>611.20290322580649</v>
      </c>
      <c r="J87" s="122">
        <f t="shared" si="43"/>
        <v>25.936673265675459</v>
      </c>
      <c r="K87" s="18">
        <f>_xlfn.XLOOKUP($B:$B,'Compilado 2023'!$B:$B,'Compilado 2023'!K:K)</f>
        <v>2359</v>
      </c>
      <c r="L87" s="54">
        <f t="shared" si="44"/>
        <v>2.5858414582450192E-2</v>
      </c>
      <c r="M87" s="149"/>
      <c r="N87" s="106">
        <f>_xlfn.XLOOKUP($B:$B,'Compilado 2023'!$B:$B,'Compilado 2023'!N:N)</f>
        <v>362.66</v>
      </c>
      <c r="O87" s="106">
        <f>_xlfn.XLOOKUP($B:$B,'Compilado 2023'!$B:$B,'Compilado 2023'!O:O)</f>
        <v>196.93</v>
      </c>
      <c r="P87" s="106">
        <f>_xlfn.XLOOKUP($B:$B,'Compilado 2023'!$B:$B,'Compilado 2023'!P:P)</f>
        <v>0</v>
      </c>
      <c r="Q87" s="106">
        <f>_xlfn.XLOOKUP($B:$B,'Compilado 2023'!$B:$B,'Compilado 2023'!Q:Q)</f>
        <v>51.612903225806448</v>
      </c>
      <c r="R87" s="106">
        <f>_xlfn.XLOOKUP($B:$B,'Compilado 2023'!$B:$B,'Compilado 2023'!R:R)</f>
        <v>0</v>
      </c>
      <c r="S87" s="106">
        <f>_xlfn.XLOOKUP($B:$B,'Compilado 2023'!$B:$B,'Compilado 2023'!T:T)</f>
        <v>0</v>
      </c>
      <c r="T87" s="106">
        <f>_xlfn.XLOOKUP($B:$B,'Compilado 2023'!$B:$B,'Compilado 2023'!U:U)</f>
        <v>0</v>
      </c>
      <c r="U87" s="106">
        <f>_xlfn.XLOOKUP($B:$B,'Compilado 2023'!$B:$B,'Compilado 2023'!V:V)</f>
        <v>0</v>
      </c>
      <c r="V87" s="57"/>
      <c r="W87" s="106">
        <f>_xlfn.XLOOKUP($B:$B,'Compilado 2023'!$B:$B,'Compilado 2023'!X:X)</f>
        <v>0</v>
      </c>
      <c r="X87" s="106">
        <f>_xlfn.XLOOKUP($B:$B,'Compilado 2023'!$B:$B,'Compilado 2023'!Y:Y)</f>
        <v>0</v>
      </c>
      <c r="Y87" s="106">
        <f>_xlfn.XLOOKUP($B:$B,'Compilado 2023'!$B:$B,'Compilado 2023'!Z:Z)</f>
        <v>0</v>
      </c>
      <c r="AA87" s="208">
        <v>45131</v>
      </c>
    </row>
    <row r="88" spans="1:27" hidden="1" x14ac:dyDescent="0.2">
      <c r="A88" s="17" t="str">
        <f t="shared" ca="1" si="45"/>
        <v>Realizado</v>
      </c>
      <c r="B88" s="17">
        <v>44767</v>
      </c>
      <c r="C88" s="19">
        <f t="shared" si="40"/>
        <v>42420.56</v>
      </c>
      <c r="D88" s="35">
        <f>_xlfn.XLOOKUP($B:$B,'Compilado 2023'!$B:$B,'Compilado 2023'!D:D)</f>
        <v>42420.56</v>
      </c>
      <c r="E88" s="35">
        <f>_xlfn.XLOOKUP($B:$B,'Compilado 2023'!$B:$B,'Compilado 2023'!E:E)</f>
        <v>0</v>
      </c>
      <c r="F88" s="18">
        <f>_xlfn.XLOOKUP($B:$B,'Compilado 2023'!$B:$B,'Compilado 2023'!F:F)</f>
        <v>181</v>
      </c>
      <c r="G88" s="18">
        <f>_xlfn.XLOOKUP($B:$B,'Compilado 2023'!$B:$B,'Compilado 2023'!G:G)</f>
        <v>233</v>
      </c>
      <c r="H88" s="35">
        <f t="shared" si="41"/>
        <v>234.36773480662981</v>
      </c>
      <c r="I88" s="19">
        <f t="shared" si="42"/>
        <v>1034.3329032258064</v>
      </c>
      <c r="J88" s="122">
        <f t="shared" si="43"/>
        <v>41.01248241035519</v>
      </c>
      <c r="K88" s="18">
        <f>_xlfn.XLOOKUP($B:$B,'Compilado 2023'!$B:$B,'Compilado 2023'!K:K)</f>
        <v>4677</v>
      </c>
      <c r="L88" s="54">
        <f t="shared" si="44"/>
        <v>3.870002138122728E-2</v>
      </c>
      <c r="M88" s="149"/>
      <c r="N88" s="106">
        <f>_xlfn.XLOOKUP($B:$B,'Compilado 2023'!$B:$B,'Compilado 2023'!N:N)</f>
        <v>725.77</v>
      </c>
      <c r="O88" s="106">
        <f>_xlfn.XLOOKUP($B:$B,'Compilado 2023'!$B:$B,'Compilado 2023'!O:O)</f>
        <v>256.95</v>
      </c>
      <c r="P88" s="106">
        <f>_xlfn.XLOOKUP($B:$B,'Compilado 2023'!$B:$B,'Compilado 2023'!P:P)</f>
        <v>0</v>
      </c>
      <c r="Q88" s="106">
        <f>_xlfn.XLOOKUP($B:$B,'Compilado 2023'!$B:$B,'Compilado 2023'!Q:Q)</f>
        <v>51.612903225806448</v>
      </c>
      <c r="R88" s="106">
        <f>_xlfn.XLOOKUP($B:$B,'Compilado 2023'!$B:$B,'Compilado 2023'!R:R)</f>
        <v>0</v>
      </c>
      <c r="S88" s="106">
        <f>_xlfn.XLOOKUP($B:$B,'Compilado 2023'!$B:$B,'Compilado 2023'!T:T)</f>
        <v>0</v>
      </c>
      <c r="T88" s="106">
        <f>_xlfn.XLOOKUP($B:$B,'Compilado 2023'!$B:$B,'Compilado 2023'!U:U)</f>
        <v>0</v>
      </c>
      <c r="U88" s="106">
        <f>_xlfn.XLOOKUP($B:$B,'Compilado 2023'!$B:$B,'Compilado 2023'!V:V)</f>
        <v>0</v>
      </c>
      <c r="V88" s="57"/>
      <c r="W88" s="106">
        <f>_xlfn.XLOOKUP($B:$B,'Compilado 2023'!$B:$B,'Compilado 2023'!X:X)</f>
        <v>0</v>
      </c>
      <c r="X88" s="106">
        <f>_xlfn.XLOOKUP($B:$B,'Compilado 2023'!$B:$B,'Compilado 2023'!Y:Y)</f>
        <v>0</v>
      </c>
      <c r="Y88" s="106">
        <f>_xlfn.XLOOKUP($B:$B,'Compilado 2023'!$B:$B,'Compilado 2023'!Z:Z)</f>
        <v>0</v>
      </c>
      <c r="AA88" s="208">
        <v>45132</v>
      </c>
    </row>
    <row r="89" spans="1:27" hidden="1" x14ac:dyDescent="0.2">
      <c r="A89" s="17" t="str">
        <f t="shared" ca="1" si="45"/>
        <v>Realizado</v>
      </c>
      <c r="B89" s="17">
        <v>44768</v>
      </c>
      <c r="C89" s="19">
        <f t="shared" si="40"/>
        <v>41337.86</v>
      </c>
      <c r="D89" s="35">
        <f>_xlfn.XLOOKUP($B:$B,'Compilado 2023'!$B:$B,'Compilado 2023'!D:D)</f>
        <v>41337.86</v>
      </c>
      <c r="E89" s="35">
        <f>_xlfn.XLOOKUP($B:$B,'Compilado 2023'!$B:$B,'Compilado 2023'!E:E)</f>
        <v>0</v>
      </c>
      <c r="F89" s="18">
        <f>_xlfn.XLOOKUP($B:$B,'Compilado 2023'!$B:$B,'Compilado 2023'!F:F)</f>
        <v>163</v>
      </c>
      <c r="G89" s="18">
        <f>_xlfn.XLOOKUP($B:$B,'Compilado 2023'!$B:$B,'Compilado 2023'!G:G)</f>
        <v>209</v>
      </c>
      <c r="H89" s="35">
        <f t="shared" si="41"/>
        <v>253.60650306748465</v>
      </c>
      <c r="I89" s="19">
        <f t="shared" si="42"/>
        <v>956.97290322580659</v>
      </c>
      <c r="J89" s="122">
        <f t="shared" si="43"/>
        <v>43.196479085934946</v>
      </c>
      <c r="K89" s="18">
        <f>_xlfn.XLOOKUP($B:$B,'Compilado 2023'!$B:$B,'Compilado 2023'!K:K)</f>
        <v>4181</v>
      </c>
      <c r="L89" s="54">
        <f t="shared" si="44"/>
        <v>3.8985888543410667E-2</v>
      </c>
      <c r="M89" s="149"/>
      <c r="N89" s="106">
        <f>_xlfn.XLOOKUP($B:$B,'Compilado 2023'!$B:$B,'Compilado 2023'!N:N)</f>
        <v>610.45000000000005</v>
      </c>
      <c r="O89" s="106">
        <f>_xlfn.XLOOKUP($B:$B,'Compilado 2023'!$B:$B,'Compilado 2023'!O:O)</f>
        <v>294.91000000000003</v>
      </c>
      <c r="P89" s="106">
        <f>_xlfn.XLOOKUP($B:$B,'Compilado 2023'!$B:$B,'Compilado 2023'!P:P)</f>
        <v>0</v>
      </c>
      <c r="Q89" s="106">
        <f>_xlfn.XLOOKUP($B:$B,'Compilado 2023'!$B:$B,'Compilado 2023'!Q:Q)</f>
        <v>51.612903225806448</v>
      </c>
      <c r="R89" s="106">
        <f>_xlfn.XLOOKUP($B:$B,'Compilado 2023'!$B:$B,'Compilado 2023'!R:R)</f>
        <v>0</v>
      </c>
      <c r="S89" s="106">
        <f>_xlfn.XLOOKUP($B:$B,'Compilado 2023'!$B:$B,'Compilado 2023'!T:T)</f>
        <v>0</v>
      </c>
      <c r="T89" s="106">
        <f>_xlfn.XLOOKUP($B:$B,'Compilado 2023'!$B:$B,'Compilado 2023'!U:U)</f>
        <v>0</v>
      </c>
      <c r="U89" s="106">
        <f>_xlfn.XLOOKUP($B:$B,'Compilado 2023'!$B:$B,'Compilado 2023'!V:V)</f>
        <v>0</v>
      </c>
      <c r="V89" s="57"/>
      <c r="W89" s="106">
        <f>_xlfn.XLOOKUP($B:$B,'Compilado 2023'!$B:$B,'Compilado 2023'!X:X)</f>
        <v>0</v>
      </c>
      <c r="X89" s="106">
        <f>_xlfn.XLOOKUP($B:$B,'Compilado 2023'!$B:$B,'Compilado 2023'!Y:Y)</f>
        <v>0</v>
      </c>
      <c r="Y89" s="106">
        <f>_xlfn.XLOOKUP($B:$B,'Compilado 2023'!$B:$B,'Compilado 2023'!Z:Z)</f>
        <v>0</v>
      </c>
      <c r="AA89" s="208">
        <v>45133</v>
      </c>
    </row>
    <row r="90" spans="1:27" hidden="1" x14ac:dyDescent="0.2">
      <c r="A90" s="17" t="str">
        <f t="shared" ca="1" si="45"/>
        <v>Realizado</v>
      </c>
      <c r="B90" s="17">
        <v>44769</v>
      </c>
      <c r="C90" s="19">
        <f t="shared" si="40"/>
        <v>43697.78</v>
      </c>
      <c r="D90" s="35">
        <f>_xlfn.XLOOKUP($B:$B,'Compilado 2023'!$B:$B,'Compilado 2023'!D:D)</f>
        <v>43697.78</v>
      </c>
      <c r="E90" s="35">
        <f>_xlfn.XLOOKUP($B:$B,'Compilado 2023'!$B:$B,'Compilado 2023'!E:E)</f>
        <v>0</v>
      </c>
      <c r="F90" s="18">
        <f>_xlfn.XLOOKUP($B:$B,'Compilado 2023'!$B:$B,'Compilado 2023'!F:F)</f>
        <v>185</v>
      </c>
      <c r="G90" s="18">
        <f>_xlfn.XLOOKUP($B:$B,'Compilado 2023'!$B:$B,'Compilado 2023'!G:G)</f>
        <v>247</v>
      </c>
      <c r="H90" s="35">
        <f t="shared" si="41"/>
        <v>236.2042162162162</v>
      </c>
      <c r="I90" s="19">
        <f t="shared" si="42"/>
        <v>978.51290322580644</v>
      </c>
      <c r="J90" s="122">
        <f t="shared" si="43"/>
        <v>44.657336511295945</v>
      </c>
      <c r="K90" s="18">
        <f>_xlfn.XLOOKUP($B:$B,'Compilado 2023'!$B:$B,'Compilado 2023'!K:K)</f>
        <v>4202</v>
      </c>
      <c r="L90" s="54">
        <f t="shared" si="44"/>
        <v>4.4026653974297954E-2</v>
      </c>
      <c r="M90" s="149"/>
      <c r="N90" s="106">
        <f>_xlfn.XLOOKUP($B:$B,'Compilado 2023'!$B:$B,'Compilado 2023'!N:N)</f>
        <v>611.41999999999996</v>
      </c>
      <c r="O90" s="106">
        <f>_xlfn.XLOOKUP($B:$B,'Compilado 2023'!$B:$B,'Compilado 2023'!O:O)</f>
        <v>315.48</v>
      </c>
      <c r="P90" s="106">
        <f>_xlfn.XLOOKUP($B:$B,'Compilado 2023'!$B:$B,'Compilado 2023'!P:P)</f>
        <v>0</v>
      </c>
      <c r="Q90" s="106">
        <f>_xlfn.XLOOKUP($B:$B,'Compilado 2023'!$B:$B,'Compilado 2023'!Q:Q)</f>
        <v>51.612903225806448</v>
      </c>
      <c r="R90" s="106">
        <f>_xlfn.XLOOKUP($B:$B,'Compilado 2023'!$B:$B,'Compilado 2023'!R:R)</f>
        <v>0</v>
      </c>
      <c r="S90" s="106">
        <f>_xlfn.XLOOKUP($B:$B,'Compilado 2023'!$B:$B,'Compilado 2023'!T:T)</f>
        <v>0</v>
      </c>
      <c r="T90" s="106">
        <f>_xlfn.XLOOKUP($B:$B,'Compilado 2023'!$B:$B,'Compilado 2023'!U:U)</f>
        <v>0</v>
      </c>
      <c r="U90" s="106">
        <f>_xlfn.XLOOKUP($B:$B,'Compilado 2023'!$B:$B,'Compilado 2023'!V:V)</f>
        <v>0</v>
      </c>
      <c r="V90" s="57"/>
      <c r="W90" s="106">
        <f>_xlfn.XLOOKUP($B:$B,'Compilado 2023'!$B:$B,'Compilado 2023'!X:X)</f>
        <v>0</v>
      </c>
      <c r="X90" s="106">
        <f>_xlfn.XLOOKUP($B:$B,'Compilado 2023'!$B:$B,'Compilado 2023'!Y:Y)</f>
        <v>0</v>
      </c>
      <c r="Y90" s="106">
        <f>_xlfn.XLOOKUP($B:$B,'Compilado 2023'!$B:$B,'Compilado 2023'!Z:Z)</f>
        <v>0</v>
      </c>
      <c r="AA90" s="208">
        <v>45134</v>
      </c>
    </row>
    <row r="91" spans="1:27" hidden="1" x14ac:dyDescent="0.2">
      <c r="A91" s="17" t="str">
        <f t="shared" ca="1" si="45"/>
        <v>Realizado</v>
      </c>
      <c r="B91" s="17">
        <v>44770</v>
      </c>
      <c r="C91" s="19">
        <f t="shared" si="40"/>
        <v>45484.15</v>
      </c>
      <c r="D91" s="35">
        <f>_xlfn.XLOOKUP($B:$B,'Compilado 2023'!$B:$B,'Compilado 2023'!D:D)</f>
        <v>45484.15</v>
      </c>
      <c r="E91" s="35">
        <f>_xlfn.XLOOKUP($B:$B,'Compilado 2023'!$B:$B,'Compilado 2023'!E:E)</f>
        <v>0</v>
      </c>
      <c r="F91" s="18">
        <f>_xlfn.XLOOKUP($B:$B,'Compilado 2023'!$B:$B,'Compilado 2023'!F:F)</f>
        <v>175</v>
      </c>
      <c r="G91" s="18">
        <f>_xlfn.XLOOKUP($B:$B,'Compilado 2023'!$B:$B,'Compilado 2023'!G:G)</f>
        <v>227</v>
      </c>
      <c r="H91" s="35">
        <f t="shared" si="41"/>
        <v>259.90942857142858</v>
      </c>
      <c r="I91" s="19">
        <f t="shared" si="42"/>
        <v>931.10290322580647</v>
      </c>
      <c r="J91" s="122">
        <f t="shared" si="43"/>
        <v>48.849756393649017</v>
      </c>
      <c r="K91" s="18">
        <f>_xlfn.XLOOKUP($B:$B,'Compilado 2023'!$B:$B,'Compilado 2023'!K:K)</f>
        <v>4145</v>
      </c>
      <c r="L91" s="54">
        <f t="shared" si="44"/>
        <v>4.2219541616405308E-2</v>
      </c>
      <c r="M91" s="149"/>
      <c r="N91" s="106">
        <f>_xlfn.XLOOKUP($B:$B,'Compilado 2023'!$B:$B,'Compilado 2023'!N:N)</f>
        <v>620.84</v>
      </c>
      <c r="O91" s="106">
        <f>_xlfn.XLOOKUP($B:$B,'Compilado 2023'!$B:$B,'Compilado 2023'!O:O)</f>
        <v>258.64999999999998</v>
      </c>
      <c r="P91" s="106">
        <f>_xlfn.XLOOKUP($B:$B,'Compilado 2023'!$B:$B,'Compilado 2023'!P:P)</f>
        <v>0</v>
      </c>
      <c r="Q91" s="106">
        <f>_xlfn.XLOOKUP($B:$B,'Compilado 2023'!$B:$B,'Compilado 2023'!Q:Q)</f>
        <v>51.612903225806448</v>
      </c>
      <c r="R91" s="106">
        <f>_xlfn.XLOOKUP($B:$B,'Compilado 2023'!$B:$B,'Compilado 2023'!R:R)</f>
        <v>0</v>
      </c>
      <c r="S91" s="106">
        <f>_xlfn.XLOOKUP($B:$B,'Compilado 2023'!$B:$B,'Compilado 2023'!T:T)</f>
        <v>0</v>
      </c>
      <c r="T91" s="106">
        <f>_xlfn.XLOOKUP($B:$B,'Compilado 2023'!$B:$B,'Compilado 2023'!U:U)</f>
        <v>0</v>
      </c>
      <c r="U91" s="106">
        <f>_xlfn.XLOOKUP($B:$B,'Compilado 2023'!$B:$B,'Compilado 2023'!V:V)</f>
        <v>0</v>
      </c>
      <c r="V91" s="57"/>
      <c r="W91" s="106">
        <f>_xlfn.XLOOKUP($B:$B,'Compilado 2023'!$B:$B,'Compilado 2023'!X:X)</f>
        <v>0</v>
      </c>
      <c r="X91" s="106">
        <f>_xlfn.XLOOKUP($B:$B,'Compilado 2023'!$B:$B,'Compilado 2023'!Y:Y)</f>
        <v>0</v>
      </c>
      <c r="Y91" s="106">
        <f>_xlfn.XLOOKUP($B:$B,'Compilado 2023'!$B:$B,'Compilado 2023'!Z:Z)</f>
        <v>0</v>
      </c>
      <c r="AA91" s="208">
        <v>45135</v>
      </c>
    </row>
    <row r="92" spans="1:27" hidden="1" x14ac:dyDescent="0.2">
      <c r="A92" s="17" t="str">
        <f t="shared" ca="1" si="45"/>
        <v>Realizado</v>
      </c>
      <c r="B92" s="17">
        <v>44771</v>
      </c>
      <c r="C92" s="19">
        <f t="shared" si="40"/>
        <v>54603.91</v>
      </c>
      <c r="D92" s="35">
        <f>_xlfn.XLOOKUP($B:$B,'Compilado 2023'!$B:$B,'Compilado 2023'!D:D)</f>
        <v>54603.91</v>
      </c>
      <c r="E92" s="35">
        <f>_xlfn.XLOOKUP($B:$B,'Compilado 2023'!$B:$B,'Compilado 2023'!E:E)</f>
        <v>0</v>
      </c>
      <c r="F92" s="18">
        <f>_xlfn.XLOOKUP($B:$B,'Compilado 2023'!$B:$B,'Compilado 2023'!F:F)</f>
        <v>214</v>
      </c>
      <c r="G92" s="18">
        <f>_xlfn.XLOOKUP($B:$B,'Compilado 2023'!$B:$B,'Compilado 2023'!G:G)</f>
        <v>289</v>
      </c>
      <c r="H92" s="35">
        <f t="shared" si="41"/>
        <v>255.15845794392524</v>
      </c>
      <c r="I92" s="19">
        <f t="shared" si="42"/>
        <v>812.80290322580652</v>
      </c>
      <c r="J92" s="122">
        <f t="shared" si="43"/>
        <v>67.179767423678086</v>
      </c>
      <c r="K92" s="18">
        <f>_xlfn.XLOOKUP($B:$B,'Compilado 2023'!$B:$B,'Compilado 2023'!K:K)</f>
        <v>3954</v>
      </c>
      <c r="L92" s="54">
        <f t="shared" si="44"/>
        <v>5.4122407688416793E-2</v>
      </c>
      <c r="M92" s="149"/>
      <c r="N92" s="106">
        <f>_xlfn.XLOOKUP($B:$B,'Compilado 2023'!$B:$B,'Compilado 2023'!N:N)</f>
        <v>508.54</v>
      </c>
      <c r="O92" s="106">
        <f>_xlfn.XLOOKUP($B:$B,'Compilado 2023'!$B:$B,'Compilado 2023'!O:O)</f>
        <v>252.65</v>
      </c>
      <c r="P92" s="106">
        <f>_xlfn.XLOOKUP($B:$B,'Compilado 2023'!$B:$B,'Compilado 2023'!P:P)</f>
        <v>0</v>
      </c>
      <c r="Q92" s="106">
        <f>_xlfn.XLOOKUP($B:$B,'Compilado 2023'!$B:$B,'Compilado 2023'!Q:Q)</f>
        <v>51.612903225806448</v>
      </c>
      <c r="R92" s="106">
        <f>_xlfn.XLOOKUP($B:$B,'Compilado 2023'!$B:$B,'Compilado 2023'!R:R)</f>
        <v>0</v>
      </c>
      <c r="S92" s="106">
        <f>_xlfn.XLOOKUP($B:$B,'Compilado 2023'!$B:$B,'Compilado 2023'!T:T)</f>
        <v>0</v>
      </c>
      <c r="T92" s="106">
        <f>_xlfn.XLOOKUP($B:$B,'Compilado 2023'!$B:$B,'Compilado 2023'!U:U)</f>
        <v>0</v>
      </c>
      <c r="U92" s="106">
        <f>_xlfn.XLOOKUP($B:$B,'Compilado 2023'!$B:$B,'Compilado 2023'!V:V)</f>
        <v>0</v>
      </c>
      <c r="V92" s="57"/>
      <c r="W92" s="106">
        <f>_xlfn.XLOOKUP($B:$B,'Compilado 2023'!$B:$B,'Compilado 2023'!X:X)</f>
        <v>0</v>
      </c>
      <c r="X92" s="106">
        <f>_xlfn.XLOOKUP($B:$B,'Compilado 2023'!$B:$B,'Compilado 2023'!Y:Y)</f>
        <v>0</v>
      </c>
      <c r="Y92" s="106">
        <f>_xlfn.XLOOKUP($B:$B,'Compilado 2023'!$B:$B,'Compilado 2023'!Z:Z)</f>
        <v>0</v>
      </c>
      <c r="AA92" s="208">
        <v>45136</v>
      </c>
    </row>
    <row r="93" spans="1:27" hidden="1" x14ac:dyDescent="0.2">
      <c r="A93" s="17" t="str">
        <f t="shared" ca="1" si="45"/>
        <v>Realizado</v>
      </c>
      <c r="B93" s="17">
        <v>44772</v>
      </c>
      <c r="C93" s="19">
        <f t="shared" si="40"/>
        <v>33714.1</v>
      </c>
      <c r="D93" s="35">
        <f>_xlfn.XLOOKUP($B:$B,'Compilado 2023'!$B:$B,'Compilado 2023'!D:D)</f>
        <v>33714.1</v>
      </c>
      <c r="E93" s="35">
        <f>_xlfn.XLOOKUP($B:$B,'Compilado 2023'!$B:$B,'Compilado 2023'!E:E)</f>
        <v>0</v>
      </c>
      <c r="F93" s="18">
        <f>_xlfn.XLOOKUP($B:$B,'Compilado 2023'!$B:$B,'Compilado 2023'!F:F)</f>
        <v>139</v>
      </c>
      <c r="G93" s="18">
        <f>_xlfn.XLOOKUP($B:$B,'Compilado 2023'!$B:$B,'Compilado 2023'!G:G)</f>
        <v>196</v>
      </c>
      <c r="H93" s="35">
        <f t="shared" si="41"/>
        <v>242.54748201438849</v>
      </c>
      <c r="I93" s="19">
        <f t="shared" si="42"/>
        <v>757.98290322580647</v>
      </c>
      <c r="J93" s="122">
        <f t="shared" si="43"/>
        <v>44.478707707680869</v>
      </c>
      <c r="K93" s="18">
        <f>_xlfn.XLOOKUP($B:$B,'Compilado 2023'!$B:$B,'Compilado 2023'!K:K)</f>
        <v>2932</v>
      </c>
      <c r="L93" s="54">
        <f t="shared" si="44"/>
        <v>4.7407912687585263E-2</v>
      </c>
      <c r="M93" s="149"/>
      <c r="N93" s="106">
        <f>_xlfn.XLOOKUP($B:$B,'Compilado 2023'!$B:$B,'Compilado 2023'!N:N)</f>
        <v>398.9</v>
      </c>
      <c r="O93" s="106">
        <f>_xlfn.XLOOKUP($B:$B,'Compilado 2023'!$B:$B,'Compilado 2023'!O:O)</f>
        <v>307.47000000000003</v>
      </c>
      <c r="P93" s="106">
        <f>_xlfn.XLOOKUP($B:$B,'Compilado 2023'!$B:$B,'Compilado 2023'!P:P)</f>
        <v>0</v>
      </c>
      <c r="Q93" s="106">
        <f>_xlfn.XLOOKUP($B:$B,'Compilado 2023'!$B:$B,'Compilado 2023'!Q:Q)</f>
        <v>51.612903225806448</v>
      </c>
      <c r="R93" s="106">
        <f>_xlfn.XLOOKUP($B:$B,'Compilado 2023'!$B:$B,'Compilado 2023'!R:R)</f>
        <v>0</v>
      </c>
      <c r="S93" s="106">
        <f>_xlfn.XLOOKUP($B:$B,'Compilado 2023'!$B:$B,'Compilado 2023'!T:T)</f>
        <v>0</v>
      </c>
      <c r="T93" s="106">
        <f>_xlfn.XLOOKUP($B:$B,'Compilado 2023'!$B:$B,'Compilado 2023'!U:U)</f>
        <v>0</v>
      </c>
      <c r="U93" s="106">
        <f>_xlfn.XLOOKUP($B:$B,'Compilado 2023'!$B:$B,'Compilado 2023'!V:V)</f>
        <v>0</v>
      </c>
      <c r="V93" s="57"/>
      <c r="W93" s="106">
        <f>_xlfn.XLOOKUP($B:$B,'Compilado 2023'!$B:$B,'Compilado 2023'!X:X)</f>
        <v>0</v>
      </c>
      <c r="X93" s="106">
        <f>_xlfn.XLOOKUP($B:$B,'Compilado 2023'!$B:$B,'Compilado 2023'!Y:Y)</f>
        <v>0</v>
      </c>
      <c r="Y93" s="106">
        <f>_xlfn.XLOOKUP($B:$B,'Compilado 2023'!$B:$B,'Compilado 2023'!Z:Z)</f>
        <v>0</v>
      </c>
      <c r="AA93" s="208">
        <v>45137</v>
      </c>
    </row>
    <row r="94" spans="1:27" hidden="1" x14ac:dyDescent="0.2">
      <c r="A94" s="17" t="str">
        <f t="shared" ca="1" si="45"/>
        <v>Realizado</v>
      </c>
      <c r="B94" s="17">
        <v>44773</v>
      </c>
      <c r="C94" s="19">
        <f t="shared" si="40"/>
        <v>29380.99</v>
      </c>
      <c r="D94" s="35">
        <f>_xlfn.XLOOKUP($B:$B,'Compilado 2023'!$B:$B,'Compilado 2023'!D:D)</f>
        <v>29380.99</v>
      </c>
      <c r="E94" s="35">
        <f>_xlfn.XLOOKUP($B:$B,'Compilado 2023'!$B:$B,'Compilado 2023'!E:E)</f>
        <v>0</v>
      </c>
      <c r="F94" s="18">
        <f>_xlfn.XLOOKUP($B:$B,'Compilado 2023'!$B:$B,'Compilado 2023'!F:F)</f>
        <v>129</v>
      </c>
      <c r="G94" s="18">
        <f>_xlfn.XLOOKUP($B:$B,'Compilado 2023'!$B:$B,'Compilado 2023'!G:G)</f>
        <v>183</v>
      </c>
      <c r="H94" s="35">
        <f t="shared" si="41"/>
        <v>227.75961240310079</v>
      </c>
      <c r="I94" s="19">
        <f t="shared" si="42"/>
        <v>736.40290322580643</v>
      </c>
      <c r="J94" s="122">
        <f t="shared" si="43"/>
        <v>39.897982301939379</v>
      </c>
      <c r="K94" s="18">
        <f>_xlfn.XLOOKUP($B:$B,'Compilado 2023'!$B:$B,'Compilado 2023'!K:K)</f>
        <v>2518</v>
      </c>
      <c r="L94" s="54">
        <f t="shared" si="44"/>
        <v>5.1231135822081018E-2</v>
      </c>
      <c r="M94" s="149"/>
      <c r="N94" s="106">
        <f>_xlfn.XLOOKUP($B:$B,'Compilado 2023'!$B:$B,'Compilado 2023'!N:N)</f>
        <v>392.58</v>
      </c>
      <c r="O94" s="106">
        <f>_xlfn.XLOOKUP($B:$B,'Compilado 2023'!$B:$B,'Compilado 2023'!O:O)</f>
        <v>292.20999999999998</v>
      </c>
      <c r="P94" s="106">
        <f>_xlfn.XLOOKUP($B:$B,'Compilado 2023'!$B:$B,'Compilado 2023'!P:P)</f>
        <v>0</v>
      </c>
      <c r="Q94" s="106">
        <f>_xlfn.XLOOKUP($B:$B,'Compilado 2023'!$B:$B,'Compilado 2023'!Q:Q)</f>
        <v>51.612903225806448</v>
      </c>
      <c r="R94" s="106">
        <f>_xlfn.XLOOKUP($B:$B,'Compilado 2023'!$B:$B,'Compilado 2023'!R:R)</f>
        <v>0</v>
      </c>
      <c r="S94" s="106">
        <f>_xlfn.XLOOKUP($B:$B,'Compilado 2023'!$B:$B,'Compilado 2023'!T:T)</f>
        <v>0</v>
      </c>
      <c r="T94" s="106">
        <f>_xlfn.XLOOKUP($B:$B,'Compilado 2023'!$B:$B,'Compilado 2023'!U:U)</f>
        <v>0</v>
      </c>
      <c r="U94" s="106">
        <f>_xlfn.XLOOKUP($B:$B,'Compilado 2023'!$B:$B,'Compilado 2023'!V:V)</f>
        <v>0</v>
      </c>
      <c r="V94" s="57"/>
      <c r="W94" s="106">
        <f>_xlfn.XLOOKUP($B:$B,'Compilado 2023'!$B:$B,'Compilado 2023'!X:X)</f>
        <v>0</v>
      </c>
      <c r="X94" s="106">
        <f>_xlfn.XLOOKUP($B:$B,'Compilado 2023'!$B:$B,'Compilado 2023'!Y:Y)</f>
        <v>0</v>
      </c>
      <c r="Y94" s="106">
        <f>_xlfn.XLOOKUP($B:$B,'Compilado 2023'!$B:$B,'Compilado 2023'!Z:Z)</f>
        <v>0</v>
      </c>
      <c r="AA94" s="208">
        <v>45138</v>
      </c>
    </row>
    <row r="99" spans="1:27" x14ac:dyDescent="0.2">
      <c r="A99" s="16" t="s">
        <v>100</v>
      </c>
      <c r="B99" s="17">
        <v>44743</v>
      </c>
      <c r="C99" s="19">
        <v>39442.19</v>
      </c>
      <c r="D99" s="52">
        <v>39442.19</v>
      </c>
      <c r="E99" s="52">
        <v>0</v>
      </c>
      <c r="F99" s="157">
        <v>134</v>
      </c>
      <c r="G99" s="157">
        <v>179</v>
      </c>
      <c r="H99" s="35">
        <v>294.34470149253735</v>
      </c>
      <c r="I99" s="19">
        <v>988.66290322580653</v>
      </c>
      <c r="J99" s="111">
        <v>39.894477552771662</v>
      </c>
      <c r="K99" s="53">
        <v>3383</v>
      </c>
      <c r="L99" s="54">
        <v>3.9609813774756135E-2</v>
      </c>
      <c r="M99" s="59"/>
      <c r="N99" s="69">
        <v>608.69000000000005</v>
      </c>
      <c r="O99" s="70">
        <v>328.36</v>
      </c>
      <c r="P99" s="70">
        <v>0</v>
      </c>
      <c r="Q99" s="70">
        <v>51.612903225806448</v>
      </c>
      <c r="R99" s="202">
        <v>0</v>
      </c>
      <c r="S99" s="70">
        <v>0</v>
      </c>
      <c r="T99" s="70">
        <v>0</v>
      </c>
      <c r="U99" s="70">
        <v>0</v>
      </c>
      <c r="V99" s="59"/>
      <c r="W99" s="70">
        <v>0</v>
      </c>
      <c r="X99" s="70">
        <v>0</v>
      </c>
      <c r="Y99" s="70">
        <v>0</v>
      </c>
      <c r="Z99" s="38"/>
      <c r="AA99" s="40"/>
    </row>
    <row r="100" spans="1:27" x14ac:dyDescent="0.2">
      <c r="A100" s="16" t="s">
        <v>94</v>
      </c>
      <c r="B100" s="17">
        <v>44744</v>
      </c>
      <c r="C100" s="19">
        <v>26341.55</v>
      </c>
      <c r="D100" s="52">
        <v>26341.55</v>
      </c>
      <c r="E100" s="52">
        <v>0</v>
      </c>
      <c r="F100" s="157">
        <v>90</v>
      </c>
      <c r="G100" s="157">
        <v>115</v>
      </c>
      <c r="H100" s="35">
        <v>292.68388888888887</v>
      </c>
      <c r="I100" s="19">
        <v>821.45290322580649</v>
      </c>
      <c r="J100" s="111">
        <v>32.067024045514948</v>
      </c>
      <c r="K100" s="53">
        <v>2584</v>
      </c>
      <c r="L100" s="54">
        <v>3.4829721362229102E-2</v>
      </c>
      <c r="M100" s="59"/>
      <c r="N100" s="69">
        <v>505.8</v>
      </c>
      <c r="O100" s="70">
        <v>264.04000000000002</v>
      </c>
      <c r="P100" s="70">
        <v>0</v>
      </c>
      <c r="Q100" s="70">
        <v>51.612903225806448</v>
      </c>
      <c r="R100" s="202">
        <v>0</v>
      </c>
      <c r="S100" s="70">
        <v>0</v>
      </c>
      <c r="T100" s="70">
        <v>0</v>
      </c>
      <c r="U100" s="70">
        <v>0</v>
      </c>
      <c r="V100" s="59"/>
      <c r="W100" s="70">
        <v>0</v>
      </c>
      <c r="X100" s="70">
        <v>0</v>
      </c>
      <c r="Y100" s="70">
        <v>0</v>
      </c>
      <c r="Z100" s="38"/>
      <c r="AA100" s="40"/>
    </row>
    <row r="101" spans="1:27" x14ac:dyDescent="0.2">
      <c r="A101" s="16" t="s">
        <v>95</v>
      </c>
      <c r="B101" s="17">
        <v>44745</v>
      </c>
      <c r="C101" s="19">
        <v>15608.35</v>
      </c>
      <c r="D101" s="52">
        <v>15608.35</v>
      </c>
      <c r="E101" s="52">
        <v>0</v>
      </c>
      <c r="F101" s="157">
        <v>59</v>
      </c>
      <c r="G101" s="157">
        <v>74</v>
      </c>
      <c r="H101" s="35">
        <v>264.54830508474578</v>
      </c>
      <c r="I101" s="19">
        <v>840.73290322580647</v>
      </c>
      <c r="J101" s="111">
        <v>18.56517086474474</v>
      </c>
      <c r="K101" s="53">
        <v>2372</v>
      </c>
      <c r="L101" s="54">
        <v>2.4873524451939293E-2</v>
      </c>
      <c r="M101" s="59"/>
      <c r="N101" s="69">
        <v>543.34</v>
      </c>
      <c r="O101" s="70">
        <v>245.78</v>
      </c>
      <c r="P101" s="70">
        <v>0</v>
      </c>
      <c r="Q101" s="70">
        <v>51.612903225806448</v>
      </c>
      <c r="R101" s="202">
        <v>0</v>
      </c>
      <c r="S101" s="70">
        <v>0</v>
      </c>
      <c r="T101" s="70">
        <v>0</v>
      </c>
      <c r="U101" s="70">
        <v>0</v>
      </c>
      <c r="V101" s="59"/>
      <c r="W101" s="70">
        <v>0</v>
      </c>
      <c r="X101" s="70">
        <v>0</v>
      </c>
      <c r="Y101" s="70">
        <v>0</v>
      </c>
      <c r="Z101" s="38"/>
      <c r="AA101" s="40"/>
    </row>
    <row r="102" spans="1:27" x14ac:dyDescent="0.2">
      <c r="A102" s="16" t="s">
        <v>96</v>
      </c>
      <c r="B102" s="17">
        <v>44746</v>
      </c>
      <c r="C102" s="19">
        <v>29378.33</v>
      </c>
      <c r="D102" s="52">
        <v>29378.33</v>
      </c>
      <c r="E102" s="52">
        <v>0</v>
      </c>
      <c r="F102" s="157">
        <v>103</v>
      </c>
      <c r="G102" s="157">
        <v>132</v>
      </c>
      <c r="H102" s="35">
        <v>285.22650485436895</v>
      </c>
      <c r="I102" s="19">
        <v>935.93290322580651</v>
      </c>
      <c r="J102" s="111">
        <v>31.389354833817698</v>
      </c>
      <c r="K102" s="53">
        <v>3866</v>
      </c>
      <c r="L102" s="54">
        <v>2.6642524573202275E-2</v>
      </c>
      <c r="M102" s="59"/>
      <c r="N102" s="69">
        <v>662.2</v>
      </c>
      <c r="O102" s="70">
        <v>222.12</v>
      </c>
      <c r="P102" s="70">
        <v>0</v>
      </c>
      <c r="Q102" s="70">
        <v>51.612903225806448</v>
      </c>
      <c r="R102" s="202">
        <v>0</v>
      </c>
      <c r="S102" s="70">
        <v>0</v>
      </c>
      <c r="T102" s="70">
        <v>0</v>
      </c>
      <c r="U102" s="70">
        <v>0</v>
      </c>
      <c r="V102" s="59"/>
      <c r="W102" s="70">
        <v>0</v>
      </c>
      <c r="X102" s="70">
        <v>0</v>
      </c>
      <c r="Y102" s="70">
        <v>0</v>
      </c>
      <c r="Z102" s="38"/>
      <c r="AA102" s="40"/>
    </row>
    <row r="103" spans="1:27" ht="13.5" thickBot="1" x14ac:dyDescent="0.25">
      <c r="A103" s="16" t="s">
        <v>97</v>
      </c>
      <c r="B103" s="17">
        <v>44747</v>
      </c>
      <c r="C103" s="19">
        <v>36634.06</v>
      </c>
      <c r="D103" s="52">
        <v>36634.06</v>
      </c>
      <c r="E103" s="52">
        <v>0</v>
      </c>
      <c r="F103" s="157">
        <v>128</v>
      </c>
      <c r="G103" s="157">
        <v>152</v>
      </c>
      <c r="H103" s="35">
        <v>286.20359374999998</v>
      </c>
      <c r="I103" s="19">
        <v>916.56290322580651</v>
      </c>
      <c r="J103" s="111">
        <v>39.968953435784805</v>
      </c>
      <c r="K103" s="53">
        <v>3732</v>
      </c>
      <c r="L103" s="54">
        <v>3.4297963558413719E-2</v>
      </c>
      <c r="M103" s="73"/>
      <c r="N103" s="69">
        <v>612.45000000000005</v>
      </c>
      <c r="O103" s="70">
        <v>252.5</v>
      </c>
      <c r="P103" s="70">
        <v>0</v>
      </c>
      <c r="Q103" s="70">
        <v>51.612903225806448</v>
      </c>
      <c r="R103" s="202">
        <v>0</v>
      </c>
      <c r="S103" s="70">
        <v>0</v>
      </c>
      <c r="T103" s="70">
        <v>0</v>
      </c>
      <c r="U103" s="70">
        <v>0</v>
      </c>
      <c r="V103" s="59"/>
      <c r="W103" s="70">
        <v>0</v>
      </c>
      <c r="X103" s="70">
        <v>0</v>
      </c>
      <c r="Y103" s="70">
        <v>0</v>
      </c>
      <c r="Z103" s="38"/>
      <c r="AA103" s="40"/>
    </row>
    <row r="104" spans="1:27" x14ac:dyDescent="0.2">
      <c r="A104" s="16" t="s">
        <v>98</v>
      </c>
      <c r="B104" s="17">
        <v>44748</v>
      </c>
      <c r="C104" s="19">
        <v>42395.32</v>
      </c>
      <c r="D104" s="52">
        <v>42395.32</v>
      </c>
      <c r="E104" s="52">
        <v>0</v>
      </c>
      <c r="F104" s="157">
        <v>142</v>
      </c>
      <c r="G104" s="157">
        <v>182</v>
      </c>
      <c r="H104" s="35">
        <v>298.55859154929578</v>
      </c>
      <c r="I104" s="19">
        <v>379.60290322580647</v>
      </c>
      <c r="J104" s="111">
        <v>111.68333972087979</v>
      </c>
      <c r="K104" s="53">
        <v>3529</v>
      </c>
      <c r="L104" s="54">
        <v>4.0238027769906488E-2</v>
      </c>
      <c r="M104" s="59"/>
      <c r="N104" s="69">
        <v>70.27</v>
      </c>
      <c r="O104" s="70">
        <v>257.72000000000003</v>
      </c>
      <c r="P104" s="70">
        <v>0</v>
      </c>
      <c r="Q104" s="70">
        <v>51.612903225806448</v>
      </c>
      <c r="R104" s="202">
        <v>0</v>
      </c>
      <c r="S104" s="70">
        <v>0</v>
      </c>
      <c r="T104" s="70">
        <v>0</v>
      </c>
      <c r="U104" s="70">
        <v>0</v>
      </c>
      <c r="V104" s="59"/>
      <c r="W104" s="70">
        <v>0</v>
      </c>
      <c r="X104" s="70">
        <v>0</v>
      </c>
      <c r="Y104" s="70">
        <v>0</v>
      </c>
      <c r="Z104" s="38"/>
      <c r="AA104" s="40"/>
    </row>
    <row r="105" spans="1:27" x14ac:dyDescent="0.2">
      <c r="A105" s="16" t="s">
        <v>99</v>
      </c>
      <c r="B105" s="17">
        <v>44749</v>
      </c>
      <c r="C105" s="19">
        <v>37505.440000000002</v>
      </c>
      <c r="D105" s="52">
        <v>37455.300000000003</v>
      </c>
      <c r="E105" s="52">
        <v>50.14</v>
      </c>
      <c r="F105" s="157">
        <v>127</v>
      </c>
      <c r="G105" s="157">
        <v>156</v>
      </c>
      <c r="H105" s="35">
        <v>295.3184251968504</v>
      </c>
      <c r="I105" s="19">
        <v>393.03290322580648</v>
      </c>
      <c r="J105" s="111">
        <v>95.425700220452697</v>
      </c>
      <c r="K105" s="53">
        <v>3390</v>
      </c>
      <c r="L105" s="54">
        <v>3.7463126843657817E-2</v>
      </c>
      <c r="M105" s="59"/>
      <c r="N105" s="69">
        <v>0</v>
      </c>
      <c r="O105" s="70">
        <v>341.42</v>
      </c>
      <c r="P105" s="70">
        <v>0</v>
      </c>
      <c r="Q105" s="70">
        <v>51.612903225806448</v>
      </c>
      <c r="R105" s="202">
        <v>0</v>
      </c>
      <c r="S105" s="70">
        <v>0</v>
      </c>
      <c r="T105" s="70">
        <v>0</v>
      </c>
      <c r="U105" s="70">
        <v>0</v>
      </c>
      <c r="V105" s="59"/>
      <c r="W105" s="70">
        <v>0</v>
      </c>
      <c r="X105" s="70">
        <v>0</v>
      </c>
      <c r="Y105" s="70">
        <v>0</v>
      </c>
      <c r="Z105" s="38"/>
      <c r="AA105" s="40"/>
    </row>
    <row r="106" spans="1:27" x14ac:dyDescent="0.2">
      <c r="A106" s="16" t="s">
        <v>100</v>
      </c>
      <c r="B106" s="17">
        <v>44750</v>
      </c>
      <c r="C106" s="19">
        <v>50251.18</v>
      </c>
      <c r="D106" s="52">
        <v>50186.29</v>
      </c>
      <c r="E106" s="52">
        <v>64.89</v>
      </c>
      <c r="F106" s="157">
        <v>169</v>
      </c>
      <c r="G106" s="157">
        <v>196</v>
      </c>
      <c r="H106" s="35">
        <v>297.34426035502958</v>
      </c>
      <c r="I106" s="19">
        <v>599.97290322580648</v>
      </c>
      <c r="J106" s="111">
        <v>83.755749184371766</v>
      </c>
      <c r="K106" s="53">
        <v>3477</v>
      </c>
      <c r="L106" s="54">
        <v>4.8605119355766467E-2</v>
      </c>
      <c r="M106" s="59"/>
      <c r="N106" s="69">
        <v>0</v>
      </c>
      <c r="O106" s="70">
        <v>548.36</v>
      </c>
      <c r="P106" s="70">
        <v>0</v>
      </c>
      <c r="Q106" s="70">
        <v>51.612903225806448</v>
      </c>
      <c r="R106" s="202">
        <v>0</v>
      </c>
      <c r="S106" s="70">
        <v>0</v>
      </c>
      <c r="T106" s="70">
        <v>0</v>
      </c>
      <c r="U106" s="70">
        <v>0</v>
      </c>
      <c r="V106" s="59"/>
      <c r="W106" s="70">
        <v>0</v>
      </c>
      <c r="X106" s="70">
        <v>0</v>
      </c>
      <c r="Y106" s="70">
        <v>0</v>
      </c>
      <c r="Z106" s="38"/>
      <c r="AA106" s="40"/>
    </row>
    <row r="107" spans="1:27" x14ac:dyDescent="0.2">
      <c r="A107" s="16" t="s">
        <v>94</v>
      </c>
      <c r="B107" s="17">
        <v>44751</v>
      </c>
      <c r="C107" s="19">
        <v>28220.48</v>
      </c>
      <c r="D107" s="52">
        <v>28220.48</v>
      </c>
      <c r="E107" s="52">
        <v>0</v>
      </c>
      <c r="F107" s="157">
        <v>95</v>
      </c>
      <c r="G107" s="157">
        <v>117</v>
      </c>
      <c r="H107" s="35">
        <v>297.0576842105263</v>
      </c>
      <c r="I107" s="19">
        <v>673.17290322580641</v>
      </c>
      <c r="J107" s="111">
        <v>41.921592305288968</v>
      </c>
      <c r="K107" s="53">
        <v>2534</v>
      </c>
      <c r="L107" s="54">
        <v>3.7490134175217051E-2</v>
      </c>
      <c r="M107" s="59"/>
      <c r="N107" s="69">
        <v>0</v>
      </c>
      <c r="O107" s="70">
        <v>621.55999999999995</v>
      </c>
      <c r="P107" s="70">
        <v>0</v>
      </c>
      <c r="Q107" s="70">
        <v>51.612903225806448</v>
      </c>
      <c r="R107" s="202">
        <v>0</v>
      </c>
      <c r="S107" s="70">
        <v>0</v>
      </c>
      <c r="T107" s="70">
        <v>0</v>
      </c>
      <c r="U107" s="70">
        <v>0</v>
      </c>
      <c r="V107" s="59"/>
      <c r="W107" s="70">
        <v>0</v>
      </c>
      <c r="X107" s="70">
        <v>0</v>
      </c>
      <c r="Y107" s="70">
        <v>0</v>
      </c>
      <c r="Z107" s="38"/>
      <c r="AA107" s="40"/>
    </row>
    <row r="108" spans="1:27" x14ac:dyDescent="0.2">
      <c r="A108" s="16" t="s">
        <v>95</v>
      </c>
      <c r="B108" s="17">
        <v>44752</v>
      </c>
      <c r="C108" s="19">
        <v>17813.48</v>
      </c>
      <c r="D108" s="52">
        <v>17813.48</v>
      </c>
      <c r="E108" s="52">
        <v>0</v>
      </c>
      <c r="F108" s="157">
        <v>64</v>
      </c>
      <c r="G108" s="157">
        <v>79</v>
      </c>
      <c r="H108" s="35">
        <v>278.33562499999999</v>
      </c>
      <c r="I108" s="19">
        <v>673.83290322580649</v>
      </c>
      <c r="J108" s="111">
        <v>26.436049523142042</v>
      </c>
      <c r="K108" s="53">
        <v>2218</v>
      </c>
      <c r="L108" s="54">
        <v>2.8854824165915238E-2</v>
      </c>
      <c r="M108" s="59"/>
      <c r="N108" s="69">
        <v>0</v>
      </c>
      <c r="O108" s="70">
        <v>622.22</v>
      </c>
      <c r="P108" s="70">
        <v>0</v>
      </c>
      <c r="Q108" s="70">
        <v>51.612903225806448</v>
      </c>
      <c r="R108" s="202">
        <v>0</v>
      </c>
      <c r="S108" s="70">
        <v>0</v>
      </c>
      <c r="T108" s="70">
        <v>0</v>
      </c>
      <c r="U108" s="70">
        <v>0</v>
      </c>
      <c r="V108" s="59"/>
      <c r="W108" s="70">
        <v>0</v>
      </c>
      <c r="X108" s="70">
        <v>0</v>
      </c>
      <c r="Y108" s="70">
        <v>0</v>
      </c>
      <c r="Z108" s="38"/>
      <c r="AA108" s="40"/>
    </row>
    <row r="109" spans="1:27" x14ac:dyDescent="0.2">
      <c r="A109" s="16" t="s">
        <v>96</v>
      </c>
      <c r="B109" s="17">
        <v>44753</v>
      </c>
      <c r="C109" s="19">
        <v>41088.559999999998</v>
      </c>
      <c r="D109" s="52">
        <v>41088.559999999998</v>
      </c>
      <c r="E109" s="52">
        <v>0</v>
      </c>
      <c r="F109" s="157">
        <v>135</v>
      </c>
      <c r="G109" s="157">
        <v>198</v>
      </c>
      <c r="H109" s="35">
        <v>304.3597037037037</v>
      </c>
      <c r="I109" s="19">
        <v>644.86290322580646</v>
      </c>
      <c r="J109" s="111">
        <v>63.716736990858266</v>
      </c>
      <c r="K109" s="53">
        <v>3435</v>
      </c>
      <c r="L109" s="54">
        <v>3.9301310043668124E-2</v>
      </c>
      <c r="M109" s="59"/>
      <c r="N109" s="69">
        <v>0</v>
      </c>
      <c r="O109" s="70">
        <v>593.25</v>
      </c>
      <c r="P109" s="70">
        <v>0</v>
      </c>
      <c r="Q109" s="70">
        <v>51.612903225806448</v>
      </c>
      <c r="R109" s="202">
        <v>0</v>
      </c>
      <c r="S109" s="70">
        <v>0</v>
      </c>
      <c r="T109" s="70">
        <v>0</v>
      </c>
      <c r="U109" s="70">
        <v>0</v>
      </c>
      <c r="V109" s="59"/>
      <c r="W109" s="70">
        <v>0</v>
      </c>
      <c r="X109" s="70">
        <v>0</v>
      </c>
      <c r="Y109" s="70">
        <v>0</v>
      </c>
      <c r="Z109" s="38"/>
      <c r="AA109" s="40"/>
    </row>
    <row r="110" spans="1:27" x14ac:dyDescent="0.2">
      <c r="A110" s="16" t="s">
        <v>97</v>
      </c>
      <c r="B110" s="17">
        <v>44754</v>
      </c>
      <c r="C110" s="19">
        <v>39520.199999999997</v>
      </c>
      <c r="D110" s="52">
        <v>39520.199999999997</v>
      </c>
      <c r="E110" s="52">
        <v>0</v>
      </c>
      <c r="F110" s="157">
        <v>124</v>
      </c>
      <c r="G110" s="157">
        <v>138</v>
      </c>
      <c r="H110" s="35">
        <v>318.71129032258062</v>
      </c>
      <c r="I110" s="19">
        <v>1593.7629032258064</v>
      </c>
      <c r="J110" s="111">
        <v>24.796787476989433</v>
      </c>
      <c r="K110" s="53">
        <v>4038</v>
      </c>
      <c r="L110" s="54">
        <v>3.0708271421495788E-2</v>
      </c>
      <c r="M110" s="59"/>
      <c r="N110" s="69">
        <v>853.98</v>
      </c>
      <c r="O110" s="70">
        <v>688.17</v>
      </c>
      <c r="P110" s="70">
        <v>0</v>
      </c>
      <c r="Q110" s="70">
        <v>51.612903225806448</v>
      </c>
      <c r="R110" s="202">
        <v>0</v>
      </c>
      <c r="S110" s="70">
        <v>0</v>
      </c>
      <c r="T110" s="70">
        <v>0</v>
      </c>
      <c r="U110" s="70">
        <v>0</v>
      </c>
      <c r="V110" s="59"/>
      <c r="W110" s="70">
        <v>0</v>
      </c>
      <c r="X110" s="70">
        <v>0</v>
      </c>
      <c r="Y110" s="70">
        <v>0</v>
      </c>
      <c r="Z110" s="38"/>
      <c r="AA110" s="40"/>
    </row>
    <row r="111" spans="1:27" x14ac:dyDescent="0.2">
      <c r="A111" s="16" t="s">
        <v>98</v>
      </c>
      <c r="B111" s="17">
        <v>44755</v>
      </c>
      <c r="C111" s="19">
        <v>29366.97</v>
      </c>
      <c r="D111" s="52">
        <v>29344.74</v>
      </c>
      <c r="E111" s="52">
        <v>22.23</v>
      </c>
      <c r="F111" s="157">
        <v>108</v>
      </c>
      <c r="G111" s="157">
        <v>132</v>
      </c>
      <c r="H111" s="35">
        <v>271.91638888888889</v>
      </c>
      <c r="I111" s="19">
        <v>1783.0229032258062</v>
      </c>
      <c r="J111" s="111">
        <v>16.470326851590027</v>
      </c>
      <c r="K111" s="53">
        <v>3921</v>
      </c>
      <c r="L111" s="54">
        <v>2.754399387911247E-2</v>
      </c>
      <c r="M111" s="59"/>
      <c r="N111" s="69">
        <v>788.24</v>
      </c>
      <c r="O111" s="70">
        <v>943.17</v>
      </c>
      <c r="P111" s="70">
        <v>0</v>
      </c>
      <c r="Q111" s="70">
        <v>51.612903225806448</v>
      </c>
      <c r="R111" s="202">
        <v>0</v>
      </c>
      <c r="S111" s="70">
        <v>0</v>
      </c>
      <c r="T111" s="70">
        <v>0</v>
      </c>
      <c r="U111" s="70">
        <v>0</v>
      </c>
      <c r="V111" s="59"/>
      <c r="W111" s="70">
        <v>0</v>
      </c>
      <c r="X111" s="70">
        <v>0</v>
      </c>
      <c r="Y111" s="70">
        <v>0</v>
      </c>
      <c r="Z111" s="38"/>
      <c r="AA111" s="40"/>
    </row>
    <row r="112" spans="1:27" x14ac:dyDescent="0.2">
      <c r="A112" s="16" t="s">
        <v>99</v>
      </c>
      <c r="B112" s="17">
        <v>44756</v>
      </c>
      <c r="C112" s="19">
        <v>43354.31</v>
      </c>
      <c r="D112" s="52">
        <v>43354.31</v>
      </c>
      <c r="E112" s="52">
        <v>0</v>
      </c>
      <c r="F112" s="157">
        <v>150</v>
      </c>
      <c r="G112" s="157">
        <v>188</v>
      </c>
      <c r="H112" s="35">
        <v>289.02873333333332</v>
      </c>
      <c r="I112" s="19">
        <v>1391.9429032258063</v>
      </c>
      <c r="J112" s="111">
        <v>31.146615209235271</v>
      </c>
      <c r="K112" s="53">
        <v>3954</v>
      </c>
      <c r="L112" s="54">
        <v>3.7936267071320182E-2</v>
      </c>
      <c r="M112" s="59"/>
      <c r="N112" s="69">
        <v>644.99</v>
      </c>
      <c r="O112" s="70">
        <v>695.34</v>
      </c>
      <c r="P112" s="70">
        <v>0</v>
      </c>
      <c r="Q112" s="70">
        <v>51.612903225806448</v>
      </c>
      <c r="R112" s="202">
        <v>0</v>
      </c>
      <c r="S112" s="70">
        <v>0</v>
      </c>
      <c r="T112" s="70">
        <v>0</v>
      </c>
      <c r="U112" s="70">
        <v>0</v>
      </c>
      <c r="V112" s="59"/>
      <c r="W112" s="70">
        <v>0</v>
      </c>
      <c r="X112" s="70">
        <v>0</v>
      </c>
      <c r="Y112" s="70">
        <v>0</v>
      </c>
      <c r="Z112" s="38"/>
      <c r="AA112" s="40"/>
    </row>
    <row r="113" spans="1:27" x14ac:dyDescent="0.2">
      <c r="A113" s="16" t="s">
        <v>100</v>
      </c>
      <c r="B113" s="17">
        <v>44757</v>
      </c>
      <c r="C113" s="19">
        <v>31410.61</v>
      </c>
      <c r="D113" s="52">
        <v>31410.61</v>
      </c>
      <c r="E113" s="52">
        <v>0</v>
      </c>
      <c r="F113" s="157">
        <v>123</v>
      </c>
      <c r="G113" s="157">
        <v>132</v>
      </c>
      <c r="H113" s="35">
        <v>255.37081300813009</v>
      </c>
      <c r="I113" s="19">
        <v>1209.6329032258063</v>
      </c>
      <c r="J113" s="111">
        <v>25.967059854469316</v>
      </c>
      <c r="K113" s="53">
        <v>3743</v>
      </c>
      <c r="L113" s="54">
        <v>3.2861341170184341E-2</v>
      </c>
      <c r="M113" s="59"/>
      <c r="N113" s="69">
        <v>566.66</v>
      </c>
      <c r="O113" s="70">
        <v>591.36</v>
      </c>
      <c r="P113" s="70">
        <v>0</v>
      </c>
      <c r="Q113" s="70">
        <v>51.612903225806448</v>
      </c>
      <c r="R113" s="202">
        <v>0</v>
      </c>
      <c r="S113" s="70">
        <v>0</v>
      </c>
      <c r="T113" s="70">
        <v>0</v>
      </c>
      <c r="U113" s="70">
        <v>0</v>
      </c>
      <c r="V113" s="59"/>
      <c r="W113" s="70">
        <v>0</v>
      </c>
      <c r="X113" s="70">
        <v>0</v>
      </c>
      <c r="Y113" s="70">
        <v>0</v>
      </c>
      <c r="Z113" s="38"/>
      <c r="AA113" s="40"/>
    </row>
    <row r="114" spans="1:27" x14ac:dyDescent="0.2">
      <c r="A114" s="16" t="s">
        <v>94</v>
      </c>
      <c r="B114" s="17">
        <v>44758</v>
      </c>
      <c r="C114" s="19">
        <v>25911.83</v>
      </c>
      <c r="D114" s="52">
        <v>25911.83</v>
      </c>
      <c r="E114" s="52">
        <v>0</v>
      </c>
      <c r="F114" s="157">
        <v>93</v>
      </c>
      <c r="G114" s="157">
        <v>108</v>
      </c>
      <c r="H114" s="35">
        <v>278.62182795698925</v>
      </c>
      <c r="I114" s="19">
        <v>1127.8329032258064</v>
      </c>
      <c r="J114" s="111">
        <v>22.974883890944728</v>
      </c>
      <c r="K114" s="53">
        <v>2786</v>
      </c>
      <c r="L114" s="54">
        <v>3.3381191672648962E-2</v>
      </c>
      <c r="M114" s="59"/>
      <c r="N114" s="69">
        <v>463.59</v>
      </c>
      <c r="O114" s="70">
        <v>612.63</v>
      </c>
      <c r="P114" s="70">
        <v>0</v>
      </c>
      <c r="Q114" s="70">
        <v>51.612903225806448</v>
      </c>
      <c r="R114" s="202">
        <v>0</v>
      </c>
      <c r="S114" s="70">
        <v>0</v>
      </c>
      <c r="T114" s="70">
        <v>0</v>
      </c>
      <c r="U114" s="70">
        <v>0</v>
      </c>
      <c r="V114" s="59"/>
      <c r="W114" s="70">
        <v>0</v>
      </c>
      <c r="X114" s="70">
        <v>0</v>
      </c>
      <c r="Y114" s="70">
        <v>0</v>
      </c>
      <c r="Z114" s="38"/>
      <c r="AA114" s="40"/>
    </row>
    <row r="115" spans="1:27" x14ac:dyDescent="0.2">
      <c r="A115" s="16" t="s">
        <v>95</v>
      </c>
      <c r="B115" s="17">
        <v>44759</v>
      </c>
      <c r="C115" s="19">
        <v>16770.150000000001</v>
      </c>
      <c r="D115" s="52">
        <v>16770.150000000001</v>
      </c>
      <c r="E115" s="52">
        <v>0</v>
      </c>
      <c r="F115" s="157">
        <v>55</v>
      </c>
      <c r="G115" s="157">
        <v>64</v>
      </c>
      <c r="H115" s="35">
        <v>304.91181818181821</v>
      </c>
      <c r="I115" s="19">
        <v>1078.5229032258062</v>
      </c>
      <c r="J115" s="111">
        <v>15.549183007464515</v>
      </c>
      <c r="K115" s="53">
        <v>2429</v>
      </c>
      <c r="L115" s="54">
        <v>2.2643062988884313E-2</v>
      </c>
      <c r="M115" s="59"/>
      <c r="N115" s="69">
        <v>428.38</v>
      </c>
      <c r="O115" s="70">
        <v>598.53</v>
      </c>
      <c r="P115" s="70">
        <v>0</v>
      </c>
      <c r="Q115" s="70">
        <v>51.612903225806448</v>
      </c>
      <c r="R115" s="202">
        <v>0</v>
      </c>
      <c r="S115" s="70">
        <v>0</v>
      </c>
      <c r="T115" s="70">
        <v>0</v>
      </c>
      <c r="U115" s="70">
        <v>0</v>
      </c>
      <c r="V115" s="59"/>
      <c r="W115" s="70">
        <v>0</v>
      </c>
      <c r="X115" s="70">
        <v>0</v>
      </c>
      <c r="Y115" s="70">
        <v>0</v>
      </c>
      <c r="Z115" s="38"/>
      <c r="AA115" s="40"/>
    </row>
    <row r="116" spans="1:27" x14ac:dyDescent="0.2">
      <c r="A116" s="16" t="s">
        <v>96</v>
      </c>
      <c r="B116" s="17">
        <v>44760</v>
      </c>
      <c r="C116" s="19">
        <v>44997.21</v>
      </c>
      <c r="D116" s="52">
        <v>44997.21</v>
      </c>
      <c r="E116" s="52">
        <v>0</v>
      </c>
      <c r="F116" s="157">
        <v>146</v>
      </c>
      <c r="G116" s="157">
        <v>175</v>
      </c>
      <c r="H116" s="35">
        <v>308.2000684931507</v>
      </c>
      <c r="I116" s="19">
        <v>1412.1529032258063</v>
      </c>
      <c r="J116" s="111">
        <v>31.864261934534188</v>
      </c>
      <c r="K116" s="53">
        <v>4268</v>
      </c>
      <c r="L116" s="54">
        <v>3.420805998125586E-2</v>
      </c>
      <c r="M116" s="59"/>
      <c r="N116" s="69">
        <v>729.38</v>
      </c>
      <c r="O116" s="70">
        <v>631.16</v>
      </c>
      <c r="P116" s="70">
        <v>0</v>
      </c>
      <c r="Q116" s="70">
        <v>51.612903225806448</v>
      </c>
      <c r="R116" s="202">
        <v>0</v>
      </c>
      <c r="S116" s="70">
        <v>0</v>
      </c>
      <c r="T116" s="70">
        <v>0</v>
      </c>
      <c r="U116" s="70">
        <v>0</v>
      </c>
      <c r="V116" s="59"/>
      <c r="W116" s="70">
        <v>0</v>
      </c>
      <c r="X116" s="70">
        <v>0</v>
      </c>
      <c r="Y116" s="70">
        <v>0</v>
      </c>
      <c r="Z116" s="38"/>
      <c r="AA116" s="40"/>
    </row>
    <row r="117" spans="1:27" x14ac:dyDescent="0.2">
      <c r="A117" s="16" t="s">
        <v>97</v>
      </c>
      <c r="B117" s="17">
        <v>44761</v>
      </c>
      <c r="C117" s="19">
        <v>30103.75</v>
      </c>
      <c r="D117" s="52">
        <v>30103.75</v>
      </c>
      <c r="E117" s="52">
        <v>0</v>
      </c>
      <c r="F117" s="157">
        <v>110</v>
      </c>
      <c r="G117" s="157">
        <v>128</v>
      </c>
      <c r="H117" s="35">
        <v>273.67045454545456</v>
      </c>
      <c r="I117" s="19">
        <v>1397.8229032258064</v>
      </c>
      <c r="J117" s="111">
        <v>21.536168802591867</v>
      </c>
      <c r="K117" s="53">
        <v>4017</v>
      </c>
      <c r="L117" s="54">
        <v>2.7383619616629325E-2</v>
      </c>
      <c r="M117" s="59"/>
      <c r="N117" s="69">
        <v>606.92999999999995</v>
      </c>
      <c r="O117" s="70">
        <v>739.28</v>
      </c>
      <c r="P117" s="70">
        <v>0</v>
      </c>
      <c r="Q117" s="70">
        <v>51.612903225806448</v>
      </c>
      <c r="R117" s="202">
        <v>0</v>
      </c>
      <c r="S117" s="70">
        <v>0</v>
      </c>
      <c r="T117" s="70">
        <v>0</v>
      </c>
      <c r="U117" s="70">
        <v>0</v>
      </c>
      <c r="V117" s="59"/>
      <c r="W117" s="70">
        <v>0</v>
      </c>
      <c r="X117" s="70">
        <v>0</v>
      </c>
      <c r="Y117" s="70">
        <v>0</v>
      </c>
      <c r="Z117" s="38"/>
      <c r="AA117" s="40"/>
    </row>
    <row r="118" spans="1:27" x14ac:dyDescent="0.2">
      <c r="A118" s="16" t="s">
        <v>98</v>
      </c>
      <c r="B118" s="17">
        <v>44762</v>
      </c>
      <c r="C118" s="19">
        <v>38463.339999999997</v>
      </c>
      <c r="D118" s="52">
        <v>38441.449999999997</v>
      </c>
      <c r="E118" s="52">
        <v>21.89</v>
      </c>
      <c r="F118" s="157">
        <v>139</v>
      </c>
      <c r="G118" s="157">
        <v>172</v>
      </c>
      <c r="H118" s="35">
        <v>276.71467625899277</v>
      </c>
      <c r="I118" s="19">
        <v>1357.9729032258065</v>
      </c>
      <c r="J118" s="111">
        <v>28.324085045166939</v>
      </c>
      <c r="K118" s="53">
        <v>3957</v>
      </c>
      <c r="L118" s="54">
        <v>3.5127621935809955E-2</v>
      </c>
      <c r="M118" s="59"/>
      <c r="N118" s="69">
        <v>599.52</v>
      </c>
      <c r="O118" s="70">
        <v>706.84</v>
      </c>
      <c r="P118" s="70">
        <v>0</v>
      </c>
      <c r="Q118" s="70">
        <v>51.612903225806448</v>
      </c>
      <c r="R118" s="202">
        <v>0</v>
      </c>
      <c r="S118" s="70">
        <v>0</v>
      </c>
      <c r="T118" s="70">
        <v>0</v>
      </c>
      <c r="U118" s="70">
        <v>0</v>
      </c>
      <c r="V118" s="59"/>
      <c r="W118" s="70">
        <v>0</v>
      </c>
      <c r="X118" s="70">
        <v>0</v>
      </c>
      <c r="Y118" s="70">
        <v>0</v>
      </c>
      <c r="Z118" s="38"/>
      <c r="AA118" s="40"/>
    </row>
    <row r="119" spans="1:27" x14ac:dyDescent="0.2">
      <c r="A119" s="16" t="s">
        <v>99</v>
      </c>
      <c r="B119" s="17">
        <v>44763</v>
      </c>
      <c r="C119" s="19">
        <v>43953.520000000004</v>
      </c>
      <c r="D119" s="52">
        <v>43931.29</v>
      </c>
      <c r="E119" s="52">
        <v>22.23</v>
      </c>
      <c r="F119" s="157">
        <v>146</v>
      </c>
      <c r="G119" s="157">
        <v>178</v>
      </c>
      <c r="H119" s="35">
        <v>301.0515068493151</v>
      </c>
      <c r="I119" s="19">
        <v>1386.4429032258063</v>
      </c>
      <c r="J119" s="111">
        <v>31.702365743107283</v>
      </c>
      <c r="K119" s="53">
        <v>3647</v>
      </c>
      <c r="L119" s="54">
        <v>4.0032903756512202E-2</v>
      </c>
      <c r="M119" s="59"/>
      <c r="N119" s="69">
        <v>621.15</v>
      </c>
      <c r="O119" s="70">
        <v>713.68</v>
      </c>
      <c r="P119" s="70">
        <v>0</v>
      </c>
      <c r="Q119" s="70">
        <v>51.612903225806448</v>
      </c>
      <c r="R119" s="202">
        <v>0</v>
      </c>
      <c r="S119" s="70">
        <v>0</v>
      </c>
      <c r="T119" s="70">
        <v>0</v>
      </c>
      <c r="U119" s="70">
        <v>0</v>
      </c>
      <c r="V119" s="59"/>
      <c r="W119" s="70">
        <v>0</v>
      </c>
      <c r="X119" s="70">
        <v>0</v>
      </c>
      <c r="Y119" s="70">
        <v>0</v>
      </c>
      <c r="Z119" s="38"/>
      <c r="AA119" s="40"/>
    </row>
    <row r="120" spans="1:27" x14ac:dyDescent="0.2">
      <c r="A120" s="16" t="s">
        <v>100</v>
      </c>
      <c r="B120" s="17">
        <v>44764</v>
      </c>
      <c r="C120" s="19">
        <v>46043.340000000004</v>
      </c>
      <c r="D120" s="52">
        <v>45932.66</v>
      </c>
      <c r="E120" s="52">
        <v>110.68</v>
      </c>
      <c r="F120" s="157">
        <v>142</v>
      </c>
      <c r="G120" s="157">
        <v>219</v>
      </c>
      <c r="H120" s="35">
        <v>324.24887323943665</v>
      </c>
      <c r="I120" s="19">
        <v>1312.4129032258063</v>
      </c>
      <c r="J120" s="111">
        <v>35.082968086361497</v>
      </c>
      <c r="K120" s="53">
        <v>3499</v>
      </c>
      <c r="L120" s="54">
        <v>4.0583023721063163E-2</v>
      </c>
      <c r="M120" s="59"/>
      <c r="N120" s="69">
        <v>544</v>
      </c>
      <c r="O120" s="70">
        <v>716.8</v>
      </c>
      <c r="P120" s="70">
        <v>0</v>
      </c>
      <c r="Q120" s="70">
        <v>51.612903225806448</v>
      </c>
      <c r="R120" s="202">
        <v>0</v>
      </c>
      <c r="S120" s="70">
        <v>0</v>
      </c>
      <c r="T120" s="70">
        <v>0</v>
      </c>
      <c r="U120" s="70">
        <v>0</v>
      </c>
      <c r="V120" s="59"/>
      <c r="W120" s="70">
        <v>0</v>
      </c>
      <c r="X120" s="70">
        <v>0</v>
      </c>
      <c r="Y120" s="70">
        <v>0</v>
      </c>
      <c r="Z120" s="38"/>
      <c r="AA120" s="40"/>
    </row>
    <row r="121" spans="1:27" x14ac:dyDescent="0.2">
      <c r="A121" s="16" t="s">
        <v>94</v>
      </c>
      <c r="B121" s="17">
        <v>44765</v>
      </c>
      <c r="C121" s="19">
        <v>29208.240000000002</v>
      </c>
      <c r="D121" s="52">
        <v>29208.240000000002</v>
      </c>
      <c r="E121" s="52">
        <v>0</v>
      </c>
      <c r="F121" s="157">
        <v>101</v>
      </c>
      <c r="G121" s="157">
        <v>116</v>
      </c>
      <c r="H121" s="35">
        <v>289.19049504950499</v>
      </c>
      <c r="I121" s="19">
        <v>1217.8029032258064</v>
      </c>
      <c r="J121" s="111">
        <v>23.98437376247918</v>
      </c>
      <c r="K121" s="53">
        <v>2695</v>
      </c>
      <c r="L121" s="54">
        <v>3.7476808905380334E-2</v>
      </c>
      <c r="M121" s="59"/>
      <c r="N121" s="69">
        <v>425.99</v>
      </c>
      <c r="O121" s="70">
        <v>740.2</v>
      </c>
      <c r="P121" s="70">
        <v>0</v>
      </c>
      <c r="Q121" s="70">
        <v>51.612903225806448</v>
      </c>
      <c r="R121" s="202">
        <v>0</v>
      </c>
      <c r="S121" s="70">
        <v>0</v>
      </c>
      <c r="T121" s="70">
        <v>0</v>
      </c>
      <c r="U121" s="70">
        <v>0</v>
      </c>
      <c r="V121" s="59"/>
      <c r="W121" s="70">
        <v>0</v>
      </c>
      <c r="X121" s="70">
        <v>0</v>
      </c>
      <c r="Y121" s="70">
        <v>0</v>
      </c>
      <c r="Z121" s="38"/>
      <c r="AA121" s="40"/>
    </row>
    <row r="122" spans="1:27" x14ac:dyDescent="0.2">
      <c r="A122" s="16" t="s">
        <v>95</v>
      </c>
      <c r="B122" s="17">
        <v>44766</v>
      </c>
      <c r="C122" s="19">
        <v>15852.57</v>
      </c>
      <c r="D122" s="52">
        <v>15852.57</v>
      </c>
      <c r="E122" s="52">
        <v>0</v>
      </c>
      <c r="F122" s="157">
        <v>61</v>
      </c>
      <c r="G122" s="157">
        <v>75</v>
      </c>
      <c r="H122" s="35">
        <v>259.8781967213115</v>
      </c>
      <c r="I122" s="19">
        <v>1201.9929032258065</v>
      </c>
      <c r="J122" s="111">
        <v>13.188572043525564</v>
      </c>
      <c r="K122" s="53">
        <v>2359</v>
      </c>
      <c r="L122" s="54">
        <v>2.5858414582450192E-2</v>
      </c>
      <c r="M122" s="59"/>
      <c r="N122" s="69">
        <v>362.66</v>
      </c>
      <c r="O122" s="70">
        <v>787.72</v>
      </c>
      <c r="P122" s="70">
        <v>0</v>
      </c>
      <c r="Q122" s="70">
        <v>51.612903225806448</v>
      </c>
      <c r="R122" s="202">
        <v>0</v>
      </c>
      <c r="S122" s="70">
        <v>0</v>
      </c>
      <c r="T122" s="70">
        <v>0</v>
      </c>
      <c r="U122" s="70">
        <v>0</v>
      </c>
      <c r="V122" s="59"/>
      <c r="W122" s="70">
        <v>0</v>
      </c>
      <c r="X122" s="70">
        <v>0</v>
      </c>
      <c r="Y122" s="70">
        <v>0</v>
      </c>
      <c r="Z122" s="38"/>
      <c r="AA122" s="40"/>
    </row>
    <row r="123" spans="1:27" x14ac:dyDescent="0.2">
      <c r="A123" s="16" t="s">
        <v>96</v>
      </c>
      <c r="B123" s="17">
        <v>44767</v>
      </c>
      <c r="C123" s="19">
        <v>42420.56</v>
      </c>
      <c r="D123" s="52">
        <v>42420.56</v>
      </c>
      <c r="E123" s="52">
        <v>0</v>
      </c>
      <c r="F123" s="157">
        <v>181</v>
      </c>
      <c r="G123" s="157">
        <v>233</v>
      </c>
      <c r="H123" s="35">
        <v>234.36773480662981</v>
      </c>
      <c r="I123" s="19">
        <v>1291.2829032258064</v>
      </c>
      <c r="J123" s="111">
        <v>32.851484282822511</v>
      </c>
      <c r="K123" s="53">
        <v>4677</v>
      </c>
      <c r="L123" s="54">
        <v>3.870002138122728E-2</v>
      </c>
      <c r="M123" s="59"/>
      <c r="N123" s="69">
        <v>725.77</v>
      </c>
      <c r="O123" s="70">
        <v>513.9</v>
      </c>
      <c r="P123" s="70">
        <v>0</v>
      </c>
      <c r="Q123" s="70">
        <v>51.612903225806448</v>
      </c>
      <c r="R123" s="202">
        <v>0</v>
      </c>
      <c r="S123" s="70">
        <v>0</v>
      </c>
      <c r="T123" s="70">
        <v>0</v>
      </c>
      <c r="U123" s="70">
        <v>0</v>
      </c>
      <c r="V123" s="59"/>
      <c r="W123" s="70">
        <v>0</v>
      </c>
      <c r="X123" s="70">
        <v>0</v>
      </c>
      <c r="Y123" s="70">
        <v>0</v>
      </c>
      <c r="Z123" s="38"/>
      <c r="AA123" s="40"/>
    </row>
    <row r="124" spans="1:27" x14ac:dyDescent="0.2">
      <c r="A124" s="16" t="s">
        <v>97</v>
      </c>
      <c r="B124" s="17">
        <v>44768</v>
      </c>
      <c r="C124" s="19">
        <v>41337.86</v>
      </c>
      <c r="D124" s="52">
        <v>41337.86</v>
      </c>
      <c r="E124" s="52">
        <v>0</v>
      </c>
      <c r="F124" s="157">
        <v>163</v>
      </c>
      <c r="G124" s="157">
        <v>209</v>
      </c>
      <c r="H124" s="35">
        <v>253.60650306748465</v>
      </c>
      <c r="I124" s="19">
        <v>1251.8829032258063</v>
      </c>
      <c r="J124" s="111">
        <v>33.020548402316308</v>
      </c>
      <c r="K124" s="53">
        <v>4181</v>
      </c>
      <c r="L124" s="54">
        <v>3.8985888543410667E-2</v>
      </c>
      <c r="M124" s="59"/>
      <c r="N124" s="69">
        <v>610.45000000000005</v>
      </c>
      <c r="O124" s="70">
        <v>589.82000000000005</v>
      </c>
      <c r="P124" s="70">
        <v>0</v>
      </c>
      <c r="Q124" s="70">
        <v>51.612903225806448</v>
      </c>
      <c r="R124" s="202">
        <v>0</v>
      </c>
      <c r="S124" s="70">
        <v>0</v>
      </c>
      <c r="T124" s="70">
        <v>0</v>
      </c>
      <c r="U124" s="70">
        <v>0</v>
      </c>
      <c r="V124" s="59"/>
      <c r="W124" s="70">
        <v>0</v>
      </c>
      <c r="X124" s="70">
        <v>0</v>
      </c>
      <c r="Y124" s="70">
        <v>0</v>
      </c>
      <c r="Z124" s="38"/>
      <c r="AA124" s="40"/>
    </row>
    <row r="125" spans="1:27" x14ac:dyDescent="0.2">
      <c r="A125" s="16" t="s">
        <v>98</v>
      </c>
      <c r="B125" s="17">
        <v>44769</v>
      </c>
      <c r="C125" s="19">
        <v>43697.78</v>
      </c>
      <c r="D125" s="52">
        <v>43697.78</v>
      </c>
      <c r="E125" s="52">
        <v>0</v>
      </c>
      <c r="F125" s="157">
        <v>185</v>
      </c>
      <c r="G125" s="157">
        <v>247</v>
      </c>
      <c r="H125" s="35">
        <v>236.2042162162162</v>
      </c>
      <c r="I125" s="19">
        <v>1293.9929032258065</v>
      </c>
      <c r="J125" s="111">
        <v>33.769721527116118</v>
      </c>
      <c r="K125" s="53">
        <v>4202</v>
      </c>
      <c r="L125" s="54">
        <v>4.4026653974297954E-2</v>
      </c>
      <c r="M125" s="59"/>
      <c r="N125" s="69">
        <v>611.41999999999996</v>
      </c>
      <c r="O125" s="70">
        <v>630.96</v>
      </c>
      <c r="P125" s="70">
        <v>0</v>
      </c>
      <c r="Q125" s="70">
        <v>51.612903225806448</v>
      </c>
      <c r="R125" s="202">
        <v>0</v>
      </c>
      <c r="S125" s="70">
        <v>0</v>
      </c>
      <c r="T125" s="70">
        <v>0</v>
      </c>
      <c r="U125" s="70">
        <v>0</v>
      </c>
      <c r="V125" s="59"/>
      <c r="W125" s="70">
        <v>0</v>
      </c>
      <c r="X125" s="70">
        <v>0</v>
      </c>
      <c r="Y125" s="70">
        <v>0</v>
      </c>
      <c r="Z125" s="38"/>
      <c r="AA125" s="40"/>
    </row>
    <row r="126" spans="1:27" x14ac:dyDescent="0.2">
      <c r="A126" s="16" t="s">
        <v>99</v>
      </c>
      <c r="B126" s="17">
        <v>44770</v>
      </c>
      <c r="C126" s="19">
        <v>45484.15</v>
      </c>
      <c r="D126" s="52">
        <v>45484.15</v>
      </c>
      <c r="E126" s="52">
        <v>0</v>
      </c>
      <c r="F126" s="157">
        <v>175</v>
      </c>
      <c r="G126" s="157">
        <v>227</v>
      </c>
      <c r="H126" s="35">
        <v>259.90942857142858</v>
      </c>
      <c r="I126" s="19">
        <v>1189.7529032258062</v>
      </c>
      <c r="J126" s="111">
        <v>38.229913015280495</v>
      </c>
      <c r="K126" s="53">
        <v>4145</v>
      </c>
      <c r="L126" s="54">
        <v>4.2219541616405308E-2</v>
      </c>
      <c r="M126" s="59"/>
      <c r="N126" s="69">
        <v>620.84</v>
      </c>
      <c r="O126" s="70">
        <v>517.29999999999995</v>
      </c>
      <c r="P126" s="70">
        <v>0</v>
      </c>
      <c r="Q126" s="70">
        <v>51.612903225806448</v>
      </c>
      <c r="R126" s="202">
        <v>0</v>
      </c>
      <c r="S126" s="70">
        <v>0</v>
      </c>
      <c r="T126" s="70">
        <v>0</v>
      </c>
      <c r="U126" s="70">
        <v>0</v>
      </c>
      <c r="V126" s="59"/>
      <c r="W126" s="70">
        <v>0</v>
      </c>
      <c r="X126" s="70">
        <v>0</v>
      </c>
      <c r="Y126" s="70">
        <v>0</v>
      </c>
      <c r="Z126" s="38"/>
      <c r="AA126" s="40"/>
    </row>
    <row r="127" spans="1:27" x14ac:dyDescent="0.2">
      <c r="A127" s="16" t="s">
        <v>100</v>
      </c>
      <c r="B127" s="17">
        <v>44771</v>
      </c>
      <c r="C127" s="19">
        <v>54603.91</v>
      </c>
      <c r="D127" s="52">
        <v>54603.91</v>
      </c>
      <c r="E127" s="52">
        <v>0</v>
      </c>
      <c r="F127" s="157">
        <v>214</v>
      </c>
      <c r="G127" s="157">
        <v>289</v>
      </c>
      <c r="H127" s="35">
        <v>255.15845794392524</v>
      </c>
      <c r="I127" s="19">
        <v>1065.4529032258065</v>
      </c>
      <c r="J127" s="111">
        <v>51.249482576544764</v>
      </c>
      <c r="K127" s="53">
        <v>3954</v>
      </c>
      <c r="L127" s="54">
        <v>5.4122407688416793E-2</v>
      </c>
      <c r="M127" s="59"/>
      <c r="N127" s="69">
        <v>508.54</v>
      </c>
      <c r="O127" s="70">
        <v>505.3</v>
      </c>
      <c r="P127" s="70">
        <v>0</v>
      </c>
      <c r="Q127" s="70">
        <v>51.612903225806448</v>
      </c>
      <c r="R127" s="202">
        <v>0</v>
      </c>
      <c r="S127" s="70">
        <v>0</v>
      </c>
      <c r="T127" s="70">
        <v>0</v>
      </c>
      <c r="U127" s="70">
        <v>0</v>
      </c>
      <c r="V127" s="59"/>
      <c r="W127" s="70">
        <v>0</v>
      </c>
      <c r="X127" s="70">
        <v>0</v>
      </c>
      <c r="Y127" s="70">
        <v>0</v>
      </c>
      <c r="Z127" s="38"/>
      <c r="AA127" s="40"/>
    </row>
    <row r="128" spans="1:27" x14ac:dyDescent="0.2">
      <c r="A128" s="16" t="s">
        <v>94</v>
      </c>
      <c r="B128" s="17">
        <v>44772</v>
      </c>
      <c r="C128" s="19">
        <v>33714.1</v>
      </c>
      <c r="D128" s="52">
        <v>33714.1</v>
      </c>
      <c r="E128" s="52">
        <v>0</v>
      </c>
      <c r="F128" s="157">
        <v>139</v>
      </c>
      <c r="G128" s="157">
        <v>196</v>
      </c>
      <c r="H128" s="35">
        <v>242.54748201438849</v>
      </c>
      <c r="I128" s="19">
        <v>1065.4529032258065</v>
      </c>
      <c r="J128" s="111">
        <v>31.642975393774687</v>
      </c>
      <c r="K128" s="53">
        <v>2932</v>
      </c>
      <c r="L128" s="54">
        <v>4.7407912687585263E-2</v>
      </c>
      <c r="M128" s="59"/>
      <c r="N128" s="69">
        <v>398.9</v>
      </c>
      <c r="O128" s="70">
        <v>614.94000000000005</v>
      </c>
      <c r="P128" s="70">
        <v>0</v>
      </c>
      <c r="Q128" s="70">
        <v>51.612903225806448</v>
      </c>
      <c r="R128" s="202">
        <v>0</v>
      </c>
      <c r="S128" s="70">
        <v>0</v>
      </c>
      <c r="T128" s="70">
        <v>0</v>
      </c>
      <c r="U128" s="70">
        <v>0</v>
      </c>
      <c r="V128" s="59"/>
      <c r="W128" s="70">
        <v>0</v>
      </c>
      <c r="X128" s="70">
        <v>0</v>
      </c>
      <c r="Y128" s="70">
        <v>0</v>
      </c>
      <c r="Z128" s="38"/>
      <c r="AA128" s="40"/>
    </row>
    <row r="129" spans="1:27" x14ac:dyDescent="0.2">
      <c r="A129" s="16" t="s">
        <v>95</v>
      </c>
      <c r="B129" s="17">
        <v>44773</v>
      </c>
      <c r="C129" s="19">
        <v>29380.99</v>
      </c>
      <c r="D129" s="52">
        <v>29380.99</v>
      </c>
      <c r="E129" s="52">
        <v>0</v>
      </c>
      <c r="F129" s="157">
        <v>129</v>
      </c>
      <c r="G129" s="157">
        <v>183</v>
      </c>
      <c r="H129" s="35">
        <v>227.75961240310079</v>
      </c>
      <c r="I129" s="19">
        <v>1028.6129032258063</v>
      </c>
      <c r="J129" s="111">
        <v>28.563699626807168</v>
      </c>
      <c r="K129" s="53">
        <v>2518</v>
      </c>
      <c r="L129" s="54">
        <v>5.1231135822081018E-2</v>
      </c>
      <c r="M129" s="59"/>
      <c r="N129" s="69">
        <v>392.58</v>
      </c>
      <c r="O129" s="70">
        <v>584.41999999999996</v>
      </c>
      <c r="P129" s="70">
        <v>0</v>
      </c>
      <c r="Q129" s="70">
        <v>51.612903225806448</v>
      </c>
      <c r="R129" s="202">
        <v>0</v>
      </c>
      <c r="S129" s="70">
        <v>0</v>
      </c>
      <c r="T129" s="70">
        <v>0</v>
      </c>
      <c r="U129" s="70">
        <v>0</v>
      </c>
      <c r="V129" s="59"/>
      <c r="W129" s="70">
        <v>0</v>
      </c>
      <c r="X129" s="70">
        <v>0</v>
      </c>
      <c r="Y129" s="70">
        <v>0</v>
      </c>
      <c r="Z129" s="38"/>
      <c r="AA129" s="40"/>
    </row>
    <row r="131" spans="1:27" x14ac:dyDescent="0.2">
      <c r="B131" s="17"/>
    </row>
    <row r="132" spans="1:27" x14ac:dyDescent="0.2">
      <c r="B132" s="17"/>
    </row>
    <row r="133" spans="1:27" x14ac:dyDescent="0.2">
      <c r="B133" s="17"/>
    </row>
    <row r="134" spans="1:27" x14ac:dyDescent="0.2">
      <c r="B134" s="17"/>
    </row>
    <row r="135" spans="1:27" x14ac:dyDescent="0.2">
      <c r="B135" s="17"/>
    </row>
    <row r="136" spans="1:27" x14ac:dyDescent="0.2">
      <c r="B136" s="17"/>
    </row>
    <row r="137" spans="1:27" x14ac:dyDescent="0.2">
      <c r="B137" s="17"/>
    </row>
    <row r="138" spans="1:27" x14ac:dyDescent="0.2">
      <c r="B138" s="17"/>
    </row>
    <row r="139" spans="1:27" x14ac:dyDescent="0.2">
      <c r="B139" s="17"/>
    </row>
    <row r="140" spans="1:27" x14ac:dyDescent="0.2">
      <c r="B140" s="17"/>
    </row>
    <row r="141" spans="1:27" x14ac:dyDescent="0.2">
      <c r="B141" s="17"/>
    </row>
    <row r="142" spans="1:27" x14ac:dyDescent="0.2">
      <c r="B142" s="17"/>
    </row>
    <row r="143" spans="1:27" x14ac:dyDescent="0.2">
      <c r="B143" s="17"/>
    </row>
    <row r="144" spans="1:27" x14ac:dyDescent="0.2">
      <c r="B144" s="17"/>
    </row>
    <row r="145" spans="2:2" x14ac:dyDescent="0.2">
      <c r="B145" s="17"/>
    </row>
    <row r="146" spans="2:2" x14ac:dyDescent="0.2">
      <c r="B146" s="17"/>
    </row>
    <row r="147" spans="2:2" x14ac:dyDescent="0.2">
      <c r="B147" s="17"/>
    </row>
    <row r="148" spans="2:2" x14ac:dyDescent="0.2">
      <c r="B148" s="17"/>
    </row>
    <row r="149" spans="2:2" x14ac:dyDescent="0.2">
      <c r="B149" s="17"/>
    </row>
    <row r="150" spans="2:2" x14ac:dyDescent="0.2">
      <c r="B150" s="17"/>
    </row>
    <row r="151" spans="2:2" x14ac:dyDescent="0.2">
      <c r="B151" s="17"/>
    </row>
    <row r="152" spans="2:2" x14ac:dyDescent="0.2">
      <c r="B152" s="17"/>
    </row>
    <row r="153" spans="2:2" x14ac:dyDescent="0.2">
      <c r="B153" s="17"/>
    </row>
    <row r="154" spans="2:2" x14ac:dyDescent="0.2">
      <c r="B154" s="17"/>
    </row>
    <row r="155" spans="2:2" x14ac:dyDescent="0.2">
      <c r="B155" s="17"/>
    </row>
    <row r="156" spans="2:2" x14ac:dyDescent="0.2">
      <c r="B156" s="17"/>
    </row>
    <row r="157" spans="2:2" x14ac:dyDescent="0.2">
      <c r="B157" s="17"/>
    </row>
    <row r="158" spans="2:2" x14ac:dyDescent="0.2">
      <c r="B158" s="17"/>
    </row>
    <row r="159" spans="2:2" x14ac:dyDescent="0.2">
      <c r="B159" s="17"/>
    </row>
    <row r="160" spans="2:2" x14ac:dyDescent="0.2">
      <c r="B160" s="17"/>
    </row>
    <row r="161" spans="2:2" x14ac:dyDescent="0.2">
      <c r="B161" s="17"/>
    </row>
  </sheetData>
  <autoFilter ref="A3:AG3" xr:uid="{F3C86D52-EA59-477F-B342-E05A6EA785E5}"/>
  <mergeCells count="3">
    <mergeCell ref="B41:D41"/>
    <mergeCell ref="B49:D49"/>
    <mergeCell ref="B57:D57"/>
  </mergeCells>
  <conditionalFormatting sqref="A64:A94">
    <cfRule type="cellIs" dxfId="153" priority="24" operator="equal">
      <formula>"Realizado"</formula>
    </cfRule>
    <cfRule type="cellIs" dxfId="152" priority="25" operator="equal">
      <formula>TODAY()</formula>
    </cfRule>
    <cfRule type="cellIs" dxfId="151" priority="26" operator="equal">
      <formula>"Realizado"</formula>
    </cfRule>
    <cfRule type="cellIs" dxfId="150" priority="27" operator="equal">
      <formula>TODAY()</formula>
    </cfRule>
  </conditionalFormatting>
  <conditionalFormatting sqref="A63:B63">
    <cfRule type="cellIs" dxfId="149" priority="46" operator="equal">
      <formula>TODAY()</formula>
    </cfRule>
  </conditionalFormatting>
  <conditionalFormatting sqref="B131:B161">
    <cfRule type="cellIs" dxfId="148" priority="21" operator="equal">
      <formula>TODAY()</formula>
    </cfRule>
  </conditionalFormatting>
  <conditionalFormatting sqref="B65:D93 B64">
    <cfRule type="cellIs" dxfId="147" priority="92" operator="equal">
      <formula>TODAY()</formula>
    </cfRule>
  </conditionalFormatting>
  <conditionalFormatting sqref="B4:H34">
    <cfRule type="cellIs" dxfId="146" priority="70" operator="equal">
      <formula>TODAY()</formula>
    </cfRule>
  </conditionalFormatting>
  <conditionalFormatting sqref="B94:H94">
    <cfRule type="cellIs" dxfId="145" priority="17" operator="equal">
      <formula>TODAY()</formula>
    </cfRule>
  </conditionalFormatting>
  <conditionalFormatting sqref="B99:H129">
    <cfRule type="cellIs" dxfId="144" priority="19" operator="equal">
      <formula>TODAY()</formula>
    </cfRule>
  </conditionalFormatting>
  <conditionalFormatting sqref="C65:D93">
    <cfRule type="cellIs" dxfId="143" priority="59" operator="equal">
      <formula>$A$1</formula>
    </cfRule>
  </conditionalFormatting>
  <conditionalFormatting sqref="C64:H94">
    <cfRule type="cellIs" dxfId="142" priority="1" operator="equal">
      <formula>TODAY()</formula>
    </cfRule>
  </conditionalFormatting>
  <conditionalFormatting sqref="C94:H94">
    <cfRule type="cellIs" dxfId="141" priority="18" operator="equal">
      <formula>$A$1</formula>
    </cfRule>
  </conditionalFormatting>
  <conditionalFormatting sqref="C99:H129">
    <cfRule type="cellIs" dxfId="140" priority="20" operator="equal">
      <formula>$A$1</formula>
    </cfRule>
  </conditionalFormatting>
  <conditionalFormatting sqref="C46:L46">
    <cfRule type="cellIs" dxfId="139" priority="68" operator="lessThan">
      <formula>0</formula>
    </cfRule>
  </conditionalFormatting>
  <conditionalFormatting sqref="C47:L47">
    <cfRule type="cellIs" dxfId="138" priority="49" operator="lessThan">
      <formula>0</formula>
    </cfRule>
  </conditionalFormatting>
  <conditionalFormatting sqref="C53:L53">
    <cfRule type="cellIs" dxfId="137" priority="66" operator="lessThan">
      <formula>0</formula>
    </cfRule>
  </conditionalFormatting>
  <conditionalFormatting sqref="C54:L54">
    <cfRule type="cellIs" dxfId="136" priority="50" operator="lessThan">
      <formula>0</formula>
    </cfRule>
  </conditionalFormatting>
  <conditionalFormatting sqref="C61:L61">
    <cfRule type="cellIs" dxfId="135" priority="64" operator="lessThan">
      <formula>0</formula>
    </cfRule>
  </conditionalFormatting>
  <conditionalFormatting sqref="C62:L62">
    <cfRule type="cellIs" dxfId="134" priority="51" operator="lessThan">
      <formula>0</formula>
    </cfRule>
  </conditionalFormatting>
  <conditionalFormatting sqref="N4:Q34">
    <cfRule type="cellIs" dxfId="133" priority="86" operator="equal">
      <formula>TODAY()</formula>
    </cfRule>
  </conditionalFormatting>
  <conditionalFormatting sqref="N53:U53">
    <cfRule type="cellIs" dxfId="132" priority="34" operator="lessThan">
      <formula>0</formula>
    </cfRule>
  </conditionalFormatting>
  <conditionalFormatting sqref="N54:U54">
    <cfRule type="cellIs" dxfId="131" priority="33" operator="lessThan">
      <formula>0</formula>
    </cfRule>
  </conditionalFormatting>
  <conditionalFormatting sqref="N62:U62">
    <cfRule type="cellIs" dxfId="130" priority="32" operator="lessThan">
      <formula>0</formula>
    </cfRule>
  </conditionalFormatting>
  <conditionalFormatting sqref="N64:U94">
    <cfRule type="cellIs" dxfId="129" priority="5" operator="equal">
      <formula>TODAY()</formula>
    </cfRule>
  </conditionalFormatting>
  <conditionalFormatting sqref="R4 R5:S34">
    <cfRule type="cellIs" dxfId="128" priority="85" operator="equal">
      <formula>TODAY()</formula>
    </cfRule>
  </conditionalFormatting>
  <conditionalFormatting sqref="S4:U34">
    <cfRule type="cellIs" dxfId="127" priority="79" operator="equal">
      <formula>TODAY()</formula>
    </cfRule>
  </conditionalFormatting>
  <conditionalFormatting sqref="W4:Y34">
    <cfRule type="cellIs" dxfId="126" priority="77" operator="equal">
      <formula>TODAY()</formula>
    </cfRule>
  </conditionalFormatting>
  <conditionalFormatting sqref="W64:Y94">
    <cfRule type="cellIs" dxfId="125" priority="3" operator="equal">
      <formula>TODAY()</formula>
    </cfRule>
  </conditionalFormatting>
  <conditionalFormatting sqref="AA4:AA34">
    <cfRule type="cellIs" dxfId="124" priority="82" operator="equal">
      <formula>TODAY()</formula>
    </cfRule>
  </conditionalFormatting>
  <conditionalFormatting sqref="AA64:AA94">
    <cfRule type="cellIs" dxfId="123" priority="28" operator="equal">
      <formula>TODAY()</formula>
    </cfRule>
  </conditionalFormatting>
  <printOptions horizontalCentered="1" gridLines="1"/>
  <pageMargins left="0.7" right="0.7" top="0.75" bottom="0.75" header="0" footer="0"/>
  <pageSetup paperSize="9" fitToWidth="0" pageOrder="overThenDown" orientation="landscape" cellComments="atEnd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DD9E9-3F5E-407D-8769-8BBC7ED19EFE}">
  <sheetPr codeName="Planilha12">
    <outlinePr summaryBelow="0" summaryRight="0"/>
    <pageSetUpPr fitToPage="1"/>
  </sheetPr>
  <dimension ref="A1:AG94"/>
  <sheetViews>
    <sheetView showGridLines="0" topLeftCell="B1" workbookViewId="0">
      <pane ySplit="3" topLeftCell="A55" activePane="bottomLeft" state="frozen"/>
      <selection activeCell="C64" sqref="C64:AA94"/>
      <selection pane="bottomLeft" activeCell="C64" sqref="C64:AA94"/>
    </sheetView>
  </sheetViews>
  <sheetFormatPr defaultColWidth="0" defaultRowHeight="12.75" x14ac:dyDescent="0.2"/>
  <cols>
    <col min="1" max="1" width="14" customWidth="1"/>
    <col min="2" max="2" width="11.7109375" customWidth="1"/>
    <col min="3" max="3" width="18.7109375" customWidth="1"/>
    <col min="4" max="4" width="16" bestFit="1" customWidth="1"/>
    <col min="5" max="5" width="11.7109375" customWidth="1"/>
    <col min="6" max="6" width="8.42578125" bestFit="1" customWidth="1"/>
    <col min="7" max="7" width="8.85546875" bestFit="1" customWidth="1"/>
    <col min="8" max="8" width="15.140625" customWidth="1"/>
    <col min="9" max="9" width="15.28515625" customWidth="1"/>
    <col min="10" max="10" width="12.28515625" bestFit="1" customWidth="1"/>
    <col min="11" max="11" width="12" customWidth="1"/>
    <col min="12" max="12" width="9.5703125" bestFit="1" customWidth="1"/>
    <col min="13" max="13" width="0.42578125" customWidth="1"/>
    <col min="14" max="14" width="12.5703125" bestFit="1" customWidth="1"/>
    <col min="15" max="15" width="11.5703125" bestFit="1" customWidth="1"/>
    <col min="16" max="16" width="10.42578125" bestFit="1" customWidth="1"/>
    <col min="17" max="17" width="11.5703125" bestFit="1" customWidth="1"/>
    <col min="18" max="18" width="10.140625" bestFit="1" customWidth="1"/>
    <col min="19" max="19" width="10.140625" customWidth="1"/>
    <col min="20" max="20" width="7.7109375" bestFit="1" customWidth="1"/>
    <col min="21" max="21" width="10.42578125" bestFit="1" customWidth="1"/>
    <col min="22" max="22" width="1.140625" customWidth="1"/>
    <col min="23" max="25" width="10.42578125" bestFit="1" customWidth="1"/>
    <col min="26" max="26" width="0.7109375" customWidth="1"/>
    <col min="27" max="27" width="36" customWidth="1"/>
    <col min="28" max="33" width="0" hidden="1" customWidth="1"/>
    <col min="34" max="16384" width="12.5703125" hidden="1"/>
  </cols>
  <sheetData>
    <row r="1" spans="1:27" s="8" customFormat="1" ht="59.25" x14ac:dyDescent="0.75">
      <c r="A1" s="6"/>
      <c r="B1" s="6"/>
      <c r="C1" s="7" t="s">
        <v>69</v>
      </c>
      <c r="D1" s="6"/>
      <c r="E1" s="6"/>
      <c r="F1" s="6"/>
      <c r="G1" s="6"/>
      <c r="H1" s="6"/>
      <c r="I1" s="6"/>
      <c r="J1" s="6"/>
      <c r="K1" s="6"/>
      <c r="L1" s="6"/>
      <c r="M1" s="75" t="s">
        <v>184</v>
      </c>
      <c r="N1" s="49">
        <f ca="1">TODAY()</f>
        <v>45834</v>
      </c>
      <c r="O1" s="50">
        <f>MONTH(B4)</f>
        <v>8</v>
      </c>
      <c r="P1" s="50">
        <f>YEAR(B4)</f>
        <v>2023</v>
      </c>
      <c r="Q1" s="49"/>
      <c r="R1" s="49"/>
      <c r="S1" s="49"/>
      <c r="T1" s="49"/>
      <c r="U1" s="36"/>
      <c r="V1" s="75" t="s">
        <v>185</v>
      </c>
      <c r="W1" s="36"/>
      <c r="X1" s="36"/>
      <c r="Y1" s="36"/>
      <c r="Z1" s="36"/>
      <c r="AA1" s="51" t="s">
        <v>73</v>
      </c>
    </row>
    <row r="2" spans="1:27" s="10" customFormat="1" ht="23.25" x14ac:dyDescent="0.2">
      <c r="A2" s="43"/>
      <c r="B2" s="11" t="str">
        <f>_xlfn.CONCAT(_xlfn.XLOOKUP(O1,Referencia!$B$1:$B$13,Referencia!$A$1:$A$13)," ",P1)</f>
        <v>Agosto 2023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</row>
    <row r="3" spans="1:27" s="9" customFormat="1" ht="16.5" x14ac:dyDescent="0.35">
      <c r="A3" s="15" t="s">
        <v>74</v>
      </c>
      <c r="B3" s="13" t="s">
        <v>20</v>
      </c>
      <c r="C3" s="13" t="s">
        <v>75</v>
      </c>
      <c r="D3" s="13" t="s">
        <v>76</v>
      </c>
      <c r="E3" s="13" t="s">
        <v>77</v>
      </c>
      <c r="F3" s="13" t="s">
        <v>78</v>
      </c>
      <c r="G3" s="13" t="s">
        <v>79</v>
      </c>
      <c r="H3" s="13" t="s">
        <v>80</v>
      </c>
      <c r="I3" s="13" t="s">
        <v>81</v>
      </c>
      <c r="J3" s="13" t="s">
        <v>82</v>
      </c>
      <c r="K3" s="13" t="s">
        <v>40</v>
      </c>
      <c r="L3" s="13" t="s">
        <v>83</v>
      </c>
      <c r="M3" s="37"/>
      <c r="N3" s="13" t="s">
        <v>85</v>
      </c>
      <c r="O3" s="13" t="s">
        <v>155</v>
      </c>
      <c r="P3" s="13" t="s">
        <v>87</v>
      </c>
      <c r="Q3" s="13" t="s">
        <v>88</v>
      </c>
      <c r="R3" s="13" t="s">
        <v>89</v>
      </c>
      <c r="S3" s="13" t="s">
        <v>90</v>
      </c>
      <c r="T3" s="13" t="s">
        <v>91</v>
      </c>
      <c r="U3" s="13" t="s">
        <v>92</v>
      </c>
      <c r="V3" s="56"/>
      <c r="W3" s="13" t="s">
        <v>88</v>
      </c>
      <c r="X3" s="13" t="s">
        <v>91</v>
      </c>
      <c r="Y3" s="13" t="s">
        <v>92</v>
      </c>
      <c r="Z3" s="37"/>
      <c r="AA3" s="14" t="s">
        <v>73</v>
      </c>
    </row>
    <row r="4" spans="1:27" s="2" customFormat="1" x14ac:dyDescent="0.2">
      <c r="A4" s="16" t="str">
        <f t="shared" ref="A4:A34" si="0">TEXT(B4,"DDDD")</f>
        <v>terça-feira</v>
      </c>
      <c r="B4" s="17">
        <v>45139</v>
      </c>
      <c r="C4" s="19">
        <f>D4+E4</f>
        <v>37837.360000000001</v>
      </c>
      <c r="D4" s="35">
        <f>_xlfn.XLOOKUP($B:$B,'Compilado 2023'!$B:$B,'Compilado 2023'!D:D)</f>
        <v>37837.360000000001</v>
      </c>
      <c r="E4" s="35">
        <f>_xlfn.XLOOKUP($B:$B,'Compilado 2023'!$B:$B,'Compilado 2023'!E:E)</f>
        <v>0</v>
      </c>
      <c r="F4" s="18">
        <f>_xlfn.XLOOKUP($B:$B,'Compilado 2023'!$B:$B,'Compilado 2023'!F:F)</f>
        <v>129</v>
      </c>
      <c r="G4" s="18">
        <f>_xlfn.XLOOKUP($B:$B,'Compilado 2023'!$B:$B,'Compilado 2023'!G:G)</f>
        <v>150</v>
      </c>
      <c r="H4" s="35">
        <f>IFERROR(C4/F4,0)</f>
        <v>293.31286821705424</v>
      </c>
      <c r="I4" s="19">
        <f ca="1">SUM(N4:U4)</f>
        <v>995.34290322580637</v>
      </c>
      <c r="J4" s="122">
        <f t="shared" ref="J4:J34" ca="1" si="1">IF(I4&gt;0,C4/I4,0)</f>
        <v>38.014396724357923</v>
      </c>
      <c r="K4" s="18">
        <f>_xlfn.XLOOKUP($B:$B,'Compilado 2023'!$B:$B,'Compilado 2023'!K:K)</f>
        <v>0</v>
      </c>
      <c r="L4" s="54">
        <f t="shared" ref="L4:L34" si="2">IFERROR(F4/K4,0)</f>
        <v>0</v>
      </c>
      <c r="M4" s="38"/>
      <c r="N4" s="106">
        <f>_xlfn.XLOOKUP($B:$B,'Compilado 2023'!$B:$B,'Compilado 2023'!N:N)</f>
        <v>730.78</v>
      </c>
      <c r="O4" s="106">
        <f>_xlfn.XLOOKUP($B:$B,'Compilado 2023'!$B:$B,'Compilado 2023'!O:O)</f>
        <v>209.52</v>
      </c>
      <c r="P4" s="106">
        <f>_xlfn.XLOOKUP($B:$B,'Compilado 2023'!$B:$B,'Compilado 2023'!P:P)</f>
        <v>0</v>
      </c>
      <c r="Q4" s="106">
        <f ca="1">_xlfn.XLOOKUP($B:$B,'Compilado 2023'!$B:$B,'Compilado 2023'!Q:Q)</f>
        <v>51.612903225806448</v>
      </c>
      <c r="R4" s="106">
        <f>_xlfn.XLOOKUP($B:$B,'Compilado 2023'!$B:$B,'Compilado 2023'!R:R)</f>
        <v>3.43</v>
      </c>
      <c r="S4" s="106">
        <f>_xlfn.XLOOKUP($B:$B,'Compilado 2023'!$B:$B,'Compilado 2023'!S:S)</f>
        <v>0</v>
      </c>
      <c r="T4" s="106">
        <f>_xlfn.XLOOKUP($B:$B,'Compilado 2023'!$B:$B,'Compilado 2023'!U:U)</f>
        <v>0</v>
      </c>
      <c r="U4" s="106">
        <f>_xlfn.XLOOKUP($B:$B,'Compilado 2023'!$B:$B,'Compilado 2023'!V:V)</f>
        <v>0</v>
      </c>
      <c r="V4" s="57"/>
      <c r="W4" s="106">
        <f>_xlfn.XLOOKUP($B:$B,'Compilado 2023'!$B:$B,'Compilado 2023'!X:X)</f>
        <v>0</v>
      </c>
      <c r="X4" s="106">
        <f>_xlfn.XLOOKUP($B:$B,'Compilado 2023'!$B:$B,'Compilado 2023'!Y:Y)</f>
        <v>0</v>
      </c>
      <c r="Y4" s="106">
        <f>_xlfn.XLOOKUP($B:$B,'Compilado 2023'!$B:$B,'Compilado 2023'!Z:Z)</f>
        <v>0</v>
      </c>
      <c r="Z4" s="38"/>
      <c r="AA4" s="107" t="str">
        <f>_xlfn.XLOOKUP($B:$B,'Compilado 2023'!$B:$B,'Compilado 2023'!AA:AA)</f>
        <v>Site parou de processar pagamento às 17:40 - Foi ativado a ferramenta Cloudflare</v>
      </c>
    </row>
    <row r="5" spans="1:27" s="2" customFormat="1" x14ac:dyDescent="0.2">
      <c r="A5" s="16" t="str">
        <f t="shared" si="0"/>
        <v>quarta-feira</v>
      </c>
      <c r="B5" s="17">
        <f>B4+1</f>
        <v>45140</v>
      </c>
      <c r="C5" s="19">
        <f t="shared" ref="C5:C34" si="3">D5+E5</f>
        <v>61652.53</v>
      </c>
      <c r="D5" s="35">
        <f>_xlfn.XLOOKUP($B:$B,'Compilado 2023'!$B:$B,'Compilado 2023'!D:D)</f>
        <v>61652.53</v>
      </c>
      <c r="E5" s="35">
        <f>_xlfn.XLOOKUP($B:$B,'Compilado 2023'!$B:$B,'Compilado 2023'!E:E)</f>
        <v>0</v>
      </c>
      <c r="F5" s="18">
        <f>_xlfn.XLOOKUP($B:$B,'Compilado 2023'!$B:$B,'Compilado 2023'!F:F)</f>
        <v>234</v>
      </c>
      <c r="G5" s="18">
        <f>_xlfn.XLOOKUP($B:$B,'Compilado 2023'!$B:$B,'Compilado 2023'!G:G)</f>
        <v>268</v>
      </c>
      <c r="H5" s="35">
        <f t="shared" ref="H5:H34" si="4">IFERROR(C5/F5,0)</f>
        <v>263.47235042735042</v>
      </c>
      <c r="I5" s="19">
        <f t="shared" ref="I5:I34" ca="1" si="5">SUM(N5:U5)</f>
        <v>1095.8229032258064</v>
      </c>
      <c r="J5" s="122">
        <f t="shared" ca="1" si="1"/>
        <v>56.26139937257345</v>
      </c>
      <c r="K5" s="18">
        <f>_xlfn.XLOOKUP($B:$B,'Compilado 2023'!$B:$B,'Compilado 2023'!K:K)</f>
        <v>0</v>
      </c>
      <c r="L5" s="54">
        <f t="shared" si="2"/>
        <v>0</v>
      </c>
      <c r="M5" s="38"/>
      <c r="N5" s="106">
        <f>_xlfn.XLOOKUP($B:$B,'Compilado 2023'!$B:$B,'Compilado 2023'!N:N)</f>
        <v>837.01</v>
      </c>
      <c r="O5" s="106">
        <f>_xlfn.XLOOKUP($B:$B,'Compilado 2023'!$B:$B,'Compilado 2023'!O:O)</f>
        <v>206.07</v>
      </c>
      <c r="P5" s="106">
        <f>_xlfn.XLOOKUP($B:$B,'Compilado 2023'!$B:$B,'Compilado 2023'!P:P)</f>
        <v>0</v>
      </c>
      <c r="Q5" s="106">
        <f ca="1">_xlfn.XLOOKUP($B:$B,'Compilado 2023'!$B:$B,'Compilado 2023'!Q:Q)</f>
        <v>51.612903225806448</v>
      </c>
      <c r="R5" s="106">
        <f>_xlfn.XLOOKUP($B:$B,'Compilado 2023'!$B:$B,'Compilado 2023'!R:R)</f>
        <v>1.1299999999999999</v>
      </c>
      <c r="S5" s="106">
        <f>_xlfn.XLOOKUP($B:$B,'Compilado 2023'!$B:$B,'Compilado 2023'!S:S)</f>
        <v>0</v>
      </c>
      <c r="T5" s="106">
        <f>_xlfn.XLOOKUP($B:$B,'Compilado 2023'!$B:$B,'Compilado 2023'!U:U)</f>
        <v>0</v>
      </c>
      <c r="U5" s="106">
        <f>_xlfn.XLOOKUP($B:$B,'Compilado 2023'!$B:$B,'Compilado 2023'!V:V)</f>
        <v>0</v>
      </c>
      <c r="V5" s="57"/>
      <c r="W5" s="106">
        <f>_xlfn.XLOOKUP($B:$B,'Compilado 2023'!$B:$B,'Compilado 2023'!X:X)</f>
        <v>0</v>
      </c>
      <c r="X5" s="106">
        <f>_xlfn.XLOOKUP($B:$B,'Compilado 2023'!$B:$B,'Compilado 2023'!Y:Y)</f>
        <v>0</v>
      </c>
      <c r="Y5" s="106">
        <f>_xlfn.XLOOKUP($B:$B,'Compilado 2023'!$B:$B,'Compilado 2023'!Z:Z)</f>
        <v>0</v>
      </c>
      <c r="Z5" s="38"/>
      <c r="AA5" s="107" t="str">
        <f>_xlfn.XLOOKUP($B:$B,'Compilado 2023'!$B:$B,'Compilado 2023'!AA:AA)</f>
        <v xml:space="preserve">Pedidos voltaram a entrar depois das 11:15, antes não entrou receita (Problema tecnologia) </v>
      </c>
    </row>
    <row r="6" spans="1:27" x14ac:dyDescent="0.2">
      <c r="A6" s="16" t="str">
        <f t="shared" si="0"/>
        <v>quinta-feira</v>
      </c>
      <c r="B6" s="17">
        <f t="shared" ref="B6:B34" si="6">B5+1</f>
        <v>45141</v>
      </c>
      <c r="C6" s="19">
        <f t="shared" si="3"/>
        <v>35391.74</v>
      </c>
      <c r="D6" s="35">
        <f>_xlfn.XLOOKUP($B:$B,'Compilado 2023'!$B:$B,'Compilado 2023'!D:D)</f>
        <v>35391.74</v>
      </c>
      <c r="E6" s="35">
        <f>_xlfn.XLOOKUP($B:$B,'Compilado 2023'!$B:$B,'Compilado 2023'!E:E)</f>
        <v>0</v>
      </c>
      <c r="F6" s="18">
        <f>_xlfn.XLOOKUP($B:$B,'Compilado 2023'!$B:$B,'Compilado 2023'!F:F)</f>
        <v>134</v>
      </c>
      <c r="G6" s="18">
        <f>_xlfn.XLOOKUP($B:$B,'Compilado 2023'!$B:$B,'Compilado 2023'!G:G)</f>
        <v>160</v>
      </c>
      <c r="H6" s="35">
        <f t="shared" si="4"/>
        <v>264.11746268656714</v>
      </c>
      <c r="I6" s="19">
        <f t="shared" ca="1" si="5"/>
        <v>1142.8929032258063</v>
      </c>
      <c r="J6" s="122">
        <f t="shared" ca="1" si="1"/>
        <v>30.966803538727984</v>
      </c>
      <c r="K6" s="18">
        <f>_xlfn.XLOOKUP($B:$B,'Compilado 2023'!$B:$B,'Compilado 2023'!K:K)</f>
        <v>0</v>
      </c>
      <c r="L6" s="54">
        <f t="shared" si="2"/>
        <v>0</v>
      </c>
      <c r="M6" s="38"/>
      <c r="N6" s="106">
        <f>_xlfn.XLOOKUP($B:$B,'Compilado 2023'!$B:$B,'Compilado 2023'!N:N)</f>
        <v>865.25</v>
      </c>
      <c r="O6" s="106">
        <f>_xlfn.XLOOKUP($B:$B,'Compilado 2023'!$B:$B,'Compilado 2023'!O:O)</f>
        <v>211.03</v>
      </c>
      <c r="P6" s="106">
        <f>_xlfn.XLOOKUP($B:$B,'Compilado 2023'!$B:$B,'Compilado 2023'!P:P)</f>
        <v>0</v>
      </c>
      <c r="Q6" s="106">
        <f ca="1">_xlfn.XLOOKUP($B:$B,'Compilado 2023'!$B:$B,'Compilado 2023'!Q:Q)</f>
        <v>51.612903225806448</v>
      </c>
      <c r="R6" s="106">
        <f>_xlfn.XLOOKUP($B:$B,'Compilado 2023'!$B:$B,'Compilado 2023'!R:R)</f>
        <v>0</v>
      </c>
      <c r="S6" s="106">
        <f>_xlfn.XLOOKUP($B:$B,'Compilado 2023'!$B:$B,'Compilado 2023'!S:S)</f>
        <v>15</v>
      </c>
      <c r="T6" s="106">
        <f>_xlfn.XLOOKUP($B:$B,'Compilado 2023'!$B:$B,'Compilado 2023'!U:U)</f>
        <v>0</v>
      </c>
      <c r="U6" s="106">
        <f>_xlfn.XLOOKUP($B:$B,'Compilado 2023'!$B:$B,'Compilado 2023'!V:V)</f>
        <v>0</v>
      </c>
      <c r="V6" s="57"/>
      <c r="W6" s="106">
        <f>_xlfn.XLOOKUP($B:$B,'Compilado 2023'!$B:$B,'Compilado 2023'!X:X)</f>
        <v>0</v>
      </c>
      <c r="X6" s="106">
        <f>_xlfn.XLOOKUP($B:$B,'Compilado 2023'!$B:$B,'Compilado 2023'!Y:Y)</f>
        <v>0</v>
      </c>
      <c r="Y6" s="106">
        <f>_xlfn.XLOOKUP($B:$B,'Compilado 2023'!$B:$B,'Compilado 2023'!Z:Z)</f>
        <v>0</v>
      </c>
      <c r="Z6" s="38"/>
      <c r="AA6" s="107">
        <f>_xlfn.XLOOKUP($B:$B,'Compilado 2023'!$B:$B,'Compilado 2023'!AA:AA)</f>
        <v>0</v>
      </c>
    </row>
    <row r="7" spans="1:27" x14ac:dyDescent="0.2">
      <c r="A7" s="16" t="str">
        <f t="shared" si="0"/>
        <v>sexta-feira</v>
      </c>
      <c r="B7" s="17">
        <f t="shared" si="6"/>
        <v>45142</v>
      </c>
      <c r="C7" s="19">
        <f t="shared" si="3"/>
        <v>78988.06</v>
      </c>
      <c r="D7" s="35">
        <f>_xlfn.XLOOKUP($B:$B,'Compilado 2023'!$B:$B,'Compilado 2023'!D:D)</f>
        <v>78988.06</v>
      </c>
      <c r="E7" s="35">
        <f>_xlfn.XLOOKUP($B:$B,'Compilado 2023'!$B:$B,'Compilado 2023'!E:E)</f>
        <v>0</v>
      </c>
      <c r="F7" s="18">
        <f>_xlfn.XLOOKUP($B:$B,'Compilado 2023'!$B:$B,'Compilado 2023'!F:F)</f>
        <v>247</v>
      </c>
      <c r="G7" s="18">
        <f>_xlfn.XLOOKUP($B:$B,'Compilado 2023'!$B:$B,'Compilado 2023'!G:G)</f>
        <v>299</v>
      </c>
      <c r="H7" s="35">
        <f t="shared" si="4"/>
        <v>319.78971659919029</v>
      </c>
      <c r="I7" s="19">
        <f t="shared" ca="1" si="5"/>
        <v>1006.6529032258065</v>
      </c>
      <c r="J7" s="122">
        <f t="shared" ca="1" si="1"/>
        <v>78.466033075436187</v>
      </c>
      <c r="K7" s="18">
        <f>_xlfn.XLOOKUP($B:$B,'Compilado 2023'!$B:$B,'Compilado 2023'!K:K)</f>
        <v>0</v>
      </c>
      <c r="L7" s="54">
        <f t="shared" si="2"/>
        <v>0</v>
      </c>
      <c r="M7" s="38"/>
      <c r="N7" s="106">
        <f>_xlfn.XLOOKUP($B:$B,'Compilado 2023'!$B:$B,'Compilado 2023'!N:N)</f>
        <v>732.61</v>
      </c>
      <c r="O7" s="106">
        <f>_xlfn.XLOOKUP($B:$B,'Compilado 2023'!$B:$B,'Compilado 2023'!O:O)</f>
        <v>204.09</v>
      </c>
      <c r="P7" s="106">
        <f>_xlfn.XLOOKUP($B:$B,'Compilado 2023'!$B:$B,'Compilado 2023'!P:P)</f>
        <v>0</v>
      </c>
      <c r="Q7" s="106">
        <f ca="1">_xlfn.XLOOKUP($B:$B,'Compilado 2023'!$B:$B,'Compilado 2023'!Q:Q)</f>
        <v>51.612903225806448</v>
      </c>
      <c r="R7" s="106">
        <f>_xlfn.XLOOKUP($B:$B,'Compilado 2023'!$B:$B,'Compilado 2023'!R:R)</f>
        <v>0</v>
      </c>
      <c r="S7" s="106">
        <f>_xlfn.XLOOKUP($B:$B,'Compilado 2023'!$B:$B,'Compilado 2023'!S:S)</f>
        <v>18.34</v>
      </c>
      <c r="T7" s="106">
        <f>_xlfn.XLOOKUP($B:$B,'Compilado 2023'!$B:$B,'Compilado 2023'!U:U)</f>
        <v>0</v>
      </c>
      <c r="U7" s="106">
        <f>_xlfn.XLOOKUP($B:$B,'Compilado 2023'!$B:$B,'Compilado 2023'!V:V)</f>
        <v>0</v>
      </c>
      <c r="V7" s="57"/>
      <c r="W7" s="106">
        <f>_xlfn.XLOOKUP($B:$B,'Compilado 2023'!$B:$B,'Compilado 2023'!X:X)</f>
        <v>0</v>
      </c>
      <c r="X7" s="106">
        <f>_xlfn.XLOOKUP($B:$B,'Compilado 2023'!$B:$B,'Compilado 2023'!Y:Y)</f>
        <v>0</v>
      </c>
      <c r="Y7" s="106">
        <f>_xlfn.XLOOKUP($B:$B,'Compilado 2023'!$B:$B,'Compilado 2023'!Z:Z)</f>
        <v>0</v>
      </c>
      <c r="Z7" s="38"/>
      <c r="AA7" s="107" t="str">
        <f>_xlfn.XLOOKUP($B:$B,'Compilado 2023'!$B:$B,'Compilado 2023'!AA:AA)</f>
        <v xml:space="preserve">Site caiu perto das 20h e volto logo em seguida. </v>
      </c>
    </row>
    <row r="8" spans="1:27" s="2" customFormat="1" x14ac:dyDescent="0.2">
      <c r="A8" s="16" t="str">
        <f t="shared" si="0"/>
        <v>sábado</v>
      </c>
      <c r="B8" s="17">
        <f t="shared" si="6"/>
        <v>45143</v>
      </c>
      <c r="C8" s="19">
        <f t="shared" si="3"/>
        <v>46373.909999999996</v>
      </c>
      <c r="D8" s="35">
        <f>_xlfn.XLOOKUP($B:$B,'Compilado 2023'!$B:$B,'Compilado 2023'!D:D)</f>
        <v>46350.6</v>
      </c>
      <c r="E8" s="35">
        <f>_xlfn.XLOOKUP($B:$B,'Compilado 2023'!$B:$B,'Compilado 2023'!E:E)</f>
        <v>23.31</v>
      </c>
      <c r="F8" s="18">
        <f>_xlfn.XLOOKUP($B:$B,'Compilado 2023'!$B:$B,'Compilado 2023'!F:F)</f>
        <v>283</v>
      </c>
      <c r="G8" s="18">
        <f>_xlfn.XLOOKUP($B:$B,'Compilado 2023'!$B:$B,'Compilado 2023'!G:G)</f>
        <v>332</v>
      </c>
      <c r="H8" s="35">
        <f t="shared" si="4"/>
        <v>163.865406360424</v>
      </c>
      <c r="I8" s="19">
        <f t="shared" ca="1" si="5"/>
        <v>931.95290322580649</v>
      </c>
      <c r="J8" s="122">
        <f t="shared" ca="1" si="1"/>
        <v>49.759928682537598</v>
      </c>
      <c r="K8" s="18">
        <f>_xlfn.XLOOKUP($B:$B,'Compilado 2023'!$B:$B,'Compilado 2023'!K:K)</f>
        <v>0</v>
      </c>
      <c r="L8" s="54">
        <f t="shared" si="2"/>
        <v>0</v>
      </c>
      <c r="M8" s="38"/>
      <c r="N8" s="106">
        <f>_xlfn.XLOOKUP($B:$B,'Compilado 2023'!$B:$B,'Compilado 2023'!N:N)</f>
        <v>645.87</v>
      </c>
      <c r="O8" s="106">
        <f>_xlfn.XLOOKUP($B:$B,'Compilado 2023'!$B:$B,'Compilado 2023'!O:O)</f>
        <v>212.5</v>
      </c>
      <c r="P8" s="106">
        <f>_xlfn.XLOOKUP($B:$B,'Compilado 2023'!$B:$B,'Compilado 2023'!P:P)</f>
        <v>0</v>
      </c>
      <c r="Q8" s="106">
        <f ca="1">_xlfn.XLOOKUP($B:$B,'Compilado 2023'!$B:$B,'Compilado 2023'!Q:Q)</f>
        <v>51.612903225806448</v>
      </c>
      <c r="R8" s="106">
        <f>_xlfn.XLOOKUP($B:$B,'Compilado 2023'!$B:$B,'Compilado 2023'!R:R)</f>
        <v>2.14</v>
      </c>
      <c r="S8" s="106">
        <f>_xlfn.XLOOKUP($B:$B,'Compilado 2023'!$B:$B,'Compilado 2023'!S:S)</f>
        <v>19.829999999999998</v>
      </c>
      <c r="T8" s="106">
        <f>_xlfn.XLOOKUP($B:$B,'Compilado 2023'!$B:$B,'Compilado 2023'!U:U)</f>
        <v>0</v>
      </c>
      <c r="U8" s="106">
        <f>_xlfn.XLOOKUP($B:$B,'Compilado 2023'!$B:$B,'Compilado 2023'!V:V)</f>
        <v>0</v>
      </c>
      <c r="V8" s="57"/>
      <c r="W8" s="106">
        <f>_xlfn.XLOOKUP($B:$B,'Compilado 2023'!$B:$B,'Compilado 2023'!X:X)</f>
        <v>0</v>
      </c>
      <c r="X8" s="106">
        <f>_xlfn.XLOOKUP($B:$B,'Compilado 2023'!$B:$B,'Compilado 2023'!Y:Y)</f>
        <v>0</v>
      </c>
      <c r="Y8" s="106">
        <f>_xlfn.XLOOKUP($B:$B,'Compilado 2023'!$B:$B,'Compilado 2023'!Z:Z)</f>
        <v>0</v>
      </c>
      <c r="Z8" s="38"/>
      <c r="AA8" s="107">
        <f>_xlfn.XLOOKUP($B:$B,'Compilado 2023'!$B:$B,'Compilado 2023'!AA:AA)</f>
        <v>0</v>
      </c>
    </row>
    <row r="9" spans="1:27" s="2" customFormat="1" x14ac:dyDescent="0.2">
      <c r="A9" s="16" t="str">
        <f t="shared" si="0"/>
        <v>domingo</v>
      </c>
      <c r="B9" s="17">
        <f t="shared" si="6"/>
        <v>45144</v>
      </c>
      <c r="C9" s="19">
        <f t="shared" si="3"/>
        <v>32215.25</v>
      </c>
      <c r="D9" s="35">
        <f>_xlfn.XLOOKUP($B:$B,'Compilado 2023'!$B:$B,'Compilado 2023'!D:D)</f>
        <v>32215.25</v>
      </c>
      <c r="E9" s="35">
        <f>_xlfn.XLOOKUP($B:$B,'Compilado 2023'!$B:$B,'Compilado 2023'!E:E)</f>
        <v>0</v>
      </c>
      <c r="F9" s="18">
        <f>_xlfn.XLOOKUP($B:$B,'Compilado 2023'!$B:$B,'Compilado 2023'!F:F)</f>
        <v>163</v>
      </c>
      <c r="G9" s="18">
        <f>_xlfn.XLOOKUP($B:$B,'Compilado 2023'!$B:$B,'Compilado 2023'!G:G)</f>
        <v>185</v>
      </c>
      <c r="H9" s="35">
        <f t="shared" si="4"/>
        <v>197.63957055214723</v>
      </c>
      <c r="I9" s="19">
        <f t="shared" ca="1" si="5"/>
        <v>1012.4029032258064</v>
      </c>
      <c r="J9" s="122">
        <f t="shared" ca="1" si="1"/>
        <v>31.82058239595418</v>
      </c>
      <c r="K9" s="18">
        <f>_xlfn.XLOOKUP($B:$B,'Compilado 2023'!$B:$B,'Compilado 2023'!K:K)</f>
        <v>0</v>
      </c>
      <c r="L9" s="54">
        <f t="shared" si="2"/>
        <v>0</v>
      </c>
      <c r="M9" s="38"/>
      <c r="N9" s="106">
        <f>_xlfn.XLOOKUP($B:$B,'Compilado 2023'!$B:$B,'Compilado 2023'!N:N)</f>
        <v>711.53</v>
      </c>
      <c r="O9" s="106">
        <f>_xlfn.XLOOKUP($B:$B,'Compilado 2023'!$B:$B,'Compilado 2023'!O:O)</f>
        <v>228.73</v>
      </c>
      <c r="P9" s="106">
        <f>_xlfn.XLOOKUP($B:$B,'Compilado 2023'!$B:$B,'Compilado 2023'!P:P)</f>
        <v>0</v>
      </c>
      <c r="Q9" s="106">
        <f ca="1">_xlfn.XLOOKUP($B:$B,'Compilado 2023'!$B:$B,'Compilado 2023'!Q:Q)</f>
        <v>51.612903225806448</v>
      </c>
      <c r="R9" s="106">
        <f>_xlfn.XLOOKUP($B:$B,'Compilado 2023'!$B:$B,'Compilado 2023'!R:R)</f>
        <v>0.8</v>
      </c>
      <c r="S9" s="106">
        <f>_xlfn.XLOOKUP($B:$B,'Compilado 2023'!$B:$B,'Compilado 2023'!S:S)</f>
        <v>19.73</v>
      </c>
      <c r="T9" s="106">
        <f>_xlfn.XLOOKUP($B:$B,'Compilado 2023'!$B:$B,'Compilado 2023'!U:U)</f>
        <v>0</v>
      </c>
      <c r="U9" s="106">
        <f>_xlfn.XLOOKUP($B:$B,'Compilado 2023'!$B:$B,'Compilado 2023'!V:V)</f>
        <v>0</v>
      </c>
      <c r="V9" s="57"/>
      <c r="W9" s="106">
        <f>_xlfn.XLOOKUP($B:$B,'Compilado 2023'!$B:$B,'Compilado 2023'!X:X)</f>
        <v>0</v>
      </c>
      <c r="X9" s="106">
        <f>_xlfn.XLOOKUP($B:$B,'Compilado 2023'!$B:$B,'Compilado 2023'!Y:Y)</f>
        <v>0</v>
      </c>
      <c r="Y9" s="106">
        <f>_xlfn.XLOOKUP($B:$B,'Compilado 2023'!$B:$B,'Compilado 2023'!Z:Z)</f>
        <v>0</v>
      </c>
      <c r="Z9" s="38"/>
      <c r="AA9" s="107">
        <f>_xlfn.XLOOKUP($B:$B,'Compilado 2023'!$B:$B,'Compilado 2023'!AA:AA)</f>
        <v>0</v>
      </c>
    </row>
    <row r="10" spans="1:27" s="2" customFormat="1" x14ac:dyDescent="0.2">
      <c r="A10" s="16" t="str">
        <f t="shared" si="0"/>
        <v>segunda-feira</v>
      </c>
      <c r="B10" s="17">
        <f t="shared" si="6"/>
        <v>45145</v>
      </c>
      <c r="C10" s="19">
        <f t="shared" si="3"/>
        <v>69465.52</v>
      </c>
      <c r="D10" s="35">
        <f>_xlfn.XLOOKUP($B:$B,'Compilado 2023'!$B:$B,'Compilado 2023'!D:D)</f>
        <v>69442.070000000007</v>
      </c>
      <c r="E10" s="35">
        <f>_xlfn.XLOOKUP($B:$B,'Compilado 2023'!$B:$B,'Compilado 2023'!E:E)</f>
        <v>23.45</v>
      </c>
      <c r="F10" s="18">
        <f>_xlfn.XLOOKUP($B:$B,'Compilado 2023'!$B:$B,'Compilado 2023'!F:F)</f>
        <v>255</v>
      </c>
      <c r="G10" s="18">
        <f>_xlfn.XLOOKUP($B:$B,'Compilado 2023'!$B:$B,'Compilado 2023'!G:G)</f>
        <v>279</v>
      </c>
      <c r="H10" s="35">
        <f t="shared" si="4"/>
        <v>272.41380392156867</v>
      </c>
      <c r="I10" s="19">
        <f t="shared" ca="1" si="5"/>
        <v>1478.8929032258063</v>
      </c>
      <c r="J10" s="122">
        <f t="shared" ca="1" si="1"/>
        <v>46.971298495299891</v>
      </c>
      <c r="K10" s="18">
        <f>_xlfn.XLOOKUP($B:$B,'Compilado 2023'!$B:$B,'Compilado 2023'!K:K)</f>
        <v>0</v>
      </c>
      <c r="L10" s="54">
        <f t="shared" si="2"/>
        <v>0</v>
      </c>
      <c r="M10" s="38"/>
      <c r="N10" s="106">
        <f>_xlfn.XLOOKUP($B:$B,'Compilado 2023'!$B:$B,'Compilado 2023'!N:N)</f>
        <v>1005.45</v>
      </c>
      <c r="O10" s="106">
        <f>_xlfn.XLOOKUP($B:$B,'Compilado 2023'!$B:$B,'Compilado 2023'!O:O)</f>
        <v>399.19</v>
      </c>
      <c r="P10" s="106">
        <f>_xlfn.XLOOKUP($B:$B,'Compilado 2023'!$B:$B,'Compilado 2023'!P:P)</f>
        <v>0</v>
      </c>
      <c r="Q10" s="106">
        <f ca="1">_xlfn.XLOOKUP($B:$B,'Compilado 2023'!$B:$B,'Compilado 2023'!Q:Q)</f>
        <v>51.612903225806448</v>
      </c>
      <c r="R10" s="106">
        <f>_xlfn.XLOOKUP($B:$B,'Compilado 2023'!$B:$B,'Compilado 2023'!R:R)</f>
        <v>3.02</v>
      </c>
      <c r="S10" s="106">
        <f>_xlfn.XLOOKUP($B:$B,'Compilado 2023'!$B:$B,'Compilado 2023'!S:S)</f>
        <v>19.62</v>
      </c>
      <c r="T10" s="106">
        <f>_xlfn.XLOOKUP($B:$B,'Compilado 2023'!$B:$B,'Compilado 2023'!U:U)</f>
        <v>0</v>
      </c>
      <c r="U10" s="106">
        <f>_xlfn.XLOOKUP($B:$B,'Compilado 2023'!$B:$B,'Compilado 2023'!V:V)</f>
        <v>0</v>
      </c>
      <c r="V10" s="57"/>
      <c r="W10" s="106">
        <f>_xlfn.XLOOKUP($B:$B,'Compilado 2023'!$B:$B,'Compilado 2023'!X:X)</f>
        <v>0</v>
      </c>
      <c r="X10" s="106">
        <f>_xlfn.XLOOKUP($B:$B,'Compilado 2023'!$B:$B,'Compilado 2023'!Y:Y)</f>
        <v>0</v>
      </c>
      <c r="Y10" s="106">
        <f>_xlfn.XLOOKUP($B:$B,'Compilado 2023'!$B:$B,'Compilado 2023'!Z:Z)</f>
        <v>0</v>
      </c>
      <c r="Z10" s="38"/>
      <c r="AA10" s="107">
        <f>_xlfn.XLOOKUP($B:$B,'Compilado 2023'!$B:$B,'Compilado 2023'!AA:AA)</f>
        <v>0</v>
      </c>
    </row>
    <row r="11" spans="1:27" s="2" customFormat="1" x14ac:dyDescent="0.2">
      <c r="A11" s="16" t="str">
        <f t="shared" si="0"/>
        <v>terça-feira</v>
      </c>
      <c r="B11" s="17">
        <f t="shared" si="6"/>
        <v>45146</v>
      </c>
      <c r="C11" s="19">
        <f t="shared" si="3"/>
        <v>88246.83</v>
      </c>
      <c r="D11" s="35">
        <f>_xlfn.XLOOKUP($B:$B,'Compilado 2023'!$B:$B,'Compilado 2023'!D:D)</f>
        <v>88217.600000000006</v>
      </c>
      <c r="E11" s="35">
        <f>_xlfn.XLOOKUP($B:$B,'Compilado 2023'!$B:$B,'Compilado 2023'!E:E)</f>
        <v>29.23</v>
      </c>
      <c r="F11" s="18">
        <f>_xlfn.XLOOKUP($B:$B,'Compilado 2023'!$B:$B,'Compilado 2023'!F:F)</f>
        <v>305</v>
      </c>
      <c r="G11" s="18">
        <f>_xlfn.XLOOKUP($B:$B,'Compilado 2023'!$B:$B,'Compilado 2023'!G:G)</f>
        <v>372</v>
      </c>
      <c r="H11" s="35">
        <f t="shared" si="4"/>
        <v>289.33386885245903</v>
      </c>
      <c r="I11" s="19">
        <f t="shared" ca="1" si="5"/>
        <v>1276.1829032258065</v>
      </c>
      <c r="J11" s="122">
        <f t="shared" ca="1" si="1"/>
        <v>69.149045780928859</v>
      </c>
      <c r="K11" s="18">
        <f>_xlfn.XLOOKUP($B:$B,'Compilado 2023'!$B:$B,'Compilado 2023'!K:K)</f>
        <v>0</v>
      </c>
      <c r="L11" s="54">
        <f t="shared" si="2"/>
        <v>0</v>
      </c>
      <c r="M11" s="38"/>
      <c r="N11" s="106">
        <f>_xlfn.XLOOKUP($B:$B,'Compilado 2023'!$B:$B,'Compilado 2023'!N:N)</f>
        <v>927.51</v>
      </c>
      <c r="O11" s="106">
        <f>_xlfn.XLOOKUP($B:$B,'Compilado 2023'!$B:$B,'Compilado 2023'!O:O)</f>
        <v>275.42</v>
      </c>
      <c r="P11" s="106">
        <f>_xlfn.XLOOKUP($B:$B,'Compilado 2023'!$B:$B,'Compilado 2023'!P:P)</f>
        <v>0</v>
      </c>
      <c r="Q11" s="106">
        <f ca="1">_xlfn.XLOOKUP($B:$B,'Compilado 2023'!$B:$B,'Compilado 2023'!Q:Q)</f>
        <v>51.612903225806448</v>
      </c>
      <c r="R11" s="106">
        <f>_xlfn.XLOOKUP($B:$B,'Compilado 2023'!$B:$B,'Compilado 2023'!R:R)</f>
        <v>2.16</v>
      </c>
      <c r="S11" s="106">
        <f>_xlfn.XLOOKUP($B:$B,'Compilado 2023'!$B:$B,'Compilado 2023'!S:S)</f>
        <v>19.48</v>
      </c>
      <c r="T11" s="106">
        <f>_xlfn.XLOOKUP($B:$B,'Compilado 2023'!$B:$B,'Compilado 2023'!U:U)</f>
        <v>0</v>
      </c>
      <c r="U11" s="106">
        <f>_xlfn.XLOOKUP($B:$B,'Compilado 2023'!$B:$B,'Compilado 2023'!V:V)</f>
        <v>0</v>
      </c>
      <c r="V11" s="57"/>
      <c r="W11" s="106">
        <f>_xlfn.XLOOKUP($B:$B,'Compilado 2023'!$B:$B,'Compilado 2023'!X:X)</f>
        <v>0</v>
      </c>
      <c r="X11" s="106">
        <f>_xlfn.XLOOKUP($B:$B,'Compilado 2023'!$B:$B,'Compilado 2023'!Y:Y)</f>
        <v>0</v>
      </c>
      <c r="Y11" s="106">
        <f>_xlfn.XLOOKUP($B:$B,'Compilado 2023'!$B:$B,'Compilado 2023'!Z:Z)</f>
        <v>0</v>
      </c>
      <c r="Z11" s="38"/>
      <c r="AA11" s="107">
        <f>_xlfn.XLOOKUP($B:$B,'Compilado 2023'!$B:$B,'Compilado 2023'!AA:AA)</f>
        <v>0</v>
      </c>
    </row>
    <row r="12" spans="1:27" s="2" customFormat="1" x14ac:dyDescent="0.2">
      <c r="A12" s="16" t="str">
        <f t="shared" si="0"/>
        <v>quarta-feira</v>
      </c>
      <c r="B12" s="17">
        <f t="shared" si="6"/>
        <v>45147</v>
      </c>
      <c r="C12" s="19">
        <f t="shared" si="3"/>
        <v>84697.75</v>
      </c>
      <c r="D12" s="35">
        <f>_xlfn.XLOOKUP($B:$B,'Compilado 2023'!$B:$B,'Compilado 2023'!D:D)</f>
        <v>84627.68</v>
      </c>
      <c r="E12" s="35">
        <f>_xlfn.XLOOKUP($B:$B,'Compilado 2023'!$B:$B,'Compilado 2023'!E:E)</f>
        <v>70.069999999999993</v>
      </c>
      <c r="F12" s="18">
        <f>_xlfn.XLOOKUP($B:$B,'Compilado 2023'!$B:$B,'Compilado 2023'!F:F)</f>
        <v>290</v>
      </c>
      <c r="G12" s="18">
        <f>_xlfn.XLOOKUP($B:$B,'Compilado 2023'!$B:$B,'Compilado 2023'!G:G)</f>
        <v>399</v>
      </c>
      <c r="H12" s="35">
        <f t="shared" si="4"/>
        <v>292.06120689655171</v>
      </c>
      <c r="I12" s="19">
        <f t="shared" ca="1" si="5"/>
        <v>1244.2729032258062</v>
      </c>
      <c r="J12" s="122">
        <f t="shared" ca="1" si="1"/>
        <v>68.07007512613923</v>
      </c>
      <c r="K12" s="18">
        <f>_xlfn.XLOOKUP($B:$B,'Compilado 2023'!$B:$B,'Compilado 2023'!K:K)</f>
        <v>0</v>
      </c>
      <c r="L12" s="54">
        <f t="shared" si="2"/>
        <v>0</v>
      </c>
      <c r="M12" s="38"/>
      <c r="N12" s="106">
        <f>_xlfn.XLOOKUP($B:$B,'Compilado 2023'!$B:$B,'Compilado 2023'!N:N)</f>
        <v>899.78</v>
      </c>
      <c r="O12" s="106">
        <f>_xlfn.XLOOKUP($B:$B,'Compilado 2023'!$B:$B,'Compilado 2023'!O:O)</f>
        <v>273.81</v>
      </c>
      <c r="P12" s="106">
        <f>_xlfn.XLOOKUP($B:$B,'Compilado 2023'!$B:$B,'Compilado 2023'!P:P)</f>
        <v>0</v>
      </c>
      <c r="Q12" s="106">
        <f ca="1">_xlfn.XLOOKUP($B:$B,'Compilado 2023'!$B:$B,'Compilado 2023'!Q:Q)</f>
        <v>51.612903225806448</v>
      </c>
      <c r="R12" s="106">
        <f>_xlfn.XLOOKUP($B:$B,'Compilado 2023'!$B:$B,'Compilado 2023'!R:R)</f>
        <v>0</v>
      </c>
      <c r="S12" s="106">
        <f>_xlfn.XLOOKUP($B:$B,'Compilado 2023'!$B:$B,'Compilado 2023'!S:S)</f>
        <v>19.07</v>
      </c>
      <c r="T12" s="106">
        <f>_xlfn.XLOOKUP($B:$B,'Compilado 2023'!$B:$B,'Compilado 2023'!U:U)</f>
        <v>0</v>
      </c>
      <c r="U12" s="106">
        <f>_xlfn.XLOOKUP($B:$B,'Compilado 2023'!$B:$B,'Compilado 2023'!V:V)</f>
        <v>0</v>
      </c>
      <c r="V12" s="57"/>
      <c r="W12" s="106">
        <f>_xlfn.XLOOKUP($B:$B,'Compilado 2023'!$B:$B,'Compilado 2023'!X:X)</f>
        <v>0</v>
      </c>
      <c r="X12" s="106">
        <f>_xlfn.XLOOKUP($B:$B,'Compilado 2023'!$B:$B,'Compilado 2023'!Y:Y)</f>
        <v>0</v>
      </c>
      <c r="Y12" s="106">
        <f>_xlfn.XLOOKUP($B:$B,'Compilado 2023'!$B:$B,'Compilado 2023'!Z:Z)</f>
        <v>0</v>
      </c>
      <c r="Z12" s="38"/>
      <c r="AA12" s="107">
        <f>_xlfn.XLOOKUP($B:$B,'Compilado 2023'!$B:$B,'Compilado 2023'!AA:AA)</f>
        <v>0</v>
      </c>
    </row>
    <row r="13" spans="1:27" x14ac:dyDescent="0.2">
      <c r="A13" s="16" t="str">
        <f t="shared" si="0"/>
        <v>quinta-feira</v>
      </c>
      <c r="B13" s="17">
        <f t="shared" si="6"/>
        <v>45148</v>
      </c>
      <c r="C13" s="19">
        <f t="shared" si="3"/>
        <v>84979.81</v>
      </c>
      <c r="D13" s="35">
        <f>_xlfn.XLOOKUP($B:$B,'Compilado 2023'!$B:$B,'Compilado 2023'!D:D)</f>
        <v>84933.05</v>
      </c>
      <c r="E13" s="35">
        <f>_xlfn.XLOOKUP($B:$B,'Compilado 2023'!$B:$B,'Compilado 2023'!E:E)</f>
        <v>46.76</v>
      </c>
      <c r="F13" s="18">
        <f>_xlfn.XLOOKUP($B:$B,'Compilado 2023'!$B:$B,'Compilado 2023'!F:F)</f>
        <v>312</v>
      </c>
      <c r="G13" s="18">
        <f>_xlfn.XLOOKUP($B:$B,'Compilado 2023'!$B:$B,'Compilado 2023'!G:G)</f>
        <v>419</v>
      </c>
      <c r="H13" s="35">
        <f t="shared" si="4"/>
        <v>272.37118589743591</v>
      </c>
      <c r="I13" s="19">
        <f t="shared" ca="1" si="5"/>
        <v>1349.4529032258063</v>
      </c>
      <c r="J13" s="122">
        <f t="shared" ca="1" si="1"/>
        <v>62.97352786218741</v>
      </c>
      <c r="K13" s="18">
        <f>_xlfn.XLOOKUP($B:$B,'Compilado 2023'!$B:$B,'Compilado 2023'!K:K)</f>
        <v>0</v>
      </c>
      <c r="L13" s="54">
        <f t="shared" si="2"/>
        <v>0</v>
      </c>
      <c r="M13" s="38"/>
      <c r="N13" s="106">
        <f>_xlfn.XLOOKUP($B:$B,'Compilado 2023'!$B:$B,'Compilado 2023'!N:N)</f>
        <v>965.39</v>
      </c>
      <c r="O13" s="106">
        <f>_xlfn.XLOOKUP($B:$B,'Compilado 2023'!$B:$B,'Compilado 2023'!O:O)</f>
        <v>311.58999999999997</v>
      </c>
      <c r="P13" s="106">
        <f>_xlfn.XLOOKUP($B:$B,'Compilado 2023'!$B:$B,'Compilado 2023'!P:P)</f>
        <v>0</v>
      </c>
      <c r="Q13" s="106">
        <f ca="1">_xlfn.XLOOKUP($B:$B,'Compilado 2023'!$B:$B,'Compilado 2023'!Q:Q)</f>
        <v>51.612903225806448</v>
      </c>
      <c r="R13" s="106">
        <f>_xlfn.XLOOKUP($B:$B,'Compilado 2023'!$B:$B,'Compilado 2023'!R:R)</f>
        <v>1.27</v>
      </c>
      <c r="S13" s="106">
        <f>_xlfn.XLOOKUP($B:$B,'Compilado 2023'!$B:$B,'Compilado 2023'!S:S)</f>
        <v>19.59</v>
      </c>
      <c r="T13" s="106">
        <f>_xlfn.XLOOKUP($B:$B,'Compilado 2023'!$B:$B,'Compilado 2023'!U:U)</f>
        <v>0</v>
      </c>
      <c r="U13" s="106">
        <f>_xlfn.XLOOKUP($B:$B,'Compilado 2023'!$B:$B,'Compilado 2023'!V:V)</f>
        <v>0</v>
      </c>
      <c r="V13" s="57"/>
      <c r="W13" s="106">
        <f>_xlfn.XLOOKUP($B:$B,'Compilado 2023'!$B:$B,'Compilado 2023'!X:X)</f>
        <v>0</v>
      </c>
      <c r="X13" s="106">
        <f>_xlfn.XLOOKUP($B:$B,'Compilado 2023'!$B:$B,'Compilado 2023'!Y:Y)</f>
        <v>0</v>
      </c>
      <c r="Y13" s="106">
        <f>_xlfn.XLOOKUP($B:$B,'Compilado 2023'!$B:$B,'Compilado 2023'!Z:Z)</f>
        <v>0</v>
      </c>
      <c r="Z13" s="38"/>
      <c r="AA13" s="107">
        <f>_xlfn.XLOOKUP($B:$B,'Compilado 2023'!$B:$B,'Compilado 2023'!AA:AA)</f>
        <v>0</v>
      </c>
    </row>
    <row r="14" spans="1:27" x14ac:dyDescent="0.2">
      <c r="A14" s="16" t="str">
        <f t="shared" si="0"/>
        <v>sexta-feira</v>
      </c>
      <c r="B14" s="17">
        <f t="shared" si="6"/>
        <v>45149</v>
      </c>
      <c r="C14" s="19">
        <f t="shared" si="3"/>
        <v>0</v>
      </c>
      <c r="D14" s="35">
        <f>_xlfn.XLOOKUP($B:$B,'Compilado 2023'!$B:$B,'Compilado 2023'!D:D)</f>
        <v>0</v>
      </c>
      <c r="E14" s="35">
        <f>_xlfn.XLOOKUP($B:$B,'Compilado 2023'!$B:$B,'Compilado 2023'!E:E)</f>
        <v>0</v>
      </c>
      <c r="F14" s="18">
        <f>_xlfn.XLOOKUP($B:$B,'Compilado 2023'!$B:$B,'Compilado 2023'!F:F)</f>
        <v>0</v>
      </c>
      <c r="G14" s="18">
        <f>_xlfn.XLOOKUP($B:$B,'Compilado 2023'!$B:$B,'Compilado 2023'!G:G)</f>
        <v>0</v>
      </c>
      <c r="H14" s="35">
        <f t="shared" si="4"/>
        <v>0</v>
      </c>
      <c r="I14" s="19">
        <f t="shared" ca="1" si="5"/>
        <v>92.03290322580645</v>
      </c>
      <c r="J14" s="122">
        <f t="shared" ca="1" si="1"/>
        <v>0</v>
      </c>
      <c r="K14" s="18">
        <f>_xlfn.XLOOKUP($B:$B,'Compilado 2023'!$B:$B,'Compilado 2023'!K:K)</f>
        <v>0</v>
      </c>
      <c r="L14" s="54">
        <f t="shared" si="2"/>
        <v>0</v>
      </c>
      <c r="M14" s="38"/>
      <c r="N14" s="106">
        <f>_xlfn.XLOOKUP($B:$B,'Compilado 2023'!$B:$B,'Compilado 2023'!N:N)</f>
        <v>0</v>
      </c>
      <c r="O14" s="106">
        <f>_xlfn.XLOOKUP($B:$B,'Compilado 2023'!$B:$B,'Compilado 2023'!O:O)</f>
        <v>37.94</v>
      </c>
      <c r="P14" s="106">
        <f>_xlfn.XLOOKUP($B:$B,'Compilado 2023'!$B:$B,'Compilado 2023'!P:P)</f>
        <v>0</v>
      </c>
      <c r="Q14" s="106">
        <f ca="1">_xlfn.XLOOKUP($B:$B,'Compilado 2023'!$B:$B,'Compilado 2023'!Q:Q)</f>
        <v>51.612903225806448</v>
      </c>
      <c r="R14" s="106">
        <f>_xlfn.XLOOKUP($B:$B,'Compilado 2023'!$B:$B,'Compilado 2023'!R:R)</f>
        <v>0</v>
      </c>
      <c r="S14" s="106">
        <f>_xlfn.XLOOKUP($B:$B,'Compilado 2023'!$B:$B,'Compilado 2023'!S:S)</f>
        <v>2.48</v>
      </c>
      <c r="T14" s="106">
        <f>_xlfn.XLOOKUP($B:$B,'Compilado 2023'!$B:$B,'Compilado 2023'!U:U)</f>
        <v>0</v>
      </c>
      <c r="U14" s="106">
        <f>_xlfn.XLOOKUP($B:$B,'Compilado 2023'!$B:$B,'Compilado 2023'!V:V)</f>
        <v>0</v>
      </c>
      <c r="V14" s="57"/>
      <c r="W14" s="106">
        <f>_xlfn.XLOOKUP($B:$B,'Compilado 2023'!$B:$B,'Compilado 2023'!X:X)</f>
        <v>0</v>
      </c>
      <c r="X14" s="106">
        <f>_xlfn.XLOOKUP($B:$B,'Compilado 2023'!$B:$B,'Compilado 2023'!Y:Y)</f>
        <v>0</v>
      </c>
      <c r="Y14" s="106">
        <f>_xlfn.XLOOKUP($B:$B,'Compilado 2023'!$B:$B,'Compilado 2023'!Z:Z)</f>
        <v>0</v>
      </c>
      <c r="Z14" s="38"/>
      <c r="AA14" s="107">
        <f>_xlfn.XLOOKUP($B:$B,'Compilado 2023'!$B:$B,'Compilado 2023'!AA:AA)</f>
        <v>0</v>
      </c>
    </row>
    <row r="15" spans="1:27" s="2" customFormat="1" x14ac:dyDescent="0.2">
      <c r="A15" s="16" t="str">
        <f t="shared" si="0"/>
        <v>sábado</v>
      </c>
      <c r="B15" s="17">
        <f t="shared" si="6"/>
        <v>45150</v>
      </c>
      <c r="C15" s="19">
        <f t="shared" si="3"/>
        <v>0</v>
      </c>
      <c r="D15" s="35">
        <f>_xlfn.XLOOKUP($B:$B,'Compilado 2023'!$B:$B,'Compilado 2023'!D:D)</f>
        <v>0</v>
      </c>
      <c r="E15" s="35">
        <f>_xlfn.XLOOKUP($B:$B,'Compilado 2023'!$B:$B,'Compilado 2023'!E:E)</f>
        <v>0</v>
      </c>
      <c r="F15" s="18">
        <f>_xlfn.XLOOKUP($B:$B,'Compilado 2023'!$B:$B,'Compilado 2023'!F:F)</f>
        <v>0</v>
      </c>
      <c r="G15" s="18">
        <f>_xlfn.XLOOKUP($B:$B,'Compilado 2023'!$B:$B,'Compilado 2023'!G:G)</f>
        <v>0</v>
      </c>
      <c r="H15" s="35">
        <f t="shared" si="4"/>
        <v>0</v>
      </c>
      <c r="I15" s="19">
        <f t="shared" ca="1" si="5"/>
        <v>51.612903225806448</v>
      </c>
      <c r="J15" s="122">
        <f t="shared" ca="1" si="1"/>
        <v>0</v>
      </c>
      <c r="K15" s="18">
        <f>_xlfn.XLOOKUP($B:$B,'Compilado 2023'!$B:$B,'Compilado 2023'!K:K)</f>
        <v>0</v>
      </c>
      <c r="L15" s="54">
        <f t="shared" si="2"/>
        <v>0</v>
      </c>
      <c r="M15" s="38"/>
      <c r="N15" s="106">
        <f>_xlfn.XLOOKUP($B:$B,'Compilado 2023'!$B:$B,'Compilado 2023'!N:N)</f>
        <v>0</v>
      </c>
      <c r="O15" s="106">
        <f>_xlfn.XLOOKUP($B:$B,'Compilado 2023'!$B:$B,'Compilado 2023'!O:O)</f>
        <v>0</v>
      </c>
      <c r="P15" s="106">
        <f>_xlfn.XLOOKUP($B:$B,'Compilado 2023'!$B:$B,'Compilado 2023'!P:P)</f>
        <v>0</v>
      </c>
      <c r="Q15" s="106">
        <f ca="1">_xlfn.XLOOKUP($B:$B,'Compilado 2023'!$B:$B,'Compilado 2023'!Q:Q)</f>
        <v>51.612903225806448</v>
      </c>
      <c r="R15" s="106">
        <f>_xlfn.XLOOKUP($B:$B,'Compilado 2023'!$B:$B,'Compilado 2023'!R:R)</f>
        <v>0</v>
      </c>
      <c r="S15" s="106">
        <f>_xlfn.XLOOKUP($B:$B,'Compilado 2023'!$B:$B,'Compilado 2023'!S:S)</f>
        <v>0</v>
      </c>
      <c r="T15" s="106">
        <f>_xlfn.XLOOKUP($B:$B,'Compilado 2023'!$B:$B,'Compilado 2023'!U:U)</f>
        <v>0</v>
      </c>
      <c r="U15" s="106">
        <f>_xlfn.XLOOKUP($B:$B,'Compilado 2023'!$B:$B,'Compilado 2023'!V:V)</f>
        <v>0</v>
      </c>
      <c r="V15" s="57"/>
      <c r="W15" s="106">
        <f>_xlfn.XLOOKUP($B:$B,'Compilado 2023'!$B:$B,'Compilado 2023'!X:X)</f>
        <v>0</v>
      </c>
      <c r="X15" s="106">
        <f>_xlfn.XLOOKUP($B:$B,'Compilado 2023'!$B:$B,'Compilado 2023'!Y:Y)</f>
        <v>0</v>
      </c>
      <c r="Y15" s="106">
        <f>_xlfn.XLOOKUP($B:$B,'Compilado 2023'!$B:$B,'Compilado 2023'!Z:Z)</f>
        <v>0</v>
      </c>
      <c r="Z15" s="38"/>
      <c r="AA15" s="107">
        <f>_xlfn.XLOOKUP($B:$B,'Compilado 2023'!$B:$B,'Compilado 2023'!AA:AA)</f>
        <v>0</v>
      </c>
    </row>
    <row r="16" spans="1:27" s="2" customFormat="1" x14ac:dyDescent="0.2">
      <c r="A16" s="16" t="str">
        <f t="shared" si="0"/>
        <v>domingo</v>
      </c>
      <c r="B16" s="17">
        <f t="shared" si="6"/>
        <v>45151</v>
      </c>
      <c r="C16" s="19">
        <f t="shared" si="3"/>
        <v>0</v>
      </c>
      <c r="D16" s="35">
        <f>_xlfn.XLOOKUP($B:$B,'Compilado 2023'!$B:$B,'Compilado 2023'!D:D)</f>
        <v>0</v>
      </c>
      <c r="E16" s="35">
        <f>_xlfn.XLOOKUP($B:$B,'Compilado 2023'!$B:$B,'Compilado 2023'!E:E)</f>
        <v>0</v>
      </c>
      <c r="F16" s="18">
        <f>_xlfn.XLOOKUP($B:$B,'Compilado 2023'!$B:$B,'Compilado 2023'!F:F)</f>
        <v>0</v>
      </c>
      <c r="G16" s="18">
        <f>_xlfn.XLOOKUP($B:$B,'Compilado 2023'!$B:$B,'Compilado 2023'!G:G)</f>
        <v>0</v>
      </c>
      <c r="H16" s="35">
        <f t="shared" si="4"/>
        <v>0</v>
      </c>
      <c r="I16" s="19">
        <f t="shared" ca="1" si="5"/>
        <v>51.612903225806448</v>
      </c>
      <c r="J16" s="122">
        <f t="shared" ca="1" si="1"/>
        <v>0</v>
      </c>
      <c r="K16" s="18">
        <f>_xlfn.XLOOKUP($B:$B,'Compilado 2023'!$B:$B,'Compilado 2023'!K:K)</f>
        <v>0</v>
      </c>
      <c r="L16" s="54">
        <f t="shared" si="2"/>
        <v>0</v>
      </c>
      <c r="M16" s="38"/>
      <c r="N16" s="106">
        <f>_xlfn.XLOOKUP($B:$B,'Compilado 2023'!$B:$B,'Compilado 2023'!N:N)</f>
        <v>0</v>
      </c>
      <c r="O16" s="106">
        <f>_xlfn.XLOOKUP($B:$B,'Compilado 2023'!$B:$B,'Compilado 2023'!O:O)</f>
        <v>0</v>
      </c>
      <c r="P16" s="106">
        <f>_xlfn.XLOOKUP($B:$B,'Compilado 2023'!$B:$B,'Compilado 2023'!P:P)</f>
        <v>0</v>
      </c>
      <c r="Q16" s="106">
        <f ca="1">_xlfn.XLOOKUP($B:$B,'Compilado 2023'!$B:$B,'Compilado 2023'!Q:Q)</f>
        <v>51.612903225806448</v>
      </c>
      <c r="R16" s="106">
        <f>_xlfn.XLOOKUP($B:$B,'Compilado 2023'!$B:$B,'Compilado 2023'!R:R)</f>
        <v>0</v>
      </c>
      <c r="S16" s="106">
        <f>_xlfn.XLOOKUP($B:$B,'Compilado 2023'!$B:$B,'Compilado 2023'!S:S)</f>
        <v>0</v>
      </c>
      <c r="T16" s="106">
        <f>_xlfn.XLOOKUP($B:$B,'Compilado 2023'!$B:$B,'Compilado 2023'!U:U)</f>
        <v>0</v>
      </c>
      <c r="U16" s="106">
        <f>_xlfn.XLOOKUP($B:$B,'Compilado 2023'!$B:$B,'Compilado 2023'!V:V)</f>
        <v>0</v>
      </c>
      <c r="V16" s="57"/>
      <c r="W16" s="106">
        <f>_xlfn.XLOOKUP($B:$B,'Compilado 2023'!$B:$B,'Compilado 2023'!X:X)</f>
        <v>0</v>
      </c>
      <c r="X16" s="106">
        <f>_xlfn.XLOOKUP($B:$B,'Compilado 2023'!$B:$B,'Compilado 2023'!Y:Y)</f>
        <v>0</v>
      </c>
      <c r="Y16" s="106">
        <f>_xlfn.XLOOKUP($B:$B,'Compilado 2023'!$B:$B,'Compilado 2023'!Z:Z)</f>
        <v>0</v>
      </c>
      <c r="Z16" s="38"/>
      <c r="AA16" s="107">
        <f>_xlfn.XLOOKUP($B:$B,'Compilado 2023'!$B:$B,'Compilado 2023'!AA:AA)</f>
        <v>0</v>
      </c>
    </row>
    <row r="17" spans="1:27" s="2" customFormat="1" x14ac:dyDescent="0.2">
      <c r="A17" s="16" t="str">
        <f t="shared" si="0"/>
        <v>segunda-feira</v>
      </c>
      <c r="B17" s="17">
        <f t="shared" si="6"/>
        <v>45152</v>
      </c>
      <c r="C17" s="19">
        <f t="shared" si="3"/>
        <v>0</v>
      </c>
      <c r="D17" s="35">
        <f>_xlfn.XLOOKUP($B:$B,'Compilado 2023'!$B:$B,'Compilado 2023'!D:D)</f>
        <v>0</v>
      </c>
      <c r="E17" s="35">
        <f>_xlfn.XLOOKUP($B:$B,'Compilado 2023'!$B:$B,'Compilado 2023'!E:E)</f>
        <v>0</v>
      </c>
      <c r="F17" s="18">
        <f>_xlfn.XLOOKUP($B:$B,'Compilado 2023'!$B:$B,'Compilado 2023'!F:F)</f>
        <v>0</v>
      </c>
      <c r="G17" s="18">
        <f>_xlfn.XLOOKUP($B:$B,'Compilado 2023'!$B:$B,'Compilado 2023'!G:G)</f>
        <v>0</v>
      </c>
      <c r="H17" s="35">
        <f t="shared" si="4"/>
        <v>0</v>
      </c>
      <c r="I17" s="19">
        <f t="shared" ca="1" si="5"/>
        <v>51.612903225806448</v>
      </c>
      <c r="J17" s="122">
        <f t="shared" ca="1" si="1"/>
        <v>0</v>
      </c>
      <c r="K17" s="18">
        <f>_xlfn.XLOOKUP($B:$B,'Compilado 2023'!$B:$B,'Compilado 2023'!K:K)</f>
        <v>0</v>
      </c>
      <c r="L17" s="54">
        <f t="shared" si="2"/>
        <v>0</v>
      </c>
      <c r="M17" s="38"/>
      <c r="N17" s="106">
        <f>_xlfn.XLOOKUP($B:$B,'Compilado 2023'!$B:$B,'Compilado 2023'!N:N)</f>
        <v>0</v>
      </c>
      <c r="O17" s="106">
        <f>_xlfn.XLOOKUP($B:$B,'Compilado 2023'!$B:$B,'Compilado 2023'!O:O)</f>
        <v>0</v>
      </c>
      <c r="P17" s="106">
        <f>_xlfn.XLOOKUP($B:$B,'Compilado 2023'!$B:$B,'Compilado 2023'!P:P)</f>
        <v>0</v>
      </c>
      <c r="Q17" s="106">
        <f ca="1">_xlfn.XLOOKUP($B:$B,'Compilado 2023'!$B:$B,'Compilado 2023'!Q:Q)</f>
        <v>51.612903225806448</v>
      </c>
      <c r="R17" s="106">
        <f>_xlfn.XLOOKUP($B:$B,'Compilado 2023'!$B:$B,'Compilado 2023'!R:R)</f>
        <v>0</v>
      </c>
      <c r="S17" s="106">
        <f>_xlfn.XLOOKUP($B:$B,'Compilado 2023'!$B:$B,'Compilado 2023'!S:S)</f>
        <v>0</v>
      </c>
      <c r="T17" s="106">
        <f>_xlfn.XLOOKUP($B:$B,'Compilado 2023'!$B:$B,'Compilado 2023'!U:U)</f>
        <v>0</v>
      </c>
      <c r="U17" s="106">
        <f>_xlfn.XLOOKUP($B:$B,'Compilado 2023'!$B:$B,'Compilado 2023'!V:V)</f>
        <v>0</v>
      </c>
      <c r="V17" s="57"/>
      <c r="W17" s="106">
        <f>_xlfn.XLOOKUP($B:$B,'Compilado 2023'!$B:$B,'Compilado 2023'!X:X)</f>
        <v>0</v>
      </c>
      <c r="X17" s="106">
        <f>_xlfn.XLOOKUP($B:$B,'Compilado 2023'!$B:$B,'Compilado 2023'!Y:Y)</f>
        <v>0</v>
      </c>
      <c r="Y17" s="106">
        <f>_xlfn.XLOOKUP($B:$B,'Compilado 2023'!$B:$B,'Compilado 2023'!Z:Z)</f>
        <v>0</v>
      </c>
      <c r="Z17" s="38"/>
      <c r="AA17" s="107">
        <f>_xlfn.XLOOKUP($B:$B,'Compilado 2023'!$B:$B,'Compilado 2023'!AA:AA)</f>
        <v>0</v>
      </c>
    </row>
    <row r="18" spans="1:27" s="2" customFormat="1" x14ac:dyDescent="0.2">
      <c r="A18" s="16" t="str">
        <f t="shared" si="0"/>
        <v>terça-feira</v>
      </c>
      <c r="B18" s="17">
        <f t="shared" si="6"/>
        <v>45153</v>
      </c>
      <c r="C18" s="19">
        <f t="shared" si="3"/>
        <v>0</v>
      </c>
      <c r="D18" s="35">
        <f>_xlfn.XLOOKUP($B:$B,'Compilado 2023'!$B:$B,'Compilado 2023'!D:D)</f>
        <v>0</v>
      </c>
      <c r="E18" s="35">
        <f>_xlfn.XLOOKUP($B:$B,'Compilado 2023'!$B:$B,'Compilado 2023'!E:E)</f>
        <v>0</v>
      </c>
      <c r="F18" s="18">
        <f>_xlfn.XLOOKUP($B:$B,'Compilado 2023'!$B:$B,'Compilado 2023'!F:F)</f>
        <v>0</v>
      </c>
      <c r="G18" s="18">
        <f>_xlfn.XLOOKUP($B:$B,'Compilado 2023'!$B:$B,'Compilado 2023'!G:G)</f>
        <v>0</v>
      </c>
      <c r="H18" s="35">
        <f t="shared" si="4"/>
        <v>0</v>
      </c>
      <c r="I18" s="19">
        <f t="shared" ca="1" si="5"/>
        <v>51.612903225806448</v>
      </c>
      <c r="J18" s="122">
        <f t="shared" ca="1" si="1"/>
        <v>0</v>
      </c>
      <c r="K18" s="18">
        <f>_xlfn.XLOOKUP($B:$B,'Compilado 2023'!$B:$B,'Compilado 2023'!K:K)</f>
        <v>0</v>
      </c>
      <c r="L18" s="54">
        <f t="shared" si="2"/>
        <v>0</v>
      </c>
      <c r="M18" s="38"/>
      <c r="N18" s="106">
        <f>_xlfn.XLOOKUP($B:$B,'Compilado 2023'!$B:$B,'Compilado 2023'!N:N)</f>
        <v>0</v>
      </c>
      <c r="O18" s="106">
        <f>_xlfn.XLOOKUP($B:$B,'Compilado 2023'!$B:$B,'Compilado 2023'!O:O)</f>
        <v>0</v>
      </c>
      <c r="P18" s="106">
        <f>_xlfn.XLOOKUP($B:$B,'Compilado 2023'!$B:$B,'Compilado 2023'!P:P)</f>
        <v>0</v>
      </c>
      <c r="Q18" s="106">
        <f ca="1">_xlfn.XLOOKUP($B:$B,'Compilado 2023'!$B:$B,'Compilado 2023'!Q:Q)</f>
        <v>51.612903225806448</v>
      </c>
      <c r="R18" s="106">
        <f>_xlfn.XLOOKUP($B:$B,'Compilado 2023'!$B:$B,'Compilado 2023'!R:R)</f>
        <v>0</v>
      </c>
      <c r="S18" s="106">
        <f>_xlfn.XLOOKUP($B:$B,'Compilado 2023'!$B:$B,'Compilado 2023'!S:S)</f>
        <v>0</v>
      </c>
      <c r="T18" s="106">
        <f>_xlfn.XLOOKUP($B:$B,'Compilado 2023'!$B:$B,'Compilado 2023'!U:U)</f>
        <v>0</v>
      </c>
      <c r="U18" s="106">
        <f>_xlfn.XLOOKUP($B:$B,'Compilado 2023'!$B:$B,'Compilado 2023'!V:V)</f>
        <v>0</v>
      </c>
      <c r="V18" s="57"/>
      <c r="W18" s="106">
        <f>_xlfn.XLOOKUP($B:$B,'Compilado 2023'!$B:$B,'Compilado 2023'!X:X)</f>
        <v>0</v>
      </c>
      <c r="X18" s="106">
        <f>_xlfn.XLOOKUP($B:$B,'Compilado 2023'!$B:$B,'Compilado 2023'!Y:Y)</f>
        <v>0</v>
      </c>
      <c r="Y18" s="106">
        <f>_xlfn.XLOOKUP($B:$B,'Compilado 2023'!$B:$B,'Compilado 2023'!Z:Z)</f>
        <v>0</v>
      </c>
      <c r="Z18" s="38"/>
      <c r="AA18" s="107">
        <f>_xlfn.XLOOKUP($B:$B,'Compilado 2023'!$B:$B,'Compilado 2023'!AA:AA)</f>
        <v>0</v>
      </c>
    </row>
    <row r="19" spans="1:27" s="2" customFormat="1" x14ac:dyDescent="0.2">
      <c r="A19" s="16" t="str">
        <f t="shared" si="0"/>
        <v>quarta-feira</v>
      </c>
      <c r="B19" s="17">
        <f t="shared" si="6"/>
        <v>45154</v>
      </c>
      <c r="C19" s="19">
        <f t="shared" si="3"/>
        <v>0</v>
      </c>
      <c r="D19" s="35">
        <f>_xlfn.XLOOKUP($B:$B,'Compilado 2023'!$B:$B,'Compilado 2023'!D:D)</f>
        <v>0</v>
      </c>
      <c r="E19" s="35">
        <f>_xlfn.XLOOKUP($B:$B,'Compilado 2023'!$B:$B,'Compilado 2023'!E:E)</f>
        <v>0</v>
      </c>
      <c r="F19" s="18">
        <f>_xlfn.XLOOKUP($B:$B,'Compilado 2023'!$B:$B,'Compilado 2023'!F:F)</f>
        <v>0</v>
      </c>
      <c r="G19" s="18">
        <f>_xlfn.XLOOKUP($B:$B,'Compilado 2023'!$B:$B,'Compilado 2023'!G:G)</f>
        <v>0</v>
      </c>
      <c r="H19" s="35">
        <f t="shared" si="4"/>
        <v>0</v>
      </c>
      <c r="I19" s="19">
        <f t="shared" ca="1" si="5"/>
        <v>51.612903225806448</v>
      </c>
      <c r="J19" s="122">
        <f t="shared" ca="1" si="1"/>
        <v>0</v>
      </c>
      <c r="K19" s="18">
        <f>_xlfn.XLOOKUP($B:$B,'Compilado 2023'!$B:$B,'Compilado 2023'!K:K)</f>
        <v>0</v>
      </c>
      <c r="L19" s="54">
        <f t="shared" si="2"/>
        <v>0</v>
      </c>
      <c r="M19" s="38"/>
      <c r="N19" s="106">
        <f>_xlfn.XLOOKUP($B:$B,'Compilado 2023'!$B:$B,'Compilado 2023'!N:N)</f>
        <v>0</v>
      </c>
      <c r="O19" s="106">
        <f>_xlfn.XLOOKUP($B:$B,'Compilado 2023'!$B:$B,'Compilado 2023'!O:O)</f>
        <v>0</v>
      </c>
      <c r="P19" s="106">
        <f>_xlfn.XLOOKUP($B:$B,'Compilado 2023'!$B:$B,'Compilado 2023'!P:P)</f>
        <v>0</v>
      </c>
      <c r="Q19" s="106">
        <f ca="1">_xlfn.XLOOKUP($B:$B,'Compilado 2023'!$B:$B,'Compilado 2023'!Q:Q)</f>
        <v>51.612903225806448</v>
      </c>
      <c r="R19" s="106">
        <f>_xlfn.XLOOKUP($B:$B,'Compilado 2023'!$B:$B,'Compilado 2023'!R:R)</f>
        <v>0</v>
      </c>
      <c r="S19" s="106">
        <f>_xlfn.XLOOKUP($B:$B,'Compilado 2023'!$B:$B,'Compilado 2023'!S:S)</f>
        <v>0</v>
      </c>
      <c r="T19" s="106">
        <f>_xlfn.XLOOKUP($B:$B,'Compilado 2023'!$B:$B,'Compilado 2023'!U:U)</f>
        <v>0</v>
      </c>
      <c r="U19" s="106">
        <f>_xlfn.XLOOKUP($B:$B,'Compilado 2023'!$B:$B,'Compilado 2023'!V:V)</f>
        <v>0</v>
      </c>
      <c r="V19" s="57"/>
      <c r="W19" s="106">
        <f>_xlfn.XLOOKUP($B:$B,'Compilado 2023'!$B:$B,'Compilado 2023'!X:X)</f>
        <v>0</v>
      </c>
      <c r="X19" s="106">
        <f>_xlfn.XLOOKUP($B:$B,'Compilado 2023'!$B:$B,'Compilado 2023'!Y:Y)</f>
        <v>0</v>
      </c>
      <c r="Y19" s="106">
        <f>_xlfn.XLOOKUP($B:$B,'Compilado 2023'!$B:$B,'Compilado 2023'!Z:Z)</f>
        <v>0</v>
      </c>
      <c r="Z19" s="38"/>
      <c r="AA19" s="107">
        <f>_xlfn.XLOOKUP($B:$B,'Compilado 2023'!$B:$B,'Compilado 2023'!AA:AA)</f>
        <v>0</v>
      </c>
    </row>
    <row r="20" spans="1:27" x14ac:dyDescent="0.2">
      <c r="A20" s="16" t="str">
        <f t="shared" si="0"/>
        <v>quinta-feira</v>
      </c>
      <c r="B20" s="17">
        <f t="shared" si="6"/>
        <v>45155</v>
      </c>
      <c r="C20" s="19">
        <f t="shared" si="3"/>
        <v>0</v>
      </c>
      <c r="D20" s="35">
        <f>_xlfn.XLOOKUP($B:$B,'Compilado 2023'!$B:$B,'Compilado 2023'!D:D)</f>
        <v>0</v>
      </c>
      <c r="E20" s="35">
        <f>_xlfn.XLOOKUP($B:$B,'Compilado 2023'!$B:$B,'Compilado 2023'!E:E)</f>
        <v>0</v>
      </c>
      <c r="F20" s="18">
        <f>_xlfn.XLOOKUP($B:$B,'Compilado 2023'!$B:$B,'Compilado 2023'!F:F)</f>
        <v>0</v>
      </c>
      <c r="G20" s="18">
        <f>_xlfn.XLOOKUP($B:$B,'Compilado 2023'!$B:$B,'Compilado 2023'!G:G)</f>
        <v>0</v>
      </c>
      <c r="H20" s="35">
        <f t="shared" si="4"/>
        <v>0</v>
      </c>
      <c r="I20" s="19">
        <f t="shared" ca="1" si="5"/>
        <v>51.612903225806448</v>
      </c>
      <c r="J20" s="122">
        <f t="shared" ca="1" si="1"/>
        <v>0</v>
      </c>
      <c r="K20" s="18">
        <f>_xlfn.XLOOKUP($B:$B,'Compilado 2023'!$B:$B,'Compilado 2023'!K:K)</f>
        <v>0</v>
      </c>
      <c r="L20" s="54">
        <f t="shared" si="2"/>
        <v>0</v>
      </c>
      <c r="M20" s="38"/>
      <c r="N20" s="106">
        <f>_xlfn.XLOOKUP($B:$B,'Compilado 2023'!$B:$B,'Compilado 2023'!N:N)</f>
        <v>0</v>
      </c>
      <c r="O20" s="106">
        <f>_xlfn.XLOOKUP($B:$B,'Compilado 2023'!$B:$B,'Compilado 2023'!O:O)</f>
        <v>0</v>
      </c>
      <c r="P20" s="106">
        <f>_xlfn.XLOOKUP($B:$B,'Compilado 2023'!$B:$B,'Compilado 2023'!P:P)</f>
        <v>0</v>
      </c>
      <c r="Q20" s="106">
        <f ca="1">_xlfn.XLOOKUP($B:$B,'Compilado 2023'!$B:$B,'Compilado 2023'!Q:Q)</f>
        <v>51.612903225806448</v>
      </c>
      <c r="R20" s="106">
        <f>_xlfn.XLOOKUP($B:$B,'Compilado 2023'!$B:$B,'Compilado 2023'!R:R)</f>
        <v>0</v>
      </c>
      <c r="S20" s="106">
        <f>_xlfn.XLOOKUP($B:$B,'Compilado 2023'!$B:$B,'Compilado 2023'!S:S)</f>
        <v>0</v>
      </c>
      <c r="T20" s="106">
        <f>_xlfn.XLOOKUP($B:$B,'Compilado 2023'!$B:$B,'Compilado 2023'!U:U)</f>
        <v>0</v>
      </c>
      <c r="U20" s="106">
        <f>_xlfn.XLOOKUP($B:$B,'Compilado 2023'!$B:$B,'Compilado 2023'!V:V)</f>
        <v>0</v>
      </c>
      <c r="V20" s="57"/>
      <c r="W20" s="106">
        <f>_xlfn.XLOOKUP($B:$B,'Compilado 2023'!$B:$B,'Compilado 2023'!X:X)</f>
        <v>0</v>
      </c>
      <c r="X20" s="106">
        <f>_xlfn.XLOOKUP($B:$B,'Compilado 2023'!$B:$B,'Compilado 2023'!Y:Y)</f>
        <v>0</v>
      </c>
      <c r="Y20" s="106">
        <f>_xlfn.XLOOKUP($B:$B,'Compilado 2023'!$B:$B,'Compilado 2023'!Z:Z)</f>
        <v>0</v>
      </c>
      <c r="Z20" s="38"/>
      <c r="AA20" s="107">
        <f>_xlfn.XLOOKUP($B:$B,'Compilado 2023'!$B:$B,'Compilado 2023'!AA:AA)</f>
        <v>0</v>
      </c>
    </row>
    <row r="21" spans="1:27" x14ac:dyDescent="0.2">
      <c r="A21" s="16" t="str">
        <f t="shared" si="0"/>
        <v>sexta-feira</v>
      </c>
      <c r="B21" s="17">
        <f t="shared" si="6"/>
        <v>45156</v>
      </c>
      <c r="C21" s="19">
        <f t="shared" si="3"/>
        <v>0</v>
      </c>
      <c r="D21" s="35">
        <f>_xlfn.XLOOKUP($B:$B,'Compilado 2023'!$B:$B,'Compilado 2023'!D:D)</f>
        <v>0</v>
      </c>
      <c r="E21" s="35">
        <f>_xlfn.XLOOKUP($B:$B,'Compilado 2023'!$B:$B,'Compilado 2023'!E:E)</f>
        <v>0</v>
      </c>
      <c r="F21" s="18">
        <f>_xlfn.XLOOKUP($B:$B,'Compilado 2023'!$B:$B,'Compilado 2023'!F:F)</f>
        <v>0</v>
      </c>
      <c r="G21" s="18">
        <f>_xlfn.XLOOKUP($B:$B,'Compilado 2023'!$B:$B,'Compilado 2023'!G:G)</f>
        <v>0</v>
      </c>
      <c r="H21" s="35">
        <f t="shared" si="4"/>
        <v>0</v>
      </c>
      <c r="I21" s="19">
        <f t="shared" ca="1" si="5"/>
        <v>51.612903225806448</v>
      </c>
      <c r="J21" s="122">
        <f t="shared" ca="1" si="1"/>
        <v>0</v>
      </c>
      <c r="K21" s="18">
        <f>_xlfn.XLOOKUP($B:$B,'Compilado 2023'!$B:$B,'Compilado 2023'!K:K)</f>
        <v>0</v>
      </c>
      <c r="L21" s="54">
        <f t="shared" si="2"/>
        <v>0</v>
      </c>
      <c r="M21" s="38"/>
      <c r="N21" s="106">
        <f>_xlfn.XLOOKUP($B:$B,'Compilado 2023'!$B:$B,'Compilado 2023'!N:N)</f>
        <v>0</v>
      </c>
      <c r="O21" s="106">
        <f>_xlfn.XLOOKUP($B:$B,'Compilado 2023'!$B:$B,'Compilado 2023'!O:O)</f>
        <v>0</v>
      </c>
      <c r="P21" s="106">
        <f>_xlfn.XLOOKUP($B:$B,'Compilado 2023'!$B:$B,'Compilado 2023'!P:P)</f>
        <v>0</v>
      </c>
      <c r="Q21" s="106">
        <f ca="1">_xlfn.XLOOKUP($B:$B,'Compilado 2023'!$B:$B,'Compilado 2023'!Q:Q)</f>
        <v>51.612903225806448</v>
      </c>
      <c r="R21" s="106">
        <f>_xlfn.XLOOKUP($B:$B,'Compilado 2023'!$B:$B,'Compilado 2023'!R:R)</f>
        <v>0</v>
      </c>
      <c r="S21" s="106">
        <f>_xlfn.XLOOKUP($B:$B,'Compilado 2023'!$B:$B,'Compilado 2023'!S:S)</f>
        <v>0</v>
      </c>
      <c r="T21" s="106">
        <f>_xlfn.XLOOKUP($B:$B,'Compilado 2023'!$B:$B,'Compilado 2023'!U:U)</f>
        <v>0</v>
      </c>
      <c r="U21" s="106">
        <f>_xlfn.XLOOKUP($B:$B,'Compilado 2023'!$B:$B,'Compilado 2023'!V:V)</f>
        <v>0</v>
      </c>
      <c r="V21" s="57"/>
      <c r="W21" s="106">
        <f>_xlfn.XLOOKUP($B:$B,'Compilado 2023'!$B:$B,'Compilado 2023'!X:X)</f>
        <v>0</v>
      </c>
      <c r="X21" s="106">
        <f>_xlfn.XLOOKUP($B:$B,'Compilado 2023'!$B:$B,'Compilado 2023'!Y:Y)</f>
        <v>0</v>
      </c>
      <c r="Y21" s="106">
        <f>_xlfn.XLOOKUP($B:$B,'Compilado 2023'!$B:$B,'Compilado 2023'!Z:Z)</f>
        <v>0</v>
      </c>
      <c r="Z21" s="38"/>
      <c r="AA21" s="107">
        <f>_xlfn.XLOOKUP($B:$B,'Compilado 2023'!$B:$B,'Compilado 2023'!AA:AA)</f>
        <v>0</v>
      </c>
    </row>
    <row r="22" spans="1:27" s="2" customFormat="1" x14ac:dyDescent="0.2">
      <c r="A22" s="16" t="str">
        <f t="shared" si="0"/>
        <v>sábado</v>
      </c>
      <c r="B22" s="17">
        <f t="shared" si="6"/>
        <v>45157</v>
      </c>
      <c r="C22" s="19">
        <f t="shared" si="3"/>
        <v>0</v>
      </c>
      <c r="D22" s="35">
        <f>_xlfn.XLOOKUP($B:$B,'Compilado 2023'!$B:$B,'Compilado 2023'!D:D)</f>
        <v>0</v>
      </c>
      <c r="E22" s="35">
        <f>_xlfn.XLOOKUP($B:$B,'Compilado 2023'!$B:$B,'Compilado 2023'!E:E)</f>
        <v>0</v>
      </c>
      <c r="F22" s="18">
        <f>_xlfn.XLOOKUP($B:$B,'Compilado 2023'!$B:$B,'Compilado 2023'!F:F)</f>
        <v>0</v>
      </c>
      <c r="G22" s="18">
        <f>_xlfn.XLOOKUP($B:$B,'Compilado 2023'!$B:$B,'Compilado 2023'!G:G)</f>
        <v>0</v>
      </c>
      <c r="H22" s="35">
        <f t="shared" si="4"/>
        <v>0</v>
      </c>
      <c r="I22" s="19">
        <f t="shared" ca="1" si="5"/>
        <v>51.612903225806448</v>
      </c>
      <c r="J22" s="122">
        <f t="shared" ca="1" si="1"/>
        <v>0</v>
      </c>
      <c r="K22" s="18">
        <f>_xlfn.XLOOKUP($B:$B,'Compilado 2023'!$B:$B,'Compilado 2023'!K:K)</f>
        <v>0</v>
      </c>
      <c r="L22" s="54">
        <f t="shared" si="2"/>
        <v>0</v>
      </c>
      <c r="M22" s="38"/>
      <c r="N22" s="106">
        <f>_xlfn.XLOOKUP($B:$B,'Compilado 2023'!$B:$B,'Compilado 2023'!N:N)</f>
        <v>0</v>
      </c>
      <c r="O22" s="106">
        <f>_xlfn.XLOOKUP($B:$B,'Compilado 2023'!$B:$B,'Compilado 2023'!O:O)</f>
        <v>0</v>
      </c>
      <c r="P22" s="106">
        <f>_xlfn.XLOOKUP($B:$B,'Compilado 2023'!$B:$B,'Compilado 2023'!P:P)</f>
        <v>0</v>
      </c>
      <c r="Q22" s="106">
        <f ca="1">_xlfn.XLOOKUP($B:$B,'Compilado 2023'!$B:$B,'Compilado 2023'!Q:Q)</f>
        <v>51.612903225806448</v>
      </c>
      <c r="R22" s="106">
        <f>_xlfn.XLOOKUP($B:$B,'Compilado 2023'!$B:$B,'Compilado 2023'!R:R)</f>
        <v>0</v>
      </c>
      <c r="S22" s="106">
        <f>_xlfn.XLOOKUP($B:$B,'Compilado 2023'!$B:$B,'Compilado 2023'!S:S)</f>
        <v>0</v>
      </c>
      <c r="T22" s="106">
        <f>_xlfn.XLOOKUP($B:$B,'Compilado 2023'!$B:$B,'Compilado 2023'!U:U)</f>
        <v>0</v>
      </c>
      <c r="U22" s="106">
        <f>_xlfn.XLOOKUP($B:$B,'Compilado 2023'!$B:$B,'Compilado 2023'!V:V)</f>
        <v>0</v>
      </c>
      <c r="V22" s="57"/>
      <c r="W22" s="106">
        <f>_xlfn.XLOOKUP($B:$B,'Compilado 2023'!$B:$B,'Compilado 2023'!X:X)</f>
        <v>0</v>
      </c>
      <c r="X22" s="106">
        <f>_xlfn.XLOOKUP($B:$B,'Compilado 2023'!$B:$B,'Compilado 2023'!Y:Y)</f>
        <v>0</v>
      </c>
      <c r="Y22" s="106">
        <f>_xlfn.XLOOKUP($B:$B,'Compilado 2023'!$B:$B,'Compilado 2023'!Z:Z)</f>
        <v>0</v>
      </c>
      <c r="Z22" s="38"/>
      <c r="AA22" s="107">
        <f>_xlfn.XLOOKUP($B:$B,'Compilado 2023'!$B:$B,'Compilado 2023'!AA:AA)</f>
        <v>0</v>
      </c>
    </row>
    <row r="23" spans="1:27" s="2" customFormat="1" x14ac:dyDescent="0.2">
      <c r="A23" s="16" t="str">
        <f t="shared" si="0"/>
        <v>domingo</v>
      </c>
      <c r="B23" s="17">
        <f t="shared" si="6"/>
        <v>45158</v>
      </c>
      <c r="C23" s="19">
        <f t="shared" si="3"/>
        <v>0</v>
      </c>
      <c r="D23" s="35">
        <f>_xlfn.XLOOKUP($B:$B,'Compilado 2023'!$B:$B,'Compilado 2023'!D:D)</f>
        <v>0</v>
      </c>
      <c r="E23" s="35">
        <f>_xlfn.XLOOKUP($B:$B,'Compilado 2023'!$B:$B,'Compilado 2023'!E:E)</f>
        <v>0</v>
      </c>
      <c r="F23" s="18">
        <f>_xlfn.XLOOKUP($B:$B,'Compilado 2023'!$B:$B,'Compilado 2023'!F:F)</f>
        <v>0</v>
      </c>
      <c r="G23" s="18">
        <f>_xlfn.XLOOKUP($B:$B,'Compilado 2023'!$B:$B,'Compilado 2023'!G:G)</f>
        <v>0</v>
      </c>
      <c r="H23" s="35">
        <f t="shared" si="4"/>
        <v>0</v>
      </c>
      <c r="I23" s="19">
        <f t="shared" ca="1" si="5"/>
        <v>51.612903225806448</v>
      </c>
      <c r="J23" s="122">
        <f t="shared" ca="1" si="1"/>
        <v>0</v>
      </c>
      <c r="K23" s="18">
        <f>_xlfn.XLOOKUP($B:$B,'Compilado 2023'!$B:$B,'Compilado 2023'!K:K)</f>
        <v>0</v>
      </c>
      <c r="L23" s="54">
        <f t="shared" si="2"/>
        <v>0</v>
      </c>
      <c r="M23" s="38"/>
      <c r="N23" s="106">
        <f>_xlfn.XLOOKUP($B:$B,'Compilado 2023'!$B:$B,'Compilado 2023'!N:N)</f>
        <v>0</v>
      </c>
      <c r="O23" s="106">
        <f>_xlfn.XLOOKUP($B:$B,'Compilado 2023'!$B:$B,'Compilado 2023'!O:O)</f>
        <v>0</v>
      </c>
      <c r="P23" s="106">
        <f>_xlfn.XLOOKUP($B:$B,'Compilado 2023'!$B:$B,'Compilado 2023'!P:P)</f>
        <v>0</v>
      </c>
      <c r="Q23" s="106">
        <f ca="1">_xlfn.XLOOKUP($B:$B,'Compilado 2023'!$B:$B,'Compilado 2023'!Q:Q)</f>
        <v>51.612903225806448</v>
      </c>
      <c r="R23" s="106">
        <f>_xlfn.XLOOKUP($B:$B,'Compilado 2023'!$B:$B,'Compilado 2023'!R:R)</f>
        <v>0</v>
      </c>
      <c r="S23" s="106">
        <f>_xlfn.XLOOKUP($B:$B,'Compilado 2023'!$B:$B,'Compilado 2023'!S:S)</f>
        <v>0</v>
      </c>
      <c r="T23" s="106">
        <f>_xlfn.XLOOKUP($B:$B,'Compilado 2023'!$B:$B,'Compilado 2023'!U:U)</f>
        <v>0</v>
      </c>
      <c r="U23" s="106">
        <f>_xlfn.XLOOKUP($B:$B,'Compilado 2023'!$B:$B,'Compilado 2023'!V:V)</f>
        <v>0</v>
      </c>
      <c r="V23" s="57"/>
      <c r="W23" s="106">
        <f>_xlfn.XLOOKUP($B:$B,'Compilado 2023'!$B:$B,'Compilado 2023'!X:X)</f>
        <v>0</v>
      </c>
      <c r="X23" s="106">
        <f>_xlfn.XLOOKUP($B:$B,'Compilado 2023'!$B:$B,'Compilado 2023'!Y:Y)</f>
        <v>0</v>
      </c>
      <c r="Y23" s="106">
        <f>_xlfn.XLOOKUP($B:$B,'Compilado 2023'!$B:$B,'Compilado 2023'!Z:Z)</f>
        <v>0</v>
      </c>
      <c r="Z23" s="38"/>
      <c r="AA23" s="107">
        <f>_xlfn.XLOOKUP($B:$B,'Compilado 2023'!$B:$B,'Compilado 2023'!AA:AA)</f>
        <v>0</v>
      </c>
    </row>
    <row r="24" spans="1:27" s="2" customFormat="1" x14ac:dyDescent="0.2">
      <c r="A24" s="16" t="str">
        <f t="shared" si="0"/>
        <v>segunda-feira</v>
      </c>
      <c r="B24" s="17">
        <f t="shared" si="6"/>
        <v>45159</v>
      </c>
      <c r="C24" s="19">
        <f t="shared" si="3"/>
        <v>0</v>
      </c>
      <c r="D24" s="35">
        <f>_xlfn.XLOOKUP($B:$B,'Compilado 2023'!$B:$B,'Compilado 2023'!D:D)</f>
        <v>0</v>
      </c>
      <c r="E24" s="35">
        <f>_xlfn.XLOOKUP($B:$B,'Compilado 2023'!$B:$B,'Compilado 2023'!E:E)</f>
        <v>0</v>
      </c>
      <c r="F24" s="18">
        <f>_xlfn.XLOOKUP($B:$B,'Compilado 2023'!$B:$B,'Compilado 2023'!F:F)</f>
        <v>0</v>
      </c>
      <c r="G24" s="18">
        <f>_xlfn.XLOOKUP($B:$B,'Compilado 2023'!$B:$B,'Compilado 2023'!G:G)</f>
        <v>0</v>
      </c>
      <c r="H24" s="35">
        <f t="shared" si="4"/>
        <v>0</v>
      </c>
      <c r="I24" s="19">
        <f t="shared" ca="1" si="5"/>
        <v>51.612903225806448</v>
      </c>
      <c r="J24" s="122">
        <f t="shared" ca="1" si="1"/>
        <v>0</v>
      </c>
      <c r="K24" s="18">
        <f>_xlfn.XLOOKUP($B:$B,'Compilado 2023'!$B:$B,'Compilado 2023'!K:K)</f>
        <v>0</v>
      </c>
      <c r="L24" s="54">
        <f t="shared" si="2"/>
        <v>0</v>
      </c>
      <c r="M24" s="38"/>
      <c r="N24" s="106">
        <f>_xlfn.XLOOKUP($B:$B,'Compilado 2023'!$B:$B,'Compilado 2023'!N:N)</f>
        <v>0</v>
      </c>
      <c r="O24" s="106">
        <f>_xlfn.XLOOKUP($B:$B,'Compilado 2023'!$B:$B,'Compilado 2023'!O:O)</f>
        <v>0</v>
      </c>
      <c r="P24" s="106">
        <f>_xlfn.XLOOKUP($B:$B,'Compilado 2023'!$B:$B,'Compilado 2023'!P:P)</f>
        <v>0</v>
      </c>
      <c r="Q24" s="106">
        <f ca="1">_xlfn.XLOOKUP($B:$B,'Compilado 2023'!$B:$B,'Compilado 2023'!Q:Q)</f>
        <v>51.612903225806448</v>
      </c>
      <c r="R24" s="106">
        <f>_xlfn.XLOOKUP($B:$B,'Compilado 2023'!$B:$B,'Compilado 2023'!R:R)</f>
        <v>0</v>
      </c>
      <c r="S24" s="106">
        <f>_xlfn.XLOOKUP($B:$B,'Compilado 2023'!$B:$B,'Compilado 2023'!S:S)</f>
        <v>0</v>
      </c>
      <c r="T24" s="106">
        <f>_xlfn.XLOOKUP($B:$B,'Compilado 2023'!$B:$B,'Compilado 2023'!U:U)</f>
        <v>0</v>
      </c>
      <c r="U24" s="106">
        <f>_xlfn.XLOOKUP($B:$B,'Compilado 2023'!$B:$B,'Compilado 2023'!V:V)</f>
        <v>0</v>
      </c>
      <c r="V24" s="57"/>
      <c r="W24" s="106">
        <f>_xlfn.XLOOKUP($B:$B,'Compilado 2023'!$B:$B,'Compilado 2023'!X:X)</f>
        <v>0</v>
      </c>
      <c r="X24" s="106">
        <f>_xlfn.XLOOKUP($B:$B,'Compilado 2023'!$B:$B,'Compilado 2023'!Y:Y)</f>
        <v>0</v>
      </c>
      <c r="Y24" s="106">
        <f>_xlfn.XLOOKUP($B:$B,'Compilado 2023'!$B:$B,'Compilado 2023'!Z:Z)</f>
        <v>0</v>
      </c>
      <c r="Z24" s="38"/>
      <c r="AA24" s="107">
        <f>_xlfn.XLOOKUP($B:$B,'Compilado 2023'!$B:$B,'Compilado 2023'!AA:AA)</f>
        <v>0</v>
      </c>
    </row>
    <row r="25" spans="1:27" s="2" customFormat="1" x14ac:dyDescent="0.2">
      <c r="A25" s="16" t="str">
        <f t="shared" si="0"/>
        <v>terça-feira</v>
      </c>
      <c r="B25" s="17">
        <f t="shared" si="6"/>
        <v>45160</v>
      </c>
      <c r="C25" s="19">
        <f t="shared" si="3"/>
        <v>0</v>
      </c>
      <c r="D25" s="35">
        <f>_xlfn.XLOOKUP($B:$B,'Compilado 2023'!$B:$B,'Compilado 2023'!D:D)</f>
        <v>0</v>
      </c>
      <c r="E25" s="35">
        <f>_xlfn.XLOOKUP($B:$B,'Compilado 2023'!$B:$B,'Compilado 2023'!E:E)</f>
        <v>0</v>
      </c>
      <c r="F25" s="18">
        <f>_xlfn.XLOOKUP($B:$B,'Compilado 2023'!$B:$B,'Compilado 2023'!F:F)</f>
        <v>0</v>
      </c>
      <c r="G25" s="18">
        <f>_xlfn.XLOOKUP($B:$B,'Compilado 2023'!$B:$B,'Compilado 2023'!G:G)</f>
        <v>0</v>
      </c>
      <c r="H25" s="35">
        <f t="shared" si="4"/>
        <v>0</v>
      </c>
      <c r="I25" s="19">
        <f t="shared" ca="1" si="5"/>
        <v>51.612903225806448</v>
      </c>
      <c r="J25" s="122">
        <f t="shared" ca="1" si="1"/>
        <v>0</v>
      </c>
      <c r="K25" s="18">
        <f>_xlfn.XLOOKUP($B:$B,'Compilado 2023'!$B:$B,'Compilado 2023'!K:K)</f>
        <v>0</v>
      </c>
      <c r="L25" s="54">
        <f t="shared" si="2"/>
        <v>0</v>
      </c>
      <c r="M25" s="38"/>
      <c r="N25" s="106">
        <f>_xlfn.XLOOKUP($B:$B,'Compilado 2023'!$B:$B,'Compilado 2023'!N:N)</f>
        <v>0</v>
      </c>
      <c r="O25" s="106">
        <f>_xlfn.XLOOKUP($B:$B,'Compilado 2023'!$B:$B,'Compilado 2023'!O:O)</f>
        <v>0</v>
      </c>
      <c r="P25" s="106">
        <f>_xlfn.XLOOKUP($B:$B,'Compilado 2023'!$B:$B,'Compilado 2023'!P:P)</f>
        <v>0</v>
      </c>
      <c r="Q25" s="106">
        <f ca="1">_xlfn.XLOOKUP($B:$B,'Compilado 2023'!$B:$B,'Compilado 2023'!Q:Q)</f>
        <v>51.612903225806448</v>
      </c>
      <c r="R25" s="106">
        <f>_xlfn.XLOOKUP($B:$B,'Compilado 2023'!$B:$B,'Compilado 2023'!R:R)</f>
        <v>0</v>
      </c>
      <c r="S25" s="106">
        <f>_xlfn.XLOOKUP($B:$B,'Compilado 2023'!$B:$B,'Compilado 2023'!S:S)</f>
        <v>0</v>
      </c>
      <c r="T25" s="106">
        <f>_xlfn.XLOOKUP($B:$B,'Compilado 2023'!$B:$B,'Compilado 2023'!U:U)</f>
        <v>0</v>
      </c>
      <c r="U25" s="106">
        <f>_xlfn.XLOOKUP($B:$B,'Compilado 2023'!$B:$B,'Compilado 2023'!V:V)</f>
        <v>0</v>
      </c>
      <c r="V25" s="57"/>
      <c r="W25" s="106">
        <f>_xlfn.XLOOKUP($B:$B,'Compilado 2023'!$B:$B,'Compilado 2023'!X:X)</f>
        <v>0</v>
      </c>
      <c r="X25" s="106">
        <f>_xlfn.XLOOKUP($B:$B,'Compilado 2023'!$B:$B,'Compilado 2023'!Y:Y)</f>
        <v>0</v>
      </c>
      <c r="Y25" s="106">
        <f>_xlfn.XLOOKUP($B:$B,'Compilado 2023'!$B:$B,'Compilado 2023'!Z:Z)</f>
        <v>0</v>
      </c>
      <c r="Z25" s="38"/>
      <c r="AA25" s="107">
        <f>_xlfn.XLOOKUP($B:$B,'Compilado 2023'!$B:$B,'Compilado 2023'!AA:AA)</f>
        <v>0</v>
      </c>
    </row>
    <row r="26" spans="1:27" s="2" customFormat="1" x14ac:dyDescent="0.2">
      <c r="A26" s="16" t="str">
        <f t="shared" si="0"/>
        <v>quarta-feira</v>
      </c>
      <c r="B26" s="17">
        <f t="shared" si="6"/>
        <v>45161</v>
      </c>
      <c r="C26" s="19">
        <f t="shared" si="3"/>
        <v>0</v>
      </c>
      <c r="D26" s="35">
        <f>_xlfn.XLOOKUP($B:$B,'Compilado 2023'!$B:$B,'Compilado 2023'!D:D)</f>
        <v>0</v>
      </c>
      <c r="E26" s="35">
        <f>_xlfn.XLOOKUP($B:$B,'Compilado 2023'!$B:$B,'Compilado 2023'!E:E)</f>
        <v>0</v>
      </c>
      <c r="F26" s="18">
        <f>_xlfn.XLOOKUP($B:$B,'Compilado 2023'!$B:$B,'Compilado 2023'!F:F)</f>
        <v>0</v>
      </c>
      <c r="G26" s="18">
        <f>_xlfn.XLOOKUP($B:$B,'Compilado 2023'!$B:$B,'Compilado 2023'!G:G)</f>
        <v>0</v>
      </c>
      <c r="H26" s="35">
        <f t="shared" si="4"/>
        <v>0</v>
      </c>
      <c r="I26" s="19">
        <f t="shared" ca="1" si="5"/>
        <v>51.612903225806448</v>
      </c>
      <c r="J26" s="122">
        <f t="shared" ca="1" si="1"/>
        <v>0</v>
      </c>
      <c r="K26" s="18">
        <f>_xlfn.XLOOKUP($B:$B,'Compilado 2023'!$B:$B,'Compilado 2023'!K:K)</f>
        <v>0</v>
      </c>
      <c r="L26" s="54">
        <f t="shared" si="2"/>
        <v>0</v>
      </c>
      <c r="M26" s="38"/>
      <c r="N26" s="106">
        <f>_xlfn.XLOOKUP($B:$B,'Compilado 2023'!$B:$B,'Compilado 2023'!N:N)</f>
        <v>0</v>
      </c>
      <c r="O26" s="106">
        <f>_xlfn.XLOOKUP($B:$B,'Compilado 2023'!$B:$B,'Compilado 2023'!O:O)</f>
        <v>0</v>
      </c>
      <c r="P26" s="106">
        <f>_xlfn.XLOOKUP($B:$B,'Compilado 2023'!$B:$B,'Compilado 2023'!P:P)</f>
        <v>0</v>
      </c>
      <c r="Q26" s="106">
        <f ca="1">_xlfn.XLOOKUP($B:$B,'Compilado 2023'!$B:$B,'Compilado 2023'!Q:Q)</f>
        <v>51.612903225806448</v>
      </c>
      <c r="R26" s="106">
        <f>_xlfn.XLOOKUP($B:$B,'Compilado 2023'!$B:$B,'Compilado 2023'!R:R)</f>
        <v>0</v>
      </c>
      <c r="S26" s="106">
        <f>_xlfn.XLOOKUP($B:$B,'Compilado 2023'!$B:$B,'Compilado 2023'!S:S)</f>
        <v>0</v>
      </c>
      <c r="T26" s="106">
        <f>_xlfn.XLOOKUP($B:$B,'Compilado 2023'!$B:$B,'Compilado 2023'!U:U)</f>
        <v>0</v>
      </c>
      <c r="U26" s="106">
        <f>_xlfn.XLOOKUP($B:$B,'Compilado 2023'!$B:$B,'Compilado 2023'!V:V)</f>
        <v>0</v>
      </c>
      <c r="V26" s="57"/>
      <c r="W26" s="106">
        <f>_xlfn.XLOOKUP($B:$B,'Compilado 2023'!$B:$B,'Compilado 2023'!X:X)</f>
        <v>0</v>
      </c>
      <c r="X26" s="106">
        <f>_xlfn.XLOOKUP($B:$B,'Compilado 2023'!$B:$B,'Compilado 2023'!Y:Y)</f>
        <v>0</v>
      </c>
      <c r="Y26" s="106">
        <f>_xlfn.XLOOKUP($B:$B,'Compilado 2023'!$B:$B,'Compilado 2023'!Z:Z)</f>
        <v>0</v>
      </c>
      <c r="Z26" s="38"/>
      <c r="AA26" s="107">
        <f>_xlfn.XLOOKUP($B:$B,'Compilado 2023'!$B:$B,'Compilado 2023'!AA:AA)</f>
        <v>0</v>
      </c>
    </row>
    <row r="27" spans="1:27" x14ac:dyDescent="0.2">
      <c r="A27" s="16" t="str">
        <f t="shared" si="0"/>
        <v>quinta-feira</v>
      </c>
      <c r="B27" s="17">
        <f t="shared" si="6"/>
        <v>45162</v>
      </c>
      <c r="C27" s="19">
        <f t="shared" si="3"/>
        <v>0</v>
      </c>
      <c r="D27" s="35">
        <f>_xlfn.XLOOKUP($B:$B,'Compilado 2023'!$B:$B,'Compilado 2023'!D:D)</f>
        <v>0</v>
      </c>
      <c r="E27" s="35">
        <f>_xlfn.XLOOKUP($B:$B,'Compilado 2023'!$B:$B,'Compilado 2023'!E:E)</f>
        <v>0</v>
      </c>
      <c r="F27" s="18">
        <f>_xlfn.XLOOKUP($B:$B,'Compilado 2023'!$B:$B,'Compilado 2023'!F:F)</f>
        <v>0</v>
      </c>
      <c r="G27" s="18">
        <f>_xlfn.XLOOKUP($B:$B,'Compilado 2023'!$B:$B,'Compilado 2023'!G:G)</f>
        <v>0</v>
      </c>
      <c r="H27" s="35">
        <f t="shared" si="4"/>
        <v>0</v>
      </c>
      <c r="I27" s="19">
        <f t="shared" ca="1" si="5"/>
        <v>51.612903225806448</v>
      </c>
      <c r="J27" s="122">
        <f t="shared" ca="1" si="1"/>
        <v>0</v>
      </c>
      <c r="K27" s="18">
        <f>_xlfn.XLOOKUP($B:$B,'Compilado 2023'!$B:$B,'Compilado 2023'!K:K)</f>
        <v>0</v>
      </c>
      <c r="L27" s="54">
        <f t="shared" si="2"/>
        <v>0</v>
      </c>
      <c r="M27" s="38"/>
      <c r="N27" s="106">
        <f>_xlfn.XLOOKUP($B:$B,'Compilado 2023'!$B:$B,'Compilado 2023'!N:N)</f>
        <v>0</v>
      </c>
      <c r="O27" s="106">
        <f>_xlfn.XLOOKUP($B:$B,'Compilado 2023'!$B:$B,'Compilado 2023'!O:O)</f>
        <v>0</v>
      </c>
      <c r="P27" s="106">
        <f>_xlfn.XLOOKUP($B:$B,'Compilado 2023'!$B:$B,'Compilado 2023'!P:P)</f>
        <v>0</v>
      </c>
      <c r="Q27" s="106">
        <f ca="1">_xlfn.XLOOKUP($B:$B,'Compilado 2023'!$B:$B,'Compilado 2023'!Q:Q)</f>
        <v>51.612903225806448</v>
      </c>
      <c r="R27" s="106">
        <f>_xlfn.XLOOKUP($B:$B,'Compilado 2023'!$B:$B,'Compilado 2023'!R:R)</f>
        <v>0</v>
      </c>
      <c r="S27" s="106">
        <f>_xlfn.XLOOKUP($B:$B,'Compilado 2023'!$B:$B,'Compilado 2023'!S:S)</f>
        <v>0</v>
      </c>
      <c r="T27" s="106">
        <f>_xlfn.XLOOKUP($B:$B,'Compilado 2023'!$B:$B,'Compilado 2023'!U:U)</f>
        <v>0</v>
      </c>
      <c r="U27" s="106">
        <f>_xlfn.XLOOKUP($B:$B,'Compilado 2023'!$B:$B,'Compilado 2023'!V:V)</f>
        <v>0</v>
      </c>
      <c r="V27" s="57"/>
      <c r="W27" s="106">
        <f>_xlfn.XLOOKUP($B:$B,'Compilado 2023'!$B:$B,'Compilado 2023'!X:X)</f>
        <v>0</v>
      </c>
      <c r="X27" s="106">
        <f>_xlfn.XLOOKUP($B:$B,'Compilado 2023'!$B:$B,'Compilado 2023'!Y:Y)</f>
        <v>0</v>
      </c>
      <c r="Y27" s="106">
        <f>_xlfn.XLOOKUP($B:$B,'Compilado 2023'!$B:$B,'Compilado 2023'!Z:Z)</f>
        <v>0</v>
      </c>
      <c r="Z27" s="38"/>
      <c r="AA27" s="107">
        <f>_xlfn.XLOOKUP($B:$B,'Compilado 2023'!$B:$B,'Compilado 2023'!AA:AA)</f>
        <v>0</v>
      </c>
    </row>
    <row r="28" spans="1:27" x14ac:dyDescent="0.2">
      <c r="A28" s="16" t="str">
        <f t="shared" si="0"/>
        <v>sexta-feira</v>
      </c>
      <c r="B28" s="17">
        <f t="shared" si="6"/>
        <v>45163</v>
      </c>
      <c r="C28" s="19">
        <f t="shared" si="3"/>
        <v>0</v>
      </c>
      <c r="D28" s="35">
        <f>_xlfn.XLOOKUP($B:$B,'Compilado 2023'!$B:$B,'Compilado 2023'!D:D)</f>
        <v>0</v>
      </c>
      <c r="E28" s="35">
        <f>_xlfn.XLOOKUP($B:$B,'Compilado 2023'!$B:$B,'Compilado 2023'!E:E)</f>
        <v>0</v>
      </c>
      <c r="F28" s="18">
        <f>_xlfn.XLOOKUP($B:$B,'Compilado 2023'!$B:$B,'Compilado 2023'!F:F)</f>
        <v>0</v>
      </c>
      <c r="G28" s="18">
        <f>_xlfn.XLOOKUP($B:$B,'Compilado 2023'!$B:$B,'Compilado 2023'!G:G)</f>
        <v>0</v>
      </c>
      <c r="H28" s="35">
        <f t="shared" si="4"/>
        <v>0</v>
      </c>
      <c r="I28" s="19">
        <f t="shared" ca="1" si="5"/>
        <v>51.612903225806448</v>
      </c>
      <c r="J28" s="122">
        <f t="shared" ca="1" si="1"/>
        <v>0</v>
      </c>
      <c r="K28" s="18">
        <f>_xlfn.XLOOKUP($B:$B,'Compilado 2023'!$B:$B,'Compilado 2023'!K:K)</f>
        <v>0</v>
      </c>
      <c r="L28" s="54">
        <f t="shared" si="2"/>
        <v>0</v>
      </c>
      <c r="M28" s="38"/>
      <c r="N28" s="106">
        <f>_xlfn.XLOOKUP($B:$B,'Compilado 2023'!$B:$B,'Compilado 2023'!N:N)</f>
        <v>0</v>
      </c>
      <c r="O28" s="106">
        <f>_xlfn.XLOOKUP($B:$B,'Compilado 2023'!$B:$B,'Compilado 2023'!O:O)</f>
        <v>0</v>
      </c>
      <c r="P28" s="106">
        <f>_xlfn.XLOOKUP($B:$B,'Compilado 2023'!$B:$B,'Compilado 2023'!P:P)</f>
        <v>0</v>
      </c>
      <c r="Q28" s="106">
        <f ca="1">_xlfn.XLOOKUP($B:$B,'Compilado 2023'!$B:$B,'Compilado 2023'!Q:Q)</f>
        <v>51.612903225806448</v>
      </c>
      <c r="R28" s="106">
        <f>_xlfn.XLOOKUP($B:$B,'Compilado 2023'!$B:$B,'Compilado 2023'!R:R)</f>
        <v>0</v>
      </c>
      <c r="S28" s="106">
        <f>_xlfn.XLOOKUP($B:$B,'Compilado 2023'!$B:$B,'Compilado 2023'!S:S)</f>
        <v>0</v>
      </c>
      <c r="T28" s="106">
        <f>_xlfn.XLOOKUP($B:$B,'Compilado 2023'!$B:$B,'Compilado 2023'!U:U)</f>
        <v>0</v>
      </c>
      <c r="U28" s="106">
        <f>_xlfn.XLOOKUP($B:$B,'Compilado 2023'!$B:$B,'Compilado 2023'!V:V)</f>
        <v>0</v>
      </c>
      <c r="V28" s="57"/>
      <c r="W28" s="106">
        <f>_xlfn.XLOOKUP($B:$B,'Compilado 2023'!$B:$B,'Compilado 2023'!X:X)</f>
        <v>0</v>
      </c>
      <c r="X28" s="106">
        <f>_xlfn.XLOOKUP($B:$B,'Compilado 2023'!$B:$B,'Compilado 2023'!Y:Y)</f>
        <v>0</v>
      </c>
      <c r="Y28" s="106">
        <f>_xlfn.XLOOKUP($B:$B,'Compilado 2023'!$B:$B,'Compilado 2023'!Z:Z)</f>
        <v>0</v>
      </c>
      <c r="Z28" s="38"/>
      <c r="AA28" s="107">
        <f>_xlfn.XLOOKUP($B:$B,'Compilado 2023'!$B:$B,'Compilado 2023'!AA:AA)</f>
        <v>0</v>
      </c>
    </row>
    <row r="29" spans="1:27" s="2" customFormat="1" x14ac:dyDescent="0.2">
      <c r="A29" s="16" t="str">
        <f t="shared" si="0"/>
        <v>sábado</v>
      </c>
      <c r="B29" s="17">
        <f t="shared" si="6"/>
        <v>45164</v>
      </c>
      <c r="C29" s="19">
        <f t="shared" si="3"/>
        <v>0</v>
      </c>
      <c r="D29" s="35">
        <f>_xlfn.XLOOKUP($B:$B,'Compilado 2023'!$B:$B,'Compilado 2023'!D:D)</f>
        <v>0</v>
      </c>
      <c r="E29" s="35">
        <f>_xlfn.XLOOKUP($B:$B,'Compilado 2023'!$B:$B,'Compilado 2023'!E:E)</f>
        <v>0</v>
      </c>
      <c r="F29" s="18">
        <f>_xlfn.XLOOKUP($B:$B,'Compilado 2023'!$B:$B,'Compilado 2023'!F:F)</f>
        <v>0</v>
      </c>
      <c r="G29" s="18">
        <f>_xlfn.XLOOKUP($B:$B,'Compilado 2023'!$B:$B,'Compilado 2023'!G:G)</f>
        <v>0</v>
      </c>
      <c r="H29" s="35">
        <f t="shared" si="4"/>
        <v>0</v>
      </c>
      <c r="I29" s="19">
        <f t="shared" ca="1" si="5"/>
        <v>51.612903225806448</v>
      </c>
      <c r="J29" s="122">
        <f t="shared" ca="1" si="1"/>
        <v>0</v>
      </c>
      <c r="K29" s="18">
        <f>_xlfn.XLOOKUP($B:$B,'Compilado 2023'!$B:$B,'Compilado 2023'!K:K)</f>
        <v>0</v>
      </c>
      <c r="L29" s="54">
        <f t="shared" si="2"/>
        <v>0</v>
      </c>
      <c r="M29" s="38"/>
      <c r="N29" s="106">
        <f>_xlfn.XLOOKUP($B:$B,'Compilado 2023'!$B:$B,'Compilado 2023'!N:N)</f>
        <v>0</v>
      </c>
      <c r="O29" s="106">
        <f>_xlfn.XLOOKUP($B:$B,'Compilado 2023'!$B:$B,'Compilado 2023'!O:O)</f>
        <v>0</v>
      </c>
      <c r="P29" s="106">
        <f>_xlfn.XLOOKUP($B:$B,'Compilado 2023'!$B:$B,'Compilado 2023'!P:P)</f>
        <v>0</v>
      </c>
      <c r="Q29" s="106">
        <f ca="1">_xlfn.XLOOKUP($B:$B,'Compilado 2023'!$B:$B,'Compilado 2023'!Q:Q)</f>
        <v>51.612903225806448</v>
      </c>
      <c r="R29" s="106">
        <f>_xlfn.XLOOKUP($B:$B,'Compilado 2023'!$B:$B,'Compilado 2023'!R:R)</f>
        <v>0</v>
      </c>
      <c r="S29" s="106">
        <f>_xlfn.XLOOKUP($B:$B,'Compilado 2023'!$B:$B,'Compilado 2023'!S:S)</f>
        <v>0</v>
      </c>
      <c r="T29" s="106">
        <f>_xlfn.XLOOKUP($B:$B,'Compilado 2023'!$B:$B,'Compilado 2023'!U:U)</f>
        <v>0</v>
      </c>
      <c r="U29" s="106">
        <f>_xlfn.XLOOKUP($B:$B,'Compilado 2023'!$B:$B,'Compilado 2023'!V:V)</f>
        <v>0</v>
      </c>
      <c r="V29" s="57"/>
      <c r="W29" s="106">
        <f>_xlfn.XLOOKUP($B:$B,'Compilado 2023'!$B:$B,'Compilado 2023'!X:X)</f>
        <v>0</v>
      </c>
      <c r="X29" s="106">
        <f>_xlfn.XLOOKUP($B:$B,'Compilado 2023'!$B:$B,'Compilado 2023'!Y:Y)</f>
        <v>0</v>
      </c>
      <c r="Y29" s="106">
        <f>_xlfn.XLOOKUP($B:$B,'Compilado 2023'!$B:$B,'Compilado 2023'!Z:Z)</f>
        <v>0</v>
      </c>
      <c r="Z29" s="38"/>
      <c r="AA29" s="107">
        <f>_xlfn.XLOOKUP($B:$B,'Compilado 2023'!$B:$B,'Compilado 2023'!AA:AA)</f>
        <v>0</v>
      </c>
    </row>
    <row r="30" spans="1:27" s="2" customFormat="1" x14ac:dyDescent="0.2">
      <c r="A30" s="16" t="str">
        <f t="shared" si="0"/>
        <v>domingo</v>
      </c>
      <c r="B30" s="17">
        <f t="shared" si="6"/>
        <v>45165</v>
      </c>
      <c r="C30" s="19">
        <f t="shared" si="3"/>
        <v>0</v>
      </c>
      <c r="D30" s="35">
        <f>_xlfn.XLOOKUP($B:$B,'Compilado 2023'!$B:$B,'Compilado 2023'!D:D)</f>
        <v>0</v>
      </c>
      <c r="E30" s="35">
        <f>_xlfn.XLOOKUP($B:$B,'Compilado 2023'!$B:$B,'Compilado 2023'!E:E)</f>
        <v>0</v>
      </c>
      <c r="F30" s="18">
        <f>_xlfn.XLOOKUP($B:$B,'Compilado 2023'!$B:$B,'Compilado 2023'!F:F)</f>
        <v>0</v>
      </c>
      <c r="G30" s="18">
        <f>_xlfn.XLOOKUP($B:$B,'Compilado 2023'!$B:$B,'Compilado 2023'!G:G)</f>
        <v>0</v>
      </c>
      <c r="H30" s="35">
        <f t="shared" si="4"/>
        <v>0</v>
      </c>
      <c r="I30" s="19">
        <f t="shared" ca="1" si="5"/>
        <v>51.612903225806448</v>
      </c>
      <c r="J30" s="122">
        <f t="shared" ca="1" si="1"/>
        <v>0</v>
      </c>
      <c r="K30" s="18">
        <f>_xlfn.XLOOKUP($B:$B,'Compilado 2023'!$B:$B,'Compilado 2023'!K:K)</f>
        <v>0</v>
      </c>
      <c r="L30" s="54">
        <f t="shared" si="2"/>
        <v>0</v>
      </c>
      <c r="M30" s="38"/>
      <c r="N30" s="106">
        <f>_xlfn.XLOOKUP($B:$B,'Compilado 2023'!$B:$B,'Compilado 2023'!N:N)</f>
        <v>0</v>
      </c>
      <c r="O30" s="106">
        <f>_xlfn.XLOOKUP($B:$B,'Compilado 2023'!$B:$B,'Compilado 2023'!O:O)</f>
        <v>0</v>
      </c>
      <c r="P30" s="106">
        <f>_xlfn.XLOOKUP($B:$B,'Compilado 2023'!$B:$B,'Compilado 2023'!P:P)</f>
        <v>0</v>
      </c>
      <c r="Q30" s="106">
        <f ca="1">_xlfn.XLOOKUP($B:$B,'Compilado 2023'!$B:$B,'Compilado 2023'!Q:Q)</f>
        <v>51.612903225806448</v>
      </c>
      <c r="R30" s="106">
        <f>_xlfn.XLOOKUP($B:$B,'Compilado 2023'!$B:$B,'Compilado 2023'!R:R)</f>
        <v>0</v>
      </c>
      <c r="S30" s="106">
        <f>_xlfn.XLOOKUP($B:$B,'Compilado 2023'!$B:$B,'Compilado 2023'!S:S)</f>
        <v>0</v>
      </c>
      <c r="T30" s="106">
        <f>_xlfn.XLOOKUP($B:$B,'Compilado 2023'!$B:$B,'Compilado 2023'!U:U)</f>
        <v>0</v>
      </c>
      <c r="U30" s="106">
        <f>_xlfn.XLOOKUP($B:$B,'Compilado 2023'!$B:$B,'Compilado 2023'!V:V)</f>
        <v>0</v>
      </c>
      <c r="V30" s="57"/>
      <c r="W30" s="106">
        <f>_xlfn.XLOOKUP($B:$B,'Compilado 2023'!$B:$B,'Compilado 2023'!X:X)</f>
        <v>0</v>
      </c>
      <c r="X30" s="106">
        <f>_xlfn.XLOOKUP($B:$B,'Compilado 2023'!$B:$B,'Compilado 2023'!Y:Y)</f>
        <v>0</v>
      </c>
      <c r="Y30" s="106">
        <f>_xlfn.XLOOKUP($B:$B,'Compilado 2023'!$B:$B,'Compilado 2023'!Z:Z)</f>
        <v>0</v>
      </c>
      <c r="Z30" s="38"/>
      <c r="AA30" s="107">
        <f>_xlfn.XLOOKUP($B:$B,'Compilado 2023'!$B:$B,'Compilado 2023'!AA:AA)</f>
        <v>0</v>
      </c>
    </row>
    <row r="31" spans="1:27" s="2" customFormat="1" x14ac:dyDescent="0.2">
      <c r="A31" s="16" t="str">
        <f t="shared" si="0"/>
        <v>segunda-feira</v>
      </c>
      <c r="B31" s="17">
        <f t="shared" si="6"/>
        <v>45166</v>
      </c>
      <c r="C31" s="19">
        <f t="shared" si="3"/>
        <v>0</v>
      </c>
      <c r="D31" s="35">
        <f>_xlfn.XLOOKUP($B:$B,'Compilado 2023'!$B:$B,'Compilado 2023'!D:D)</f>
        <v>0</v>
      </c>
      <c r="E31" s="35">
        <f>_xlfn.XLOOKUP($B:$B,'Compilado 2023'!$B:$B,'Compilado 2023'!E:E)</f>
        <v>0</v>
      </c>
      <c r="F31" s="18">
        <f>_xlfn.XLOOKUP($B:$B,'Compilado 2023'!$B:$B,'Compilado 2023'!F:F)</f>
        <v>0</v>
      </c>
      <c r="G31" s="18">
        <f>_xlfn.XLOOKUP($B:$B,'Compilado 2023'!$B:$B,'Compilado 2023'!G:G)</f>
        <v>0</v>
      </c>
      <c r="H31" s="35">
        <f t="shared" si="4"/>
        <v>0</v>
      </c>
      <c r="I31" s="19">
        <f t="shared" ca="1" si="5"/>
        <v>51.612903225806448</v>
      </c>
      <c r="J31" s="122">
        <f t="shared" ca="1" si="1"/>
        <v>0</v>
      </c>
      <c r="K31" s="18">
        <f>_xlfn.XLOOKUP($B:$B,'Compilado 2023'!$B:$B,'Compilado 2023'!K:K)</f>
        <v>0</v>
      </c>
      <c r="L31" s="54">
        <f t="shared" si="2"/>
        <v>0</v>
      </c>
      <c r="M31" s="38"/>
      <c r="N31" s="106">
        <f>_xlfn.XLOOKUP($B:$B,'Compilado 2023'!$B:$B,'Compilado 2023'!N:N)</f>
        <v>0</v>
      </c>
      <c r="O31" s="106">
        <f>_xlfn.XLOOKUP($B:$B,'Compilado 2023'!$B:$B,'Compilado 2023'!O:O)</f>
        <v>0</v>
      </c>
      <c r="P31" s="106">
        <f>_xlfn.XLOOKUP($B:$B,'Compilado 2023'!$B:$B,'Compilado 2023'!P:P)</f>
        <v>0</v>
      </c>
      <c r="Q31" s="106">
        <f ca="1">_xlfn.XLOOKUP($B:$B,'Compilado 2023'!$B:$B,'Compilado 2023'!Q:Q)</f>
        <v>51.612903225806448</v>
      </c>
      <c r="R31" s="106">
        <f>_xlfn.XLOOKUP($B:$B,'Compilado 2023'!$B:$B,'Compilado 2023'!R:R)</f>
        <v>0</v>
      </c>
      <c r="S31" s="106">
        <f>_xlfn.XLOOKUP($B:$B,'Compilado 2023'!$B:$B,'Compilado 2023'!S:S)</f>
        <v>0</v>
      </c>
      <c r="T31" s="106">
        <f>_xlfn.XLOOKUP($B:$B,'Compilado 2023'!$B:$B,'Compilado 2023'!U:U)</f>
        <v>0</v>
      </c>
      <c r="U31" s="106">
        <f>_xlfn.XLOOKUP($B:$B,'Compilado 2023'!$B:$B,'Compilado 2023'!V:V)</f>
        <v>0</v>
      </c>
      <c r="V31" s="57"/>
      <c r="W31" s="106">
        <f>_xlfn.XLOOKUP($B:$B,'Compilado 2023'!$B:$B,'Compilado 2023'!X:X)</f>
        <v>0</v>
      </c>
      <c r="X31" s="106">
        <f>_xlfn.XLOOKUP($B:$B,'Compilado 2023'!$B:$B,'Compilado 2023'!Y:Y)</f>
        <v>0</v>
      </c>
      <c r="Y31" s="106">
        <f>_xlfn.XLOOKUP($B:$B,'Compilado 2023'!$B:$B,'Compilado 2023'!Z:Z)</f>
        <v>0</v>
      </c>
      <c r="Z31" s="38"/>
      <c r="AA31" s="107">
        <f>_xlfn.XLOOKUP($B:$B,'Compilado 2023'!$B:$B,'Compilado 2023'!AA:AA)</f>
        <v>0</v>
      </c>
    </row>
    <row r="32" spans="1:27" s="2" customFormat="1" x14ac:dyDescent="0.2">
      <c r="A32" s="16" t="str">
        <f t="shared" si="0"/>
        <v>terça-feira</v>
      </c>
      <c r="B32" s="17">
        <f t="shared" si="6"/>
        <v>45167</v>
      </c>
      <c r="C32" s="19">
        <f t="shared" si="3"/>
        <v>0</v>
      </c>
      <c r="D32" s="35">
        <f>_xlfn.XLOOKUP($B:$B,'Compilado 2023'!$B:$B,'Compilado 2023'!D:D)</f>
        <v>0</v>
      </c>
      <c r="E32" s="35">
        <f>_xlfn.XLOOKUP($B:$B,'Compilado 2023'!$B:$B,'Compilado 2023'!E:E)</f>
        <v>0</v>
      </c>
      <c r="F32" s="18">
        <f>_xlfn.XLOOKUP($B:$B,'Compilado 2023'!$B:$B,'Compilado 2023'!F:F)</f>
        <v>0</v>
      </c>
      <c r="G32" s="18">
        <f>_xlfn.XLOOKUP($B:$B,'Compilado 2023'!$B:$B,'Compilado 2023'!G:G)</f>
        <v>0</v>
      </c>
      <c r="H32" s="35">
        <f t="shared" si="4"/>
        <v>0</v>
      </c>
      <c r="I32" s="19">
        <f t="shared" ca="1" si="5"/>
        <v>51.612903225806448</v>
      </c>
      <c r="J32" s="122">
        <f t="shared" ca="1" si="1"/>
        <v>0</v>
      </c>
      <c r="K32" s="18">
        <f>_xlfn.XLOOKUP($B:$B,'Compilado 2023'!$B:$B,'Compilado 2023'!K:K)</f>
        <v>0</v>
      </c>
      <c r="L32" s="54">
        <f t="shared" si="2"/>
        <v>0</v>
      </c>
      <c r="M32" s="38"/>
      <c r="N32" s="106">
        <f>_xlfn.XLOOKUP($B:$B,'Compilado 2023'!$B:$B,'Compilado 2023'!N:N)</f>
        <v>0</v>
      </c>
      <c r="O32" s="106">
        <f>_xlfn.XLOOKUP($B:$B,'Compilado 2023'!$B:$B,'Compilado 2023'!O:O)</f>
        <v>0</v>
      </c>
      <c r="P32" s="106">
        <f>_xlfn.XLOOKUP($B:$B,'Compilado 2023'!$B:$B,'Compilado 2023'!P:P)</f>
        <v>0</v>
      </c>
      <c r="Q32" s="106">
        <f ca="1">_xlfn.XLOOKUP($B:$B,'Compilado 2023'!$B:$B,'Compilado 2023'!Q:Q)</f>
        <v>51.612903225806448</v>
      </c>
      <c r="R32" s="106">
        <f>_xlfn.XLOOKUP($B:$B,'Compilado 2023'!$B:$B,'Compilado 2023'!R:R)</f>
        <v>0</v>
      </c>
      <c r="S32" s="106">
        <f>_xlfn.XLOOKUP($B:$B,'Compilado 2023'!$B:$B,'Compilado 2023'!S:S)</f>
        <v>0</v>
      </c>
      <c r="T32" s="106">
        <f>_xlfn.XLOOKUP($B:$B,'Compilado 2023'!$B:$B,'Compilado 2023'!U:U)</f>
        <v>0</v>
      </c>
      <c r="U32" s="106">
        <f>_xlfn.XLOOKUP($B:$B,'Compilado 2023'!$B:$B,'Compilado 2023'!V:V)</f>
        <v>0</v>
      </c>
      <c r="V32" s="57"/>
      <c r="W32" s="106">
        <f>_xlfn.XLOOKUP($B:$B,'Compilado 2023'!$B:$B,'Compilado 2023'!X:X)</f>
        <v>0</v>
      </c>
      <c r="X32" s="106">
        <f>_xlfn.XLOOKUP($B:$B,'Compilado 2023'!$B:$B,'Compilado 2023'!Y:Y)</f>
        <v>0</v>
      </c>
      <c r="Y32" s="106">
        <f>_xlfn.XLOOKUP($B:$B,'Compilado 2023'!$B:$B,'Compilado 2023'!Z:Z)</f>
        <v>0</v>
      </c>
      <c r="Z32" s="38"/>
      <c r="AA32" s="107">
        <f>_xlfn.XLOOKUP($B:$B,'Compilado 2023'!$B:$B,'Compilado 2023'!AA:AA)</f>
        <v>0</v>
      </c>
    </row>
    <row r="33" spans="1:27" s="2" customFormat="1" x14ac:dyDescent="0.2">
      <c r="A33" s="16" t="str">
        <f t="shared" si="0"/>
        <v>quarta-feira</v>
      </c>
      <c r="B33" s="17">
        <f t="shared" si="6"/>
        <v>45168</v>
      </c>
      <c r="C33" s="19">
        <f t="shared" si="3"/>
        <v>0</v>
      </c>
      <c r="D33" s="35">
        <f>_xlfn.XLOOKUP($B:$B,'Compilado 2023'!$B:$B,'Compilado 2023'!D:D)</f>
        <v>0</v>
      </c>
      <c r="E33" s="35">
        <f>_xlfn.XLOOKUP($B:$B,'Compilado 2023'!$B:$B,'Compilado 2023'!E:E)</f>
        <v>0</v>
      </c>
      <c r="F33" s="18">
        <f>_xlfn.XLOOKUP($B:$B,'Compilado 2023'!$B:$B,'Compilado 2023'!F:F)</f>
        <v>0</v>
      </c>
      <c r="G33" s="18">
        <f>_xlfn.XLOOKUP($B:$B,'Compilado 2023'!$B:$B,'Compilado 2023'!G:G)</f>
        <v>0</v>
      </c>
      <c r="H33" s="35">
        <f t="shared" si="4"/>
        <v>0</v>
      </c>
      <c r="I33" s="19">
        <f t="shared" ca="1" si="5"/>
        <v>51.612903225806448</v>
      </c>
      <c r="J33" s="122">
        <f t="shared" ca="1" si="1"/>
        <v>0</v>
      </c>
      <c r="K33" s="18">
        <f>_xlfn.XLOOKUP($B:$B,'Compilado 2023'!$B:$B,'Compilado 2023'!K:K)</f>
        <v>0</v>
      </c>
      <c r="L33" s="54">
        <f t="shared" si="2"/>
        <v>0</v>
      </c>
      <c r="M33" s="38"/>
      <c r="N33" s="106">
        <f>_xlfn.XLOOKUP($B:$B,'Compilado 2023'!$B:$B,'Compilado 2023'!N:N)</f>
        <v>0</v>
      </c>
      <c r="O33" s="106">
        <f>_xlfn.XLOOKUP($B:$B,'Compilado 2023'!$B:$B,'Compilado 2023'!O:O)</f>
        <v>0</v>
      </c>
      <c r="P33" s="106">
        <f>_xlfn.XLOOKUP($B:$B,'Compilado 2023'!$B:$B,'Compilado 2023'!P:P)</f>
        <v>0</v>
      </c>
      <c r="Q33" s="106">
        <f ca="1">_xlfn.XLOOKUP($B:$B,'Compilado 2023'!$B:$B,'Compilado 2023'!Q:Q)</f>
        <v>51.612903225806448</v>
      </c>
      <c r="R33" s="106">
        <f>_xlfn.XLOOKUP($B:$B,'Compilado 2023'!$B:$B,'Compilado 2023'!R:R)</f>
        <v>0</v>
      </c>
      <c r="S33" s="106">
        <f>_xlfn.XLOOKUP($B:$B,'Compilado 2023'!$B:$B,'Compilado 2023'!S:S)</f>
        <v>0</v>
      </c>
      <c r="T33" s="106">
        <f>_xlfn.XLOOKUP($B:$B,'Compilado 2023'!$B:$B,'Compilado 2023'!U:U)</f>
        <v>0</v>
      </c>
      <c r="U33" s="106">
        <f>_xlfn.XLOOKUP($B:$B,'Compilado 2023'!$B:$B,'Compilado 2023'!V:V)</f>
        <v>0</v>
      </c>
      <c r="V33" s="57"/>
      <c r="W33" s="106">
        <f>_xlfn.XLOOKUP($B:$B,'Compilado 2023'!$B:$B,'Compilado 2023'!X:X)</f>
        <v>0</v>
      </c>
      <c r="X33" s="106">
        <f>_xlfn.XLOOKUP($B:$B,'Compilado 2023'!$B:$B,'Compilado 2023'!Y:Y)</f>
        <v>0</v>
      </c>
      <c r="Y33" s="106">
        <f>_xlfn.XLOOKUP($B:$B,'Compilado 2023'!$B:$B,'Compilado 2023'!Z:Z)</f>
        <v>0</v>
      </c>
      <c r="Z33" s="38"/>
      <c r="AA33" s="107">
        <f>_xlfn.XLOOKUP($B:$B,'Compilado 2023'!$B:$B,'Compilado 2023'!AA:AA)</f>
        <v>0</v>
      </c>
    </row>
    <row r="34" spans="1:27" x14ac:dyDescent="0.2">
      <c r="A34" s="16" t="str">
        <f t="shared" si="0"/>
        <v>quinta-feira</v>
      </c>
      <c r="B34" s="17">
        <f t="shared" si="6"/>
        <v>45169</v>
      </c>
      <c r="C34" s="19">
        <f t="shared" si="3"/>
        <v>0</v>
      </c>
      <c r="D34" s="35">
        <f>_xlfn.XLOOKUP($B:$B,'Compilado 2023'!$B:$B,'Compilado 2023'!D:D)</f>
        <v>0</v>
      </c>
      <c r="E34" s="35">
        <f>_xlfn.XLOOKUP($B:$B,'Compilado 2023'!$B:$B,'Compilado 2023'!E:E)</f>
        <v>0</v>
      </c>
      <c r="F34" s="18">
        <f>_xlfn.XLOOKUP($B:$B,'Compilado 2023'!$B:$B,'Compilado 2023'!F:F)</f>
        <v>0</v>
      </c>
      <c r="G34" s="18">
        <f>_xlfn.XLOOKUP($B:$B,'Compilado 2023'!$B:$B,'Compilado 2023'!G:G)</f>
        <v>0</v>
      </c>
      <c r="H34" s="35">
        <f t="shared" si="4"/>
        <v>0</v>
      </c>
      <c r="I34" s="19">
        <f t="shared" ca="1" si="5"/>
        <v>51.612903225806448</v>
      </c>
      <c r="J34" s="122">
        <f t="shared" ca="1" si="1"/>
        <v>0</v>
      </c>
      <c r="K34" s="18">
        <f>_xlfn.XLOOKUP($B:$B,'Compilado 2023'!$B:$B,'Compilado 2023'!K:K)</f>
        <v>0</v>
      </c>
      <c r="L34" s="54">
        <f t="shared" si="2"/>
        <v>0</v>
      </c>
      <c r="M34" s="38"/>
      <c r="N34" s="106">
        <f>_xlfn.XLOOKUP($B:$B,'Compilado 2023'!$B:$B,'Compilado 2023'!N:N)</f>
        <v>0</v>
      </c>
      <c r="O34" s="106">
        <f>_xlfn.XLOOKUP($B:$B,'Compilado 2023'!$B:$B,'Compilado 2023'!O:O)</f>
        <v>0</v>
      </c>
      <c r="P34" s="106">
        <f>_xlfn.XLOOKUP($B:$B,'Compilado 2023'!$B:$B,'Compilado 2023'!P:P)</f>
        <v>0</v>
      </c>
      <c r="Q34" s="106">
        <f ca="1">_xlfn.XLOOKUP($B:$B,'Compilado 2023'!$B:$B,'Compilado 2023'!Q:Q)</f>
        <v>51.612903225806448</v>
      </c>
      <c r="R34" s="106">
        <f>_xlfn.XLOOKUP($B:$B,'Compilado 2023'!$B:$B,'Compilado 2023'!R:R)</f>
        <v>0</v>
      </c>
      <c r="S34" s="106">
        <f>_xlfn.XLOOKUP($B:$B,'Compilado 2023'!$B:$B,'Compilado 2023'!S:S)</f>
        <v>0</v>
      </c>
      <c r="T34" s="106">
        <f>_xlfn.XLOOKUP($B:$B,'Compilado 2023'!$B:$B,'Compilado 2023'!U:U)</f>
        <v>0</v>
      </c>
      <c r="U34" s="106">
        <f>_xlfn.XLOOKUP($B:$B,'Compilado 2023'!$B:$B,'Compilado 2023'!V:V)</f>
        <v>0</v>
      </c>
      <c r="V34" s="57"/>
      <c r="W34" s="106">
        <f>_xlfn.XLOOKUP($B:$B,'Compilado 2023'!$B:$B,'Compilado 2023'!X:X)</f>
        <v>0</v>
      </c>
      <c r="X34" s="106">
        <f>_xlfn.XLOOKUP($B:$B,'Compilado 2023'!$B:$B,'Compilado 2023'!Y:Y)</f>
        <v>0</v>
      </c>
      <c r="Y34" s="106">
        <f>_xlfn.XLOOKUP($B:$B,'Compilado 2023'!$B:$B,'Compilado 2023'!Z:Z)</f>
        <v>0</v>
      </c>
      <c r="Z34" s="38"/>
      <c r="AA34" s="107">
        <f>_xlfn.XLOOKUP($B:$B,'Compilado 2023'!$B:$B,'Compilado 2023'!AA:AA)</f>
        <v>0</v>
      </c>
    </row>
    <row r="35" spans="1:27" s="61" customFormat="1" ht="12" x14ac:dyDescent="0.2">
      <c r="A35" s="90" t="s">
        <v>186</v>
      </c>
      <c r="B35" s="91">
        <f>COUNTA(B4:B33)</f>
        <v>30</v>
      </c>
      <c r="C35" s="92">
        <f>SUM(C4:C34)</f>
        <v>619848.76</v>
      </c>
      <c r="D35" s="92">
        <f>SUM(D4:D34)</f>
        <v>619655.94000000018</v>
      </c>
      <c r="E35" s="92">
        <f>SUM(E4:E34)</f>
        <v>192.82</v>
      </c>
      <c r="F35" s="93">
        <f>SUM(F4:F34)</f>
        <v>2352</v>
      </c>
      <c r="G35" s="93">
        <f>SUM(G4:G34)</f>
        <v>2863</v>
      </c>
      <c r="H35" s="92">
        <f>IFERROR(C35/F35,0)</f>
        <v>263.54113945578234</v>
      </c>
      <c r="I35" s="92">
        <f ca="1">SUM(I4:I34)</f>
        <v>12658.160000000009</v>
      </c>
      <c r="J35" s="123">
        <f ca="1">IFERROR(C35/I35,0)</f>
        <v>48.96831451016574</v>
      </c>
      <c r="K35" s="93">
        <f>SUM(K4:K34)</f>
        <v>0</v>
      </c>
      <c r="L35" s="94">
        <f>IFERROR(F35/K35,0)</f>
        <v>0</v>
      </c>
      <c r="M35" s="95"/>
      <c r="N35" s="92">
        <f t="shared" ref="N35:U35" si="7">SUM(N4:N34)</f>
        <v>8321.18</v>
      </c>
      <c r="O35" s="92">
        <f t="shared" si="7"/>
        <v>2569.8900000000003</v>
      </c>
      <c r="P35" s="92">
        <f t="shared" si="7"/>
        <v>0</v>
      </c>
      <c r="Q35" s="92">
        <f t="shared" ca="1" si="7"/>
        <v>1599.9999999999989</v>
      </c>
      <c r="R35" s="92">
        <f t="shared" si="7"/>
        <v>13.950000000000001</v>
      </c>
      <c r="S35" s="92">
        <f t="shared" si="7"/>
        <v>153.14000000000001</v>
      </c>
      <c r="T35" s="92">
        <f t="shared" si="7"/>
        <v>0</v>
      </c>
      <c r="U35" s="92">
        <f t="shared" si="7"/>
        <v>0</v>
      </c>
      <c r="V35" s="97">
        <f t="shared" ref="V35:Y35" si="8">SUM(V4:V33)</f>
        <v>0</v>
      </c>
      <c r="W35" s="96">
        <f t="shared" si="8"/>
        <v>0</v>
      </c>
      <c r="X35" s="92">
        <f t="shared" si="8"/>
        <v>0</v>
      </c>
      <c r="Y35" s="92">
        <f t="shared" si="8"/>
        <v>0</v>
      </c>
      <c r="Z35" s="95"/>
      <c r="AA35" s="98"/>
    </row>
    <row r="36" spans="1:27" ht="6.75" customHeight="1" x14ac:dyDescent="0.2">
      <c r="M36" s="21"/>
    </row>
    <row r="37" spans="1:27" s="34" customFormat="1" ht="15.75" x14ac:dyDescent="0.3">
      <c r="A37" s="99" t="str">
        <f>JUN!A38</f>
        <v>Média Junho 2023</v>
      </c>
      <c r="B37" s="100"/>
      <c r="C37" s="101">
        <f>JUL!C38</f>
        <v>49695.703225806457</v>
      </c>
      <c r="D37" s="101">
        <f>JUL!D38</f>
        <v>49935.390333333329</v>
      </c>
      <c r="E37" s="101">
        <f>JUL!E38</f>
        <v>5.2829999999999995</v>
      </c>
      <c r="F37" s="102">
        <f>JUL!F38</f>
        <v>183.5</v>
      </c>
      <c r="G37" s="102">
        <f>JUL!G38</f>
        <v>215.5</v>
      </c>
      <c r="H37" s="103">
        <f>JUL!H38</f>
        <v>272.08880254327096</v>
      </c>
      <c r="I37" s="101">
        <f ca="1">JUL!I38</f>
        <v>1133.0975698924731</v>
      </c>
      <c r="J37" s="124">
        <f ca="1">JUL!J38</f>
        <v>43.858273591145732</v>
      </c>
      <c r="K37" s="104">
        <f>JUL!K38</f>
        <v>4187.5</v>
      </c>
      <c r="L37" s="105">
        <f>JUL!L38</f>
        <v>4.3820895522388062E-2</v>
      </c>
      <c r="M37" s="21"/>
      <c r="N37"/>
      <c r="O37"/>
      <c r="P37"/>
      <c r="Q37"/>
      <c r="R37"/>
      <c r="S37"/>
      <c r="T37"/>
      <c r="U37"/>
      <c r="V37"/>
      <c r="W37"/>
      <c r="X37"/>
      <c r="Y37"/>
      <c r="Z37"/>
      <c r="AA37"/>
    </row>
    <row r="38" spans="1:27" s="34" customFormat="1" ht="15.75" x14ac:dyDescent="0.3">
      <c r="A38" s="99" t="str">
        <f>_xlfn.CONCAT("Média ",B2)</f>
        <v>Média Agosto 2023</v>
      </c>
      <c r="B38" s="100"/>
      <c r="C38" s="101">
        <f>AVERAGE(C4:C34)</f>
        <v>19995.121290322582</v>
      </c>
      <c r="D38" s="101">
        <f>AVERAGE(D5:D34)</f>
        <v>19393.952666666664</v>
      </c>
      <c r="E38" s="101">
        <f>AVERAGE(E5:E34)</f>
        <v>6.4273333333333333</v>
      </c>
      <c r="F38" s="102">
        <f>AVERAGE(F5:F34)</f>
        <v>74.099999999999994</v>
      </c>
      <c r="G38" s="102">
        <f>AVERAGE(G5:G34)</f>
        <v>90.433333333333337</v>
      </c>
      <c r="H38" s="103">
        <f>H35</f>
        <v>263.54113945578234</v>
      </c>
      <c r="I38" s="101">
        <f ca="1">AVERAGE(I5:I34)</f>
        <v>388.76056989247343</v>
      </c>
      <c r="J38" s="124">
        <f ca="1">IFERROR(C38/I38,0)</f>
        <v>51.43299716803326</v>
      </c>
      <c r="K38" s="104">
        <f>AVERAGE(K5:K34)</f>
        <v>0</v>
      </c>
      <c r="L38" s="105">
        <f>IFERROR(F38/K38,0)</f>
        <v>0</v>
      </c>
      <c r="M38" s="21"/>
      <c r="N38"/>
      <c r="O38"/>
      <c r="P38"/>
      <c r="Q38"/>
      <c r="R38"/>
      <c r="S38"/>
      <c r="T38"/>
      <c r="U38"/>
      <c r="V38"/>
      <c r="W38"/>
      <c r="X38"/>
      <c r="Y38"/>
      <c r="Z38"/>
      <c r="AA38"/>
    </row>
    <row r="39" spans="1:27" ht="15.75" customHeight="1" x14ac:dyDescent="0.2">
      <c r="M39" s="21"/>
    </row>
    <row r="40" spans="1:27" ht="15.75" customHeight="1" x14ac:dyDescent="0.2">
      <c r="M40" s="21"/>
    </row>
    <row r="41" spans="1:27" ht="14.25" x14ac:dyDescent="0.2">
      <c r="B41" s="223" t="s">
        <v>188</v>
      </c>
      <c r="C41" s="223"/>
      <c r="D41" s="223"/>
      <c r="E41" s="76"/>
      <c r="F41" s="76"/>
      <c r="G41" s="76"/>
      <c r="H41" s="76"/>
      <c r="I41" s="76"/>
      <c r="J41" s="76"/>
      <c r="K41" s="76"/>
      <c r="L41" s="76"/>
      <c r="M41" s="21"/>
    </row>
    <row r="42" spans="1:27" ht="15.75" customHeight="1" x14ac:dyDescent="0.2"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21"/>
    </row>
    <row r="43" spans="1:27" ht="15" customHeight="1" thickBot="1" x14ac:dyDescent="0.25">
      <c r="B43" s="77" t="s">
        <v>153</v>
      </c>
      <c r="C43" s="78" t="s">
        <v>75</v>
      </c>
      <c r="D43" s="78" t="s">
        <v>154</v>
      </c>
      <c r="E43" s="78" t="s">
        <v>77</v>
      </c>
      <c r="F43" s="78" t="s">
        <v>78</v>
      </c>
      <c r="G43" s="78" t="s">
        <v>196</v>
      </c>
      <c r="H43" s="78" t="s">
        <v>80</v>
      </c>
      <c r="I43" s="78" t="s">
        <v>81</v>
      </c>
      <c r="J43" s="78" t="s">
        <v>82</v>
      </c>
      <c r="K43" s="78" t="s">
        <v>40</v>
      </c>
      <c r="L43" s="78" t="s">
        <v>83</v>
      </c>
      <c r="M43" s="21"/>
      <c r="N43" s="78" t="s">
        <v>85</v>
      </c>
      <c r="O43" s="78" t="s">
        <v>155</v>
      </c>
      <c r="P43" s="78" t="s">
        <v>87</v>
      </c>
      <c r="Q43" s="78" t="s">
        <v>88</v>
      </c>
      <c r="R43" s="78" t="s">
        <v>89</v>
      </c>
      <c r="S43" s="78" t="s">
        <v>90</v>
      </c>
      <c r="T43" s="78" t="s">
        <v>91</v>
      </c>
      <c r="U43" s="78" t="s">
        <v>92</v>
      </c>
    </row>
    <row r="44" spans="1:27" s="20" customFormat="1" ht="14.25" x14ac:dyDescent="0.2">
      <c r="B44" s="79" t="str">
        <f>_xlfn.CONCAT(_xlfn.XLOOKUP(O1,Referencia!B1:B13,Referencia!C1:C13),"/",P1)</f>
        <v>AGO/2023</v>
      </c>
      <c r="C44" s="80">
        <f>C35</f>
        <v>619848.76</v>
      </c>
      <c r="D44" s="80">
        <f t="shared" ref="D44:L44" si="9">D35</f>
        <v>619655.94000000018</v>
      </c>
      <c r="E44" s="80">
        <f t="shared" si="9"/>
        <v>192.82</v>
      </c>
      <c r="F44" s="81">
        <f t="shared" si="9"/>
        <v>2352</v>
      </c>
      <c r="G44" s="81">
        <f t="shared" si="9"/>
        <v>2863</v>
      </c>
      <c r="H44" s="80">
        <f t="shared" si="9"/>
        <v>263.54113945578234</v>
      </c>
      <c r="I44" s="80">
        <f t="shared" ca="1" si="9"/>
        <v>12658.160000000009</v>
      </c>
      <c r="J44" s="118">
        <f t="shared" ca="1" si="9"/>
        <v>48.96831451016574</v>
      </c>
      <c r="K44" s="81">
        <f t="shared" si="9"/>
        <v>0</v>
      </c>
      <c r="L44" s="82">
        <f t="shared" si="9"/>
        <v>0</v>
      </c>
      <c r="M44" s="21"/>
      <c r="N44" s="134">
        <f>N35</f>
        <v>8321.18</v>
      </c>
      <c r="O44" s="134">
        <f t="shared" ref="O44:U44" si="10">O35</f>
        <v>2569.8900000000003</v>
      </c>
      <c r="P44" s="134">
        <f t="shared" si="10"/>
        <v>0</v>
      </c>
      <c r="Q44" s="134">
        <f t="shared" ca="1" si="10"/>
        <v>1599.9999999999989</v>
      </c>
      <c r="R44" s="134">
        <f t="shared" si="10"/>
        <v>13.950000000000001</v>
      </c>
      <c r="S44" s="134">
        <f t="shared" si="10"/>
        <v>153.14000000000001</v>
      </c>
      <c r="T44" s="134">
        <f t="shared" si="10"/>
        <v>0</v>
      </c>
      <c r="U44" s="134">
        <f t="shared" si="10"/>
        <v>0</v>
      </c>
      <c r="V44"/>
      <c r="W44"/>
      <c r="X44"/>
      <c r="Y44"/>
      <c r="Z44"/>
      <c r="AA44"/>
    </row>
    <row r="45" spans="1:27" s="126" customFormat="1" ht="14.25" x14ac:dyDescent="0.2">
      <c r="B45" s="138" t="str">
        <f>_xlfn.CONCAT(_xlfn.XLOOKUP(O1,Referencia!B1:B13,Referencia!C1:C13),"/",(P1-1))</f>
        <v>AGO/2022</v>
      </c>
      <c r="C45" s="134">
        <f>SUM(C64:C94)</f>
        <v>1423209.8800000001</v>
      </c>
      <c r="D45" s="134">
        <f>SUM(D64:D94)</f>
        <v>1423009.2</v>
      </c>
      <c r="E45" s="134">
        <f>SUM(E64:E94)</f>
        <v>200.68</v>
      </c>
      <c r="F45" s="135">
        <f>SUM(F64:F94)</f>
        <v>5306</v>
      </c>
      <c r="G45" s="135">
        <f>SUM(G64:G94)</f>
        <v>6585</v>
      </c>
      <c r="H45" s="134">
        <f>C45/F45</f>
        <v>268.22651338107806</v>
      </c>
      <c r="I45" s="134">
        <f>SUM(I64:I94)</f>
        <v>28933.859999999997</v>
      </c>
      <c r="J45" s="136">
        <f>C45/I45</f>
        <v>49.188386202186649</v>
      </c>
      <c r="K45" s="135">
        <f>SUM(K64:K94)</f>
        <v>119198</v>
      </c>
      <c r="L45" s="137">
        <f>F45/K45</f>
        <v>4.4514169700833904E-2</v>
      </c>
      <c r="M45" s="207"/>
      <c r="N45" s="134">
        <f>SUM(N64:N94)</f>
        <v>17331.889999999996</v>
      </c>
      <c r="O45" s="134">
        <f t="shared" ref="O45:V45" si="11">SUM(O64:O94)</f>
        <v>10001.970000000003</v>
      </c>
      <c r="P45" s="134">
        <f t="shared" si="11"/>
        <v>0</v>
      </c>
      <c r="Q45" s="134">
        <f t="shared" si="11"/>
        <v>1599.9999999999989</v>
      </c>
      <c r="R45" s="134">
        <f t="shared" si="11"/>
        <v>0</v>
      </c>
      <c r="S45" s="134">
        <f t="shared" si="11"/>
        <v>0</v>
      </c>
      <c r="T45" s="134">
        <f t="shared" si="11"/>
        <v>0</v>
      </c>
      <c r="U45" s="134">
        <f t="shared" si="11"/>
        <v>0</v>
      </c>
      <c r="V45" s="134">
        <f t="shared" si="11"/>
        <v>0</v>
      </c>
      <c r="W45" s="127"/>
      <c r="X45" s="127"/>
      <c r="Y45" s="127"/>
      <c r="Z45" s="127"/>
      <c r="AA45" s="127"/>
    </row>
    <row r="46" spans="1:27" ht="14.25" x14ac:dyDescent="0.2">
      <c r="B46" s="83"/>
      <c r="C46" s="87">
        <f>C44-C45</f>
        <v>-803361.12000000011</v>
      </c>
      <c r="D46" s="87">
        <f t="shared" ref="D46:L46" si="12">D44-D45</f>
        <v>-803353.25999999978</v>
      </c>
      <c r="E46" s="87">
        <f t="shared" si="12"/>
        <v>-7.8600000000000136</v>
      </c>
      <c r="F46" s="88">
        <f t="shared" si="12"/>
        <v>-2954</v>
      </c>
      <c r="G46" s="88">
        <f t="shared" si="12"/>
        <v>-3722</v>
      </c>
      <c r="H46" s="87">
        <f t="shared" si="12"/>
        <v>-4.6853739252957212</v>
      </c>
      <c r="I46" s="87">
        <f t="shared" ca="1" si="12"/>
        <v>-16275.699999999988</v>
      </c>
      <c r="J46" s="125">
        <f t="shared" ca="1" si="12"/>
        <v>-0.22007169202090893</v>
      </c>
      <c r="K46" s="88">
        <f t="shared" si="12"/>
        <v>-119198</v>
      </c>
      <c r="L46" s="89">
        <f t="shared" si="12"/>
        <v>-4.4514169700833904E-2</v>
      </c>
      <c r="M46" s="21"/>
    </row>
    <row r="47" spans="1:27" ht="15.75" customHeight="1" x14ac:dyDescent="0.2">
      <c r="B47" s="84"/>
      <c r="C47" s="85">
        <f>IFERROR(1-(C45/C44),0)</f>
        <v>-1.2960598969335684</v>
      </c>
      <c r="D47" s="85">
        <f t="shared" ref="D47:L47" si="13">IFERROR(1-(D45/D44),0)</f>
        <v>-1.2964505109077136</v>
      </c>
      <c r="E47" s="85">
        <f t="shared" si="13"/>
        <v>-4.0763406285655002E-2</v>
      </c>
      <c r="F47" s="85">
        <f t="shared" si="13"/>
        <v>-1.2559523809523809</v>
      </c>
      <c r="G47" s="85">
        <f t="shared" si="13"/>
        <v>-1.3000349283967867</v>
      </c>
      <c r="H47" s="85">
        <f t="shared" si="13"/>
        <v>-1.7778529511449648E-2</v>
      </c>
      <c r="I47" s="85">
        <f t="shared" ca="1" si="13"/>
        <v>-1.2857871918193462</v>
      </c>
      <c r="J47" s="85">
        <f t="shared" ca="1" si="13"/>
        <v>-4.4941651396888105E-3</v>
      </c>
      <c r="K47" s="85">
        <f t="shared" si="13"/>
        <v>0</v>
      </c>
      <c r="L47" s="85">
        <f t="shared" si="13"/>
        <v>0</v>
      </c>
      <c r="M47" s="21"/>
    </row>
    <row r="48" spans="1:27" x14ac:dyDescent="0.2"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</row>
    <row r="49" spans="1:27" ht="15" customHeight="1" x14ac:dyDescent="0.2">
      <c r="B49" s="223" t="s">
        <v>189</v>
      </c>
      <c r="C49" s="223"/>
      <c r="D49" s="223"/>
      <c r="E49" s="84"/>
      <c r="F49" s="84"/>
      <c r="G49" s="84"/>
      <c r="H49" s="84"/>
      <c r="I49" s="84"/>
      <c r="J49" s="84"/>
      <c r="K49" s="84"/>
      <c r="L49" s="84"/>
      <c r="M49" s="21"/>
    </row>
    <row r="50" spans="1:27" ht="15" thickBot="1" x14ac:dyDescent="0.25">
      <c r="B50" s="77" t="s">
        <v>153</v>
      </c>
      <c r="C50" s="78" t="s">
        <v>75</v>
      </c>
      <c r="D50" s="78" t="s">
        <v>154</v>
      </c>
      <c r="E50" s="78" t="s">
        <v>77</v>
      </c>
      <c r="F50" s="78" t="s">
        <v>78</v>
      </c>
      <c r="G50" s="78" t="s">
        <v>79</v>
      </c>
      <c r="H50" s="78" t="s">
        <v>80</v>
      </c>
      <c r="I50" s="78" t="s">
        <v>81</v>
      </c>
      <c r="J50" s="78" t="s">
        <v>82</v>
      </c>
      <c r="K50" s="78" t="s">
        <v>40</v>
      </c>
      <c r="L50" s="78" t="s">
        <v>83</v>
      </c>
      <c r="M50" s="21"/>
      <c r="N50" s="78" t="s">
        <v>85</v>
      </c>
      <c r="O50" s="78" t="s">
        <v>155</v>
      </c>
      <c r="P50" s="78" t="s">
        <v>87</v>
      </c>
      <c r="Q50" s="78" t="s">
        <v>88</v>
      </c>
      <c r="R50" s="78" t="s">
        <v>89</v>
      </c>
      <c r="S50" s="78" t="s">
        <v>90</v>
      </c>
      <c r="T50" s="78" t="s">
        <v>91</v>
      </c>
      <c r="U50" s="78" t="s">
        <v>92</v>
      </c>
    </row>
    <row r="51" spans="1:27" ht="14.25" x14ac:dyDescent="0.2">
      <c r="B51" s="79" t="str">
        <f>B44</f>
        <v>AGO/2023</v>
      </c>
      <c r="C51" s="80">
        <f>C44</f>
        <v>619848.76</v>
      </c>
      <c r="D51" s="80">
        <f t="shared" ref="D51:U51" si="14">D44</f>
        <v>619655.94000000018</v>
      </c>
      <c r="E51" s="80">
        <f t="shared" si="14"/>
        <v>192.82</v>
      </c>
      <c r="F51" s="81">
        <f t="shared" si="14"/>
        <v>2352</v>
      </c>
      <c r="G51" s="81">
        <f t="shared" si="14"/>
        <v>2863</v>
      </c>
      <c r="H51" s="80">
        <f t="shared" si="14"/>
        <v>263.54113945578234</v>
      </c>
      <c r="I51" s="80">
        <f t="shared" ca="1" si="14"/>
        <v>12658.160000000009</v>
      </c>
      <c r="J51" s="118">
        <f t="shared" ca="1" si="14"/>
        <v>48.96831451016574</v>
      </c>
      <c r="K51" s="81">
        <f t="shared" si="14"/>
        <v>0</v>
      </c>
      <c r="L51" s="82">
        <f t="shared" si="14"/>
        <v>0</v>
      </c>
      <c r="M51" s="21"/>
      <c r="N51" s="80">
        <f t="shared" si="14"/>
        <v>8321.18</v>
      </c>
      <c r="O51" s="80">
        <f t="shared" si="14"/>
        <v>2569.8900000000003</v>
      </c>
      <c r="P51" s="80">
        <f t="shared" si="14"/>
        <v>0</v>
      </c>
      <c r="Q51" s="80">
        <f t="shared" ca="1" si="14"/>
        <v>1599.9999999999989</v>
      </c>
      <c r="R51" s="80">
        <f t="shared" si="14"/>
        <v>13.950000000000001</v>
      </c>
      <c r="S51" s="80">
        <f t="shared" si="14"/>
        <v>153.14000000000001</v>
      </c>
      <c r="T51" s="80">
        <f t="shared" si="14"/>
        <v>0</v>
      </c>
      <c r="U51" s="80">
        <f t="shared" si="14"/>
        <v>0</v>
      </c>
    </row>
    <row r="52" spans="1:27" ht="14.25" x14ac:dyDescent="0.2">
      <c r="B52" s="138" t="str">
        <f>JUL!B51</f>
        <v>JUL/2023</v>
      </c>
      <c r="C52" s="134">
        <f>JUL!C51</f>
        <v>1540566.8000000003</v>
      </c>
      <c r="D52" s="134">
        <f>JUL!D51</f>
        <v>1540385.8400000003</v>
      </c>
      <c r="E52" s="134">
        <f>JUL!E51</f>
        <v>180.96</v>
      </c>
      <c r="F52" s="135">
        <f>JUL!F51</f>
        <v>5662</v>
      </c>
      <c r="G52" s="135">
        <f>JUL!G51</f>
        <v>6642</v>
      </c>
      <c r="H52" s="134">
        <f>JUL!H51</f>
        <v>272.08880254327096</v>
      </c>
      <c r="I52" s="134">
        <f ca="1">JUL!I51</f>
        <v>34923.589999999997</v>
      </c>
      <c r="J52" s="136">
        <f ca="1">JUL!J51</f>
        <v>44.112498171007061</v>
      </c>
      <c r="K52" s="135">
        <f>JUL!K51</f>
        <v>129552</v>
      </c>
      <c r="L52" s="137">
        <f>JUL!L51</f>
        <v>4.3704458441398052E-2</v>
      </c>
      <c r="M52" s="21"/>
      <c r="N52" s="134">
        <f>JUL!N51</f>
        <v>23161.669999999991</v>
      </c>
      <c r="O52" s="134">
        <f>JUL!O51</f>
        <v>9750.7000000000007</v>
      </c>
      <c r="P52" s="134">
        <f>JUL!P51</f>
        <v>0</v>
      </c>
      <c r="Q52" s="134">
        <f ca="1">JUL!Q51</f>
        <v>1599.9999999999989</v>
      </c>
      <c r="R52" s="134">
        <f>JUL!R51</f>
        <v>70.089999999999989</v>
      </c>
      <c r="S52" s="134">
        <f>JUL!S51</f>
        <v>341.13000000000005</v>
      </c>
      <c r="T52" s="134">
        <f>JUL!T51</f>
        <v>0</v>
      </c>
      <c r="U52" s="134">
        <f>JUL!U51</f>
        <v>0</v>
      </c>
    </row>
    <row r="53" spans="1:27" ht="14.25" x14ac:dyDescent="0.2">
      <c r="B53" s="83"/>
      <c r="C53" s="87">
        <f t="shared" ref="C53:L53" si="15">C51-C52</f>
        <v>-920718.04000000027</v>
      </c>
      <c r="D53" s="87">
        <f t="shared" si="15"/>
        <v>-920729.90000000014</v>
      </c>
      <c r="E53" s="87">
        <f t="shared" si="15"/>
        <v>11.859999999999985</v>
      </c>
      <c r="F53" s="88">
        <f t="shared" si="15"/>
        <v>-3310</v>
      </c>
      <c r="G53" s="88">
        <f t="shared" si="15"/>
        <v>-3779</v>
      </c>
      <c r="H53" s="87">
        <f t="shared" si="15"/>
        <v>-8.5476630874886155</v>
      </c>
      <c r="I53" s="87">
        <f t="shared" ca="1" si="15"/>
        <v>-22265.429999999986</v>
      </c>
      <c r="J53" s="125">
        <f t="shared" ca="1" si="15"/>
        <v>4.8558163391586788</v>
      </c>
      <c r="K53" s="88">
        <f t="shared" si="15"/>
        <v>-129552</v>
      </c>
      <c r="L53" s="89">
        <f t="shared" si="15"/>
        <v>-4.3704458441398052E-2</v>
      </c>
      <c r="M53" s="21"/>
    </row>
    <row r="54" spans="1:27" ht="14.25" x14ac:dyDescent="0.2">
      <c r="B54" s="84"/>
      <c r="C54" s="85">
        <f>IFERROR(1-(C52/C51),0)</f>
        <v>-1.485391436452983</v>
      </c>
      <c r="D54" s="85">
        <f t="shared" ref="D54:L54" si="16">IFERROR(1-(D52/D51),0)</f>
        <v>-1.4858727893417756</v>
      </c>
      <c r="E54" s="85">
        <f t="shared" si="16"/>
        <v>6.1508142308889013E-2</v>
      </c>
      <c r="F54" s="85">
        <f t="shared" si="16"/>
        <v>-1.4073129251700682</v>
      </c>
      <c r="G54" s="85">
        <f t="shared" si="16"/>
        <v>-1.3199441145651414</v>
      </c>
      <c r="H54" s="85">
        <f t="shared" si="16"/>
        <v>-3.2433885294492093E-2</v>
      </c>
      <c r="I54" s="85">
        <f t="shared" ca="1" si="16"/>
        <v>-1.7589783981242118</v>
      </c>
      <c r="J54" s="85">
        <f t="shared" ca="1" si="16"/>
        <v>9.9162415282858407E-2</v>
      </c>
      <c r="K54" s="85">
        <f t="shared" si="16"/>
        <v>0</v>
      </c>
      <c r="L54" s="85">
        <f t="shared" si="16"/>
        <v>0</v>
      </c>
      <c r="M54" s="21"/>
    </row>
    <row r="56" spans="1:27" x14ac:dyDescent="0.2">
      <c r="B56" s="84"/>
      <c r="C56" s="84"/>
      <c r="D56" s="84"/>
      <c r="E56" s="84"/>
      <c r="F56" s="84"/>
      <c r="G56" s="84"/>
      <c r="H56" s="84"/>
      <c r="I56" s="84"/>
      <c r="J56" s="84"/>
      <c r="K56" s="84"/>
    </row>
    <row r="57" spans="1:27" x14ac:dyDescent="0.2">
      <c r="B57" s="223" t="s">
        <v>191</v>
      </c>
      <c r="C57" s="223"/>
      <c r="D57" s="223"/>
      <c r="E57" s="84"/>
      <c r="F57" s="84"/>
      <c r="G57" s="84"/>
      <c r="H57" s="84"/>
      <c r="I57" s="84"/>
      <c r="J57" s="84"/>
      <c r="K57" s="84"/>
      <c r="L57" s="84"/>
      <c r="M57" s="150"/>
    </row>
    <row r="58" spans="1:27" ht="13.5" thickBot="1" x14ac:dyDescent="0.25">
      <c r="B58" s="77" t="s">
        <v>153</v>
      </c>
      <c r="C58" s="78" t="s">
        <v>75</v>
      </c>
      <c r="D58" s="78" t="s">
        <v>154</v>
      </c>
      <c r="E58" s="78" t="s">
        <v>77</v>
      </c>
      <c r="F58" s="78" t="s">
        <v>78</v>
      </c>
      <c r="G58" s="78" t="s">
        <v>79</v>
      </c>
      <c r="H58" s="78" t="s">
        <v>80</v>
      </c>
      <c r="I58" s="78" t="s">
        <v>81</v>
      </c>
      <c r="J58" s="78" t="s">
        <v>82</v>
      </c>
      <c r="K58" s="78" t="s">
        <v>40</v>
      </c>
      <c r="L58" s="78" t="s">
        <v>83</v>
      </c>
      <c r="M58" s="150"/>
      <c r="N58" s="78" t="s">
        <v>85</v>
      </c>
      <c r="O58" s="78" t="s">
        <v>155</v>
      </c>
      <c r="P58" s="78" t="s">
        <v>87</v>
      </c>
      <c r="Q58" s="78" t="s">
        <v>88</v>
      </c>
      <c r="R58" s="78" t="s">
        <v>89</v>
      </c>
      <c r="S58" s="78" t="s">
        <v>90</v>
      </c>
      <c r="T58" s="78" t="s">
        <v>91</v>
      </c>
      <c r="U58" s="78" t="s">
        <v>92</v>
      </c>
    </row>
    <row r="59" spans="1:27" x14ac:dyDescent="0.2">
      <c r="B59" s="79" t="str">
        <f>B52</f>
        <v>JUL/2023</v>
      </c>
      <c r="C59" s="80">
        <f t="shared" ref="C59:L59" si="17">C51</f>
        <v>619848.76</v>
      </c>
      <c r="D59" s="80">
        <f t="shared" si="17"/>
        <v>619655.94000000018</v>
      </c>
      <c r="E59" s="80">
        <f t="shared" si="17"/>
        <v>192.82</v>
      </c>
      <c r="F59" s="81">
        <f t="shared" si="17"/>
        <v>2352</v>
      </c>
      <c r="G59" s="81">
        <f t="shared" si="17"/>
        <v>2863</v>
      </c>
      <c r="H59" s="80">
        <f t="shared" si="17"/>
        <v>263.54113945578234</v>
      </c>
      <c r="I59" s="80">
        <f t="shared" ca="1" si="17"/>
        <v>12658.160000000009</v>
      </c>
      <c r="J59" s="118">
        <f t="shared" ca="1" si="17"/>
        <v>48.96831451016574</v>
      </c>
      <c r="K59" s="81">
        <f t="shared" si="17"/>
        <v>0</v>
      </c>
      <c r="L59" s="82">
        <f t="shared" si="17"/>
        <v>0</v>
      </c>
      <c r="M59" s="150"/>
      <c r="N59" s="134">
        <f t="shared" ref="N59:U59" si="18">N51</f>
        <v>8321.18</v>
      </c>
      <c r="O59" s="134">
        <f t="shared" si="18"/>
        <v>2569.8900000000003</v>
      </c>
      <c r="P59" s="134">
        <f t="shared" si="18"/>
        <v>0</v>
      </c>
      <c r="Q59" s="134">
        <f t="shared" ca="1" si="18"/>
        <v>1599.9999999999989</v>
      </c>
      <c r="R59" s="134">
        <f t="shared" si="18"/>
        <v>13.950000000000001</v>
      </c>
      <c r="S59" s="134">
        <f t="shared" si="18"/>
        <v>153.14000000000001</v>
      </c>
      <c r="T59" s="134">
        <f t="shared" si="18"/>
        <v>0</v>
      </c>
      <c r="U59" s="134">
        <f t="shared" si="18"/>
        <v>0</v>
      </c>
    </row>
    <row r="60" spans="1:27" x14ac:dyDescent="0.2">
      <c r="A60" s="128"/>
      <c r="B60" s="138" t="str">
        <f>B45</f>
        <v>AGO/2022</v>
      </c>
      <c r="C60" s="134">
        <f ca="1">SUMIF($A$64:$A$94,"Realizado",C64:C94)</f>
        <v>1423209.8800000001</v>
      </c>
      <c r="D60" s="134">
        <f t="shared" ref="D60:K60" ca="1" si="19">SUMIF($A$64:$A$94,"Realizado",D64:D94)</f>
        <v>1423009.2</v>
      </c>
      <c r="E60" s="134">
        <f t="shared" ca="1" si="19"/>
        <v>200.68</v>
      </c>
      <c r="F60" s="135">
        <f t="shared" ca="1" si="19"/>
        <v>5306</v>
      </c>
      <c r="G60" s="135">
        <f t="shared" ca="1" si="19"/>
        <v>6585</v>
      </c>
      <c r="H60" s="134">
        <f ca="1">C60/F60</f>
        <v>268.22651338107806</v>
      </c>
      <c r="I60" s="134">
        <f t="shared" ca="1" si="19"/>
        <v>28933.859999999997</v>
      </c>
      <c r="J60" s="136">
        <f ca="1">C60/I60</f>
        <v>49.188386202186649</v>
      </c>
      <c r="K60" s="135">
        <f t="shared" ca="1" si="19"/>
        <v>119198</v>
      </c>
      <c r="L60" s="137">
        <f ca="1">F60/K60</f>
        <v>4.4514169700833904E-2</v>
      </c>
      <c r="M60" s="150"/>
      <c r="N60" s="134">
        <f t="shared" ref="N60:U60" ca="1" si="20">SUMIF($A$64:$A$94,"Realizado",N64:N94)</f>
        <v>17331.889999999996</v>
      </c>
      <c r="O60" s="134">
        <f t="shared" ca="1" si="20"/>
        <v>10001.970000000003</v>
      </c>
      <c r="P60" s="134">
        <f t="shared" ca="1" si="20"/>
        <v>0</v>
      </c>
      <c r="Q60" s="134">
        <f t="shared" ca="1" si="20"/>
        <v>1599.9999999999989</v>
      </c>
      <c r="R60" s="134">
        <f t="shared" ca="1" si="20"/>
        <v>0</v>
      </c>
      <c r="S60" s="134">
        <f t="shared" ca="1" si="20"/>
        <v>0</v>
      </c>
      <c r="T60" s="134">
        <f t="shared" ca="1" si="20"/>
        <v>0</v>
      </c>
      <c r="U60" s="134">
        <f t="shared" ca="1" si="20"/>
        <v>0</v>
      </c>
    </row>
    <row r="61" spans="1:27" x14ac:dyDescent="0.2">
      <c r="B61" s="83"/>
      <c r="C61" s="87">
        <f t="shared" ref="C61:L61" ca="1" si="21">C59-C60</f>
        <v>-803361.12000000011</v>
      </c>
      <c r="D61" s="87">
        <f t="shared" ca="1" si="21"/>
        <v>-803353.25999999978</v>
      </c>
      <c r="E61" s="87">
        <f t="shared" ca="1" si="21"/>
        <v>-7.8600000000000136</v>
      </c>
      <c r="F61" s="88">
        <f t="shared" ca="1" si="21"/>
        <v>-2954</v>
      </c>
      <c r="G61" s="88">
        <f t="shared" ca="1" si="21"/>
        <v>-3722</v>
      </c>
      <c r="H61" s="87">
        <f t="shared" ca="1" si="21"/>
        <v>-4.6853739252957212</v>
      </c>
      <c r="I61" s="87">
        <f t="shared" ca="1" si="21"/>
        <v>-16275.699999999988</v>
      </c>
      <c r="J61" s="125">
        <f t="shared" ca="1" si="21"/>
        <v>-0.22007169202090893</v>
      </c>
      <c r="K61" s="88">
        <f t="shared" ca="1" si="21"/>
        <v>-119198</v>
      </c>
      <c r="L61" s="89">
        <f t="shared" ca="1" si="21"/>
        <v>-4.4514169700833904E-2</v>
      </c>
      <c r="M61" s="150"/>
    </row>
    <row r="62" spans="1:27" x14ac:dyDescent="0.2">
      <c r="B62" s="84"/>
      <c r="C62" s="85">
        <f ca="1">IFERROR(1-(C60/C59),0)</f>
        <v>-1.2960598969335684</v>
      </c>
      <c r="D62" s="85">
        <f t="shared" ref="D62:L62" ca="1" si="22">IFERROR(1-(D60/D59),0)</f>
        <v>-1.2964505109077136</v>
      </c>
      <c r="E62" s="85">
        <f t="shared" ca="1" si="22"/>
        <v>-4.0763406285655002E-2</v>
      </c>
      <c r="F62" s="85">
        <f t="shared" ca="1" si="22"/>
        <v>-1.2559523809523809</v>
      </c>
      <c r="G62" s="85">
        <f t="shared" ca="1" si="22"/>
        <v>-1.3000349283967867</v>
      </c>
      <c r="H62" s="85">
        <f t="shared" ca="1" si="22"/>
        <v>-1.7778529511449648E-2</v>
      </c>
      <c r="I62" s="85">
        <f t="shared" ca="1" si="22"/>
        <v>-1.2857871918193462</v>
      </c>
      <c r="J62" s="85">
        <f t="shared" ca="1" si="22"/>
        <v>-4.4941651396888105E-3</v>
      </c>
      <c r="K62" s="85">
        <f t="shared" ca="1" si="22"/>
        <v>0</v>
      </c>
      <c r="L62" s="85">
        <f t="shared" ca="1" si="22"/>
        <v>0</v>
      </c>
      <c r="M62" s="150"/>
    </row>
    <row r="63" spans="1:27" x14ac:dyDescent="0.2">
      <c r="A63" s="180">
        <f ca="1">TODAY()</f>
        <v>45834</v>
      </c>
      <c r="B63" s="201"/>
    </row>
    <row r="64" spans="1:27" hidden="1" x14ac:dyDescent="0.2">
      <c r="A64" s="17" t="str">
        <f t="shared" ref="A64:A68" ca="1" si="23">IF($A$63&lt;=AA64,"Previsto","Realizado")</f>
        <v>Realizado</v>
      </c>
      <c r="B64" s="17">
        <v>44774</v>
      </c>
      <c r="C64" s="19">
        <f t="shared" ref="C64:C94" si="24">D64+E64</f>
        <v>52333.59</v>
      </c>
      <c r="D64" s="35">
        <f>_xlfn.XLOOKUP($B:$B,'Compilado 2023'!$B:$B,'Compilado 2023'!D:D)</f>
        <v>52333.59</v>
      </c>
      <c r="E64" s="35">
        <f>_xlfn.XLOOKUP($B:$B,'Compilado 2023'!$B:$B,'Compilado 2023'!E:E)</f>
        <v>0</v>
      </c>
      <c r="F64" s="18">
        <f>_xlfn.XLOOKUP($B:$B,'Compilado 2023'!$B:$B,'Compilado 2023'!F:F)</f>
        <v>187</v>
      </c>
      <c r="G64" s="18">
        <f>_xlfn.XLOOKUP($B:$B,'Compilado 2023'!$B:$B,'Compilado 2023'!G:G)</f>
        <v>217</v>
      </c>
      <c r="H64" s="35">
        <f t="shared" ref="H64:H94" si="25">IFERROR(C64/F64,0)</f>
        <v>279.85877005347589</v>
      </c>
      <c r="I64" s="19">
        <f t="shared" ref="I64:I94" si="26">SUM(N64:U64)</f>
        <v>787.98290322580647</v>
      </c>
      <c r="J64" s="122">
        <f t="shared" ref="J64:J94" si="27">IF(I64&gt;0,C64/I64,0)</f>
        <v>66.414626238411088</v>
      </c>
      <c r="K64" s="18">
        <f>_xlfn.XLOOKUP($B:$B,'Compilado 2023'!$B:$B,'Compilado 2023'!K:K)</f>
        <v>4452</v>
      </c>
      <c r="L64" s="54">
        <f t="shared" ref="L64:L94" si="28">IFERROR(F64/K64,0)</f>
        <v>4.200359389038634E-2</v>
      </c>
      <c r="M64" s="149"/>
      <c r="N64" s="106">
        <f>_xlfn.XLOOKUP($B:$B,'Compilado 2023'!$B:$B,'Compilado 2023'!N:N)</f>
        <v>580.66</v>
      </c>
      <c r="O64" s="106">
        <f>_xlfn.XLOOKUP($B:$B,'Compilado 2023'!$B:$B,'Compilado 2023'!O:O)</f>
        <v>155.71</v>
      </c>
      <c r="P64" s="106">
        <f>_xlfn.XLOOKUP($B:$B,'Compilado 2023'!$B:$B,'Compilado 2023'!P:P)</f>
        <v>0</v>
      </c>
      <c r="Q64" s="106">
        <f>_xlfn.XLOOKUP($B:$B,'Compilado 2023'!$B:$B,'Compilado 2023'!Q:Q)</f>
        <v>51.612903225806448</v>
      </c>
      <c r="R64" s="106">
        <f>_xlfn.XLOOKUP($B:$B,'Compilado 2023'!$B:$B,'Compilado 2023'!R:R)</f>
        <v>0</v>
      </c>
      <c r="S64" s="106">
        <f>_xlfn.XLOOKUP($B:$B,'Compilado 2023'!$B:$B,'Compilado 2023'!T:T)</f>
        <v>0</v>
      </c>
      <c r="T64" s="106">
        <f>_xlfn.XLOOKUP($B:$B,'Compilado 2023'!$B:$B,'Compilado 2023'!U:U)</f>
        <v>0</v>
      </c>
      <c r="U64" s="106">
        <f>_xlfn.XLOOKUP($B:$B,'Compilado 2023'!$B:$B,'Compilado 2023'!V:V)</f>
        <v>0</v>
      </c>
      <c r="V64" s="57"/>
      <c r="W64" s="106">
        <f>_xlfn.XLOOKUP($B:$B,'Compilado 2023'!$B:$B,'Compilado 2023'!X:X)</f>
        <v>0</v>
      </c>
      <c r="X64" s="106">
        <f>_xlfn.XLOOKUP($B:$B,'Compilado 2023'!$B:$B,'Compilado 2023'!Y:Y)</f>
        <v>0</v>
      </c>
      <c r="Y64" s="106">
        <f>_xlfn.XLOOKUP($B:$B,'Compilado 2023'!$B:$B,'Compilado 2023'!Z:Z)</f>
        <v>0</v>
      </c>
      <c r="AA64" s="208">
        <v>45108</v>
      </c>
    </row>
    <row r="65" spans="1:27" hidden="1" x14ac:dyDescent="0.2">
      <c r="A65" s="17" t="str">
        <f t="shared" ca="1" si="23"/>
        <v>Realizado</v>
      </c>
      <c r="B65" s="17">
        <v>44775</v>
      </c>
      <c r="C65" s="19">
        <f t="shared" si="24"/>
        <v>45930.39</v>
      </c>
      <c r="D65" s="35">
        <f>_xlfn.XLOOKUP($B:$B,'Compilado 2023'!$B:$B,'Compilado 2023'!D:D)</f>
        <v>45930.39</v>
      </c>
      <c r="E65" s="35">
        <f>_xlfn.XLOOKUP($B:$B,'Compilado 2023'!$B:$B,'Compilado 2023'!E:E)</f>
        <v>0</v>
      </c>
      <c r="F65" s="18">
        <f>_xlfn.XLOOKUP($B:$B,'Compilado 2023'!$B:$B,'Compilado 2023'!F:F)</f>
        <v>158</v>
      </c>
      <c r="G65" s="18">
        <f>_xlfn.XLOOKUP($B:$B,'Compilado 2023'!$B:$B,'Compilado 2023'!G:G)</f>
        <v>218</v>
      </c>
      <c r="H65" s="35">
        <f t="shared" si="25"/>
        <v>290.69867088607594</v>
      </c>
      <c r="I65" s="19">
        <f t="shared" si="26"/>
        <v>804.86290322580646</v>
      </c>
      <c r="J65" s="122">
        <f t="shared" si="27"/>
        <v>57.066103824534331</v>
      </c>
      <c r="K65" s="18">
        <f>_xlfn.XLOOKUP($B:$B,'Compilado 2023'!$B:$B,'Compilado 2023'!K:K)</f>
        <v>4378</v>
      </c>
      <c r="L65" s="54">
        <f t="shared" si="28"/>
        <v>3.6089538602101415E-2</v>
      </c>
      <c r="M65" s="149"/>
      <c r="N65" s="106">
        <f>_xlfn.XLOOKUP($B:$B,'Compilado 2023'!$B:$B,'Compilado 2023'!N:N)</f>
        <v>600.57000000000005</v>
      </c>
      <c r="O65" s="106">
        <f>_xlfn.XLOOKUP($B:$B,'Compilado 2023'!$B:$B,'Compilado 2023'!O:O)</f>
        <v>152.68</v>
      </c>
      <c r="P65" s="106">
        <f>_xlfn.XLOOKUP($B:$B,'Compilado 2023'!$B:$B,'Compilado 2023'!P:P)</f>
        <v>0</v>
      </c>
      <c r="Q65" s="106">
        <f>_xlfn.XLOOKUP($B:$B,'Compilado 2023'!$B:$B,'Compilado 2023'!Q:Q)</f>
        <v>51.612903225806448</v>
      </c>
      <c r="R65" s="106">
        <f>_xlfn.XLOOKUP($B:$B,'Compilado 2023'!$B:$B,'Compilado 2023'!R:R)</f>
        <v>0</v>
      </c>
      <c r="S65" s="106">
        <f>_xlfn.XLOOKUP($B:$B,'Compilado 2023'!$B:$B,'Compilado 2023'!T:T)</f>
        <v>0</v>
      </c>
      <c r="T65" s="106">
        <f>_xlfn.XLOOKUP($B:$B,'Compilado 2023'!$B:$B,'Compilado 2023'!U:U)</f>
        <v>0</v>
      </c>
      <c r="U65" s="106">
        <f>_xlfn.XLOOKUP($B:$B,'Compilado 2023'!$B:$B,'Compilado 2023'!V:V)</f>
        <v>0</v>
      </c>
      <c r="V65" s="57"/>
      <c r="W65" s="106">
        <f>_xlfn.XLOOKUP($B:$B,'Compilado 2023'!$B:$B,'Compilado 2023'!X:X)</f>
        <v>0</v>
      </c>
      <c r="X65" s="106">
        <f>_xlfn.XLOOKUP($B:$B,'Compilado 2023'!$B:$B,'Compilado 2023'!Y:Y)</f>
        <v>0</v>
      </c>
      <c r="Y65" s="106">
        <f>_xlfn.XLOOKUP($B:$B,'Compilado 2023'!$B:$B,'Compilado 2023'!Z:Z)</f>
        <v>0</v>
      </c>
      <c r="AA65" s="208">
        <v>45109</v>
      </c>
    </row>
    <row r="66" spans="1:27" hidden="1" x14ac:dyDescent="0.2">
      <c r="A66" s="17" t="str">
        <f t="shared" ca="1" si="23"/>
        <v>Realizado</v>
      </c>
      <c r="B66" s="17">
        <v>44776</v>
      </c>
      <c r="C66" s="19">
        <f t="shared" si="24"/>
        <v>45753.91</v>
      </c>
      <c r="D66" s="35">
        <f>_xlfn.XLOOKUP($B:$B,'Compilado 2023'!$B:$B,'Compilado 2023'!D:D)</f>
        <v>45753.91</v>
      </c>
      <c r="E66" s="35">
        <f>_xlfn.XLOOKUP($B:$B,'Compilado 2023'!$B:$B,'Compilado 2023'!E:E)</f>
        <v>0</v>
      </c>
      <c r="F66" s="18">
        <f>_xlfn.XLOOKUP($B:$B,'Compilado 2023'!$B:$B,'Compilado 2023'!F:F)</f>
        <v>152</v>
      </c>
      <c r="G66" s="18">
        <f>_xlfn.XLOOKUP($B:$B,'Compilado 2023'!$B:$B,'Compilado 2023'!G:G)</f>
        <v>185</v>
      </c>
      <c r="H66" s="35">
        <f t="shared" si="25"/>
        <v>301.01256578947368</v>
      </c>
      <c r="I66" s="19">
        <f t="shared" si="26"/>
        <v>829.34290322580648</v>
      </c>
      <c r="J66" s="122">
        <f t="shared" si="27"/>
        <v>55.168869019118517</v>
      </c>
      <c r="K66" s="18">
        <f>_xlfn.XLOOKUP($B:$B,'Compilado 2023'!$B:$B,'Compilado 2023'!K:K)</f>
        <v>4182</v>
      </c>
      <c r="L66" s="54">
        <f t="shared" si="28"/>
        <v>3.6346245815399331E-2</v>
      </c>
      <c r="M66" s="149"/>
      <c r="N66" s="106">
        <f>_xlfn.XLOOKUP($B:$B,'Compilado 2023'!$B:$B,'Compilado 2023'!N:N)</f>
        <v>584.9</v>
      </c>
      <c r="O66" s="106">
        <f>_xlfn.XLOOKUP($B:$B,'Compilado 2023'!$B:$B,'Compilado 2023'!O:O)</f>
        <v>192.83</v>
      </c>
      <c r="P66" s="106">
        <f>_xlfn.XLOOKUP($B:$B,'Compilado 2023'!$B:$B,'Compilado 2023'!P:P)</f>
        <v>0</v>
      </c>
      <c r="Q66" s="106">
        <f>_xlfn.XLOOKUP($B:$B,'Compilado 2023'!$B:$B,'Compilado 2023'!Q:Q)</f>
        <v>51.612903225806448</v>
      </c>
      <c r="R66" s="106">
        <f>_xlfn.XLOOKUP($B:$B,'Compilado 2023'!$B:$B,'Compilado 2023'!R:R)</f>
        <v>0</v>
      </c>
      <c r="S66" s="106">
        <f>_xlfn.XLOOKUP($B:$B,'Compilado 2023'!$B:$B,'Compilado 2023'!T:T)</f>
        <v>0</v>
      </c>
      <c r="T66" s="106">
        <f>_xlfn.XLOOKUP($B:$B,'Compilado 2023'!$B:$B,'Compilado 2023'!U:U)</f>
        <v>0</v>
      </c>
      <c r="U66" s="106">
        <f>_xlfn.XLOOKUP($B:$B,'Compilado 2023'!$B:$B,'Compilado 2023'!V:V)</f>
        <v>0</v>
      </c>
      <c r="V66" s="57"/>
      <c r="W66" s="106">
        <f>_xlfn.XLOOKUP($B:$B,'Compilado 2023'!$B:$B,'Compilado 2023'!X:X)</f>
        <v>0</v>
      </c>
      <c r="X66" s="106">
        <f>_xlfn.XLOOKUP($B:$B,'Compilado 2023'!$B:$B,'Compilado 2023'!Y:Y)</f>
        <v>0</v>
      </c>
      <c r="Y66" s="106">
        <f>_xlfn.XLOOKUP($B:$B,'Compilado 2023'!$B:$B,'Compilado 2023'!Z:Z)</f>
        <v>0</v>
      </c>
      <c r="AA66" s="208">
        <v>45110</v>
      </c>
    </row>
    <row r="67" spans="1:27" hidden="1" x14ac:dyDescent="0.2">
      <c r="A67" s="17" t="str">
        <f t="shared" ca="1" si="23"/>
        <v>Realizado</v>
      </c>
      <c r="B67" s="17">
        <v>44777</v>
      </c>
      <c r="C67" s="19">
        <f t="shared" si="24"/>
        <v>44512.45</v>
      </c>
      <c r="D67" s="35">
        <f>_xlfn.XLOOKUP($B:$B,'Compilado 2023'!$B:$B,'Compilado 2023'!D:D)</f>
        <v>44512.45</v>
      </c>
      <c r="E67" s="35">
        <f>_xlfn.XLOOKUP($B:$B,'Compilado 2023'!$B:$B,'Compilado 2023'!E:E)</f>
        <v>0</v>
      </c>
      <c r="F67" s="18">
        <f>_xlfn.XLOOKUP($B:$B,'Compilado 2023'!$B:$B,'Compilado 2023'!F:F)</f>
        <v>164</v>
      </c>
      <c r="G67" s="18">
        <f>_xlfn.XLOOKUP($B:$B,'Compilado 2023'!$B:$B,'Compilado 2023'!G:G)</f>
        <v>195</v>
      </c>
      <c r="H67" s="35">
        <f t="shared" si="25"/>
        <v>271.41737804878045</v>
      </c>
      <c r="I67" s="19">
        <f t="shared" si="26"/>
        <v>872.13290322580644</v>
      </c>
      <c r="J67" s="122">
        <f t="shared" si="27"/>
        <v>51.038608720482081</v>
      </c>
      <c r="K67" s="18">
        <f>_xlfn.XLOOKUP($B:$B,'Compilado 2023'!$B:$B,'Compilado 2023'!K:K)</f>
        <v>4335</v>
      </c>
      <c r="L67" s="54">
        <f t="shared" si="28"/>
        <v>3.7831603229527104E-2</v>
      </c>
      <c r="M67" s="149"/>
      <c r="N67" s="106">
        <f>_xlfn.XLOOKUP($B:$B,'Compilado 2023'!$B:$B,'Compilado 2023'!N:N)</f>
        <v>572.59</v>
      </c>
      <c r="O67" s="106">
        <f>_xlfn.XLOOKUP($B:$B,'Compilado 2023'!$B:$B,'Compilado 2023'!O:O)</f>
        <v>247.93</v>
      </c>
      <c r="P67" s="106">
        <f>_xlfn.XLOOKUP($B:$B,'Compilado 2023'!$B:$B,'Compilado 2023'!P:P)</f>
        <v>0</v>
      </c>
      <c r="Q67" s="106">
        <f>_xlfn.XLOOKUP($B:$B,'Compilado 2023'!$B:$B,'Compilado 2023'!Q:Q)</f>
        <v>51.612903225806448</v>
      </c>
      <c r="R67" s="106">
        <f>_xlfn.XLOOKUP($B:$B,'Compilado 2023'!$B:$B,'Compilado 2023'!R:R)</f>
        <v>0</v>
      </c>
      <c r="S67" s="106">
        <f>_xlfn.XLOOKUP($B:$B,'Compilado 2023'!$B:$B,'Compilado 2023'!T:T)</f>
        <v>0</v>
      </c>
      <c r="T67" s="106">
        <f>_xlfn.XLOOKUP($B:$B,'Compilado 2023'!$B:$B,'Compilado 2023'!U:U)</f>
        <v>0</v>
      </c>
      <c r="U67" s="106">
        <f>_xlfn.XLOOKUP($B:$B,'Compilado 2023'!$B:$B,'Compilado 2023'!V:V)</f>
        <v>0</v>
      </c>
      <c r="V67" s="57"/>
      <c r="W67" s="106">
        <f>_xlfn.XLOOKUP($B:$B,'Compilado 2023'!$B:$B,'Compilado 2023'!X:X)</f>
        <v>0</v>
      </c>
      <c r="X67" s="106">
        <f>_xlfn.XLOOKUP($B:$B,'Compilado 2023'!$B:$B,'Compilado 2023'!Y:Y)</f>
        <v>0</v>
      </c>
      <c r="Y67" s="106">
        <f>_xlfn.XLOOKUP($B:$B,'Compilado 2023'!$B:$B,'Compilado 2023'!Z:Z)</f>
        <v>0</v>
      </c>
      <c r="AA67" s="208">
        <v>45111</v>
      </c>
    </row>
    <row r="68" spans="1:27" hidden="1" x14ac:dyDescent="0.2">
      <c r="A68" s="17" t="str">
        <f t="shared" ca="1" si="23"/>
        <v>Realizado</v>
      </c>
      <c r="B68" s="17">
        <v>44778</v>
      </c>
      <c r="C68" s="19">
        <f t="shared" si="24"/>
        <v>45445.14</v>
      </c>
      <c r="D68" s="35">
        <f>_xlfn.XLOOKUP($B:$B,'Compilado 2023'!$B:$B,'Compilado 2023'!D:D)</f>
        <v>45445.14</v>
      </c>
      <c r="E68" s="35">
        <f>_xlfn.XLOOKUP($B:$B,'Compilado 2023'!$B:$B,'Compilado 2023'!E:E)</f>
        <v>0</v>
      </c>
      <c r="F68" s="18">
        <f>_xlfn.XLOOKUP($B:$B,'Compilado 2023'!$B:$B,'Compilado 2023'!F:F)</f>
        <v>170</v>
      </c>
      <c r="G68" s="18">
        <f>_xlfn.XLOOKUP($B:$B,'Compilado 2023'!$B:$B,'Compilado 2023'!G:G)</f>
        <v>225</v>
      </c>
      <c r="H68" s="35">
        <f t="shared" si="25"/>
        <v>267.32435294117647</v>
      </c>
      <c r="I68" s="19">
        <f t="shared" si="26"/>
        <v>916.16290322580653</v>
      </c>
      <c r="J68" s="122">
        <f t="shared" si="27"/>
        <v>49.603776620934788</v>
      </c>
      <c r="K68" s="18">
        <f>_xlfn.XLOOKUP($B:$B,'Compilado 2023'!$B:$B,'Compilado 2023'!K:K)</f>
        <v>4281</v>
      </c>
      <c r="L68" s="54">
        <f t="shared" si="28"/>
        <v>3.9710348049521137E-2</v>
      </c>
      <c r="M68" s="149"/>
      <c r="N68" s="106">
        <f>_xlfn.XLOOKUP($B:$B,'Compilado 2023'!$B:$B,'Compilado 2023'!N:N)</f>
        <v>600.07000000000005</v>
      </c>
      <c r="O68" s="106">
        <f>_xlfn.XLOOKUP($B:$B,'Compilado 2023'!$B:$B,'Compilado 2023'!O:O)</f>
        <v>264.48</v>
      </c>
      <c r="P68" s="106">
        <f>_xlfn.XLOOKUP($B:$B,'Compilado 2023'!$B:$B,'Compilado 2023'!P:P)</f>
        <v>0</v>
      </c>
      <c r="Q68" s="106">
        <f>_xlfn.XLOOKUP($B:$B,'Compilado 2023'!$B:$B,'Compilado 2023'!Q:Q)</f>
        <v>51.612903225806448</v>
      </c>
      <c r="R68" s="106">
        <f>_xlfn.XLOOKUP($B:$B,'Compilado 2023'!$B:$B,'Compilado 2023'!R:R)</f>
        <v>0</v>
      </c>
      <c r="S68" s="106">
        <f>_xlfn.XLOOKUP($B:$B,'Compilado 2023'!$B:$B,'Compilado 2023'!T:T)</f>
        <v>0</v>
      </c>
      <c r="T68" s="106">
        <f>_xlfn.XLOOKUP($B:$B,'Compilado 2023'!$B:$B,'Compilado 2023'!U:U)</f>
        <v>0</v>
      </c>
      <c r="U68" s="106">
        <f>_xlfn.XLOOKUP($B:$B,'Compilado 2023'!$B:$B,'Compilado 2023'!V:V)</f>
        <v>0</v>
      </c>
      <c r="V68" s="57"/>
      <c r="W68" s="106">
        <f>_xlfn.XLOOKUP($B:$B,'Compilado 2023'!$B:$B,'Compilado 2023'!X:X)</f>
        <v>0</v>
      </c>
      <c r="X68" s="106">
        <f>_xlfn.XLOOKUP($B:$B,'Compilado 2023'!$B:$B,'Compilado 2023'!Y:Y)</f>
        <v>0</v>
      </c>
      <c r="Y68" s="106">
        <f>_xlfn.XLOOKUP($B:$B,'Compilado 2023'!$B:$B,'Compilado 2023'!Z:Z)</f>
        <v>0</v>
      </c>
      <c r="AA68" s="208">
        <v>45112</v>
      </c>
    </row>
    <row r="69" spans="1:27" hidden="1" x14ac:dyDescent="0.2">
      <c r="A69" s="17" t="str">
        <f ca="1">IF($A$63&lt;=AA69,"Previsto","Realizado")</f>
        <v>Realizado</v>
      </c>
      <c r="B69" s="17">
        <v>44779</v>
      </c>
      <c r="C69" s="19">
        <f t="shared" si="24"/>
        <v>30357.829999999998</v>
      </c>
      <c r="D69" s="35">
        <f>_xlfn.XLOOKUP($B:$B,'Compilado 2023'!$B:$B,'Compilado 2023'!D:D)</f>
        <v>30290.46</v>
      </c>
      <c r="E69" s="35">
        <f>_xlfn.XLOOKUP($B:$B,'Compilado 2023'!$B:$B,'Compilado 2023'!E:E)</f>
        <v>67.37</v>
      </c>
      <c r="F69" s="18">
        <f>_xlfn.XLOOKUP($B:$B,'Compilado 2023'!$B:$B,'Compilado 2023'!F:F)</f>
        <v>125</v>
      </c>
      <c r="G69" s="18">
        <f>_xlfn.XLOOKUP($B:$B,'Compilado 2023'!$B:$B,'Compilado 2023'!G:G)</f>
        <v>153</v>
      </c>
      <c r="H69" s="35">
        <f t="shared" si="25"/>
        <v>242.86264</v>
      </c>
      <c r="I69" s="19">
        <f t="shared" si="26"/>
        <v>897.14290322580644</v>
      </c>
      <c r="J69" s="122">
        <f t="shared" si="27"/>
        <v>33.838343803249238</v>
      </c>
      <c r="K69" s="18">
        <f>_xlfn.XLOOKUP($B:$B,'Compilado 2023'!$B:$B,'Compilado 2023'!K:K)</f>
        <v>3263</v>
      </c>
      <c r="L69" s="54">
        <f t="shared" si="28"/>
        <v>3.8308305240576157E-2</v>
      </c>
      <c r="M69" s="149"/>
      <c r="N69" s="106">
        <f>_xlfn.XLOOKUP($B:$B,'Compilado 2023'!$B:$B,'Compilado 2023'!N:N)</f>
        <v>558.65</v>
      </c>
      <c r="O69" s="106">
        <f>_xlfn.XLOOKUP($B:$B,'Compilado 2023'!$B:$B,'Compilado 2023'!O:O)</f>
        <v>286.88</v>
      </c>
      <c r="P69" s="106">
        <f>_xlfn.XLOOKUP($B:$B,'Compilado 2023'!$B:$B,'Compilado 2023'!P:P)</f>
        <v>0</v>
      </c>
      <c r="Q69" s="106">
        <f>_xlfn.XLOOKUP($B:$B,'Compilado 2023'!$B:$B,'Compilado 2023'!Q:Q)</f>
        <v>51.612903225806448</v>
      </c>
      <c r="R69" s="106">
        <f>_xlfn.XLOOKUP($B:$B,'Compilado 2023'!$B:$B,'Compilado 2023'!R:R)</f>
        <v>0</v>
      </c>
      <c r="S69" s="106">
        <f>_xlfn.XLOOKUP($B:$B,'Compilado 2023'!$B:$B,'Compilado 2023'!T:T)</f>
        <v>0</v>
      </c>
      <c r="T69" s="106">
        <f>_xlfn.XLOOKUP($B:$B,'Compilado 2023'!$B:$B,'Compilado 2023'!U:U)</f>
        <v>0</v>
      </c>
      <c r="U69" s="106">
        <f>_xlfn.XLOOKUP($B:$B,'Compilado 2023'!$B:$B,'Compilado 2023'!V:V)</f>
        <v>0</v>
      </c>
      <c r="V69" s="57"/>
      <c r="W69" s="106">
        <f>_xlfn.XLOOKUP($B:$B,'Compilado 2023'!$B:$B,'Compilado 2023'!X:X)</f>
        <v>0</v>
      </c>
      <c r="X69" s="106">
        <f>_xlfn.XLOOKUP($B:$B,'Compilado 2023'!$B:$B,'Compilado 2023'!Y:Y)</f>
        <v>0</v>
      </c>
      <c r="Y69" s="106">
        <f>_xlfn.XLOOKUP($B:$B,'Compilado 2023'!$B:$B,'Compilado 2023'!Z:Z)</f>
        <v>0</v>
      </c>
      <c r="AA69" s="208">
        <v>45113</v>
      </c>
    </row>
    <row r="70" spans="1:27" hidden="1" x14ac:dyDescent="0.2">
      <c r="A70" s="17" t="str">
        <f t="shared" ref="A70:A94" ca="1" si="29">IF($A$63&lt;=AA70,"Previsto","Realizado")</f>
        <v>Realizado</v>
      </c>
      <c r="B70" s="17">
        <v>44780</v>
      </c>
      <c r="C70" s="19">
        <f t="shared" si="24"/>
        <v>24401.55</v>
      </c>
      <c r="D70" s="35">
        <f>_xlfn.XLOOKUP($B:$B,'Compilado 2023'!$B:$B,'Compilado 2023'!D:D)</f>
        <v>24401.55</v>
      </c>
      <c r="E70" s="35">
        <f>_xlfn.XLOOKUP($B:$B,'Compilado 2023'!$B:$B,'Compilado 2023'!E:E)</f>
        <v>0</v>
      </c>
      <c r="F70" s="18">
        <f>_xlfn.XLOOKUP($B:$B,'Compilado 2023'!$B:$B,'Compilado 2023'!F:F)</f>
        <v>84</v>
      </c>
      <c r="G70" s="18">
        <f>_xlfn.XLOOKUP($B:$B,'Compilado 2023'!$B:$B,'Compilado 2023'!G:G)</f>
        <v>98</v>
      </c>
      <c r="H70" s="35">
        <f t="shared" si="25"/>
        <v>290.49464285714282</v>
      </c>
      <c r="I70" s="19">
        <f t="shared" si="26"/>
        <v>900.88290322580644</v>
      </c>
      <c r="J70" s="122">
        <f t="shared" si="27"/>
        <v>27.086261613607011</v>
      </c>
      <c r="K70" s="18">
        <f>_xlfn.XLOOKUP($B:$B,'Compilado 2023'!$B:$B,'Compilado 2023'!K:K)</f>
        <v>2756</v>
      </c>
      <c r="L70" s="54">
        <f t="shared" si="28"/>
        <v>3.0478955007256895E-2</v>
      </c>
      <c r="M70" s="149"/>
      <c r="N70" s="106">
        <f>_xlfn.XLOOKUP($B:$B,'Compilado 2023'!$B:$B,'Compilado 2023'!N:N)</f>
        <v>529.92999999999995</v>
      </c>
      <c r="O70" s="106">
        <f>_xlfn.XLOOKUP($B:$B,'Compilado 2023'!$B:$B,'Compilado 2023'!O:O)</f>
        <v>319.33999999999997</v>
      </c>
      <c r="P70" s="106">
        <f>_xlfn.XLOOKUP($B:$B,'Compilado 2023'!$B:$B,'Compilado 2023'!P:P)</f>
        <v>0</v>
      </c>
      <c r="Q70" s="106">
        <f>_xlfn.XLOOKUP($B:$B,'Compilado 2023'!$B:$B,'Compilado 2023'!Q:Q)</f>
        <v>51.612903225806448</v>
      </c>
      <c r="R70" s="106">
        <f>_xlfn.XLOOKUP($B:$B,'Compilado 2023'!$B:$B,'Compilado 2023'!R:R)</f>
        <v>0</v>
      </c>
      <c r="S70" s="106">
        <f>_xlfn.XLOOKUP($B:$B,'Compilado 2023'!$B:$B,'Compilado 2023'!T:T)</f>
        <v>0</v>
      </c>
      <c r="T70" s="106">
        <f>_xlfn.XLOOKUP($B:$B,'Compilado 2023'!$B:$B,'Compilado 2023'!U:U)</f>
        <v>0</v>
      </c>
      <c r="U70" s="106">
        <f>_xlfn.XLOOKUP($B:$B,'Compilado 2023'!$B:$B,'Compilado 2023'!V:V)</f>
        <v>0</v>
      </c>
      <c r="V70" s="57"/>
      <c r="W70" s="106">
        <f>_xlfn.XLOOKUP($B:$B,'Compilado 2023'!$B:$B,'Compilado 2023'!X:X)</f>
        <v>0</v>
      </c>
      <c r="X70" s="106">
        <f>_xlfn.XLOOKUP($B:$B,'Compilado 2023'!$B:$B,'Compilado 2023'!Y:Y)</f>
        <v>0</v>
      </c>
      <c r="Y70" s="106">
        <f>_xlfn.XLOOKUP($B:$B,'Compilado 2023'!$B:$B,'Compilado 2023'!Z:Z)</f>
        <v>0</v>
      </c>
      <c r="AA70" s="208">
        <v>45114</v>
      </c>
    </row>
    <row r="71" spans="1:27" hidden="1" x14ac:dyDescent="0.2">
      <c r="A71" s="17" t="str">
        <f t="shared" ca="1" si="29"/>
        <v>Realizado</v>
      </c>
      <c r="B71" s="17">
        <v>44781</v>
      </c>
      <c r="C71" s="19">
        <f t="shared" si="24"/>
        <v>61070.12</v>
      </c>
      <c r="D71" s="35">
        <f>_xlfn.XLOOKUP($B:$B,'Compilado 2023'!$B:$B,'Compilado 2023'!D:D)</f>
        <v>61038.25</v>
      </c>
      <c r="E71" s="35">
        <f>_xlfn.XLOOKUP($B:$B,'Compilado 2023'!$B:$B,'Compilado 2023'!E:E)</f>
        <v>31.87</v>
      </c>
      <c r="F71" s="18">
        <f>_xlfn.XLOOKUP($B:$B,'Compilado 2023'!$B:$B,'Compilado 2023'!F:F)</f>
        <v>192</v>
      </c>
      <c r="G71" s="18">
        <f>_xlfn.XLOOKUP($B:$B,'Compilado 2023'!$B:$B,'Compilado 2023'!G:G)</f>
        <v>236</v>
      </c>
      <c r="H71" s="35">
        <f t="shared" si="25"/>
        <v>318.0735416666667</v>
      </c>
      <c r="I71" s="19">
        <f t="shared" si="26"/>
        <v>980.59290322580648</v>
      </c>
      <c r="J71" s="122">
        <f t="shared" si="27"/>
        <v>62.278770118670799</v>
      </c>
      <c r="K71" s="18">
        <f>_xlfn.XLOOKUP($B:$B,'Compilado 2023'!$B:$B,'Compilado 2023'!K:K)</f>
        <v>4353</v>
      </c>
      <c r="L71" s="54">
        <f t="shared" si="28"/>
        <v>4.4107512060647829E-2</v>
      </c>
      <c r="M71" s="149"/>
      <c r="N71" s="106">
        <f>_xlfn.XLOOKUP($B:$B,'Compilado 2023'!$B:$B,'Compilado 2023'!N:N)</f>
        <v>627.21</v>
      </c>
      <c r="O71" s="106">
        <f>_xlfn.XLOOKUP($B:$B,'Compilado 2023'!$B:$B,'Compilado 2023'!O:O)</f>
        <v>301.77</v>
      </c>
      <c r="P71" s="106">
        <f>_xlfn.XLOOKUP($B:$B,'Compilado 2023'!$B:$B,'Compilado 2023'!P:P)</f>
        <v>0</v>
      </c>
      <c r="Q71" s="106">
        <f>_xlfn.XLOOKUP($B:$B,'Compilado 2023'!$B:$B,'Compilado 2023'!Q:Q)</f>
        <v>51.612903225806448</v>
      </c>
      <c r="R71" s="106">
        <f>_xlfn.XLOOKUP($B:$B,'Compilado 2023'!$B:$B,'Compilado 2023'!R:R)</f>
        <v>0</v>
      </c>
      <c r="S71" s="106">
        <f>_xlfn.XLOOKUP($B:$B,'Compilado 2023'!$B:$B,'Compilado 2023'!T:T)</f>
        <v>0</v>
      </c>
      <c r="T71" s="106">
        <f>_xlfn.XLOOKUP($B:$B,'Compilado 2023'!$B:$B,'Compilado 2023'!U:U)</f>
        <v>0</v>
      </c>
      <c r="U71" s="106">
        <f>_xlfn.XLOOKUP($B:$B,'Compilado 2023'!$B:$B,'Compilado 2023'!V:V)</f>
        <v>0</v>
      </c>
      <c r="V71" s="57"/>
      <c r="W71" s="106">
        <f>_xlfn.XLOOKUP($B:$B,'Compilado 2023'!$B:$B,'Compilado 2023'!X:X)</f>
        <v>0</v>
      </c>
      <c r="X71" s="106">
        <f>_xlfn.XLOOKUP($B:$B,'Compilado 2023'!$B:$B,'Compilado 2023'!Y:Y)</f>
        <v>0</v>
      </c>
      <c r="Y71" s="106">
        <f>_xlfn.XLOOKUP($B:$B,'Compilado 2023'!$B:$B,'Compilado 2023'!Z:Z)</f>
        <v>0</v>
      </c>
      <c r="AA71" s="208">
        <v>45115</v>
      </c>
    </row>
    <row r="72" spans="1:27" hidden="1" x14ac:dyDescent="0.2">
      <c r="A72" s="17" t="str">
        <f t="shared" ca="1" si="29"/>
        <v>Realizado</v>
      </c>
      <c r="B72" s="17">
        <v>44782</v>
      </c>
      <c r="C72" s="19">
        <f t="shared" si="24"/>
        <v>59006.1</v>
      </c>
      <c r="D72" s="35">
        <f>_xlfn.XLOOKUP($B:$B,'Compilado 2023'!$B:$B,'Compilado 2023'!D:D)</f>
        <v>59006.1</v>
      </c>
      <c r="E72" s="35">
        <f>_xlfn.XLOOKUP($B:$B,'Compilado 2023'!$B:$B,'Compilado 2023'!E:E)</f>
        <v>0</v>
      </c>
      <c r="F72" s="18">
        <f>_xlfn.XLOOKUP($B:$B,'Compilado 2023'!$B:$B,'Compilado 2023'!F:F)</f>
        <v>199</v>
      </c>
      <c r="G72" s="18">
        <f>_xlfn.XLOOKUP($B:$B,'Compilado 2023'!$B:$B,'Compilado 2023'!G:G)</f>
        <v>251</v>
      </c>
      <c r="H72" s="35">
        <f t="shared" si="25"/>
        <v>296.51306532663318</v>
      </c>
      <c r="I72" s="19">
        <f t="shared" si="26"/>
        <v>950.98290322580658</v>
      </c>
      <c r="J72" s="122">
        <f t="shared" si="27"/>
        <v>62.047487709659976</v>
      </c>
      <c r="K72" s="18">
        <f>_xlfn.XLOOKUP($B:$B,'Compilado 2023'!$B:$B,'Compilado 2023'!K:K)</f>
        <v>4293</v>
      </c>
      <c r="L72" s="54">
        <f t="shared" si="28"/>
        <v>4.6354530631260188E-2</v>
      </c>
      <c r="M72" s="149"/>
      <c r="N72" s="106">
        <f>_xlfn.XLOOKUP($B:$B,'Compilado 2023'!$B:$B,'Compilado 2023'!N:N)</f>
        <v>574.20000000000005</v>
      </c>
      <c r="O72" s="106">
        <f>_xlfn.XLOOKUP($B:$B,'Compilado 2023'!$B:$B,'Compilado 2023'!O:O)</f>
        <v>325.17</v>
      </c>
      <c r="P72" s="106">
        <f>_xlfn.XLOOKUP($B:$B,'Compilado 2023'!$B:$B,'Compilado 2023'!P:P)</f>
        <v>0</v>
      </c>
      <c r="Q72" s="106">
        <f>_xlfn.XLOOKUP($B:$B,'Compilado 2023'!$B:$B,'Compilado 2023'!Q:Q)</f>
        <v>51.612903225806448</v>
      </c>
      <c r="R72" s="106">
        <f>_xlfn.XLOOKUP($B:$B,'Compilado 2023'!$B:$B,'Compilado 2023'!R:R)</f>
        <v>0</v>
      </c>
      <c r="S72" s="106">
        <f>_xlfn.XLOOKUP($B:$B,'Compilado 2023'!$B:$B,'Compilado 2023'!T:T)</f>
        <v>0</v>
      </c>
      <c r="T72" s="106">
        <f>_xlfn.XLOOKUP($B:$B,'Compilado 2023'!$B:$B,'Compilado 2023'!U:U)</f>
        <v>0</v>
      </c>
      <c r="U72" s="106">
        <f>_xlfn.XLOOKUP($B:$B,'Compilado 2023'!$B:$B,'Compilado 2023'!V:V)</f>
        <v>0</v>
      </c>
      <c r="V72" s="57"/>
      <c r="W72" s="106">
        <f>_xlfn.XLOOKUP($B:$B,'Compilado 2023'!$B:$B,'Compilado 2023'!X:X)</f>
        <v>0</v>
      </c>
      <c r="X72" s="106">
        <f>_xlfn.XLOOKUP($B:$B,'Compilado 2023'!$B:$B,'Compilado 2023'!Y:Y)</f>
        <v>0</v>
      </c>
      <c r="Y72" s="106">
        <f>_xlfn.XLOOKUP($B:$B,'Compilado 2023'!$B:$B,'Compilado 2023'!Z:Z)</f>
        <v>0</v>
      </c>
      <c r="AA72" s="208">
        <v>45116</v>
      </c>
    </row>
    <row r="73" spans="1:27" hidden="1" x14ac:dyDescent="0.2">
      <c r="A73" s="17" t="str">
        <f t="shared" ca="1" si="29"/>
        <v>Realizado</v>
      </c>
      <c r="B73" s="17">
        <v>44783</v>
      </c>
      <c r="C73" s="19">
        <f t="shared" si="24"/>
        <v>57417.25</v>
      </c>
      <c r="D73" s="35">
        <f>_xlfn.XLOOKUP($B:$B,'Compilado 2023'!$B:$B,'Compilado 2023'!D:D)</f>
        <v>57417.25</v>
      </c>
      <c r="E73" s="35">
        <f>_xlfn.XLOOKUP($B:$B,'Compilado 2023'!$B:$B,'Compilado 2023'!E:E)</f>
        <v>0</v>
      </c>
      <c r="F73" s="18">
        <f>_xlfn.XLOOKUP($B:$B,'Compilado 2023'!$B:$B,'Compilado 2023'!F:F)</f>
        <v>211</v>
      </c>
      <c r="G73" s="18">
        <f>_xlfn.XLOOKUP($B:$B,'Compilado 2023'!$B:$B,'Compilado 2023'!G:G)</f>
        <v>246</v>
      </c>
      <c r="H73" s="35">
        <f t="shared" si="25"/>
        <v>272.11966824644549</v>
      </c>
      <c r="I73" s="19">
        <f t="shared" si="26"/>
        <v>1063.5229032258064</v>
      </c>
      <c r="J73" s="122">
        <f t="shared" si="27"/>
        <v>53.987788909713032</v>
      </c>
      <c r="K73" s="18">
        <f>_xlfn.XLOOKUP($B:$B,'Compilado 2023'!$B:$B,'Compilado 2023'!K:K)</f>
        <v>4130</v>
      </c>
      <c r="L73" s="54">
        <f t="shared" si="28"/>
        <v>5.1089588377723968E-2</v>
      </c>
      <c r="M73" s="149"/>
      <c r="N73" s="106">
        <f>_xlfn.XLOOKUP($B:$B,'Compilado 2023'!$B:$B,'Compilado 2023'!N:N)</f>
        <v>587.58000000000004</v>
      </c>
      <c r="O73" s="106">
        <f>_xlfn.XLOOKUP($B:$B,'Compilado 2023'!$B:$B,'Compilado 2023'!O:O)</f>
        <v>424.33</v>
      </c>
      <c r="P73" s="106">
        <f>_xlfn.XLOOKUP($B:$B,'Compilado 2023'!$B:$B,'Compilado 2023'!P:P)</f>
        <v>0</v>
      </c>
      <c r="Q73" s="106">
        <f>_xlfn.XLOOKUP($B:$B,'Compilado 2023'!$B:$B,'Compilado 2023'!Q:Q)</f>
        <v>51.612903225806448</v>
      </c>
      <c r="R73" s="106">
        <f>_xlfn.XLOOKUP($B:$B,'Compilado 2023'!$B:$B,'Compilado 2023'!R:R)</f>
        <v>0</v>
      </c>
      <c r="S73" s="106">
        <f>_xlfn.XLOOKUP($B:$B,'Compilado 2023'!$B:$B,'Compilado 2023'!T:T)</f>
        <v>0</v>
      </c>
      <c r="T73" s="106">
        <f>_xlfn.XLOOKUP($B:$B,'Compilado 2023'!$B:$B,'Compilado 2023'!U:U)</f>
        <v>0</v>
      </c>
      <c r="U73" s="106">
        <f>_xlfn.XLOOKUP($B:$B,'Compilado 2023'!$B:$B,'Compilado 2023'!V:V)</f>
        <v>0</v>
      </c>
      <c r="V73" s="57"/>
      <c r="W73" s="106">
        <f>_xlfn.XLOOKUP($B:$B,'Compilado 2023'!$B:$B,'Compilado 2023'!X:X)</f>
        <v>0</v>
      </c>
      <c r="X73" s="106">
        <f>_xlfn.XLOOKUP($B:$B,'Compilado 2023'!$B:$B,'Compilado 2023'!Y:Y)</f>
        <v>0</v>
      </c>
      <c r="Y73" s="106">
        <f>_xlfn.XLOOKUP($B:$B,'Compilado 2023'!$B:$B,'Compilado 2023'!Z:Z)</f>
        <v>0</v>
      </c>
      <c r="AA73" s="208">
        <v>45117</v>
      </c>
    </row>
    <row r="74" spans="1:27" hidden="1" x14ac:dyDescent="0.2">
      <c r="A74" s="17" t="str">
        <f t="shared" ca="1" si="29"/>
        <v>Realizado</v>
      </c>
      <c r="B74" s="17">
        <v>44784</v>
      </c>
      <c r="C74" s="19">
        <f t="shared" si="24"/>
        <v>56325.450000000004</v>
      </c>
      <c r="D74" s="35">
        <f>_xlfn.XLOOKUP($B:$B,'Compilado 2023'!$B:$B,'Compilado 2023'!D:D)</f>
        <v>56301.440000000002</v>
      </c>
      <c r="E74" s="35">
        <f>_xlfn.XLOOKUP($B:$B,'Compilado 2023'!$B:$B,'Compilado 2023'!E:E)</f>
        <v>24.01</v>
      </c>
      <c r="F74" s="18">
        <f>_xlfn.XLOOKUP($B:$B,'Compilado 2023'!$B:$B,'Compilado 2023'!F:F)</f>
        <v>201</v>
      </c>
      <c r="G74" s="18">
        <f>_xlfn.XLOOKUP($B:$B,'Compilado 2023'!$B:$B,'Compilado 2023'!G:G)</f>
        <v>266</v>
      </c>
      <c r="H74" s="35">
        <f t="shared" si="25"/>
        <v>280.22611940298509</v>
      </c>
      <c r="I74" s="19">
        <f t="shared" si="26"/>
        <v>1050.0129032258064</v>
      </c>
      <c r="J74" s="122">
        <f t="shared" si="27"/>
        <v>53.642626511502165</v>
      </c>
      <c r="K74" s="18">
        <f>_xlfn.XLOOKUP($B:$B,'Compilado 2023'!$B:$B,'Compilado 2023'!K:K)</f>
        <v>4014</v>
      </c>
      <c r="L74" s="54">
        <f t="shared" si="28"/>
        <v>5.0074738415545592E-2</v>
      </c>
      <c r="M74" s="149"/>
      <c r="N74" s="106">
        <f>_xlfn.XLOOKUP($B:$B,'Compilado 2023'!$B:$B,'Compilado 2023'!N:N)</f>
        <v>583.79</v>
      </c>
      <c r="O74" s="106">
        <f>_xlfn.XLOOKUP($B:$B,'Compilado 2023'!$B:$B,'Compilado 2023'!O:O)</f>
        <v>414.61</v>
      </c>
      <c r="P74" s="106">
        <f>_xlfn.XLOOKUP($B:$B,'Compilado 2023'!$B:$B,'Compilado 2023'!P:P)</f>
        <v>0</v>
      </c>
      <c r="Q74" s="106">
        <f>_xlfn.XLOOKUP($B:$B,'Compilado 2023'!$B:$B,'Compilado 2023'!Q:Q)</f>
        <v>51.612903225806448</v>
      </c>
      <c r="R74" s="106">
        <f>_xlfn.XLOOKUP($B:$B,'Compilado 2023'!$B:$B,'Compilado 2023'!R:R)</f>
        <v>0</v>
      </c>
      <c r="S74" s="106">
        <f>_xlfn.XLOOKUP($B:$B,'Compilado 2023'!$B:$B,'Compilado 2023'!T:T)</f>
        <v>0</v>
      </c>
      <c r="T74" s="106">
        <f>_xlfn.XLOOKUP($B:$B,'Compilado 2023'!$B:$B,'Compilado 2023'!U:U)</f>
        <v>0</v>
      </c>
      <c r="U74" s="106">
        <f>_xlfn.XLOOKUP($B:$B,'Compilado 2023'!$B:$B,'Compilado 2023'!V:V)</f>
        <v>0</v>
      </c>
      <c r="V74" s="57"/>
      <c r="W74" s="106">
        <f>_xlfn.XLOOKUP($B:$B,'Compilado 2023'!$B:$B,'Compilado 2023'!X:X)</f>
        <v>0</v>
      </c>
      <c r="X74" s="106">
        <f>_xlfn.XLOOKUP($B:$B,'Compilado 2023'!$B:$B,'Compilado 2023'!Y:Y)</f>
        <v>0</v>
      </c>
      <c r="Y74" s="106">
        <f>_xlfn.XLOOKUP($B:$B,'Compilado 2023'!$B:$B,'Compilado 2023'!Z:Z)</f>
        <v>0</v>
      </c>
      <c r="AA74" s="208">
        <v>45118</v>
      </c>
    </row>
    <row r="75" spans="1:27" hidden="1" x14ac:dyDescent="0.2">
      <c r="A75" s="17" t="str">
        <f t="shared" ca="1" si="29"/>
        <v>Realizado</v>
      </c>
      <c r="B75" s="17">
        <v>44785</v>
      </c>
      <c r="C75" s="19">
        <f t="shared" si="24"/>
        <v>81631.37</v>
      </c>
      <c r="D75" s="35">
        <f>_xlfn.XLOOKUP($B:$B,'Compilado 2023'!$B:$B,'Compilado 2023'!D:D)</f>
        <v>81631.37</v>
      </c>
      <c r="E75" s="35">
        <f>_xlfn.XLOOKUP($B:$B,'Compilado 2023'!$B:$B,'Compilado 2023'!E:E)</f>
        <v>0</v>
      </c>
      <c r="F75" s="18">
        <f>_xlfn.XLOOKUP($B:$B,'Compilado 2023'!$B:$B,'Compilado 2023'!F:F)</f>
        <v>291</v>
      </c>
      <c r="G75" s="18">
        <f>_xlfn.XLOOKUP($B:$B,'Compilado 2023'!$B:$B,'Compilado 2023'!G:G)</f>
        <v>364</v>
      </c>
      <c r="H75" s="35">
        <f t="shared" si="25"/>
        <v>280.52017182130584</v>
      </c>
      <c r="I75" s="19">
        <f t="shared" si="26"/>
        <v>1091.5129032258064</v>
      </c>
      <c r="J75" s="122">
        <f t="shared" si="27"/>
        <v>74.787361430863939</v>
      </c>
      <c r="K75" s="18">
        <f>_xlfn.XLOOKUP($B:$B,'Compilado 2023'!$B:$B,'Compilado 2023'!K:K)</f>
        <v>4219</v>
      </c>
      <c r="L75" s="54">
        <f t="shared" si="28"/>
        <v>6.8973690447973454E-2</v>
      </c>
      <c r="M75" s="149"/>
      <c r="N75" s="106">
        <f>_xlfn.XLOOKUP($B:$B,'Compilado 2023'!$B:$B,'Compilado 2023'!N:N)</f>
        <v>578.58000000000004</v>
      </c>
      <c r="O75" s="106">
        <f>_xlfn.XLOOKUP($B:$B,'Compilado 2023'!$B:$B,'Compilado 2023'!O:O)</f>
        <v>461.32</v>
      </c>
      <c r="P75" s="106">
        <f>_xlfn.XLOOKUP($B:$B,'Compilado 2023'!$B:$B,'Compilado 2023'!P:P)</f>
        <v>0</v>
      </c>
      <c r="Q75" s="106">
        <f>_xlfn.XLOOKUP($B:$B,'Compilado 2023'!$B:$B,'Compilado 2023'!Q:Q)</f>
        <v>51.612903225806448</v>
      </c>
      <c r="R75" s="106">
        <f>_xlfn.XLOOKUP($B:$B,'Compilado 2023'!$B:$B,'Compilado 2023'!R:R)</f>
        <v>0</v>
      </c>
      <c r="S75" s="106">
        <f>_xlfn.XLOOKUP($B:$B,'Compilado 2023'!$B:$B,'Compilado 2023'!T:T)</f>
        <v>0</v>
      </c>
      <c r="T75" s="106">
        <f>_xlfn.XLOOKUP($B:$B,'Compilado 2023'!$B:$B,'Compilado 2023'!U:U)</f>
        <v>0</v>
      </c>
      <c r="U75" s="106">
        <f>_xlfn.XLOOKUP($B:$B,'Compilado 2023'!$B:$B,'Compilado 2023'!V:V)</f>
        <v>0</v>
      </c>
      <c r="V75" s="57"/>
      <c r="W75" s="106">
        <f>_xlfn.XLOOKUP($B:$B,'Compilado 2023'!$B:$B,'Compilado 2023'!X:X)</f>
        <v>0</v>
      </c>
      <c r="X75" s="106">
        <f>_xlfn.XLOOKUP($B:$B,'Compilado 2023'!$B:$B,'Compilado 2023'!Y:Y)</f>
        <v>0</v>
      </c>
      <c r="Y75" s="106">
        <f>_xlfn.XLOOKUP($B:$B,'Compilado 2023'!$B:$B,'Compilado 2023'!Z:Z)</f>
        <v>0</v>
      </c>
      <c r="AA75" s="208">
        <v>45119</v>
      </c>
    </row>
    <row r="76" spans="1:27" hidden="1" x14ac:dyDescent="0.2">
      <c r="A76" s="17" t="str">
        <f t="shared" ca="1" si="29"/>
        <v>Realizado</v>
      </c>
      <c r="B76" s="17">
        <v>44786</v>
      </c>
      <c r="C76" s="19">
        <f t="shared" si="24"/>
        <v>64479.040000000001</v>
      </c>
      <c r="D76" s="35">
        <f>_xlfn.XLOOKUP($B:$B,'Compilado 2023'!$B:$B,'Compilado 2023'!D:D)</f>
        <v>64479.040000000001</v>
      </c>
      <c r="E76" s="35">
        <f>_xlfn.XLOOKUP($B:$B,'Compilado 2023'!$B:$B,'Compilado 2023'!E:E)</f>
        <v>0</v>
      </c>
      <c r="F76" s="18">
        <f>_xlfn.XLOOKUP($B:$B,'Compilado 2023'!$B:$B,'Compilado 2023'!F:F)</f>
        <v>242</v>
      </c>
      <c r="G76" s="18">
        <f>_xlfn.XLOOKUP($B:$B,'Compilado 2023'!$B:$B,'Compilado 2023'!G:G)</f>
        <v>273</v>
      </c>
      <c r="H76" s="35">
        <f t="shared" si="25"/>
        <v>266.4423140495868</v>
      </c>
      <c r="I76" s="19">
        <f t="shared" si="26"/>
        <v>1044.7429032258062</v>
      </c>
      <c r="J76" s="122">
        <f t="shared" si="27"/>
        <v>61.717614736516452</v>
      </c>
      <c r="K76" s="18">
        <f>_xlfn.XLOOKUP($B:$B,'Compilado 2023'!$B:$B,'Compilado 2023'!K:K)</f>
        <v>3373</v>
      </c>
      <c r="L76" s="54">
        <f t="shared" si="28"/>
        <v>7.1746219982211687E-2</v>
      </c>
      <c r="M76" s="149"/>
      <c r="N76" s="106">
        <f>_xlfn.XLOOKUP($B:$B,'Compilado 2023'!$B:$B,'Compilado 2023'!N:N)</f>
        <v>529.79</v>
      </c>
      <c r="O76" s="106">
        <f>_xlfn.XLOOKUP($B:$B,'Compilado 2023'!$B:$B,'Compilado 2023'!O:O)</f>
        <v>463.34</v>
      </c>
      <c r="P76" s="106">
        <f>_xlfn.XLOOKUP($B:$B,'Compilado 2023'!$B:$B,'Compilado 2023'!P:P)</f>
        <v>0</v>
      </c>
      <c r="Q76" s="106">
        <f>_xlfn.XLOOKUP($B:$B,'Compilado 2023'!$B:$B,'Compilado 2023'!Q:Q)</f>
        <v>51.612903225806448</v>
      </c>
      <c r="R76" s="106">
        <f>_xlfn.XLOOKUP($B:$B,'Compilado 2023'!$B:$B,'Compilado 2023'!R:R)</f>
        <v>0</v>
      </c>
      <c r="S76" s="106">
        <f>_xlfn.XLOOKUP($B:$B,'Compilado 2023'!$B:$B,'Compilado 2023'!T:T)</f>
        <v>0</v>
      </c>
      <c r="T76" s="106">
        <f>_xlfn.XLOOKUP($B:$B,'Compilado 2023'!$B:$B,'Compilado 2023'!U:U)</f>
        <v>0</v>
      </c>
      <c r="U76" s="106">
        <f>_xlfn.XLOOKUP($B:$B,'Compilado 2023'!$B:$B,'Compilado 2023'!V:V)</f>
        <v>0</v>
      </c>
      <c r="V76" s="57"/>
      <c r="W76" s="106">
        <f>_xlfn.XLOOKUP($B:$B,'Compilado 2023'!$B:$B,'Compilado 2023'!X:X)</f>
        <v>0</v>
      </c>
      <c r="X76" s="106">
        <f>_xlfn.XLOOKUP($B:$B,'Compilado 2023'!$B:$B,'Compilado 2023'!Y:Y)</f>
        <v>0</v>
      </c>
      <c r="Y76" s="106">
        <f>_xlfn.XLOOKUP($B:$B,'Compilado 2023'!$B:$B,'Compilado 2023'!Z:Z)</f>
        <v>0</v>
      </c>
      <c r="AA76" s="208">
        <v>45120</v>
      </c>
    </row>
    <row r="77" spans="1:27" hidden="1" x14ac:dyDescent="0.2">
      <c r="A77" s="17" t="str">
        <f t="shared" ca="1" si="29"/>
        <v>Realizado</v>
      </c>
      <c r="B77" s="17">
        <v>44787</v>
      </c>
      <c r="C77" s="19">
        <f t="shared" si="24"/>
        <v>61507.839999999997</v>
      </c>
      <c r="D77" s="35">
        <f>_xlfn.XLOOKUP($B:$B,'Compilado 2023'!$B:$B,'Compilado 2023'!D:D)</f>
        <v>61507.839999999997</v>
      </c>
      <c r="E77" s="35">
        <f>_xlfn.XLOOKUP($B:$B,'Compilado 2023'!$B:$B,'Compilado 2023'!E:E)</f>
        <v>0</v>
      </c>
      <c r="F77" s="18">
        <f>_xlfn.XLOOKUP($B:$B,'Compilado 2023'!$B:$B,'Compilado 2023'!F:F)</f>
        <v>230</v>
      </c>
      <c r="G77" s="18">
        <f>_xlfn.XLOOKUP($B:$B,'Compilado 2023'!$B:$B,'Compilado 2023'!G:G)</f>
        <v>263</v>
      </c>
      <c r="H77" s="35">
        <f t="shared" si="25"/>
        <v>267.42539130434778</v>
      </c>
      <c r="I77" s="19">
        <f t="shared" si="26"/>
        <v>1286.9429032258063</v>
      </c>
      <c r="J77" s="122">
        <f t="shared" si="27"/>
        <v>47.793759805370222</v>
      </c>
      <c r="K77" s="18">
        <f>_xlfn.XLOOKUP($B:$B,'Compilado 2023'!$B:$B,'Compilado 2023'!K:K)</f>
        <v>2660</v>
      </c>
      <c r="L77" s="54">
        <f t="shared" si="28"/>
        <v>8.646616541353383E-2</v>
      </c>
      <c r="M77" s="149"/>
      <c r="N77" s="106">
        <f>_xlfn.XLOOKUP($B:$B,'Compilado 2023'!$B:$B,'Compilado 2023'!N:N)</f>
        <v>542.69000000000005</v>
      </c>
      <c r="O77" s="106">
        <f>_xlfn.XLOOKUP($B:$B,'Compilado 2023'!$B:$B,'Compilado 2023'!O:O)</f>
        <v>692.64</v>
      </c>
      <c r="P77" s="106">
        <f>_xlfn.XLOOKUP($B:$B,'Compilado 2023'!$B:$B,'Compilado 2023'!P:P)</f>
        <v>0</v>
      </c>
      <c r="Q77" s="106">
        <f>_xlfn.XLOOKUP($B:$B,'Compilado 2023'!$B:$B,'Compilado 2023'!Q:Q)</f>
        <v>51.612903225806448</v>
      </c>
      <c r="R77" s="106">
        <f>_xlfn.XLOOKUP($B:$B,'Compilado 2023'!$B:$B,'Compilado 2023'!R:R)</f>
        <v>0</v>
      </c>
      <c r="S77" s="106">
        <f>_xlfn.XLOOKUP($B:$B,'Compilado 2023'!$B:$B,'Compilado 2023'!T:T)</f>
        <v>0</v>
      </c>
      <c r="T77" s="106">
        <f>_xlfn.XLOOKUP($B:$B,'Compilado 2023'!$B:$B,'Compilado 2023'!U:U)</f>
        <v>0</v>
      </c>
      <c r="U77" s="106">
        <f>_xlfn.XLOOKUP($B:$B,'Compilado 2023'!$B:$B,'Compilado 2023'!V:V)</f>
        <v>0</v>
      </c>
      <c r="V77" s="57"/>
      <c r="W77" s="106">
        <f>_xlfn.XLOOKUP($B:$B,'Compilado 2023'!$B:$B,'Compilado 2023'!X:X)</f>
        <v>0</v>
      </c>
      <c r="X77" s="106">
        <f>_xlfn.XLOOKUP($B:$B,'Compilado 2023'!$B:$B,'Compilado 2023'!Y:Y)</f>
        <v>0</v>
      </c>
      <c r="Y77" s="106">
        <f>_xlfn.XLOOKUP($B:$B,'Compilado 2023'!$B:$B,'Compilado 2023'!Z:Z)</f>
        <v>0</v>
      </c>
      <c r="AA77" s="208">
        <v>45121</v>
      </c>
    </row>
    <row r="78" spans="1:27" hidden="1" x14ac:dyDescent="0.2">
      <c r="A78" s="17" t="str">
        <f t="shared" ca="1" si="29"/>
        <v>Realizado</v>
      </c>
      <c r="B78" s="17">
        <v>44788</v>
      </c>
      <c r="C78" s="19">
        <f t="shared" si="24"/>
        <v>71912</v>
      </c>
      <c r="D78" s="35">
        <f>_xlfn.XLOOKUP($B:$B,'Compilado 2023'!$B:$B,'Compilado 2023'!D:D)</f>
        <v>71912</v>
      </c>
      <c r="E78" s="35">
        <f>_xlfn.XLOOKUP($B:$B,'Compilado 2023'!$B:$B,'Compilado 2023'!E:E)</f>
        <v>0</v>
      </c>
      <c r="F78" s="18">
        <f>_xlfn.XLOOKUP($B:$B,'Compilado 2023'!$B:$B,'Compilado 2023'!F:F)</f>
        <v>341</v>
      </c>
      <c r="G78" s="18">
        <f>_xlfn.XLOOKUP($B:$B,'Compilado 2023'!$B:$B,'Compilado 2023'!G:G)</f>
        <v>500</v>
      </c>
      <c r="H78" s="35">
        <f t="shared" si="25"/>
        <v>210.88563049853371</v>
      </c>
      <c r="I78" s="19">
        <f t="shared" si="26"/>
        <v>1169.1429032258063</v>
      </c>
      <c r="J78" s="122">
        <f t="shared" si="27"/>
        <v>61.50830647099351</v>
      </c>
      <c r="K78" s="18">
        <f>_xlfn.XLOOKUP($B:$B,'Compilado 2023'!$B:$B,'Compilado 2023'!K:K)</f>
        <v>5224</v>
      </c>
      <c r="L78" s="54">
        <f t="shared" si="28"/>
        <v>6.5275650842266469E-2</v>
      </c>
      <c r="M78" s="149"/>
      <c r="N78" s="106">
        <f>_xlfn.XLOOKUP($B:$B,'Compilado 2023'!$B:$B,'Compilado 2023'!N:N)</f>
        <v>601.98</v>
      </c>
      <c r="O78" s="106">
        <f>_xlfn.XLOOKUP($B:$B,'Compilado 2023'!$B:$B,'Compilado 2023'!O:O)</f>
        <v>515.54999999999995</v>
      </c>
      <c r="P78" s="106">
        <f>_xlfn.XLOOKUP($B:$B,'Compilado 2023'!$B:$B,'Compilado 2023'!P:P)</f>
        <v>0</v>
      </c>
      <c r="Q78" s="106">
        <f>_xlfn.XLOOKUP($B:$B,'Compilado 2023'!$B:$B,'Compilado 2023'!Q:Q)</f>
        <v>51.612903225806448</v>
      </c>
      <c r="R78" s="106">
        <f>_xlfn.XLOOKUP($B:$B,'Compilado 2023'!$B:$B,'Compilado 2023'!R:R)</f>
        <v>0</v>
      </c>
      <c r="S78" s="106">
        <f>_xlfn.XLOOKUP($B:$B,'Compilado 2023'!$B:$B,'Compilado 2023'!T:T)</f>
        <v>0</v>
      </c>
      <c r="T78" s="106">
        <f>_xlfn.XLOOKUP($B:$B,'Compilado 2023'!$B:$B,'Compilado 2023'!U:U)</f>
        <v>0</v>
      </c>
      <c r="U78" s="106">
        <f>_xlfn.XLOOKUP($B:$B,'Compilado 2023'!$B:$B,'Compilado 2023'!V:V)</f>
        <v>0</v>
      </c>
      <c r="V78" s="57"/>
      <c r="W78" s="106">
        <f>_xlfn.XLOOKUP($B:$B,'Compilado 2023'!$B:$B,'Compilado 2023'!X:X)</f>
        <v>0</v>
      </c>
      <c r="X78" s="106">
        <f>_xlfn.XLOOKUP($B:$B,'Compilado 2023'!$B:$B,'Compilado 2023'!Y:Y)</f>
        <v>0</v>
      </c>
      <c r="Y78" s="106">
        <f>_xlfn.XLOOKUP($B:$B,'Compilado 2023'!$B:$B,'Compilado 2023'!Z:Z)</f>
        <v>0</v>
      </c>
      <c r="AA78" s="208">
        <v>45122</v>
      </c>
    </row>
    <row r="79" spans="1:27" hidden="1" x14ac:dyDescent="0.2">
      <c r="A79" s="17" t="str">
        <f t="shared" ca="1" si="29"/>
        <v>Realizado</v>
      </c>
      <c r="B79" s="17">
        <v>44789</v>
      </c>
      <c r="C79" s="19">
        <f t="shared" si="24"/>
        <v>55887</v>
      </c>
      <c r="D79" s="35">
        <f>_xlfn.XLOOKUP($B:$B,'Compilado 2023'!$B:$B,'Compilado 2023'!D:D)</f>
        <v>55887</v>
      </c>
      <c r="E79" s="35">
        <f>_xlfn.XLOOKUP($B:$B,'Compilado 2023'!$B:$B,'Compilado 2023'!E:E)</f>
        <v>0</v>
      </c>
      <c r="F79" s="18">
        <f>_xlfn.XLOOKUP($B:$B,'Compilado 2023'!$B:$B,'Compilado 2023'!F:F)</f>
        <v>245</v>
      </c>
      <c r="G79" s="18">
        <f>_xlfn.XLOOKUP($B:$B,'Compilado 2023'!$B:$B,'Compilado 2023'!G:G)</f>
        <v>326</v>
      </c>
      <c r="H79" s="35">
        <f t="shared" si="25"/>
        <v>228.11020408163265</v>
      </c>
      <c r="I79" s="19">
        <f t="shared" si="26"/>
        <v>914.21290322580649</v>
      </c>
      <c r="J79" s="122">
        <f t="shared" si="27"/>
        <v>61.131274567228637</v>
      </c>
      <c r="K79" s="18">
        <f>_xlfn.XLOOKUP($B:$B,'Compilado 2023'!$B:$B,'Compilado 2023'!K:K)</f>
        <v>4660</v>
      </c>
      <c r="L79" s="54">
        <f t="shared" si="28"/>
        <v>5.257510729613734E-2</v>
      </c>
      <c r="M79" s="149"/>
      <c r="N79" s="106">
        <f>_xlfn.XLOOKUP($B:$B,'Compilado 2023'!$B:$B,'Compilado 2023'!N:N)</f>
        <v>580.84</v>
      </c>
      <c r="O79" s="106">
        <f>_xlfn.XLOOKUP($B:$B,'Compilado 2023'!$B:$B,'Compilado 2023'!O:O)</f>
        <v>281.76</v>
      </c>
      <c r="P79" s="106">
        <f>_xlfn.XLOOKUP($B:$B,'Compilado 2023'!$B:$B,'Compilado 2023'!P:P)</f>
        <v>0</v>
      </c>
      <c r="Q79" s="106">
        <f>_xlfn.XLOOKUP($B:$B,'Compilado 2023'!$B:$B,'Compilado 2023'!Q:Q)</f>
        <v>51.612903225806448</v>
      </c>
      <c r="R79" s="106">
        <f>_xlfn.XLOOKUP($B:$B,'Compilado 2023'!$B:$B,'Compilado 2023'!R:R)</f>
        <v>0</v>
      </c>
      <c r="S79" s="106">
        <f>_xlfn.XLOOKUP($B:$B,'Compilado 2023'!$B:$B,'Compilado 2023'!T:T)</f>
        <v>0</v>
      </c>
      <c r="T79" s="106">
        <f>_xlfn.XLOOKUP($B:$B,'Compilado 2023'!$B:$B,'Compilado 2023'!U:U)</f>
        <v>0</v>
      </c>
      <c r="U79" s="106">
        <f>_xlfn.XLOOKUP($B:$B,'Compilado 2023'!$B:$B,'Compilado 2023'!V:V)</f>
        <v>0</v>
      </c>
      <c r="V79" s="57"/>
      <c r="W79" s="106">
        <f>_xlfn.XLOOKUP($B:$B,'Compilado 2023'!$B:$B,'Compilado 2023'!X:X)</f>
        <v>0</v>
      </c>
      <c r="X79" s="106">
        <f>_xlfn.XLOOKUP($B:$B,'Compilado 2023'!$B:$B,'Compilado 2023'!Y:Y)</f>
        <v>0</v>
      </c>
      <c r="Y79" s="106">
        <f>_xlfn.XLOOKUP($B:$B,'Compilado 2023'!$B:$B,'Compilado 2023'!Z:Z)</f>
        <v>0</v>
      </c>
      <c r="AA79" s="208">
        <v>45123</v>
      </c>
    </row>
    <row r="80" spans="1:27" hidden="1" x14ac:dyDescent="0.2">
      <c r="A80" s="17" t="str">
        <f t="shared" ca="1" si="29"/>
        <v>Realizado</v>
      </c>
      <c r="B80" s="17">
        <v>44790</v>
      </c>
      <c r="C80" s="19">
        <f t="shared" si="24"/>
        <v>48064.41</v>
      </c>
      <c r="D80" s="35">
        <f>_xlfn.XLOOKUP($B:$B,'Compilado 2023'!$B:$B,'Compilado 2023'!D:D)</f>
        <v>48064.41</v>
      </c>
      <c r="E80" s="35">
        <f>_xlfn.XLOOKUP($B:$B,'Compilado 2023'!$B:$B,'Compilado 2023'!E:E)</f>
        <v>0</v>
      </c>
      <c r="F80" s="18">
        <f>_xlfn.XLOOKUP($B:$B,'Compilado 2023'!$B:$B,'Compilado 2023'!F:F)</f>
        <v>206</v>
      </c>
      <c r="G80" s="18">
        <f>_xlfn.XLOOKUP($B:$B,'Compilado 2023'!$B:$B,'Compilado 2023'!G:G)</f>
        <v>262</v>
      </c>
      <c r="H80" s="35">
        <f t="shared" si="25"/>
        <v>233.32237864077672</v>
      </c>
      <c r="I80" s="19">
        <f t="shared" si="26"/>
        <v>858.46290322580649</v>
      </c>
      <c r="J80" s="122">
        <f t="shared" si="27"/>
        <v>55.988919054499135</v>
      </c>
      <c r="K80" s="18">
        <f>_xlfn.XLOOKUP($B:$B,'Compilado 2023'!$B:$B,'Compilado 2023'!K:K)</f>
        <v>4671</v>
      </c>
      <c r="L80" s="54">
        <f t="shared" si="28"/>
        <v>4.4101905373581676E-2</v>
      </c>
      <c r="M80" s="149"/>
      <c r="N80" s="106">
        <f>_xlfn.XLOOKUP($B:$B,'Compilado 2023'!$B:$B,'Compilado 2023'!N:N)</f>
        <v>584.13</v>
      </c>
      <c r="O80" s="106">
        <f>_xlfn.XLOOKUP($B:$B,'Compilado 2023'!$B:$B,'Compilado 2023'!O:O)</f>
        <v>222.72</v>
      </c>
      <c r="P80" s="106">
        <f>_xlfn.XLOOKUP($B:$B,'Compilado 2023'!$B:$B,'Compilado 2023'!P:P)</f>
        <v>0</v>
      </c>
      <c r="Q80" s="106">
        <f>_xlfn.XLOOKUP($B:$B,'Compilado 2023'!$B:$B,'Compilado 2023'!Q:Q)</f>
        <v>51.612903225806448</v>
      </c>
      <c r="R80" s="106">
        <f>_xlfn.XLOOKUP($B:$B,'Compilado 2023'!$B:$B,'Compilado 2023'!R:R)</f>
        <v>0</v>
      </c>
      <c r="S80" s="106">
        <f>_xlfn.XLOOKUP($B:$B,'Compilado 2023'!$B:$B,'Compilado 2023'!T:T)</f>
        <v>0</v>
      </c>
      <c r="T80" s="106">
        <f>_xlfn.XLOOKUP($B:$B,'Compilado 2023'!$B:$B,'Compilado 2023'!U:U)</f>
        <v>0</v>
      </c>
      <c r="U80" s="106">
        <f>_xlfn.XLOOKUP($B:$B,'Compilado 2023'!$B:$B,'Compilado 2023'!V:V)</f>
        <v>0</v>
      </c>
      <c r="V80" s="57"/>
      <c r="W80" s="106">
        <f>_xlfn.XLOOKUP($B:$B,'Compilado 2023'!$B:$B,'Compilado 2023'!X:X)</f>
        <v>0</v>
      </c>
      <c r="X80" s="106">
        <f>_xlfn.XLOOKUP($B:$B,'Compilado 2023'!$B:$B,'Compilado 2023'!Y:Y)</f>
        <v>0</v>
      </c>
      <c r="Y80" s="106">
        <f>_xlfn.XLOOKUP($B:$B,'Compilado 2023'!$B:$B,'Compilado 2023'!Z:Z)</f>
        <v>0</v>
      </c>
      <c r="AA80" s="208">
        <v>45124</v>
      </c>
    </row>
    <row r="81" spans="1:27" hidden="1" x14ac:dyDescent="0.2">
      <c r="A81" s="17" t="str">
        <f t="shared" ca="1" si="29"/>
        <v>Realizado</v>
      </c>
      <c r="B81" s="17">
        <v>44791</v>
      </c>
      <c r="C81" s="19">
        <f t="shared" si="24"/>
        <v>50528.83</v>
      </c>
      <c r="D81" s="35">
        <f>_xlfn.XLOOKUP($B:$B,'Compilado 2023'!$B:$B,'Compilado 2023'!D:D)</f>
        <v>50528.83</v>
      </c>
      <c r="E81" s="35">
        <f>_xlfn.XLOOKUP($B:$B,'Compilado 2023'!$B:$B,'Compilado 2023'!E:E)</f>
        <v>0</v>
      </c>
      <c r="F81" s="18">
        <f>_xlfn.XLOOKUP($B:$B,'Compilado 2023'!$B:$B,'Compilado 2023'!F:F)</f>
        <v>174</v>
      </c>
      <c r="G81" s="18">
        <f>_xlfn.XLOOKUP($B:$B,'Compilado 2023'!$B:$B,'Compilado 2023'!G:G)</f>
        <v>237</v>
      </c>
      <c r="H81" s="35">
        <f t="shared" si="25"/>
        <v>290.39557471264368</v>
      </c>
      <c r="I81" s="19">
        <f t="shared" si="26"/>
        <v>864.50290322580656</v>
      </c>
      <c r="J81" s="122">
        <f t="shared" si="27"/>
        <v>58.448421412417126</v>
      </c>
      <c r="K81" s="18">
        <f>_xlfn.XLOOKUP($B:$B,'Compilado 2023'!$B:$B,'Compilado 2023'!K:K)</f>
        <v>4160</v>
      </c>
      <c r="L81" s="54">
        <f t="shared" si="28"/>
        <v>4.1826923076923074E-2</v>
      </c>
      <c r="M81" s="149"/>
      <c r="N81" s="106">
        <f>_xlfn.XLOOKUP($B:$B,'Compilado 2023'!$B:$B,'Compilado 2023'!N:N)</f>
        <v>590.08000000000004</v>
      </c>
      <c r="O81" s="106">
        <f>_xlfn.XLOOKUP($B:$B,'Compilado 2023'!$B:$B,'Compilado 2023'!O:O)</f>
        <v>222.81</v>
      </c>
      <c r="P81" s="106">
        <f>_xlfn.XLOOKUP($B:$B,'Compilado 2023'!$B:$B,'Compilado 2023'!P:P)</f>
        <v>0</v>
      </c>
      <c r="Q81" s="106">
        <f>_xlfn.XLOOKUP($B:$B,'Compilado 2023'!$B:$B,'Compilado 2023'!Q:Q)</f>
        <v>51.612903225806448</v>
      </c>
      <c r="R81" s="106">
        <f>_xlfn.XLOOKUP($B:$B,'Compilado 2023'!$B:$B,'Compilado 2023'!R:R)</f>
        <v>0</v>
      </c>
      <c r="S81" s="106">
        <f>_xlfn.XLOOKUP($B:$B,'Compilado 2023'!$B:$B,'Compilado 2023'!T:T)</f>
        <v>0</v>
      </c>
      <c r="T81" s="106">
        <f>_xlfn.XLOOKUP($B:$B,'Compilado 2023'!$B:$B,'Compilado 2023'!U:U)</f>
        <v>0</v>
      </c>
      <c r="U81" s="106">
        <f>_xlfn.XLOOKUP($B:$B,'Compilado 2023'!$B:$B,'Compilado 2023'!V:V)</f>
        <v>0</v>
      </c>
      <c r="V81" s="57"/>
      <c r="W81" s="106">
        <f>_xlfn.XLOOKUP($B:$B,'Compilado 2023'!$B:$B,'Compilado 2023'!X:X)</f>
        <v>0</v>
      </c>
      <c r="X81" s="106">
        <f>_xlfn.XLOOKUP($B:$B,'Compilado 2023'!$B:$B,'Compilado 2023'!Y:Y)</f>
        <v>0</v>
      </c>
      <c r="Y81" s="106">
        <f>_xlfn.XLOOKUP($B:$B,'Compilado 2023'!$B:$B,'Compilado 2023'!Z:Z)</f>
        <v>0</v>
      </c>
      <c r="AA81" s="208">
        <v>45125</v>
      </c>
    </row>
    <row r="82" spans="1:27" hidden="1" x14ac:dyDescent="0.2">
      <c r="A82" s="17" t="str">
        <f t="shared" ca="1" si="29"/>
        <v>Realizado</v>
      </c>
      <c r="B82" s="17">
        <v>44792</v>
      </c>
      <c r="C82" s="19">
        <f t="shared" si="24"/>
        <v>46428.93</v>
      </c>
      <c r="D82" s="35">
        <f>_xlfn.XLOOKUP($B:$B,'Compilado 2023'!$B:$B,'Compilado 2023'!D:D)</f>
        <v>46428.93</v>
      </c>
      <c r="E82" s="35">
        <f>_xlfn.XLOOKUP($B:$B,'Compilado 2023'!$B:$B,'Compilado 2023'!E:E)</f>
        <v>0</v>
      </c>
      <c r="F82" s="18">
        <f>_xlfn.XLOOKUP($B:$B,'Compilado 2023'!$B:$B,'Compilado 2023'!F:F)</f>
        <v>172</v>
      </c>
      <c r="G82" s="18">
        <f>_xlfn.XLOOKUP($B:$B,'Compilado 2023'!$B:$B,'Compilado 2023'!G:G)</f>
        <v>213</v>
      </c>
      <c r="H82" s="35">
        <f t="shared" si="25"/>
        <v>269.93563953488371</v>
      </c>
      <c r="I82" s="19">
        <f t="shared" si="26"/>
        <v>837.17290322580652</v>
      </c>
      <c r="J82" s="122">
        <f t="shared" si="27"/>
        <v>55.459188682647742</v>
      </c>
      <c r="K82" s="18">
        <f>_xlfn.XLOOKUP($B:$B,'Compilado 2023'!$B:$B,'Compilado 2023'!K:K)</f>
        <v>3560</v>
      </c>
      <c r="L82" s="54">
        <f t="shared" si="28"/>
        <v>4.8314606741573035E-2</v>
      </c>
      <c r="M82" s="149"/>
      <c r="N82" s="106">
        <f>_xlfn.XLOOKUP($B:$B,'Compilado 2023'!$B:$B,'Compilado 2023'!N:N)</f>
        <v>548.46</v>
      </c>
      <c r="O82" s="106">
        <f>_xlfn.XLOOKUP($B:$B,'Compilado 2023'!$B:$B,'Compilado 2023'!O:O)</f>
        <v>237.1</v>
      </c>
      <c r="P82" s="106">
        <f>_xlfn.XLOOKUP($B:$B,'Compilado 2023'!$B:$B,'Compilado 2023'!P:P)</f>
        <v>0</v>
      </c>
      <c r="Q82" s="106">
        <f>_xlfn.XLOOKUP($B:$B,'Compilado 2023'!$B:$B,'Compilado 2023'!Q:Q)</f>
        <v>51.612903225806448</v>
      </c>
      <c r="R82" s="106">
        <f>_xlfn.XLOOKUP($B:$B,'Compilado 2023'!$B:$B,'Compilado 2023'!R:R)</f>
        <v>0</v>
      </c>
      <c r="S82" s="106">
        <f>_xlfn.XLOOKUP($B:$B,'Compilado 2023'!$B:$B,'Compilado 2023'!T:T)</f>
        <v>0</v>
      </c>
      <c r="T82" s="106">
        <f>_xlfn.XLOOKUP($B:$B,'Compilado 2023'!$B:$B,'Compilado 2023'!U:U)</f>
        <v>0</v>
      </c>
      <c r="U82" s="106">
        <f>_xlfn.XLOOKUP($B:$B,'Compilado 2023'!$B:$B,'Compilado 2023'!V:V)</f>
        <v>0</v>
      </c>
      <c r="V82" s="57"/>
      <c r="W82" s="106">
        <f>_xlfn.XLOOKUP($B:$B,'Compilado 2023'!$B:$B,'Compilado 2023'!X:X)</f>
        <v>0</v>
      </c>
      <c r="X82" s="106">
        <f>_xlfn.XLOOKUP($B:$B,'Compilado 2023'!$B:$B,'Compilado 2023'!Y:Y)</f>
        <v>0</v>
      </c>
      <c r="Y82" s="106">
        <f>_xlfn.XLOOKUP($B:$B,'Compilado 2023'!$B:$B,'Compilado 2023'!Z:Z)</f>
        <v>0</v>
      </c>
      <c r="AA82" s="208">
        <v>45126</v>
      </c>
    </row>
    <row r="83" spans="1:27" hidden="1" x14ac:dyDescent="0.2">
      <c r="A83" s="17" t="str">
        <f t="shared" ca="1" si="29"/>
        <v>Realizado</v>
      </c>
      <c r="B83" s="17">
        <v>44793</v>
      </c>
      <c r="C83" s="19">
        <f t="shared" si="24"/>
        <v>26075.7</v>
      </c>
      <c r="D83" s="35">
        <f>_xlfn.XLOOKUP($B:$B,'Compilado 2023'!$B:$B,'Compilado 2023'!D:D)</f>
        <v>26075.7</v>
      </c>
      <c r="E83" s="35">
        <f>_xlfn.XLOOKUP($B:$B,'Compilado 2023'!$B:$B,'Compilado 2023'!E:E)</f>
        <v>0</v>
      </c>
      <c r="F83" s="18">
        <f>_xlfn.XLOOKUP($B:$B,'Compilado 2023'!$B:$B,'Compilado 2023'!F:F)</f>
        <v>102</v>
      </c>
      <c r="G83" s="18">
        <f>_xlfn.XLOOKUP($B:$B,'Compilado 2023'!$B:$B,'Compilado 2023'!G:G)</f>
        <v>119</v>
      </c>
      <c r="H83" s="35">
        <f t="shared" si="25"/>
        <v>255.64411764705883</v>
      </c>
      <c r="I83" s="19">
        <f t="shared" si="26"/>
        <v>839.34290322580648</v>
      </c>
      <c r="J83" s="122">
        <f t="shared" si="27"/>
        <v>31.066802256603957</v>
      </c>
      <c r="K83" s="18">
        <f>_xlfn.XLOOKUP($B:$B,'Compilado 2023'!$B:$B,'Compilado 2023'!K:K)</f>
        <v>2763</v>
      </c>
      <c r="L83" s="54">
        <f t="shared" si="28"/>
        <v>3.691639522258415E-2</v>
      </c>
      <c r="M83" s="149"/>
      <c r="N83" s="106">
        <f>_xlfn.XLOOKUP($B:$B,'Compilado 2023'!$B:$B,'Compilado 2023'!N:N)</f>
        <v>539.4</v>
      </c>
      <c r="O83" s="106">
        <f>_xlfn.XLOOKUP($B:$B,'Compilado 2023'!$B:$B,'Compilado 2023'!O:O)</f>
        <v>248.33</v>
      </c>
      <c r="P83" s="106">
        <f>_xlfn.XLOOKUP($B:$B,'Compilado 2023'!$B:$B,'Compilado 2023'!P:P)</f>
        <v>0</v>
      </c>
      <c r="Q83" s="106">
        <f>_xlfn.XLOOKUP($B:$B,'Compilado 2023'!$B:$B,'Compilado 2023'!Q:Q)</f>
        <v>51.612903225806448</v>
      </c>
      <c r="R83" s="106">
        <f>_xlfn.XLOOKUP($B:$B,'Compilado 2023'!$B:$B,'Compilado 2023'!R:R)</f>
        <v>0</v>
      </c>
      <c r="S83" s="106">
        <f>_xlfn.XLOOKUP($B:$B,'Compilado 2023'!$B:$B,'Compilado 2023'!T:T)</f>
        <v>0</v>
      </c>
      <c r="T83" s="106">
        <f>_xlfn.XLOOKUP($B:$B,'Compilado 2023'!$B:$B,'Compilado 2023'!U:U)</f>
        <v>0</v>
      </c>
      <c r="U83" s="106">
        <f>_xlfn.XLOOKUP($B:$B,'Compilado 2023'!$B:$B,'Compilado 2023'!V:V)</f>
        <v>0</v>
      </c>
      <c r="V83" s="57"/>
      <c r="W83" s="106">
        <f>_xlfn.XLOOKUP($B:$B,'Compilado 2023'!$B:$B,'Compilado 2023'!X:X)</f>
        <v>0</v>
      </c>
      <c r="X83" s="106">
        <f>_xlfn.XLOOKUP($B:$B,'Compilado 2023'!$B:$B,'Compilado 2023'!Y:Y)</f>
        <v>0</v>
      </c>
      <c r="Y83" s="106">
        <f>_xlfn.XLOOKUP($B:$B,'Compilado 2023'!$B:$B,'Compilado 2023'!Z:Z)</f>
        <v>0</v>
      </c>
      <c r="AA83" s="208">
        <v>45127</v>
      </c>
    </row>
    <row r="84" spans="1:27" hidden="1" x14ac:dyDescent="0.2">
      <c r="A84" s="17" t="str">
        <f t="shared" ca="1" si="29"/>
        <v>Realizado</v>
      </c>
      <c r="B84" s="17">
        <v>44794</v>
      </c>
      <c r="C84" s="19">
        <f t="shared" si="24"/>
        <v>20508.25</v>
      </c>
      <c r="D84" s="35">
        <f>_xlfn.XLOOKUP($B:$B,'Compilado 2023'!$B:$B,'Compilado 2023'!D:D)</f>
        <v>20508.25</v>
      </c>
      <c r="E84" s="35">
        <f>_xlfn.XLOOKUP($B:$B,'Compilado 2023'!$B:$B,'Compilado 2023'!E:E)</f>
        <v>0</v>
      </c>
      <c r="F84" s="18">
        <f>_xlfn.XLOOKUP($B:$B,'Compilado 2023'!$B:$B,'Compilado 2023'!F:F)</f>
        <v>90</v>
      </c>
      <c r="G84" s="18">
        <f>_xlfn.XLOOKUP($B:$B,'Compilado 2023'!$B:$B,'Compilado 2023'!G:G)</f>
        <v>104</v>
      </c>
      <c r="H84" s="35">
        <f t="shared" si="25"/>
        <v>227.86944444444444</v>
      </c>
      <c r="I84" s="19">
        <f t="shared" si="26"/>
        <v>838.15290322580643</v>
      </c>
      <c r="J84" s="122">
        <f t="shared" si="27"/>
        <v>24.468387475685784</v>
      </c>
      <c r="K84" s="18">
        <f>_xlfn.XLOOKUP($B:$B,'Compilado 2023'!$B:$B,'Compilado 2023'!K:K)</f>
        <v>2448</v>
      </c>
      <c r="L84" s="54">
        <f t="shared" si="28"/>
        <v>3.6764705882352942E-2</v>
      </c>
      <c r="M84" s="149"/>
      <c r="N84" s="106">
        <f>_xlfn.XLOOKUP($B:$B,'Compilado 2023'!$B:$B,'Compilado 2023'!N:N)</f>
        <v>520.5</v>
      </c>
      <c r="O84" s="106">
        <f>_xlfn.XLOOKUP($B:$B,'Compilado 2023'!$B:$B,'Compilado 2023'!O:O)</f>
        <v>266.04000000000002</v>
      </c>
      <c r="P84" s="106">
        <f>_xlfn.XLOOKUP($B:$B,'Compilado 2023'!$B:$B,'Compilado 2023'!P:P)</f>
        <v>0</v>
      </c>
      <c r="Q84" s="106">
        <f>_xlfn.XLOOKUP($B:$B,'Compilado 2023'!$B:$B,'Compilado 2023'!Q:Q)</f>
        <v>51.612903225806448</v>
      </c>
      <c r="R84" s="106">
        <f>_xlfn.XLOOKUP($B:$B,'Compilado 2023'!$B:$B,'Compilado 2023'!R:R)</f>
        <v>0</v>
      </c>
      <c r="S84" s="106">
        <f>_xlfn.XLOOKUP($B:$B,'Compilado 2023'!$B:$B,'Compilado 2023'!T:T)</f>
        <v>0</v>
      </c>
      <c r="T84" s="106">
        <f>_xlfn.XLOOKUP($B:$B,'Compilado 2023'!$B:$B,'Compilado 2023'!U:U)</f>
        <v>0</v>
      </c>
      <c r="U84" s="106">
        <f>_xlfn.XLOOKUP($B:$B,'Compilado 2023'!$B:$B,'Compilado 2023'!V:V)</f>
        <v>0</v>
      </c>
      <c r="V84" s="57"/>
      <c r="W84" s="106">
        <f>_xlfn.XLOOKUP($B:$B,'Compilado 2023'!$B:$B,'Compilado 2023'!X:X)</f>
        <v>0</v>
      </c>
      <c r="X84" s="106">
        <f>_xlfn.XLOOKUP($B:$B,'Compilado 2023'!$B:$B,'Compilado 2023'!Y:Y)</f>
        <v>0</v>
      </c>
      <c r="Y84" s="106">
        <f>_xlfn.XLOOKUP($B:$B,'Compilado 2023'!$B:$B,'Compilado 2023'!Z:Z)</f>
        <v>0</v>
      </c>
      <c r="AA84" s="208">
        <v>45128</v>
      </c>
    </row>
    <row r="85" spans="1:27" hidden="1" x14ac:dyDescent="0.2">
      <c r="A85" s="17" t="str">
        <f t="shared" ca="1" si="29"/>
        <v>Realizado</v>
      </c>
      <c r="B85" s="17">
        <v>44795</v>
      </c>
      <c r="C85" s="19">
        <f t="shared" si="24"/>
        <v>37077.56</v>
      </c>
      <c r="D85" s="35">
        <f>_xlfn.XLOOKUP($B:$B,'Compilado 2023'!$B:$B,'Compilado 2023'!D:D)</f>
        <v>37000.129999999997</v>
      </c>
      <c r="E85" s="35">
        <f>_xlfn.XLOOKUP($B:$B,'Compilado 2023'!$B:$B,'Compilado 2023'!E:E)</f>
        <v>77.430000000000007</v>
      </c>
      <c r="F85" s="18">
        <f>_xlfn.XLOOKUP($B:$B,'Compilado 2023'!$B:$B,'Compilado 2023'!F:F)</f>
        <v>130</v>
      </c>
      <c r="G85" s="18">
        <f>_xlfn.XLOOKUP($B:$B,'Compilado 2023'!$B:$B,'Compilado 2023'!G:G)</f>
        <v>151</v>
      </c>
      <c r="H85" s="35">
        <f t="shared" si="25"/>
        <v>285.21199999999999</v>
      </c>
      <c r="I85" s="19">
        <f t="shared" si="26"/>
        <v>925.10290322580647</v>
      </c>
      <c r="J85" s="122">
        <f t="shared" si="27"/>
        <v>40.079389947552478</v>
      </c>
      <c r="K85" s="18">
        <f>_xlfn.XLOOKUP($B:$B,'Compilado 2023'!$B:$B,'Compilado 2023'!K:K)</f>
        <v>3827</v>
      </c>
      <c r="L85" s="54">
        <f t="shared" si="28"/>
        <v>3.3969166448915601E-2</v>
      </c>
      <c r="M85" s="149"/>
      <c r="N85" s="106">
        <f>_xlfn.XLOOKUP($B:$B,'Compilado 2023'!$B:$B,'Compilado 2023'!N:N)</f>
        <v>603.37</v>
      </c>
      <c r="O85" s="106">
        <f>_xlfn.XLOOKUP($B:$B,'Compilado 2023'!$B:$B,'Compilado 2023'!O:O)</f>
        <v>270.12</v>
      </c>
      <c r="P85" s="106">
        <f>_xlfn.XLOOKUP($B:$B,'Compilado 2023'!$B:$B,'Compilado 2023'!P:P)</f>
        <v>0</v>
      </c>
      <c r="Q85" s="106">
        <f>_xlfn.XLOOKUP($B:$B,'Compilado 2023'!$B:$B,'Compilado 2023'!Q:Q)</f>
        <v>51.612903225806448</v>
      </c>
      <c r="R85" s="106">
        <f>_xlfn.XLOOKUP($B:$B,'Compilado 2023'!$B:$B,'Compilado 2023'!R:R)</f>
        <v>0</v>
      </c>
      <c r="S85" s="106">
        <f>_xlfn.XLOOKUP($B:$B,'Compilado 2023'!$B:$B,'Compilado 2023'!T:T)</f>
        <v>0</v>
      </c>
      <c r="T85" s="106">
        <f>_xlfn.XLOOKUP($B:$B,'Compilado 2023'!$B:$B,'Compilado 2023'!U:U)</f>
        <v>0</v>
      </c>
      <c r="U85" s="106">
        <f>_xlfn.XLOOKUP($B:$B,'Compilado 2023'!$B:$B,'Compilado 2023'!V:V)</f>
        <v>0</v>
      </c>
      <c r="V85" s="57"/>
      <c r="W85" s="106">
        <f>_xlfn.XLOOKUP($B:$B,'Compilado 2023'!$B:$B,'Compilado 2023'!X:X)</f>
        <v>0</v>
      </c>
      <c r="X85" s="106">
        <f>_xlfn.XLOOKUP($B:$B,'Compilado 2023'!$B:$B,'Compilado 2023'!Y:Y)</f>
        <v>0</v>
      </c>
      <c r="Y85" s="106">
        <f>_xlfn.XLOOKUP($B:$B,'Compilado 2023'!$B:$B,'Compilado 2023'!Z:Z)</f>
        <v>0</v>
      </c>
      <c r="AA85" s="208">
        <v>45129</v>
      </c>
    </row>
    <row r="86" spans="1:27" hidden="1" x14ac:dyDescent="0.2">
      <c r="A86" s="17" t="str">
        <f t="shared" ca="1" si="29"/>
        <v>Realizado</v>
      </c>
      <c r="B86" s="17">
        <v>44796</v>
      </c>
      <c r="C86" s="19">
        <f t="shared" si="24"/>
        <v>38042.04</v>
      </c>
      <c r="D86" s="35">
        <f>_xlfn.XLOOKUP($B:$B,'Compilado 2023'!$B:$B,'Compilado 2023'!D:D)</f>
        <v>38042.04</v>
      </c>
      <c r="E86" s="35">
        <f>_xlfn.XLOOKUP($B:$B,'Compilado 2023'!$B:$B,'Compilado 2023'!E:E)</f>
        <v>0</v>
      </c>
      <c r="F86" s="18">
        <f>_xlfn.XLOOKUP($B:$B,'Compilado 2023'!$B:$B,'Compilado 2023'!F:F)</f>
        <v>125</v>
      </c>
      <c r="G86" s="18">
        <f>_xlfn.XLOOKUP($B:$B,'Compilado 2023'!$B:$B,'Compilado 2023'!G:G)</f>
        <v>160</v>
      </c>
      <c r="H86" s="35">
        <f t="shared" si="25"/>
        <v>304.33632</v>
      </c>
      <c r="I86" s="19">
        <f t="shared" si="26"/>
        <v>922.27290322580654</v>
      </c>
      <c r="J86" s="122">
        <f t="shared" si="27"/>
        <v>41.248138015268026</v>
      </c>
      <c r="K86" s="18">
        <f>_xlfn.XLOOKUP($B:$B,'Compilado 2023'!$B:$B,'Compilado 2023'!K:K)</f>
        <v>3755</v>
      </c>
      <c r="L86" s="54">
        <f t="shared" si="28"/>
        <v>3.3288948069241014E-2</v>
      </c>
      <c r="M86" s="149"/>
      <c r="N86" s="106">
        <f>_xlfn.XLOOKUP($B:$B,'Compilado 2023'!$B:$B,'Compilado 2023'!N:N)</f>
        <v>563.98</v>
      </c>
      <c r="O86" s="106">
        <f>_xlfn.XLOOKUP($B:$B,'Compilado 2023'!$B:$B,'Compilado 2023'!O:O)</f>
        <v>306.68</v>
      </c>
      <c r="P86" s="106">
        <f>_xlfn.XLOOKUP($B:$B,'Compilado 2023'!$B:$B,'Compilado 2023'!P:P)</f>
        <v>0</v>
      </c>
      <c r="Q86" s="106">
        <f>_xlfn.XLOOKUP($B:$B,'Compilado 2023'!$B:$B,'Compilado 2023'!Q:Q)</f>
        <v>51.612903225806448</v>
      </c>
      <c r="R86" s="106">
        <f>_xlfn.XLOOKUP($B:$B,'Compilado 2023'!$B:$B,'Compilado 2023'!R:R)</f>
        <v>0</v>
      </c>
      <c r="S86" s="106">
        <f>_xlfn.XLOOKUP($B:$B,'Compilado 2023'!$B:$B,'Compilado 2023'!T:T)</f>
        <v>0</v>
      </c>
      <c r="T86" s="106">
        <f>_xlfn.XLOOKUP($B:$B,'Compilado 2023'!$B:$B,'Compilado 2023'!U:U)</f>
        <v>0</v>
      </c>
      <c r="U86" s="106">
        <f>_xlfn.XLOOKUP($B:$B,'Compilado 2023'!$B:$B,'Compilado 2023'!V:V)</f>
        <v>0</v>
      </c>
      <c r="V86" s="57"/>
      <c r="W86" s="106">
        <f>_xlfn.XLOOKUP($B:$B,'Compilado 2023'!$B:$B,'Compilado 2023'!X:X)</f>
        <v>0</v>
      </c>
      <c r="X86" s="106">
        <f>_xlfn.XLOOKUP($B:$B,'Compilado 2023'!$B:$B,'Compilado 2023'!Y:Y)</f>
        <v>0</v>
      </c>
      <c r="Y86" s="106">
        <f>_xlfn.XLOOKUP($B:$B,'Compilado 2023'!$B:$B,'Compilado 2023'!Z:Z)</f>
        <v>0</v>
      </c>
      <c r="AA86" s="208">
        <v>45130</v>
      </c>
    </row>
    <row r="87" spans="1:27" hidden="1" x14ac:dyDescent="0.2">
      <c r="A87" s="17" t="str">
        <f t="shared" ca="1" si="29"/>
        <v>Realizado</v>
      </c>
      <c r="B87" s="17">
        <v>44797</v>
      </c>
      <c r="C87" s="19">
        <f t="shared" si="24"/>
        <v>36249.040000000001</v>
      </c>
      <c r="D87" s="35">
        <f>_xlfn.XLOOKUP($B:$B,'Compilado 2023'!$B:$B,'Compilado 2023'!D:D)</f>
        <v>36249.040000000001</v>
      </c>
      <c r="E87" s="35">
        <f>_xlfn.XLOOKUP($B:$B,'Compilado 2023'!$B:$B,'Compilado 2023'!E:E)</f>
        <v>0</v>
      </c>
      <c r="F87" s="18">
        <f>_xlfn.XLOOKUP($B:$B,'Compilado 2023'!$B:$B,'Compilado 2023'!F:F)</f>
        <v>133</v>
      </c>
      <c r="G87" s="18">
        <f>_xlfn.XLOOKUP($B:$B,'Compilado 2023'!$B:$B,'Compilado 2023'!G:G)</f>
        <v>153</v>
      </c>
      <c r="H87" s="35">
        <f t="shared" si="25"/>
        <v>272.54917293233086</v>
      </c>
      <c r="I87" s="19">
        <f t="shared" si="26"/>
        <v>976.61290322580646</v>
      </c>
      <c r="J87" s="122">
        <f t="shared" si="27"/>
        <v>37.117101238645745</v>
      </c>
      <c r="K87" s="18">
        <f>_xlfn.XLOOKUP($B:$B,'Compilado 2023'!$B:$B,'Compilado 2023'!K:K)</f>
        <v>3950</v>
      </c>
      <c r="L87" s="54">
        <f t="shared" si="28"/>
        <v>3.3670886075949369E-2</v>
      </c>
      <c r="M87" s="149"/>
      <c r="N87" s="106">
        <f>_xlfn.XLOOKUP($B:$B,'Compilado 2023'!$B:$B,'Compilado 2023'!N:N)</f>
        <v>549.44000000000005</v>
      </c>
      <c r="O87" s="106">
        <f>_xlfn.XLOOKUP($B:$B,'Compilado 2023'!$B:$B,'Compilado 2023'!O:O)</f>
        <v>375.56</v>
      </c>
      <c r="P87" s="106">
        <f>_xlfn.XLOOKUP($B:$B,'Compilado 2023'!$B:$B,'Compilado 2023'!P:P)</f>
        <v>0</v>
      </c>
      <c r="Q87" s="106">
        <f>_xlfn.XLOOKUP($B:$B,'Compilado 2023'!$B:$B,'Compilado 2023'!Q:Q)</f>
        <v>51.612903225806448</v>
      </c>
      <c r="R87" s="106">
        <f>_xlfn.XLOOKUP($B:$B,'Compilado 2023'!$B:$B,'Compilado 2023'!R:R)</f>
        <v>0</v>
      </c>
      <c r="S87" s="106">
        <f>_xlfn.XLOOKUP($B:$B,'Compilado 2023'!$B:$B,'Compilado 2023'!T:T)</f>
        <v>0</v>
      </c>
      <c r="T87" s="106">
        <f>_xlfn.XLOOKUP($B:$B,'Compilado 2023'!$B:$B,'Compilado 2023'!U:U)</f>
        <v>0</v>
      </c>
      <c r="U87" s="106">
        <f>_xlfn.XLOOKUP($B:$B,'Compilado 2023'!$B:$B,'Compilado 2023'!V:V)</f>
        <v>0</v>
      </c>
      <c r="V87" s="57"/>
      <c r="W87" s="106">
        <f>_xlfn.XLOOKUP($B:$B,'Compilado 2023'!$B:$B,'Compilado 2023'!X:X)</f>
        <v>0</v>
      </c>
      <c r="X87" s="106">
        <f>_xlfn.XLOOKUP($B:$B,'Compilado 2023'!$B:$B,'Compilado 2023'!Y:Y)</f>
        <v>0</v>
      </c>
      <c r="Y87" s="106">
        <f>_xlfn.XLOOKUP($B:$B,'Compilado 2023'!$B:$B,'Compilado 2023'!Z:Z)</f>
        <v>0</v>
      </c>
      <c r="AA87" s="208">
        <v>45131</v>
      </c>
    </row>
    <row r="88" spans="1:27" hidden="1" x14ac:dyDescent="0.2">
      <c r="A88" s="17" t="str">
        <f t="shared" ca="1" si="29"/>
        <v>Realizado</v>
      </c>
      <c r="B88" s="17">
        <v>44798</v>
      </c>
      <c r="C88" s="19">
        <f t="shared" si="24"/>
        <v>38652.47</v>
      </c>
      <c r="D88" s="35">
        <f>_xlfn.XLOOKUP($B:$B,'Compilado 2023'!$B:$B,'Compilado 2023'!D:D)</f>
        <v>38652.47</v>
      </c>
      <c r="E88" s="35">
        <f>_xlfn.XLOOKUP($B:$B,'Compilado 2023'!$B:$B,'Compilado 2023'!E:E)</f>
        <v>0</v>
      </c>
      <c r="F88" s="18">
        <f>_xlfn.XLOOKUP($B:$B,'Compilado 2023'!$B:$B,'Compilado 2023'!F:F)</f>
        <v>141</v>
      </c>
      <c r="G88" s="18">
        <f>_xlfn.XLOOKUP($B:$B,'Compilado 2023'!$B:$B,'Compilado 2023'!G:G)</f>
        <v>169</v>
      </c>
      <c r="H88" s="35">
        <f t="shared" si="25"/>
        <v>274.13099290780144</v>
      </c>
      <c r="I88" s="19">
        <f t="shared" si="26"/>
        <v>969.70290322580649</v>
      </c>
      <c r="J88" s="122">
        <f t="shared" si="27"/>
        <v>39.860115785380223</v>
      </c>
      <c r="K88" s="18">
        <f>_xlfn.XLOOKUP($B:$B,'Compilado 2023'!$B:$B,'Compilado 2023'!K:K)</f>
        <v>3866</v>
      </c>
      <c r="L88" s="54">
        <f t="shared" si="28"/>
        <v>3.6471805483704087E-2</v>
      </c>
      <c r="M88" s="149"/>
      <c r="N88" s="106">
        <f>_xlfn.XLOOKUP($B:$B,'Compilado 2023'!$B:$B,'Compilado 2023'!N:N)</f>
        <v>551.85</v>
      </c>
      <c r="O88" s="106">
        <f>_xlfn.XLOOKUP($B:$B,'Compilado 2023'!$B:$B,'Compilado 2023'!O:O)</f>
        <v>366.24</v>
      </c>
      <c r="P88" s="106">
        <f>_xlfn.XLOOKUP($B:$B,'Compilado 2023'!$B:$B,'Compilado 2023'!P:P)</f>
        <v>0</v>
      </c>
      <c r="Q88" s="106">
        <f>_xlfn.XLOOKUP($B:$B,'Compilado 2023'!$B:$B,'Compilado 2023'!Q:Q)</f>
        <v>51.612903225806448</v>
      </c>
      <c r="R88" s="106">
        <f>_xlfn.XLOOKUP($B:$B,'Compilado 2023'!$B:$B,'Compilado 2023'!R:R)</f>
        <v>0</v>
      </c>
      <c r="S88" s="106">
        <f>_xlfn.XLOOKUP($B:$B,'Compilado 2023'!$B:$B,'Compilado 2023'!T:T)</f>
        <v>0</v>
      </c>
      <c r="T88" s="106">
        <f>_xlfn.XLOOKUP($B:$B,'Compilado 2023'!$B:$B,'Compilado 2023'!U:U)</f>
        <v>0</v>
      </c>
      <c r="U88" s="106">
        <f>_xlfn.XLOOKUP($B:$B,'Compilado 2023'!$B:$B,'Compilado 2023'!V:V)</f>
        <v>0</v>
      </c>
      <c r="V88" s="57"/>
      <c r="W88" s="106">
        <f>_xlfn.XLOOKUP($B:$B,'Compilado 2023'!$B:$B,'Compilado 2023'!X:X)</f>
        <v>0</v>
      </c>
      <c r="X88" s="106">
        <f>_xlfn.XLOOKUP($B:$B,'Compilado 2023'!$B:$B,'Compilado 2023'!Y:Y)</f>
        <v>0</v>
      </c>
      <c r="Y88" s="106">
        <f>_xlfn.XLOOKUP($B:$B,'Compilado 2023'!$B:$B,'Compilado 2023'!Z:Z)</f>
        <v>0</v>
      </c>
      <c r="AA88" s="208">
        <v>45132</v>
      </c>
    </row>
    <row r="89" spans="1:27" hidden="1" x14ac:dyDescent="0.2">
      <c r="A89" s="17" t="str">
        <f t="shared" ca="1" si="29"/>
        <v>Realizado</v>
      </c>
      <c r="B89" s="17">
        <v>44799</v>
      </c>
      <c r="C89" s="19">
        <f t="shared" si="24"/>
        <v>43292.67</v>
      </c>
      <c r="D89" s="35">
        <f>_xlfn.XLOOKUP($B:$B,'Compilado 2023'!$B:$B,'Compilado 2023'!D:D)</f>
        <v>43292.67</v>
      </c>
      <c r="E89" s="35">
        <f>_xlfn.XLOOKUP($B:$B,'Compilado 2023'!$B:$B,'Compilado 2023'!E:E)</f>
        <v>0</v>
      </c>
      <c r="F89" s="18">
        <f>_xlfn.XLOOKUP($B:$B,'Compilado 2023'!$B:$B,'Compilado 2023'!F:F)</f>
        <v>156</v>
      </c>
      <c r="G89" s="18">
        <f>_xlfn.XLOOKUP($B:$B,'Compilado 2023'!$B:$B,'Compilado 2023'!G:G)</f>
        <v>184</v>
      </c>
      <c r="H89" s="35">
        <f t="shared" si="25"/>
        <v>277.51711538461535</v>
      </c>
      <c r="I89" s="19">
        <f t="shared" si="26"/>
        <v>911.78290322580654</v>
      </c>
      <c r="J89" s="122">
        <f t="shared" si="27"/>
        <v>47.481335575425241</v>
      </c>
      <c r="K89" s="18">
        <f>_xlfn.XLOOKUP($B:$B,'Compilado 2023'!$B:$B,'Compilado 2023'!K:K)</f>
        <v>3938</v>
      </c>
      <c r="L89" s="54">
        <f t="shared" si="28"/>
        <v>3.9614017267648551E-2</v>
      </c>
      <c r="M89" s="149"/>
      <c r="N89" s="106">
        <f>_xlfn.XLOOKUP($B:$B,'Compilado 2023'!$B:$B,'Compilado 2023'!N:N)</f>
        <v>544.24</v>
      </c>
      <c r="O89" s="106">
        <f>_xlfn.XLOOKUP($B:$B,'Compilado 2023'!$B:$B,'Compilado 2023'!O:O)</f>
        <v>315.93</v>
      </c>
      <c r="P89" s="106">
        <f>_xlfn.XLOOKUP($B:$B,'Compilado 2023'!$B:$B,'Compilado 2023'!P:P)</f>
        <v>0</v>
      </c>
      <c r="Q89" s="106">
        <f>_xlfn.XLOOKUP($B:$B,'Compilado 2023'!$B:$B,'Compilado 2023'!Q:Q)</f>
        <v>51.612903225806448</v>
      </c>
      <c r="R89" s="106">
        <f>_xlfn.XLOOKUP($B:$B,'Compilado 2023'!$B:$B,'Compilado 2023'!R:R)</f>
        <v>0</v>
      </c>
      <c r="S89" s="106">
        <f>_xlfn.XLOOKUP($B:$B,'Compilado 2023'!$B:$B,'Compilado 2023'!T:T)</f>
        <v>0</v>
      </c>
      <c r="T89" s="106">
        <f>_xlfn.XLOOKUP($B:$B,'Compilado 2023'!$B:$B,'Compilado 2023'!U:U)</f>
        <v>0</v>
      </c>
      <c r="U89" s="106">
        <f>_xlfn.XLOOKUP($B:$B,'Compilado 2023'!$B:$B,'Compilado 2023'!V:V)</f>
        <v>0</v>
      </c>
      <c r="V89" s="57"/>
      <c r="W89" s="106">
        <f>_xlfn.XLOOKUP($B:$B,'Compilado 2023'!$B:$B,'Compilado 2023'!X:X)</f>
        <v>0</v>
      </c>
      <c r="X89" s="106">
        <f>_xlfn.XLOOKUP($B:$B,'Compilado 2023'!$B:$B,'Compilado 2023'!Y:Y)</f>
        <v>0</v>
      </c>
      <c r="Y89" s="106">
        <f>_xlfn.XLOOKUP($B:$B,'Compilado 2023'!$B:$B,'Compilado 2023'!Z:Z)</f>
        <v>0</v>
      </c>
      <c r="AA89" s="208">
        <v>45133</v>
      </c>
    </row>
    <row r="90" spans="1:27" hidden="1" x14ac:dyDescent="0.2">
      <c r="A90" s="17" t="str">
        <f t="shared" ca="1" si="29"/>
        <v>Realizado</v>
      </c>
      <c r="B90" s="17">
        <v>44800</v>
      </c>
      <c r="C90" s="19">
        <f t="shared" si="24"/>
        <v>27367.82</v>
      </c>
      <c r="D90" s="35">
        <f>_xlfn.XLOOKUP($B:$B,'Compilado 2023'!$B:$B,'Compilado 2023'!D:D)</f>
        <v>27367.82</v>
      </c>
      <c r="E90" s="35">
        <f>_xlfn.XLOOKUP($B:$B,'Compilado 2023'!$B:$B,'Compilado 2023'!E:E)</f>
        <v>0</v>
      </c>
      <c r="F90" s="18">
        <f>_xlfn.XLOOKUP($B:$B,'Compilado 2023'!$B:$B,'Compilado 2023'!F:F)</f>
        <v>101</v>
      </c>
      <c r="G90" s="18">
        <f>_xlfn.XLOOKUP($B:$B,'Compilado 2023'!$B:$B,'Compilado 2023'!G:G)</f>
        <v>119</v>
      </c>
      <c r="H90" s="35">
        <f t="shared" si="25"/>
        <v>270.96851485148517</v>
      </c>
      <c r="I90" s="19">
        <f t="shared" si="26"/>
        <v>949.75290322580645</v>
      </c>
      <c r="J90" s="122">
        <f t="shared" si="27"/>
        <v>28.815726603252322</v>
      </c>
      <c r="K90" s="18">
        <f>_xlfn.XLOOKUP($B:$B,'Compilado 2023'!$B:$B,'Compilado 2023'!K:K)</f>
        <v>3181</v>
      </c>
      <c r="L90" s="54">
        <f t="shared" si="28"/>
        <v>3.1751021691292049E-2</v>
      </c>
      <c r="M90" s="149"/>
      <c r="N90" s="106">
        <f>_xlfn.XLOOKUP($B:$B,'Compilado 2023'!$B:$B,'Compilado 2023'!N:N)</f>
        <v>511.82</v>
      </c>
      <c r="O90" s="106">
        <f>_xlfn.XLOOKUP($B:$B,'Compilado 2023'!$B:$B,'Compilado 2023'!O:O)</f>
        <v>386.32</v>
      </c>
      <c r="P90" s="106">
        <f>_xlfn.XLOOKUP($B:$B,'Compilado 2023'!$B:$B,'Compilado 2023'!P:P)</f>
        <v>0</v>
      </c>
      <c r="Q90" s="106">
        <f>_xlfn.XLOOKUP($B:$B,'Compilado 2023'!$B:$B,'Compilado 2023'!Q:Q)</f>
        <v>51.612903225806448</v>
      </c>
      <c r="R90" s="106">
        <f>_xlfn.XLOOKUP($B:$B,'Compilado 2023'!$B:$B,'Compilado 2023'!R:R)</f>
        <v>0</v>
      </c>
      <c r="S90" s="106">
        <f>_xlfn.XLOOKUP($B:$B,'Compilado 2023'!$B:$B,'Compilado 2023'!T:T)</f>
        <v>0</v>
      </c>
      <c r="T90" s="106">
        <f>_xlfn.XLOOKUP($B:$B,'Compilado 2023'!$B:$B,'Compilado 2023'!U:U)</f>
        <v>0</v>
      </c>
      <c r="U90" s="106">
        <f>_xlfn.XLOOKUP($B:$B,'Compilado 2023'!$B:$B,'Compilado 2023'!V:V)</f>
        <v>0</v>
      </c>
      <c r="V90" s="57"/>
      <c r="W90" s="106">
        <f>_xlfn.XLOOKUP($B:$B,'Compilado 2023'!$B:$B,'Compilado 2023'!X:X)</f>
        <v>0</v>
      </c>
      <c r="X90" s="106">
        <f>_xlfn.XLOOKUP($B:$B,'Compilado 2023'!$B:$B,'Compilado 2023'!Y:Y)</f>
        <v>0</v>
      </c>
      <c r="Y90" s="106">
        <f>_xlfn.XLOOKUP($B:$B,'Compilado 2023'!$B:$B,'Compilado 2023'!Z:Z)</f>
        <v>0</v>
      </c>
      <c r="AA90" s="208">
        <v>45134</v>
      </c>
    </row>
    <row r="91" spans="1:27" hidden="1" x14ac:dyDescent="0.2">
      <c r="A91" s="17" t="str">
        <f t="shared" ca="1" si="29"/>
        <v>Realizado</v>
      </c>
      <c r="B91" s="17">
        <v>44801</v>
      </c>
      <c r="C91" s="19">
        <f t="shared" si="24"/>
        <v>21585.8</v>
      </c>
      <c r="D91" s="35">
        <f>_xlfn.XLOOKUP($B:$B,'Compilado 2023'!$B:$B,'Compilado 2023'!D:D)</f>
        <v>21585.8</v>
      </c>
      <c r="E91" s="35">
        <f>_xlfn.XLOOKUP($B:$B,'Compilado 2023'!$B:$B,'Compilado 2023'!E:E)</f>
        <v>0</v>
      </c>
      <c r="F91" s="18">
        <f>_xlfn.XLOOKUP($B:$B,'Compilado 2023'!$B:$B,'Compilado 2023'!F:F)</f>
        <v>74</v>
      </c>
      <c r="G91" s="18">
        <f>_xlfn.XLOOKUP($B:$B,'Compilado 2023'!$B:$B,'Compilado 2023'!G:G)</f>
        <v>82</v>
      </c>
      <c r="H91" s="35">
        <f t="shared" si="25"/>
        <v>291.7</v>
      </c>
      <c r="I91" s="19">
        <f t="shared" si="26"/>
        <v>949.04290322580653</v>
      </c>
      <c r="J91" s="122">
        <f t="shared" si="27"/>
        <v>22.744809456590048</v>
      </c>
      <c r="K91" s="18">
        <f>_xlfn.XLOOKUP($B:$B,'Compilado 2023'!$B:$B,'Compilado 2023'!K:K)</f>
        <v>2767</v>
      </c>
      <c r="L91" s="54">
        <f t="shared" si="28"/>
        <v>2.674376581134803E-2</v>
      </c>
      <c r="M91" s="149"/>
      <c r="N91" s="106">
        <f>_xlfn.XLOOKUP($B:$B,'Compilado 2023'!$B:$B,'Compilado 2023'!N:N)</f>
        <v>488.88</v>
      </c>
      <c r="O91" s="106">
        <f>_xlfn.XLOOKUP($B:$B,'Compilado 2023'!$B:$B,'Compilado 2023'!O:O)</f>
        <v>408.55</v>
      </c>
      <c r="P91" s="106">
        <f>_xlfn.XLOOKUP($B:$B,'Compilado 2023'!$B:$B,'Compilado 2023'!P:P)</f>
        <v>0</v>
      </c>
      <c r="Q91" s="106">
        <f>_xlfn.XLOOKUP($B:$B,'Compilado 2023'!$B:$B,'Compilado 2023'!Q:Q)</f>
        <v>51.612903225806448</v>
      </c>
      <c r="R91" s="106">
        <f>_xlfn.XLOOKUP($B:$B,'Compilado 2023'!$B:$B,'Compilado 2023'!R:R)</f>
        <v>0</v>
      </c>
      <c r="S91" s="106">
        <f>_xlfn.XLOOKUP($B:$B,'Compilado 2023'!$B:$B,'Compilado 2023'!T:T)</f>
        <v>0</v>
      </c>
      <c r="T91" s="106">
        <f>_xlfn.XLOOKUP($B:$B,'Compilado 2023'!$B:$B,'Compilado 2023'!U:U)</f>
        <v>0</v>
      </c>
      <c r="U91" s="106">
        <f>_xlfn.XLOOKUP($B:$B,'Compilado 2023'!$B:$B,'Compilado 2023'!V:V)</f>
        <v>0</v>
      </c>
      <c r="V91" s="57"/>
      <c r="W91" s="106">
        <f>_xlfn.XLOOKUP($B:$B,'Compilado 2023'!$B:$B,'Compilado 2023'!X:X)</f>
        <v>0</v>
      </c>
      <c r="X91" s="106">
        <f>_xlfn.XLOOKUP($B:$B,'Compilado 2023'!$B:$B,'Compilado 2023'!Y:Y)</f>
        <v>0</v>
      </c>
      <c r="Y91" s="106">
        <f>_xlfn.XLOOKUP($B:$B,'Compilado 2023'!$B:$B,'Compilado 2023'!Z:Z)</f>
        <v>0</v>
      </c>
      <c r="AA91" s="208">
        <v>45135</v>
      </c>
    </row>
    <row r="92" spans="1:27" hidden="1" x14ac:dyDescent="0.2">
      <c r="A92" s="17" t="str">
        <f t="shared" ca="1" si="29"/>
        <v>Realizado</v>
      </c>
      <c r="B92" s="17">
        <v>44802</v>
      </c>
      <c r="C92" s="19">
        <f t="shared" si="24"/>
        <v>39502.67</v>
      </c>
      <c r="D92" s="35">
        <f>_xlfn.XLOOKUP($B:$B,'Compilado 2023'!$B:$B,'Compilado 2023'!D:D)</f>
        <v>39502.67</v>
      </c>
      <c r="E92" s="35">
        <f>_xlfn.XLOOKUP($B:$B,'Compilado 2023'!$B:$B,'Compilado 2023'!E:E)</f>
        <v>0</v>
      </c>
      <c r="F92" s="18">
        <f>_xlfn.XLOOKUP($B:$B,'Compilado 2023'!$B:$B,'Compilado 2023'!F:F)</f>
        <v>149</v>
      </c>
      <c r="G92" s="18">
        <f>_xlfn.XLOOKUP($B:$B,'Compilado 2023'!$B:$B,'Compilado 2023'!G:G)</f>
        <v>172</v>
      </c>
      <c r="H92" s="35">
        <f t="shared" si="25"/>
        <v>265.11859060402685</v>
      </c>
      <c r="I92" s="19">
        <f t="shared" si="26"/>
        <v>924.4429032258065</v>
      </c>
      <c r="J92" s="122">
        <f t="shared" si="27"/>
        <v>42.731324846734189</v>
      </c>
      <c r="K92" s="18">
        <f>_xlfn.XLOOKUP($B:$B,'Compilado 2023'!$B:$B,'Compilado 2023'!K:K)</f>
        <v>3741</v>
      </c>
      <c r="L92" s="54">
        <f t="shared" si="28"/>
        <v>3.9828922747928361E-2</v>
      </c>
      <c r="M92" s="149"/>
      <c r="N92" s="106">
        <f>_xlfn.XLOOKUP($B:$B,'Compilado 2023'!$B:$B,'Compilado 2023'!N:N)</f>
        <v>533.21</v>
      </c>
      <c r="O92" s="106">
        <f>_xlfn.XLOOKUP($B:$B,'Compilado 2023'!$B:$B,'Compilado 2023'!O:O)</f>
        <v>339.62</v>
      </c>
      <c r="P92" s="106">
        <f>_xlfn.XLOOKUP($B:$B,'Compilado 2023'!$B:$B,'Compilado 2023'!P:P)</f>
        <v>0</v>
      </c>
      <c r="Q92" s="106">
        <f>_xlfn.XLOOKUP($B:$B,'Compilado 2023'!$B:$B,'Compilado 2023'!Q:Q)</f>
        <v>51.612903225806448</v>
      </c>
      <c r="R92" s="106">
        <f>_xlfn.XLOOKUP($B:$B,'Compilado 2023'!$B:$B,'Compilado 2023'!R:R)</f>
        <v>0</v>
      </c>
      <c r="S92" s="106">
        <f>_xlfn.XLOOKUP($B:$B,'Compilado 2023'!$B:$B,'Compilado 2023'!T:T)</f>
        <v>0</v>
      </c>
      <c r="T92" s="106">
        <f>_xlfn.XLOOKUP($B:$B,'Compilado 2023'!$B:$B,'Compilado 2023'!U:U)</f>
        <v>0</v>
      </c>
      <c r="U92" s="106">
        <f>_xlfn.XLOOKUP($B:$B,'Compilado 2023'!$B:$B,'Compilado 2023'!V:V)</f>
        <v>0</v>
      </c>
      <c r="V92" s="57"/>
      <c r="W92" s="106">
        <f>_xlfn.XLOOKUP($B:$B,'Compilado 2023'!$B:$B,'Compilado 2023'!X:X)</f>
        <v>0</v>
      </c>
      <c r="X92" s="106">
        <f>_xlfn.XLOOKUP($B:$B,'Compilado 2023'!$B:$B,'Compilado 2023'!Y:Y)</f>
        <v>0</v>
      </c>
      <c r="Y92" s="106">
        <f>_xlfn.XLOOKUP($B:$B,'Compilado 2023'!$B:$B,'Compilado 2023'!Z:Z)</f>
        <v>0</v>
      </c>
      <c r="AA92" s="208">
        <v>45136</v>
      </c>
    </row>
    <row r="93" spans="1:27" hidden="1" x14ac:dyDescent="0.2">
      <c r="A93" s="17" t="str">
        <f t="shared" ca="1" si="29"/>
        <v>Realizado</v>
      </c>
      <c r="B93" s="17">
        <v>44803</v>
      </c>
      <c r="C93" s="19">
        <f t="shared" si="24"/>
        <v>36029.29</v>
      </c>
      <c r="D93" s="35">
        <f>_xlfn.XLOOKUP($B:$B,'Compilado 2023'!$B:$B,'Compilado 2023'!D:D)</f>
        <v>36029.29</v>
      </c>
      <c r="E93" s="35">
        <f>_xlfn.XLOOKUP($B:$B,'Compilado 2023'!$B:$B,'Compilado 2023'!E:E)</f>
        <v>0</v>
      </c>
      <c r="F93" s="18">
        <f>_xlfn.XLOOKUP($B:$B,'Compilado 2023'!$B:$B,'Compilado 2023'!F:F)</f>
        <v>135</v>
      </c>
      <c r="G93" s="18">
        <f>_xlfn.XLOOKUP($B:$B,'Compilado 2023'!$B:$B,'Compilado 2023'!G:G)</f>
        <v>162</v>
      </c>
      <c r="H93" s="35">
        <f t="shared" si="25"/>
        <v>266.88362962962964</v>
      </c>
      <c r="I93" s="19">
        <f t="shared" si="26"/>
        <v>849.21290322580649</v>
      </c>
      <c r="J93" s="122">
        <f t="shared" si="27"/>
        <v>42.426686951104628</v>
      </c>
      <c r="K93" s="18">
        <f>_xlfn.XLOOKUP($B:$B,'Compilado 2023'!$B:$B,'Compilado 2023'!K:K)</f>
        <v>3717</v>
      </c>
      <c r="L93" s="54">
        <f t="shared" si="28"/>
        <v>3.6319612590799029E-2</v>
      </c>
      <c r="M93" s="149"/>
      <c r="N93" s="106">
        <f>_xlfn.XLOOKUP($B:$B,'Compilado 2023'!$B:$B,'Compilado 2023'!N:N)</f>
        <v>495.44</v>
      </c>
      <c r="O93" s="106">
        <f>_xlfn.XLOOKUP($B:$B,'Compilado 2023'!$B:$B,'Compilado 2023'!O:O)</f>
        <v>302.16000000000003</v>
      </c>
      <c r="P93" s="106">
        <f>_xlfn.XLOOKUP($B:$B,'Compilado 2023'!$B:$B,'Compilado 2023'!P:P)</f>
        <v>0</v>
      </c>
      <c r="Q93" s="106">
        <f>_xlfn.XLOOKUP($B:$B,'Compilado 2023'!$B:$B,'Compilado 2023'!Q:Q)</f>
        <v>51.612903225806448</v>
      </c>
      <c r="R93" s="106">
        <f>_xlfn.XLOOKUP($B:$B,'Compilado 2023'!$B:$B,'Compilado 2023'!R:R)</f>
        <v>0</v>
      </c>
      <c r="S93" s="106">
        <f>_xlfn.XLOOKUP($B:$B,'Compilado 2023'!$B:$B,'Compilado 2023'!T:T)</f>
        <v>0</v>
      </c>
      <c r="T93" s="106">
        <f>_xlfn.XLOOKUP($B:$B,'Compilado 2023'!$B:$B,'Compilado 2023'!U:U)</f>
        <v>0</v>
      </c>
      <c r="U93" s="106">
        <f>_xlfn.XLOOKUP($B:$B,'Compilado 2023'!$B:$B,'Compilado 2023'!V:V)</f>
        <v>0</v>
      </c>
      <c r="V93" s="57"/>
      <c r="W93" s="106">
        <f>_xlfn.XLOOKUP($B:$B,'Compilado 2023'!$B:$B,'Compilado 2023'!X:X)</f>
        <v>0</v>
      </c>
      <c r="X93" s="106">
        <f>_xlfn.XLOOKUP($B:$B,'Compilado 2023'!$B:$B,'Compilado 2023'!Y:Y)</f>
        <v>0</v>
      </c>
      <c r="Y93" s="106">
        <f>_xlfn.XLOOKUP($B:$B,'Compilado 2023'!$B:$B,'Compilado 2023'!Z:Z)</f>
        <v>0</v>
      </c>
      <c r="AA93" s="208">
        <v>45137</v>
      </c>
    </row>
    <row r="94" spans="1:27" hidden="1" x14ac:dyDescent="0.2">
      <c r="A94" s="17" t="str">
        <f t="shared" ca="1" si="29"/>
        <v>Realizado</v>
      </c>
      <c r="B94" s="17">
        <v>44804</v>
      </c>
      <c r="C94" s="19">
        <f t="shared" si="24"/>
        <v>55833.37</v>
      </c>
      <c r="D94" s="35">
        <f>_xlfn.XLOOKUP($B:$B,'Compilado 2023'!$B:$B,'Compilado 2023'!D:D)</f>
        <v>55833.37</v>
      </c>
      <c r="E94" s="35">
        <f>_xlfn.XLOOKUP($B:$B,'Compilado 2023'!$B:$B,'Compilado 2023'!E:E)</f>
        <v>0</v>
      </c>
      <c r="F94" s="18">
        <f>_xlfn.XLOOKUP($B:$B,'Compilado 2023'!$B:$B,'Compilado 2023'!F:F)</f>
        <v>226</v>
      </c>
      <c r="G94" s="18">
        <f>_xlfn.XLOOKUP($B:$B,'Compilado 2023'!$B:$B,'Compilado 2023'!G:G)</f>
        <v>282</v>
      </c>
      <c r="H94" s="35">
        <f t="shared" si="25"/>
        <v>247.05030973451329</v>
      </c>
      <c r="I94" s="19">
        <f t="shared" si="26"/>
        <v>758.12290322580645</v>
      </c>
      <c r="J94" s="122">
        <f t="shared" si="27"/>
        <v>73.646858263257172</v>
      </c>
      <c r="K94" s="18">
        <f>_xlfn.XLOOKUP($B:$B,'Compilado 2023'!$B:$B,'Compilado 2023'!K:K)</f>
        <v>4281</v>
      </c>
      <c r="L94" s="54">
        <f t="shared" si="28"/>
        <v>5.2791403877598689E-2</v>
      </c>
      <c r="M94" s="149"/>
      <c r="N94" s="106">
        <f>_xlfn.XLOOKUP($B:$B,'Compilado 2023'!$B:$B,'Compilado 2023'!N:N)</f>
        <v>473.06</v>
      </c>
      <c r="O94" s="106">
        <f>_xlfn.XLOOKUP($B:$B,'Compilado 2023'!$B:$B,'Compilado 2023'!O:O)</f>
        <v>233.45</v>
      </c>
      <c r="P94" s="106">
        <f>_xlfn.XLOOKUP($B:$B,'Compilado 2023'!$B:$B,'Compilado 2023'!P:P)</f>
        <v>0</v>
      </c>
      <c r="Q94" s="106">
        <f>_xlfn.XLOOKUP($B:$B,'Compilado 2023'!$B:$B,'Compilado 2023'!Q:Q)</f>
        <v>51.612903225806448</v>
      </c>
      <c r="R94" s="106">
        <f>_xlfn.XLOOKUP($B:$B,'Compilado 2023'!$B:$B,'Compilado 2023'!R:R)</f>
        <v>0</v>
      </c>
      <c r="S94" s="106">
        <f>_xlfn.XLOOKUP($B:$B,'Compilado 2023'!$B:$B,'Compilado 2023'!T:T)</f>
        <v>0</v>
      </c>
      <c r="T94" s="106">
        <f>_xlfn.XLOOKUP($B:$B,'Compilado 2023'!$B:$B,'Compilado 2023'!U:U)</f>
        <v>0</v>
      </c>
      <c r="U94" s="106">
        <f>_xlfn.XLOOKUP($B:$B,'Compilado 2023'!$B:$B,'Compilado 2023'!V:V)</f>
        <v>0</v>
      </c>
      <c r="V94" s="57"/>
      <c r="W94" s="106">
        <f>_xlfn.XLOOKUP($B:$B,'Compilado 2023'!$B:$B,'Compilado 2023'!X:X)</f>
        <v>0</v>
      </c>
      <c r="X94" s="106">
        <f>_xlfn.XLOOKUP($B:$B,'Compilado 2023'!$B:$B,'Compilado 2023'!Y:Y)</f>
        <v>0</v>
      </c>
      <c r="Y94" s="106">
        <f>_xlfn.XLOOKUP($B:$B,'Compilado 2023'!$B:$B,'Compilado 2023'!Z:Z)</f>
        <v>0</v>
      </c>
      <c r="AA94" s="208">
        <v>45138</v>
      </c>
    </row>
  </sheetData>
  <mergeCells count="3">
    <mergeCell ref="B41:D41"/>
    <mergeCell ref="B49:D49"/>
    <mergeCell ref="B57:D57"/>
  </mergeCells>
  <conditionalFormatting sqref="A64:A94">
    <cfRule type="cellIs" dxfId="122" priority="31" operator="equal">
      <formula>"Realizado"</formula>
    </cfRule>
    <cfRule type="cellIs" dxfId="121" priority="25" operator="equal">
      <formula>"Realizado"</formula>
    </cfRule>
    <cfRule type="cellIs" dxfId="120" priority="32" operator="equal">
      <formula>TODAY()</formula>
    </cfRule>
  </conditionalFormatting>
  <conditionalFormatting sqref="A63:B94">
    <cfRule type="cellIs" dxfId="119" priority="26" operator="equal">
      <formula>TODAY()</formula>
    </cfRule>
  </conditionalFormatting>
  <conditionalFormatting sqref="B4:H34">
    <cfRule type="cellIs" dxfId="118" priority="54" operator="equal">
      <formula>TODAY()</formula>
    </cfRule>
  </conditionalFormatting>
  <conditionalFormatting sqref="C65:D93">
    <cfRule type="cellIs" dxfId="117" priority="21" operator="equal">
      <formula>$A$1</formula>
    </cfRule>
    <cfRule type="cellIs" dxfId="116" priority="22" operator="equal">
      <formula>TODAY()</formula>
    </cfRule>
  </conditionalFormatting>
  <conditionalFormatting sqref="C64:H94">
    <cfRule type="cellIs" dxfId="115" priority="1" operator="equal">
      <formula>TODAY()</formula>
    </cfRule>
  </conditionalFormatting>
  <conditionalFormatting sqref="C94:H94">
    <cfRule type="cellIs" dxfId="114" priority="18" operator="equal">
      <formula>$A$1</formula>
    </cfRule>
  </conditionalFormatting>
  <conditionalFormatting sqref="C46:L46">
    <cfRule type="cellIs" dxfId="113" priority="52" operator="lessThan">
      <formula>0</formula>
    </cfRule>
  </conditionalFormatting>
  <conditionalFormatting sqref="C47:L47">
    <cfRule type="cellIs" dxfId="112" priority="33" operator="lessThan">
      <formula>0</formula>
    </cfRule>
  </conditionalFormatting>
  <conditionalFormatting sqref="C53:L53">
    <cfRule type="cellIs" dxfId="111" priority="50" operator="lessThan">
      <formula>0</formula>
    </cfRule>
  </conditionalFormatting>
  <conditionalFormatting sqref="C54:L54">
    <cfRule type="cellIs" dxfId="110" priority="34" operator="lessThan">
      <formula>0</formula>
    </cfRule>
  </conditionalFormatting>
  <conditionalFormatting sqref="C61:L61">
    <cfRule type="cellIs" dxfId="109" priority="38" operator="lessThan">
      <formula>0</formula>
    </cfRule>
  </conditionalFormatting>
  <conditionalFormatting sqref="C62:L62">
    <cfRule type="cellIs" dxfId="108" priority="35" operator="lessThan">
      <formula>0</formula>
    </cfRule>
  </conditionalFormatting>
  <conditionalFormatting sqref="H5:H34">
    <cfRule type="cellIs" dxfId="107" priority="74" operator="equal">
      <formula>TODAY()</formula>
    </cfRule>
  </conditionalFormatting>
  <conditionalFormatting sqref="N4:Q34">
    <cfRule type="cellIs" dxfId="106" priority="29" operator="equal">
      <formula>TODAY()</formula>
    </cfRule>
  </conditionalFormatting>
  <conditionalFormatting sqref="N64:U94">
    <cfRule type="cellIs" dxfId="105" priority="5" operator="equal">
      <formula>TODAY()</formula>
    </cfRule>
  </conditionalFormatting>
  <conditionalFormatting sqref="R4 R5:S34">
    <cfRule type="cellIs" dxfId="104" priority="69" operator="equal">
      <formula>TODAY()</formula>
    </cfRule>
  </conditionalFormatting>
  <conditionalFormatting sqref="S4:U34">
    <cfRule type="cellIs" dxfId="103" priority="63" operator="equal">
      <formula>TODAY()</formula>
    </cfRule>
  </conditionalFormatting>
  <conditionalFormatting sqref="W4:Y34">
    <cfRule type="cellIs" dxfId="102" priority="61" operator="equal">
      <formula>TODAY()</formula>
    </cfRule>
  </conditionalFormatting>
  <conditionalFormatting sqref="W64:Y94">
    <cfRule type="cellIs" dxfId="101" priority="3" operator="equal">
      <formula>TODAY()</formula>
    </cfRule>
  </conditionalFormatting>
  <conditionalFormatting sqref="AA4:AA34">
    <cfRule type="cellIs" dxfId="100" priority="66" operator="equal">
      <formula>TODAY()</formula>
    </cfRule>
  </conditionalFormatting>
  <conditionalFormatting sqref="AA64:AA94">
    <cfRule type="cellIs" dxfId="99" priority="19" operator="equal">
      <formula>TODAY()</formula>
    </cfRule>
  </conditionalFormatting>
  <printOptions horizontalCentered="1" gridLines="1"/>
  <pageMargins left="0.7" right="0.7" top="0.75" bottom="0.75" header="0" footer="0"/>
  <pageSetup paperSize="9" fitToWidth="0" pageOrder="overThenDown" orientation="landscape" cellComments="atEnd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129DB-C3AF-42B5-B7A9-636322D0AF19}">
  <sheetPr codeName="Planilha13">
    <outlinePr summaryBelow="0" summaryRight="0"/>
    <pageSetUpPr fitToPage="1"/>
  </sheetPr>
  <dimension ref="A1:AG94"/>
  <sheetViews>
    <sheetView showGridLines="0" topLeftCell="J1" zoomScaleNormal="100" zoomScaleSheetLayoutView="100" workbookViewId="0">
      <pane ySplit="1" topLeftCell="A46" activePane="bottomLeft" state="frozen"/>
      <selection activeCell="C64" sqref="C64:AA94"/>
      <selection pane="bottomLeft" activeCell="C64" sqref="C64:AA94"/>
    </sheetView>
  </sheetViews>
  <sheetFormatPr defaultColWidth="0" defaultRowHeight="12.75" x14ac:dyDescent="0.2"/>
  <cols>
    <col min="1" max="1" width="14" customWidth="1"/>
    <col min="2" max="2" width="11.7109375" customWidth="1"/>
    <col min="3" max="3" width="18.7109375" customWidth="1"/>
    <col min="4" max="4" width="16" bestFit="1" customWidth="1"/>
    <col min="5" max="5" width="11.7109375" customWidth="1"/>
    <col min="6" max="6" width="8.42578125" bestFit="1" customWidth="1"/>
    <col min="7" max="7" width="8.85546875" bestFit="1" customWidth="1"/>
    <col min="8" max="8" width="15.140625" customWidth="1"/>
    <col min="9" max="9" width="15.28515625" customWidth="1"/>
    <col min="10" max="10" width="12.28515625" bestFit="1" customWidth="1"/>
    <col min="11" max="11" width="12" customWidth="1"/>
    <col min="12" max="12" width="9.5703125" bestFit="1" customWidth="1"/>
    <col min="13" max="13" width="0.42578125" customWidth="1"/>
    <col min="14" max="14" width="12.5703125" bestFit="1" customWidth="1"/>
    <col min="15" max="15" width="11.5703125" bestFit="1" customWidth="1"/>
    <col min="16" max="16" width="10.42578125" bestFit="1" customWidth="1"/>
    <col min="17" max="17" width="11.5703125" bestFit="1" customWidth="1"/>
    <col min="18" max="18" width="10.140625" bestFit="1" customWidth="1"/>
    <col min="19" max="19" width="10.140625" customWidth="1"/>
    <col min="20" max="20" width="7.7109375" bestFit="1" customWidth="1"/>
    <col min="21" max="21" width="10.42578125" bestFit="1" customWidth="1"/>
    <col min="22" max="22" width="1.140625" customWidth="1"/>
    <col min="23" max="25" width="10.42578125" bestFit="1" customWidth="1"/>
    <col min="26" max="26" width="0.7109375" customWidth="1"/>
    <col min="27" max="27" width="36" customWidth="1"/>
    <col min="28" max="33" width="0" hidden="1" customWidth="1"/>
    <col min="34" max="16384" width="12.5703125" hidden="1"/>
  </cols>
  <sheetData>
    <row r="1" spans="1:27" s="8" customFormat="1" ht="59.25" x14ac:dyDescent="0.75">
      <c r="A1" s="6"/>
      <c r="B1" s="6"/>
      <c r="C1" s="7" t="s">
        <v>69</v>
      </c>
      <c r="D1" s="6"/>
      <c r="E1" s="6"/>
      <c r="F1" s="6"/>
      <c r="G1" s="6"/>
      <c r="H1" s="6"/>
      <c r="I1" s="6"/>
      <c r="J1" s="6"/>
      <c r="K1" s="6"/>
      <c r="L1" s="6"/>
      <c r="M1" s="75" t="s">
        <v>184</v>
      </c>
      <c r="N1" s="49">
        <f ca="1">TODAY()</f>
        <v>45834</v>
      </c>
      <c r="O1" s="50">
        <f>MONTH(B4)</f>
        <v>9</v>
      </c>
      <c r="P1" s="50">
        <f>YEAR(B4)</f>
        <v>2023</v>
      </c>
      <c r="Q1" s="49"/>
      <c r="R1" s="49"/>
      <c r="S1" s="49"/>
      <c r="T1" s="49"/>
      <c r="U1" s="36"/>
      <c r="V1" s="75" t="s">
        <v>185</v>
      </c>
      <c r="W1" s="36"/>
      <c r="X1" s="36"/>
      <c r="Y1" s="36"/>
      <c r="Z1" s="36"/>
      <c r="AA1" s="51" t="s">
        <v>73</v>
      </c>
    </row>
    <row r="2" spans="1:27" s="10" customFormat="1" ht="24" thickBot="1" x14ac:dyDescent="0.25">
      <c r="A2" s="43"/>
      <c r="B2" s="11" t="str">
        <f>_xlfn.CONCAT(_xlfn.XLOOKUP(O1,Referencia!$B$1:$B$13,Referencia!$A$1:$A$13)," ",P1)</f>
        <v>Setembro 2023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</row>
    <row r="3" spans="1:27" s="9" customFormat="1" ht="16.5" x14ac:dyDescent="0.35">
      <c r="A3" s="15" t="s">
        <v>74</v>
      </c>
      <c r="B3" s="13" t="s">
        <v>20</v>
      </c>
      <c r="C3" s="13" t="s">
        <v>75</v>
      </c>
      <c r="D3" s="13" t="s">
        <v>76</v>
      </c>
      <c r="E3" s="13" t="s">
        <v>77</v>
      </c>
      <c r="F3" s="13" t="s">
        <v>78</v>
      </c>
      <c r="G3" s="13" t="s">
        <v>79</v>
      </c>
      <c r="H3" s="13" t="s">
        <v>80</v>
      </c>
      <c r="I3" s="13" t="s">
        <v>81</v>
      </c>
      <c r="J3" s="13" t="s">
        <v>82</v>
      </c>
      <c r="K3" s="13" t="s">
        <v>40</v>
      </c>
      <c r="L3" s="13" t="s">
        <v>83</v>
      </c>
      <c r="M3" s="37"/>
      <c r="N3" s="13" t="s">
        <v>85</v>
      </c>
      <c r="O3" s="13" t="s">
        <v>155</v>
      </c>
      <c r="P3" s="13" t="s">
        <v>87</v>
      </c>
      <c r="Q3" s="13" t="s">
        <v>88</v>
      </c>
      <c r="R3" s="13" t="s">
        <v>89</v>
      </c>
      <c r="S3" s="13" t="s">
        <v>90</v>
      </c>
      <c r="T3" s="13" t="s">
        <v>91</v>
      </c>
      <c r="U3" s="13" t="s">
        <v>92</v>
      </c>
      <c r="V3" s="56"/>
      <c r="W3" s="13" t="s">
        <v>88</v>
      </c>
      <c r="X3" s="13" t="s">
        <v>91</v>
      </c>
      <c r="Y3" s="13" t="s">
        <v>92</v>
      </c>
      <c r="Z3" s="37"/>
      <c r="AA3" s="14" t="s">
        <v>73</v>
      </c>
    </row>
    <row r="4" spans="1:27" s="2" customFormat="1" x14ac:dyDescent="0.2">
      <c r="A4" s="16" t="str">
        <f t="shared" ref="A4:A33" si="0">TEXT(B4,"DDDD")</f>
        <v>sexta-feira</v>
      </c>
      <c r="B4" s="17">
        <v>45170</v>
      </c>
      <c r="C4" s="19">
        <f>D4+E4</f>
        <v>0</v>
      </c>
      <c r="D4" s="35">
        <f>_xlfn.XLOOKUP($B:$B,'Compilado 2023'!$B:$B,'Compilado 2023'!D:D)</f>
        <v>0</v>
      </c>
      <c r="E4" s="35">
        <f>_xlfn.XLOOKUP($B:$B,'Compilado 2023'!$B:$B,'Compilado 2023'!E:E)</f>
        <v>0</v>
      </c>
      <c r="F4" s="18">
        <f>_xlfn.XLOOKUP($B:$B,'Compilado 2023'!$B:$B,'Compilado 2023'!F:F)</f>
        <v>0</v>
      </c>
      <c r="G4" s="18">
        <f>_xlfn.XLOOKUP($B:$B,'Compilado 2023'!$B:$B,'Compilado 2023'!G:G)</f>
        <v>0</v>
      </c>
      <c r="H4" s="35">
        <f>IFERROR(C4/F4,0)</f>
        <v>0</v>
      </c>
      <c r="I4" s="19">
        <f ca="1">SUM(N4:U4)</f>
        <v>53.333333333333336</v>
      </c>
      <c r="J4" s="117">
        <f t="shared" ref="J4:J33" ca="1" si="1">IF(I4&gt;0,C4/I4,0)</f>
        <v>0</v>
      </c>
      <c r="K4" s="18">
        <f>_xlfn.XLOOKUP($B:$B,'Compilado 2023'!$B:$B,'Compilado 2023'!K:K)</f>
        <v>0</v>
      </c>
      <c r="L4" s="54">
        <f t="shared" ref="L4:L33" si="2">IFERROR(F4/K4,0)</f>
        <v>0</v>
      </c>
      <c r="M4" s="38"/>
      <c r="N4" s="106">
        <f>_xlfn.XLOOKUP($B:$B,'Compilado 2023'!$B:$B,'Compilado 2023'!N:N)</f>
        <v>0</v>
      </c>
      <c r="O4" s="106">
        <f>_xlfn.XLOOKUP($B:$B,'Compilado 2023'!$B:$B,'Compilado 2023'!O:O)</f>
        <v>0</v>
      </c>
      <c r="P4" s="106">
        <f>_xlfn.XLOOKUP($B:$B,'Compilado 2023'!$B:$B,'Compilado 2023'!P:P)</f>
        <v>0</v>
      </c>
      <c r="Q4" s="106">
        <f ca="1">_xlfn.XLOOKUP($B:$B,'Compilado 2023'!$B:$B,'Compilado 2023'!Q:Q)</f>
        <v>53.333333333333336</v>
      </c>
      <c r="R4" s="106">
        <f>_xlfn.XLOOKUP($B:$B,'Compilado 2023'!$B:$B,'Compilado 2023'!R:R)</f>
        <v>0</v>
      </c>
      <c r="S4" s="106">
        <f>_xlfn.XLOOKUP($B:$B,'Compilado 2023'!$B:$B,'Compilado 2023'!S:S)</f>
        <v>0</v>
      </c>
      <c r="T4" s="106">
        <f>_xlfn.XLOOKUP($B:$B,'Compilado 2023'!$B:$B,'Compilado 2023'!U:U)</f>
        <v>0</v>
      </c>
      <c r="U4" s="106">
        <f>_xlfn.XLOOKUP($B:$B,'Compilado 2023'!$B:$B,'Compilado 2023'!V:V)</f>
        <v>0</v>
      </c>
      <c r="V4" s="57"/>
      <c r="W4" s="106">
        <f>_xlfn.XLOOKUP($B:$B,'Compilado 2023'!$B:$B,'Compilado 2023'!X:X)</f>
        <v>0</v>
      </c>
      <c r="X4" s="106">
        <f>_xlfn.XLOOKUP($B:$B,'Compilado 2023'!$B:$B,'Compilado 2023'!Y:Y)</f>
        <v>0</v>
      </c>
      <c r="Y4" s="106">
        <f>_xlfn.XLOOKUP($B:$B,'Compilado 2023'!$B:$B,'Compilado 2023'!Z:Z)</f>
        <v>0</v>
      </c>
      <c r="Z4" s="38"/>
      <c r="AA4" s="107">
        <f>_xlfn.XLOOKUP($B:$B,'Compilado 2023'!$B:$B,'Compilado 2023'!AA:AA)</f>
        <v>0</v>
      </c>
    </row>
    <row r="5" spans="1:27" s="2" customFormat="1" x14ac:dyDescent="0.2">
      <c r="A5" s="16" t="str">
        <f t="shared" si="0"/>
        <v>sábado</v>
      </c>
      <c r="B5" s="17">
        <f>B4+1</f>
        <v>45171</v>
      </c>
      <c r="C5" s="19">
        <f t="shared" ref="C5:C33" si="3">D5+E5</f>
        <v>0</v>
      </c>
      <c r="D5" s="35">
        <f>_xlfn.XLOOKUP($B:$B,'Compilado 2023'!$B:$B,'Compilado 2023'!D:D)</f>
        <v>0</v>
      </c>
      <c r="E5" s="35">
        <f>_xlfn.XLOOKUP($B:$B,'Compilado 2023'!$B:$B,'Compilado 2023'!E:E)</f>
        <v>0</v>
      </c>
      <c r="F5" s="18">
        <f>_xlfn.XLOOKUP($B:$B,'Compilado 2023'!$B:$B,'Compilado 2023'!F:F)</f>
        <v>0</v>
      </c>
      <c r="G5" s="18">
        <f>_xlfn.XLOOKUP($B:$B,'Compilado 2023'!$B:$B,'Compilado 2023'!G:G)</f>
        <v>0</v>
      </c>
      <c r="H5" s="35">
        <f t="shared" ref="H5:H33" si="4">IFERROR(C5/F5,0)</f>
        <v>0</v>
      </c>
      <c r="I5" s="19">
        <f t="shared" ref="I5:I33" ca="1" si="5">SUM(N5:U5)</f>
        <v>53.333333333333336</v>
      </c>
      <c r="J5" s="117">
        <f t="shared" ca="1" si="1"/>
        <v>0</v>
      </c>
      <c r="K5" s="18">
        <f>_xlfn.XLOOKUP($B:$B,'Compilado 2023'!$B:$B,'Compilado 2023'!K:K)</f>
        <v>0</v>
      </c>
      <c r="L5" s="54">
        <f t="shared" si="2"/>
        <v>0</v>
      </c>
      <c r="M5" s="38"/>
      <c r="N5" s="106">
        <f>_xlfn.XLOOKUP($B:$B,'Compilado 2023'!$B:$B,'Compilado 2023'!N:N)</f>
        <v>0</v>
      </c>
      <c r="O5" s="106">
        <f>_xlfn.XLOOKUP($B:$B,'Compilado 2023'!$B:$B,'Compilado 2023'!O:O)</f>
        <v>0</v>
      </c>
      <c r="P5" s="106">
        <f>_xlfn.XLOOKUP($B:$B,'Compilado 2023'!$B:$B,'Compilado 2023'!P:P)</f>
        <v>0</v>
      </c>
      <c r="Q5" s="106">
        <f ca="1">_xlfn.XLOOKUP($B:$B,'Compilado 2023'!$B:$B,'Compilado 2023'!Q:Q)</f>
        <v>53.333333333333336</v>
      </c>
      <c r="R5" s="106">
        <f>_xlfn.XLOOKUP($B:$B,'Compilado 2023'!$B:$B,'Compilado 2023'!R:R)</f>
        <v>0</v>
      </c>
      <c r="S5" s="106">
        <f>_xlfn.XLOOKUP($B:$B,'Compilado 2023'!$B:$B,'Compilado 2023'!S:S)</f>
        <v>0</v>
      </c>
      <c r="T5" s="106">
        <f>_xlfn.XLOOKUP($B:$B,'Compilado 2023'!$B:$B,'Compilado 2023'!U:U)</f>
        <v>0</v>
      </c>
      <c r="U5" s="106">
        <f>_xlfn.XLOOKUP($B:$B,'Compilado 2023'!$B:$B,'Compilado 2023'!V:V)</f>
        <v>0</v>
      </c>
      <c r="V5" s="57"/>
      <c r="W5" s="106">
        <f>_xlfn.XLOOKUP($B:$B,'Compilado 2023'!$B:$B,'Compilado 2023'!X:X)</f>
        <v>0</v>
      </c>
      <c r="X5" s="106">
        <f>_xlfn.XLOOKUP($B:$B,'Compilado 2023'!$B:$B,'Compilado 2023'!Y:Y)</f>
        <v>0</v>
      </c>
      <c r="Y5" s="106">
        <f>_xlfn.XLOOKUP($B:$B,'Compilado 2023'!$B:$B,'Compilado 2023'!Z:Z)</f>
        <v>0</v>
      </c>
      <c r="Z5" s="38"/>
      <c r="AA5" s="107">
        <f>_xlfn.XLOOKUP($B:$B,'Compilado 2023'!$B:$B,'Compilado 2023'!AA:AA)</f>
        <v>0</v>
      </c>
    </row>
    <row r="6" spans="1:27" x14ac:dyDescent="0.2">
      <c r="A6" s="16" t="str">
        <f t="shared" si="0"/>
        <v>domingo</v>
      </c>
      <c r="B6" s="17">
        <f t="shared" ref="B6:B33" si="6">B5+1</f>
        <v>45172</v>
      </c>
      <c r="C6" s="19">
        <f t="shared" si="3"/>
        <v>0</v>
      </c>
      <c r="D6" s="35">
        <f>_xlfn.XLOOKUP($B:$B,'Compilado 2023'!$B:$B,'Compilado 2023'!D:D)</f>
        <v>0</v>
      </c>
      <c r="E6" s="35">
        <f>_xlfn.XLOOKUP($B:$B,'Compilado 2023'!$B:$B,'Compilado 2023'!E:E)</f>
        <v>0</v>
      </c>
      <c r="F6" s="18">
        <f>_xlfn.XLOOKUP($B:$B,'Compilado 2023'!$B:$B,'Compilado 2023'!F:F)</f>
        <v>0</v>
      </c>
      <c r="G6" s="18">
        <f>_xlfn.XLOOKUP($B:$B,'Compilado 2023'!$B:$B,'Compilado 2023'!G:G)</f>
        <v>0</v>
      </c>
      <c r="H6" s="35">
        <f t="shared" si="4"/>
        <v>0</v>
      </c>
      <c r="I6" s="19">
        <f t="shared" ca="1" si="5"/>
        <v>53.333333333333336</v>
      </c>
      <c r="J6" s="117">
        <f t="shared" ca="1" si="1"/>
        <v>0</v>
      </c>
      <c r="K6" s="18">
        <f>_xlfn.XLOOKUP($B:$B,'Compilado 2023'!$B:$B,'Compilado 2023'!K:K)</f>
        <v>0</v>
      </c>
      <c r="L6" s="54">
        <f t="shared" si="2"/>
        <v>0</v>
      </c>
      <c r="M6" s="38"/>
      <c r="N6" s="106">
        <f>_xlfn.XLOOKUP($B:$B,'Compilado 2023'!$B:$B,'Compilado 2023'!N:N)</f>
        <v>0</v>
      </c>
      <c r="O6" s="106">
        <f>_xlfn.XLOOKUP($B:$B,'Compilado 2023'!$B:$B,'Compilado 2023'!O:O)</f>
        <v>0</v>
      </c>
      <c r="P6" s="106">
        <f>_xlfn.XLOOKUP($B:$B,'Compilado 2023'!$B:$B,'Compilado 2023'!P:P)</f>
        <v>0</v>
      </c>
      <c r="Q6" s="106">
        <f ca="1">_xlfn.XLOOKUP($B:$B,'Compilado 2023'!$B:$B,'Compilado 2023'!Q:Q)</f>
        <v>53.333333333333336</v>
      </c>
      <c r="R6" s="106">
        <f>_xlfn.XLOOKUP($B:$B,'Compilado 2023'!$B:$B,'Compilado 2023'!R:R)</f>
        <v>0</v>
      </c>
      <c r="S6" s="106">
        <f>_xlfn.XLOOKUP($B:$B,'Compilado 2023'!$B:$B,'Compilado 2023'!S:S)</f>
        <v>0</v>
      </c>
      <c r="T6" s="106">
        <f>_xlfn.XLOOKUP($B:$B,'Compilado 2023'!$B:$B,'Compilado 2023'!U:U)</f>
        <v>0</v>
      </c>
      <c r="U6" s="106">
        <f>_xlfn.XLOOKUP($B:$B,'Compilado 2023'!$B:$B,'Compilado 2023'!V:V)</f>
        <v>0</v>
      </c>
      <c r="V6" s="57"/>
      <c r="W6" s="106">
        <f>_xlfn.XLOOKUP($B:$B,'Compilado 2023'!$B:$B,'Compilado 2023'!X:X)</f>
        <v>0</v>
      </c>
      <c r="X6" s="106">
        <f>_xlfn.XLOOKUP($B:$B,'Compilado 2023'!$B:$B,'Compilado 2023'!Y:Y)</f>
        <v>0</v>
      </c>
      <c r="Y6" s="106">
        <f>_xlfn.XLOOKUP($B:$B,'Compilado 2023'!$B:$B,'Compilado 2023'!Z:Z)</f>
        <v>0</v>
      </c>
      <c r="Z6" s="38"/>
      <c r="AA6" s="107">
        <f>_xlfn.XLOOKUP($B:$B,'Compilado 2023'!$B:$B,'Compilado 2023'!AA:AA)</f>
        <v>0</v>
      </c>
    </row>
    <row r="7" spans="1:27" x14ac:dyDescent="0.2">
      <c r="A7" s="16" t="str">
        <f t="shared" si="0"/>
        <v>segunda-feira</v>
      </c>
      <c r="B7" s="17">
        <f t="shared" si="6"/>
        <v>45173</v>
      </c>
      <c r="C7" s="19">
        <f t="shared" si="3"/>
        <v>0</v>
      </c>
      <c r="D7" s="35">
        <f>_xlfn.XLOOKUP($B:$B,'Compilado 2023'!$B:$B,'Compilado 2023'!D:D)</f>
        <v>0</v>
      </c>
      <c r="E7" s="35">
        <f>_xlfn.XLOOKUP($B:$B,'Compilado 2023'!$B:$B,'Compilado 2023'!E:E)</f>
        <v>0</v>
      </c>
      <c r="F7" s="18">
        <f>_xlfn.XLOOKUP($B:$B,'Compilado 2023'!$B:$B,'Compilado 2023'!F:F)</f>
        <v>0</v>
      </c>
      <c r="G7" s="18">
        <f>_xlfn.XLOOKUP($B:$B,'Compilado 2023'!$B:$B,'Compilado 2023'!G:G)</f>
        <v>0</v>
      </c>
      <c r="H7" s="35">
        <f t="shared" si="4"/>
        <v>0</v>
      </c>
      <c r="I7" s="19">
        <f t="shared" ca="1" si="5"/>
        <v>53.333333333333336</v>
      </c>
      <c r="J7" s="117">
        <f t="shared" ca="1" si="1"/>
        <v>0</v>
      </c>
      <c r="K7" s="18">
        <f>_xlfn.XLOOKUP($B:$B,'Compilado 2023'!$B:$B,'Compilado 2023'!K:K)</f>
        <v>0</v>
      </c>
      <c r="L7" s="54">
        <f t="shared" si="2"/>
        <v>0</v>
      </c>
      <c r="M7" s="38"/>
      <c r="N7" s="106">
        <f>_xlfn.XLOOKUP($B:$B,'Compilado 2023'!$B:$B,'Compilado 2023'!N:N)</f>
        <v>0</v>
      </c>
      <c r="O7" s="106">
        <f>_xlfn.XLOOKUP($B:$B,'Compilado 2023'!$B:$B,'Compilado 2023'!O:O)</f>
        <v>0</v>
      </c>
      <c r="P7" s="106">
        <f>_xlfn.XLOOKUP($B:$B,'Compilado 2023'!$B:$B,'Compilado 2023'!P:P)</f>
        <v>0</v>
      </c>
      <c r="Q7" s="106">
        <f ca="1">_xlfn.XLOOKUP($B:$B,'Compilado 2023'!$B:$B,'Compilado 2023'!Q:Q)</f>
        <v>53.333333333333336</v>
      </c>
      <c r="R7" s="106">
        <f>_xlfn.XLOOKUP($B:$B,'Compilado 2023'!$B:$B,'Compilado 2023'!R:R)</f>
        <v>0</v>
      </c>
      <c r="S7" s="106">
        <f>_xlfn.XLOOKUP($B:$B,'Compilado 2023'!$B:$B,'Compilado 2023'!S:S)</f>
        <v>0</v>
      </c>
      <c r="T7" s="106">
        <f>_xlfn.XLOOKUP($B:$B,'Compilado 2023'!$B:$B,'Compilado 2023'!U:U)</f>
        <v>0</v>
      </c>
      <c r="U7" s="106">
        <f>_xlfn.XLOOKUP($B:$B,'Compilado 2023'!$B:$B,'Compilado 2023'!V:V)</f>
        <v>0</v>
      </c>
      <c r="V7" s="57"/>
      <c r="W7" s="106">
        <f>_xlfn.XLOOKUP($B:$B,'Compilado 2023'!$B:$B,'Compilado 2023'!X:X)</f>
        <v>0</v>
      </c>
      <c r="X7" s="106">
        <f>_xlfn.XLOOKUP($B:$B,'Compilado 2023'!$B:$B,'Compilado 2023'!Y:Y)</f>
        <v>0</v>
      </c>
      <c r="Y7" s="106">
        <f>_xlfn.XLOOKUP($B:$B,'Compilado 2023'!$B:$B,'Compilado 2023'!Z:Z)</f>
        <v>0</v>
      </c>
      <c r="Z7" s="38"/>
      <c r="AA7" s="107">
        <f>_xlfn.XLOOKUP($B:$B,'Compilado 2023'!$B:$B,'Compilado 2023'!AA:AA)</f>
        <v>0</v>
      </c>
    </row>
    <row r="8" spans="1:27" s="2" customFormat="1" x14ac:dyDescent="0.2">
      <c r="A8" s="16" t="str">
        <f t="shared" si="0"/>
        <v>terça-feira</v>
      </c>
      <c r="B8" s="17">
        <f t="shared" si="6"/>
        <v>45174</v>
      </c>
      <c r="C8" s="19">
        <f t="shared" si="3"/>
        <v>0</v>
      </c>
      <c r="D8" s="35">
        <f>_xlfn.XLOOKUP($B:$B,'Compilado 2023'!$B:$B,'Compilado 2023'!D:D)</f>
        <v>0</v>
      </c>
      <c r="E8" s="35">
        <f>_xlfn.XLOOKUP($B:$B,'Compilado 2023'!$B:$B,'Compilado 2023'!E:E)</f>
        <v>0</v>
      </c>
      <c r="F8" s="18">
        <f>_xlfn.XLOOKUP($B:$B,'Compilado 2023'!$B:$B,'Compilado 2023'!F:F)</f>
        <v>0</v>
      </c>
      <c r="G8" s="18">
        <f>_xlfn.XLOOKUP($B:$B,'Compilado 2023'!$B:$B,'Compilado 2023'!G:G)</f>
        <v>0</v>
      </c>
      <c r="H8" s="35">
        <f t="shared" si="4"/>
        <v>0</v>
      </c>
      <c r="I8" s="19">
        <f t="shared" ca="1" si="5"/>
        <v>53.333333333333336</v>
      </c>
      <c r="J8" s="117">
        <f t="shared" ca="1" si="1"/>
        <v>0</v>
      </c>
      <c r="K8" s="18">
        <f>_xlfn.XLOOKUP($B:$B,'Compilado 2023'!$B:$B,'Compilado 2023'!K:K)</f>
        <v>0</v>
      </c>
      <c r="L8" s="54">
        <f t="shared" si="2"/>
        <v>0</v>
      </c>
      <c r="M8" s="38"/>
      <c r="N8" s="106">
        <f>_xlfn.XLOOKUP($B:$B,'Compilado 2023'!$B:$B,'Compilado 2023'!N:N)</f>
        <v>0</v>
      </c>
      <c r="O8" s="106">
        <f>_xlfn.XLOOKUP($B:$B,'Compilado 2023'!$B:$B,'Compilado 2023'!O:O)</f>
        <v>0</v>
      </c>
      <c r="P8" s="106">
        <f>_xlfn.XLOOKUP($B:$B,'Compilado 2023'!$B:$B,'Compilado 2023'!P:P)</f>
        <v>0</v>
      </c>
      <c r="Q8" s="106">
        <f ca="1">_xlfn.XLOOKUP($B:$B,'Compilado 2023'!$B:$B,'Compilado 2023'!Q:Q)</f>
        <v>53.333333333333336</v>
      </c>
      <c r="R8" s="106">
        <f>_xlfn.XLOOKUP($B:$B,'Compilado 2023'!$B:$B,'Compilado 2023'!R:R)</f>
        <v>0</v>
      </c>
      <c r="S8" s="106">
        <f>_xlfn.XLOOKUP($B:$B,'Compilado 2023'!$B:$B,'Compilado 2023'!S:S)</f>
        <v>0</v>
      </c>
      <c r="T8" s="106">
        <f>_xlfn.XLOOKUP($B:$B,'Compilado 2023'!$B:$B,'Compilado 2023'!U:U)</f>
        <v>0</v>
      </c>
      <c r="U8" s="106">
        <f>_xlfn.XLOOKUP($B:$B,'Compilado 2023'!$B:$B,'Compilado 2023'!V:V)</f>
        <v>0</v>
      </c>
      <c r="V8" s="57"/>
      <c r="W8" s="106">
        <f>_xlfn.XLOOKUP($B:$B,'Compilado 2023'!$B:$B,'Compilado 2023'!X:X)</f>
        <v>0</v>
      </c>
      <c r="X8" s="106">
        <f>_xlfn.XLOOKUP($B:$B,'Compilado 2023'!$B:$B,'Compilado 2023'!Y:Y)</f>
        <v>0</v>
      </c>
      <c r="Y8" s="106">
        <f>_xlfn.XLOOKUP($B:$B,'Compilado 2023'!$B:$B,'Compilado 2023'!Z:Z)</f>
        <v>0</v>
      </c>
      <c r="Z8" s="38"/>
      <c r="AA8" s="107">
        <f>_xlfn.XLOOKUP($B:$B,'Compilado 2023'!$B:$B,'Compilado 2023'!AA:AA)</f>
        <v>0</v>
      </c>
    </row>
    <row r="9" spans="1:27" s="2" customFormat="1" x14ac:dyDescent="0.2">
      <c r="A9" s="16" t="str">
        <f t="shared" si="0"/>
        <v>quarta-feira</v>
      </c>
      <c r="B9" s="17">
        <f t="shared" si="6"/>
        <v>45175</v>
      </c>
      <c r="C9" s="19">
        <f t="shared" si="3"/>
        <v>0</v>
      </c>
      <c r="D9" s="35">
        <f>_xlfn.XLOOKUP($B:$B,'Compilado 2023'!$B:$B,'Compilado 2023'!D:D)</f>
        <v>0</v>
      </c>
      <c r="E9" s="35">
        <f>_xlfn.XLOOKUP($B:$B,'Compilado 2023'!$B:$B,'Compilado 2023'!E:E)</f>
        <v>0</v>
      </c>
      <c r="F9" s="18">
        <f>_xlfn.XLOOKUP($B:$B,'Compilado 2023'!$B:$B,'Compilado 2023'!F:F)</f>
        <v>0</v>
      </c>
      <c r="G9" s="18">
        <f>_xlfn.XLOOKUP($B:$B,'Compilado 2023'!$B:$B,'Compilado 2023'!G:G)</f>
        <v>0</v>
      </c>
      <c r="H9" s="35">
        <f t="shared" si="4"/>
        <v>0</v>
      </c>
      <c r="I9" s="19">
        <f t="shared" ca="1" si="5"/>
        <v>53.333333333333336</v>
      </c>
      <c r="J9" s="117">
        <f t="shared" ca="1" si="1"/>
        <v>0</v>
      </c>
      <c r="K9" s="18">
        <f>_xlfn.XLOOKUP($B:$B,'Compilado 2023'!$B:$B,'Compilado 2023'!K:K)</f>
        <v>0</v>
      </c>
      <c r="L9" s="54">
        <f t="shared" si="2"/>
        <v>0</v>
      </c>
      <c r="M9" s="38"/>
      <c r="N9" s="106">
        <f>_xlfn.XLOOKUP($B:$B,'Compilado 2023'!$B:$B,'Compilado 2023'!N:N)</f>
        <v>0</v>
      </c>
      <c r="O9" s="106">
        <f>_xlfn.XLOOKUP($B:$B,'Compilado 2023'!$B:$B,'Compilado 2023'!O:O)</f>
        <v>0</v>
      </c>
      <c r="P9" s="106">
        <f>_xlfn.XLOOKUP($B:$B,'Compilado 2023'!$B:$B,'Compilado 2023'!P:P)</f>
        <v>0</v>
      </c>
      <c r="Q9" s="106">
        <f ca="1">_xlfn.XLOOKUP($B:$B,'Compilado 2023'!$B:$B,'Compilado 2023'!Q:Q)</f>
        <v>53.333333333333336</v>
      </c>
      <c r="R9" s="106">
        <f>_xlfn.XLOOKUP($B:$B,'Compilado 2023'!$B:$B,'Compilado 2023'!R:R)</f>
        <v>0</v>
      </c>
      <c r="S9" s="106">
        <f>_xlfn.XLOOKUP($B:$B,'Compilado 2023'!$B:$B,'Compilado 2023'!S:S)</f>
        <v>0</v>
      </c>
      <c r="T9" s="106">
        <f>_xlfn.XLOOKUP($B:$B,'Compilado 2023'!$B:$B,'Compilado 2023'!U:U)</f>
        <v>0</v>
      </c>
      <c r="U9" s="106">
        <f>_xlfn.XLOOKUP($B:$B,'Compilado 2023'!$B:$B,'Compilado 2023'!V:V)</f>
        <v>0</v>
      </c>
      <c r="V9" s="57"/>
      <c r="W9" s="106">
        <f>_xlfn.XLOOKUP($B:$B,'Compilado 2023'!$B:$B,'Compilado 2023'!X:X)</f>
        <v>0</v>
      </c>
      <c r="X9" s="106">
        <f>_xlfn.XLOOKUP($B:$B,'Compilado 2023'!$B:$B,'Compilado 2023'!Y:Y)</f>
        <v>0</v>
      </c>
      <c r="Y9" s="106">
        <f>_xlfn.XLOOKUP($B:$B,'Compilado 2023'!$B:$B,'Compilado 2023'!Z:Z)</f>
        <v>0</v>
      </c>
      <c r="Z9" s="38"/>
      <c r="AA9" s="107">
        <f>_xlfn.XLOOKUP($B:$B,'Compilado 2023'!$B:$B,'Compilado 2023'!AA:AA)</f>
        <v>0</v>
      </c>
    </row>
    <row r="10" spans="1:27" s="2" customFormat="1" x14ac:dyDescent="0.2">
      <c r="A10" s="16" t="str">
        <f t="shared" si="0"/>
        <v>quinta-feira</v>
      </c>
      <c r="B10" s="17">
        <f t="shared" si="6"/>
        <v>45176</v>
      </c>
      <c r="C10" s="19">
        <f t="shared" si="3"/>
        <v>0</v>
      </c>
      <c r="D10" s="35">
        <f>_xlfn.XLOOKUP($B:$B,'Compilado 2023'!$B:$B,'Compilado 2023'!D:D)</f>
        <v>0</v>
      </c>
      <c r="E10" s="35">
        <f>_xlfn.XLOOKUP($B:$B,'Compilado 2023'!$B:$B,'Compilado 2023'!E:E)</f>
        <v>0</v>
      </c>
      <c r="F10" s="18">
        <f>_xlfn.XLOOKUP($B:$B,'Compilado 2023'!$B:$B,'Compilado 2023'!F:F)</f>
        <v>0</v>
      </c>
      <c r="G10" s="18">
        <f>_xlfn.XLOOKUP($B:$B,'Compilado 2023'!$B:$B,'Compilado 2023'!G:G)</f>
        <v>0</v>
      </c>
      <c r="H10" s="35">
        <f t="shared" si="4"/>
        <v>0</v>
      </c>
      <c r="I10" s="19">
        <f t="shared" ca="1" si="5"/>
        <v>53.333333333333336</v>
      </c>
      <c r="J10" s="117">
        <f t="shared" ca="1" si="1"/>
        <v>0</v>
      </c>
      <c r="K10" s="18">
        <f>_xlfn.XLOOKUP($B:$B,'Compilado 2023'!$B:$B,'Compilado 2023'!K:K)</f>
        <v>0</v>
      </c>
      <c r="L10" s="54">
        <f t="shared" si="2"/>
        <v>0</v>
      </c>
      <c r="M10" s="38"/>
      <c r="N10" s="106">
        <f>_xlfn.XLOOKUP($B:$B,'Compilado 2023'!$B:$B,'Compilado 2023'!N:N)</f>
        <v>0</v>
      </c>
      <c r="O10" s="106">
        <f>_xlfn.XLOOKUP($B:$B,'Compilado 2023'!$B:$B,'Compilado 2023'!O:O)</f>
        <v>0</v>
      </c>
      <c r="P10" s="106">
        <f>_xlfn.XLOOKUP($B:$B,'Compilado 2023'!$B:$B,'Compilado 2023'!P:P)</f>
        <v>0</v>
      </c>
      <c r="Q10" s="106">
        <f ca="1">_xlfn.XLOOKUP($B:$B,'Compilado 2023'!$B:$B,'Compilado 2023'!Q:Q)</f>
        <v>53.333333333333336</v>
      </c>
      <c r="R10" s="106">
        <f>_xlfn.XLOOKUP($B:$B,'Compilado 2023'!$B:$B,'Compilado 2023'!R:R)</f>
        <v>0</v>
      </c>
      <c r="S10" s="106">
        <f>_xlfn.XLOOKUP($B:$B,'Compilado 2023'!$B:$B,'Compilado 2023'!S:S)</f>
        <v>0</v>
      </c>
      <c r="T10" s="106">
        <f>_xlfn.XLOOKUP($B:$B,'Compilado 2023'!$B:$B,'Compilado 2023'!U:U)</f>
        <v>0</v>
      </c>
      <c r="U10" s="106">
        <f>_xlfn.XLOOKUP($B:$B,'Compilado 2023'!$B:$B,'Compilado 2023'!V:V)</f>
        <v>0</v>
      </c>
      <c r="V10" s="57"/>
      <c r="W10" s="106">
        <f>_xlfn.XLOOKUP($B:$B,'Compilado 2023'!$B:$B,'Compilado 2023'!X:X)</f>
        <v>0</v>
      </c>
      <c r="X10" s="106">
        <f>_xlfn.XLOOKUP($B:$B,'Compilado 2023'!$B:$B,'Compilado 2023'!Y:Y)</f>
        <v>0</v>
      </c>
      <c r="Y10" s="106">
        <f>_xlfn.XLOOKUP($B:$B,'Compilado 2023'!$B:$B,'Compilado 2023'!Z:Z)</f>
        <v>0</v>
      </c>
      <c r="Z10" s="38"/>
      <c r="AA10" s="107">
        <f>_xlfn.XLOOKUP($B:$B,'Compilado 2023'!$B:$B,'Compilado 2023'!AA:AA)</f>
        <v>0</v>
      </c>
    </row>
    <row r="11" spans="1:27" s="2" customFormat="1" x14ac:dyDescent="0.2">
      <c r="A11" s="16" t="str">
        <f t="shared" si="0"/>
        <v>sexta-feira</v>
      </c>
      <c r="B11" s="17">
        <f t="shared" si="6"/>
        <v>45177</v>
      </c>
      <c r="C11" s="19">
        <f t="shared" si="3"/>
        <v>0</v>
      </c>
      <c r="D11" s="35">
        <f>_xlfn.XLOOKUP($B:$B,'Compilado 2023'!$B:$B,'Compilado 2023'!D:D)</f>
        <v>0</v>
      </c>
      <c r="E11" s="35">
        <f>_xlfn.XLOOKUP($B:$B,'Compilado 2023'!$B:$B,'Compilado 2023'!E:E)</f>
        <v>0</v>
      </c>
      <c r="F11" s="18">
        <f>_xlfn.XLOOKUP($B:$B,'Compilado 2023'!$B:$B,'Compilado 2023'!F:F)</f>
        <v>0</v>
      </c>
      <c r="G11" s="18">
        <f>_xlfn.XLOOKUP($B:$B,'Compilado 2023'!$B:$B,'Compilado 2023'!G:G)</f>
        <v>0</v>
      </c>
      <c r="H11" s="35">
        <f t="shared" si="4"/>
        <v>0</v>
      </c>
      <c r="I11" s="19">
        <f t="shared" ca="1" si="5"/>
        <v>53.333333333333336</v>
      </c>
      <c r="J11" s="117">
        <f t="shared" ca="1" si="1"/>
        <v>0</v>
      </c>
      <c r="K11" s="18">
        <f>_xlfn.XLOOKUP($B:$B,'Compilado 2023'!$B:$B,'Compilado 2023'!K:K)</f>
        <v>0</v>
      </c>
      <c r="L11" s="54">
        <f t="shared" si="2"/>
        <v>0</v>
      </c>
      <c r="M11" s="38"/>
      <c r="N11" s="106">
        <f>_xlfn.XLOOKUP($B:$B,'Compilado 2023'!$B:$B,'Compilado 2023'!N:N)</f>
        <v>0</v>
      </c>
      <c r="O11" s="106">
        <f>_xlfn.XLOOKUP($B:$B,'Compilado 2023'!$B:$B,'Compilado 2023'!O:O)</f>
        <v>0</v>
      </c>
      <c r="P11" s="106">
        <f>_xlfn.XLOOKUP($B:$B,'Compilado 2023'!$B:$B,'Compilado 2023'!P:P)</f>
        <v>0</v>
      </c>
      <c r="Q11" s="106">
        <f ca="1">_xlfn.XLOOKUP($B:$B,'Compilado 2023'!$B:$B,'Compilado 2023'!Q:Q)</f>
        <v>53.333333333333336</v>
      </c>
      <c r="R11" s="106">
        <f>_xlfn.XLOOKUP($B:$B,'Compilado 2023'!$B:$B,'Compilado 2023'!R:R)</f>
        <v>0</v>
      </c>
      <c r="S11" s="106">
        <f>_xlfn.XLOOKUP($B:$B,'Compilado 2023'!$B:$B,'Compilado 2023'!S:S)</f>
        <v>0</v>
      </c>
      <c r="T11" s="106">
        <f>_xlfn.XLOOKUP($B:$B,'Compilado 2023'!$B:$B,'Compilado 2023'!U:U)</f>
        <v>0</v>
      </c>
      <c r="U11" s="106">
        <f>_xlfn.XLOOKUP($B:$B,'Compilado 2023'!$B:$B,'Compilado 2023'!V:V)</f>
        <v>0</v>
      </c>
      <c r="V11" s="57"/>
      <c r="W11" s="106">
        <f>_xlfn.XLOOKUP($B:$B,'Compilado 2023'!$B:$B,'Compilado 2023'!X:X)</f>
        <v>0</v>
      </c>
      <c r="X11" s="106">
        <f>_xlfn.XLOOKUP($B:$B,'Compilado 2023'!$B:$B,'Compilado 2023'!Y:Y)</f>
        <v>0</v>
      </c>
      <c r="Y11" s="106">
        <f>_xlfn.XLOOKUP($B:$B,'Compilado 2023'!$B:$B,'Compilado 2023'!Z:Z)</f>
        <v>0</v>
      </c>
      <c r="Z11" s="38"/>
      <c r="AA11" s="107">
        <f>_xlfn.XLOOKUP($B:$B,'Compilado 2023'!$B:$B,'Compilado 2023'!AA:AA)</f>
        <v>0</v>
      </c>
    </row>
    <row r="12" spans="1:27" s="2" customFormat="1" x14ac:dyDescent="0.2">
      <c r="A12" s="16" t="str">
        <f t="shared" si="0"/>
        <v>sábado</v>
      </c>
      <c r="B12" s="17">
        <f t="shared" si="6"/>
        <v>45178</v>
      </c>
      <c r="C12" s="19">
        <f t="shared" si="3"/>
        <v>0</v>
      </c>
      <c r="D12" s="35">
        <f>_xlfn.XLOOKUP($B:$B,'Compilado 2023'!$B:$B,'Compilado 2023'!D:D)</f>
        <v>0</v>
      </c>
      <c r="E12" s="35">
        <f>_xlfn.XLOOKUP($B:$B,'Compilado 2023'!$B:$B,'Compilado 2023'!E:E)</f>
        <v>0</v>
      </c>
      <c r="F12" s="18">
        <f>_xlfn.XLOOKUP($B:$B,'Compilado 2023'!$B:$B,'Compilado 2023'!F:F)</f>
        <v>0</v>
      </c>
      <c r="G12" s="18">
        <f>_xlfn.XLOOKUP($B:$B,'Compilado 2023'!$B:$B,'Compilado 2023'!G:G)</f>
        <v>0</v>
      </c>
      <c r="H12" s="35">
        <f t="shared" si="4"/>
        <v>0</v>
      </c>
      <c r="I12" s="19">
        <f t="shared" ca="1" si="5"/>
        <v>53.333333333333336</v>
      </c>
      <c r="J12" s="117">
        <f t="shared" ca="1" si="1"/>
        <v>0</v>
      </c>
      <c r="K12" s="18">
        <f>_xlfn.XLOOKUP($B:$B,'Compilado 2023'!$B:$B,'Compilado 2023'!K:K)</f>
        <v>0</v>
      </c>
      <c r="L12" s="54">
        <f t="shared" si="2"/>
        <v>0</v>
      </c>
      <c r="M12" s="38"/>
      <c r="N12" s="106">
        <f>_xlfn.XLOOKUP($B:$B,'Compilado 2023'!$B:$B,'Compilado 2023'!N:N)</f>
        <v>0</v>
      </c>
      <c r="O12" s="106">
        <f>_xlfn.XLOOKUP($B:$B,'Compilado 2023'!$B:$B,'Compilado 2023'!O:O)</f>
        <v>0</v>
      </c>
      <c r="P12" s="106">
        <f>_xlfn.XLOOKUP($B:$B,'Compilado 2023'!$B:$B,'Compilado 2023'!P:P)</f>
        <v>0</v>
      </c>
      <c r="Q12" s="106">
        <f ca="1">_xlfn.XLOOKUP($B:$B,'Compilado 2023'!$B:$B,'Compilado 2023'!Q:Q)</f>
        <v>53.333333333333336</v>
      </c>
      <c r="R12" s="106">
        <f>_xlfn.XLOOKUP($B:$B,'Compilado 2023'!$B:$B,'Compilado 2023'!R:R)</f>
        <v>0</v>
      </c>
      <c r="S12" s="106">
        <f>_xlfn.XLOOKUP($B:$B,'Compilado 2023'!$B:$B,'Compilado 2023'!S:S)</f>
        <v>0</v>
      </c>
      <c r="T12" s="106">
        <f>_xlfn.XLOOKUP($B:$B,'Compilado 2023'!$B:$B,'Compilado 2023'!U:U)</f>
        <v>0</v>
      </c>
      <c r="U12" s="106">
        <f>_xlfn.XLOOKUP($B:$B,'Compilado 2023'!$B:$B,'Compilado 2023'!V:V)</f>
        <v>0</v>
      </c>
      <c r="V12" s="57"/>
      <c r="W12" s="106">
        <f>_xlfn.XLOOKUP($B:$B,'Compilado 2023'!$B:$B,'Compilado 2023'!X:X)</f>
        <v>0</v>
      </c>
      <c r="X12" s="106">
        <f>_xlfn.XLOOKUP($B:$B,'Compilado 2023'!$B:$B,'Compilado 2023'!Y:Y)</f>
        <v>0</v>
      </c>
      <c r="Y12" s="106">
        <f>_xlfn.XLOOKUP($B:$B,'Compilado 2023'!$B:$B,'Compilado 2023'!Z:Z)</f>
        <v>0</v>
      </c>
      <c r="Z12" s="38"/>
      <c r="AA12" s="107">
        <f>_xlfn.XLOOKUP($B:$B,'Compilado 2023'!$B:$B,'Compilado 2023'!AA:AA)</f>
        <v>0</v>
      </c>
    </row>
    <row r="13" spans="1:27" x14ac:dyDescent="0.2">
      <c r="A13" s="16" t="str">
        <f t="shared" si="0"/>
        <v>domingo</v>
      </c>
      <c r="B13" s="17">
        <f t="shared" si="6"/>
        <v>45179</v>
      </c>
      <c r="C13" s="19">
        <f t="shared" si="3"/>
        <v>0</v>
      </c>
      <c r="D13" s="35">
        <f>_xlfn.XLOOKUP($B:$B,'Compilado 2023'!$B:$B,'Compilado 2023'!D:D)</f>
        <v>0</v>
      </c>
      <c r="E13" s="35">
        <f>_xlfn.XLOOKUP($B:$B,'Compilado 2023'!$B:$B,'Compilado 2023'!E:E)</f>
        <v>0</v>
      </c>
      <c r="F13" s="18">
        <f>_xlfn.XLOOKUP($B:$B,'Compilado 2023'!$B:$B,'Compilado 2023'!F:F)</f>
        <v>0</v>
      </c>
      <c r="G13" s="18">
        <f>_xlfn.XLOOKUP($B:$B,'Compilado 2023'!$B:$B,'Compilado 2023'!G:G)</f>
        <v>0</v>
      </c>
      <c r="H13" s="35">
        <f t="shared" si="4"/>
        <v>0</v>
      </c>
      <c r="I13" s="19">
        <f t="shared" ca="1" si="5"/>
        <v>53.333333333333336</v>
      </c>
      <c r="J13" s="117">
        <f t="shared" ca="1" si="1"/>
        <v>0</v>
      </c>
      <c r="K13" s="18">
        <f>_xlfn.XLOOKUP($B:$B,'Compilado 2023'!$B:$B,'Compilado 2023'!K:K)</f>
        <v>0</v>
      </c>
      <c r="L13" s="54">
        <f t="shared" si="2"/>
        <v>0</v>
      </c>
      <c r="M13" s="38"/>
      <c r="N13" s="106">
        <f>_xlfn.XLOOKUP($B:$B,'Compilado 2023'!$B:$B,'Compilado 2023'!N:N)</f>
        <v>0</v>
      </c>
      <c r="O13" s="106">
        <f>_xlfn.XLOOKUP($B:$B,'Compilado 2023'!$B:$B,'Compilado 2023'!O:O)</f>
        <v>0</v>
      </c>
      <c r="P13" s="106">
        <f>_xlfn.XLOOKUP($B:$B,'Compilado 2023'!$B:$B,'Compilado 2023'!P:P)</f>
        <v>0</v>
      </c>
      <c r="Q13" s="106">
        <f ca="1">_xlfn.XLOOKUP($B:$B,'Compilado 2023'!$B:$B,'Compilado 2023'!Q:Q)</f>
        <v>53.333333333333336</v>
      </c>
      <c r="R13" s="106">
        <f>_xlfn.XLOOKUP($B:$B,'Compilado 2023'!$B:$B,'Compilado 2023'!R:R)</f>
        <v>0</v>
      </c>
      <c r="S13" s="106">
        <f>_xlfn.XLOOKUP($B:$B,'Compilado 2023'!$B:$B,'Compilado 2023'!S:S)</f>
        <v>0</v>
      </c>
      <c r="T13" s="106">
        <f>_xlfn.XLOOKUP($B:$B,'Compilado 2023'!$B:$B,'Compilado 2023'!U:U)</f>
        <v>0</v>
      </c>
      <c r="U13" s="106">
        <f>_xlfn.XLOOKUP($B:$B,'Compilado 2023'!$B:$B,'Compilado 2023'!V:V)</f>
        <v>0</v>
      </c>
      <c r="V13" s="57"/>
      <c r="W13" s="106">
        <f>_xlfn.XLOOKUP($B:$B,'Compilado 2023'!$B:$B,'Compilado 2023'!X:X)</f>
        <v>0</v>
      </c>
      <c r="X13" s="106">
        <f>_xlfn.XLOOKUP($B:$B,'Compilado 2023'!$B:$B,'Compilado 2023'!Y:Y)</f>
        <v>0</v>
      </c>
      <c r="Y13" s="106">
        <f>_xlfn.XLOOKUP($B:$B,'Compilado 2023'!$B:$B,'Compilado 2023'!Z:Z)</f>
        <v>0</v>
      </c>
      <c r="Z13" s="38"/>
      <c r="AA13" s="107">
        <f>_xlfn.XLOOKUP($B:$B,'Compilado 2023'!$B:$B,'Compilado 2023'!AA:AA)</f>
        <v>0</v>
      </c>
    </row>
    <row r="14" spans="1:27" x14ac:dyDescent="0.2">
      <c r="A14" s="16" t="str">
        <f t="shared" si="0"/>
        <v>segunda-feira</v>
      </c>
      <c r="B14" s="17">
        <f t="shared" si="6"/>
        <v>45180</v>
      </c>
      <c r="C14" s="19">
        <f t="shared" si="3"/>
        <v>0</v>
      </c>
      <c r="D14" s="35">
        <f>_xlfn.XLOOKUP($B:$B,'Compilado 2023'!$B:$B,'Compilado 2023'!D:D)</f>
        <v>0</v>
      </c>
      <c r="E14" s="35">
        <f>_xlfn.XLOOKUP($B:$B,'Compilado 2023'!$B:$B,'Compilado 2023'!E:E)</f>
        <v>0</v>
      </c>
      <c r="F14" s="18">
        <f>_xlfn.XLOOKUP($B:$B,'Compilado 2023'!$B:$B,'Compilado 2023'!F:F)</f>
        <v>0</v>
      </c>
      <c r="G14" s="18">
        <f>_xlfn.XLOOKUP($B:$B,'Compilado 2023'!$B:$B,'Compilado 2023'!G:G)</f>
        <v>0</v>
      </c>
      <c r="H14" s="35">
        <f t="shared" si="4"/>
        <v>0</v>
      </c>
      <c r="I14" s="19">
        <f t="shared" ca="1" si="5"/>
        <v>53.333333333333336</v>
      </c>
      <c r="J14" s="117">
        <f t="shared" ca="1" si="1"/>
        <v>0</v>
      </c>
      <c r="K14" s="18">
        <f>_xlfn.XLOOKUP($B:$B,'Compilado 2023'!$B:$B,'Compilado 2023'!K:K)</f>
        <v>0</v>
      </c>
      <c r="L14" s="54">
        <f t="shared" si="2"/>
        <v>0</v>
      </c>
      <c r="M14" s="38"/>
      <c r="N14" s="106">
        <f>_xlfn.XLOOKUP($B:$B,'Compilado 2023'!$B:$B,'Compilado 2023'!N:N)</f>
        <v>0</v>
      </c>
      <c r="O14" s="106">
        <f>_xlfn.XLOOKUP($B:$B,'Compilado 2023'!$B:$B,'Compilado 2023'!O:O)</f>
        <v>0</v>
      </c>
      <c r="P14" s="106">
        <f>_xlfn.XLOOKUP($B:$B,'Compilado 2023'!$B:$B,'Compilado 2023'!P:P)</f>
        <v>0</v>
      </c>
      <c r="Q14" s="106">
        <f ca="1">_xlfn.XLOOKUP($B:$B,'Compilado 2023'!$B:$B,'Compilado 2023'!Q:Q)</f>
        <v>53.333333333333336</v>
      </c>
      <c r="R14" s="106">
        <f>_xlfn.XLOOKUP($B:$B,'Compilado 2023'!$B:$B,'Compilado 2023'!R:R)</f>
        <v>0</v>
      </c>
      <c r="S14" s="106">
        <f>_xlfn.XLOOKUP($B:$B,'Compilado 2023'!$B:$B,'Compilado 2023'!S:S)</f>
        <v>0</v>
      </c>
      <c r="T14" s="106">
        <f>_xlfn.XLOOKUP($B:$B,'Compilado 2023'!$B:$B,'Compilado 2023'!U:U)</f>
        <v>0</v>
      </c>
      <c r="U14" s="106">
        <f>_xlfn.XLOOKUP($B:$B,'Compilado 2023'!$B:$B,'Compilado 2023'!V:V)</f>
        <v>0</v>
      </c>
      <c r="V14" s="57"/>
      <c r="W14" s="106">
        <f>_xlfn.XLOOKUP($B:$B,'Compilado 2023'!$B:$B,'Compilado 2023'!X:X)</f>
        <v>0</v>
      </c>
      <c r="X14" s="106">
        <f>_xlfn.XLOOKUP($B:$B,'Compilado 2023'!$B:$B,'Compilado 2023'!Y:Y)</f>
        <v>0</v>
      </c>
      <c r="Y14" s="106">
        <f>_xlfn.XLOOKUP($B:$B,'Compilado 2023'!$B:$B,'Compilado 2023'!Z:Z)</f>
        <v>0</v>
      </c>
      <c r="Z14" s="38"/>
      <c r="AA14" s="107">
        <f>_xlfn.XLOOKUP($B:$B,'Compilado 2023'!$B:$B,'Compilado 2023'!AA:AA)</f>
        <v>0</v>
      </c>
    </row>
    <row r="15" spans="1:27" s="2" customFormat="1" x14ac:dyDescent="0.2">
      <c r="A15" s="16" t="str">
        <f t="shared" si="0"/>
        <v>terça-feira</v>
      </c>
      <c r="B15" s="17">
        <f t="shared" si="6"/>
        <v>45181</v>
      </c>
      <c r="C15" s="19">
        <f t="shared" si="3"/>
        <v>0</v>
      </c>
      <c r="D15" s="35">
        <f>_xlfn.XLOOKUP($B:$B,'Compilado 2023'!$B:$B,'Compilado 2023'!D:D)</f>
        <v>0</v>
      </c>
      <c r="E15" s="35">
        <f>_xlfn.XLOOKUP($B:$B,'Compilado 2023'!$B:$B,'Compilado 2023'!E:E)</f>
        <v>0</v>
      </c>
      <c r="F15" s="18">
        <f>_xlfn.XLOOKUP($B:$B,'Compilado 2023'!$B:$B,'Compilado 2023'!F:F)</f>
        <v>0</v>
      </c>
      <c r="G15" s="18">
        <f>_xlfn.XLOOKUP($B:$B,'Compilado 2023'!$B:$B,'Compilado 2023'!G:G)</f>
        <v>0</v>
      </c>
      <c r="H15" s="35">
        <f t="shared" si="4"/>
        <v>0</v>
      </c>
      <c r="I15" s="19">
        <f t="shared" ca="1" si="5"/>
        <v>53.333333333333336</v>
      </c>
      <c r="J15" s="117">
        <f t="shared" ca="1" si="1"/>
        <v>0</v>
      </c>
      <c r="K15" s="18">
        <f>_xlfn.XLOOKUP($B:$B,'Compilado 2023'!$B:$B,'Compilado 2023'!K:K)</f>
        <v>0</v>
      </c>
      <c r="L15" s="54">
        <f t="shared" si="2"/>
        <v>0</v>
      </c>
      <c r="M15" s="38"/>
      <c r="N15" s="106">
        <f>_xlfn.XLOOKUP($B:$B,'Compilado 2023'!$B:$B,'Compilado 2023'!N:N)</f>
        <v>0</v>
      </c>
      <c r="O15" s="106">
        <f>_xlfn.XLOOKUP($B:$B,'Compilado 2023'!$B:$B,'Compilado 2023'!O:O)</f>
        <v>0</v>
      </c>
      <c r="P15" s="106">
        <f>_xlfn.XLOOKUP($B:$B,'Compilado 2023'!$B:$B,'Compilado 2023'!P:P)</f>
        <v>0</v>
      </c>
      <c r="Q15" s="106">
        <f ca="1">_xlfn.XLOOKUP($B:$B,'Compilado 2023'!$B:$B,'Compilado 2023'!Q:Q)</f>
        <v>53.333333333333336</v>
      </c>
      <c r="R15" s="106">
        <f>_xlfn.XLOOKUP($B:$B,'Compilado 2023'!$B:$B,'Compilado 2023'!R:R)</f>
        <v>0</v>
      </c>
      <c r="S15" s="106">
        <f>_xlfn.XLOOKUP($B:$B,'Compilado 2023'!$B:$B,'Compilado 2023'!S:S)</f>
        <v>0</v>
      </c>
      <c r="T15" s="106">
        <f>_xlfn.XLOOKUP($B:$B,'Compilado 2023'!$B:$B,'Compilado 2023'!U:U)</f>
        <v>0</v>
      </c>
      <c r="U15" s="106">
        <f>_xlfn.XLOOKUP($B:$B,'Compilado 2023'!$B:$B,'Compilado 2023'!V:V)</f>
        <v>0</v>
      </c>
      <c r="V15" s="57"/>
      <c r="W15" s="106">
        <f>_xlfn.XLOOKUP($B:$B,'Compilado 2023'!$B:$B,'Compilado 2023'!X:X)</f>
        <v>0</v>
      </c>
      <c r="X15" s="106">
        <f>_xlfn.XLOOKUP($B:$B,'Compilado 2023'!$B:$B,'Compilado 2023'!Y:Y)</f>
        <v>0</v>
      </c>
      <c r="Y15" s="106">
        <f>_xlfn.XLOOKUP($B:$B,'Compilado 2023'!$B:$B,'Compilado 2023'!Z:Z)</f>
        <v>0</v>
      </c>
      <c r="Z15" s="38"/>
      <c r="AA15" s="107">
        <f>_xlfn.XLOOKUP($B:$B,'Compilado 2023'!$B:$B,'Compilado 2023'!AA:AA)</f>
        <v>0</v>
      </c>
    </row>
    <row r="16" spans="1:27" s="2" customFormat="1" x14ac:dyDescent="0.2">
      <c r="A16" s="16" t="str">
        <f t="shared" si="0"/>
        <v>quarta-feira</v>
      </c>
      <c r="B16" s="17">
        <f t="shared" si="6"/>
        <v>45182</v>
      </c>
      <c r="C16" s="19">
        <f t="shared" si="3"/>
        <v>0</v>
      </c>
      <c r="D16" s="35">
        <f>_xlfn.XLOOKUP($B:$B,'Compilado 2023'!$B:$B,'Compilado 2023'!D:D)</f>
        <v>0</v>
      </c>
      <c r="E16" s="35">
        <f>_xlfn.XLOOKUP($B:$B,'Compilado 2023'!$B:$B,'Compilado 2023'!E:E)</f>
        <v>0</v>
      </c>
      <c r="F16" s="18">
        <f>_xlfn.XLOOKUP($B:$B,'Compilado 2023'!$B:$B,'Compilado 2023'!F:F)</f>
        <v>0</v>
      </c>
      <c r="G16" s="18">
        <f>_xlfn.XLOOKUP($B:$B,'Compilado 2023'!$B:$B,'Compilado 2023'!G:G)</f>
        <v>0</v>
      </c>
      <c r="H16" s="35">
        <f t="shared" si="4"/>
        <v>0</v>
      </c>
      <c r="I16" s="19">
        <f t="shared" ca="1" si="5"/>
        <v>53.333333333333336</v>
      </c>
      <c r="J16" s="117">
        <f t="shared" ca="1" si="1"/>
        <v>0</v>
      </c>
      <c r="K16" s="18">
        <f>_xlfn.XLOOKUP($B:$B,'Compilado 2023'!$B:$B,'Compilado 2023'!K:K)</f>
        <v>0</v>
      </c>
      <c r="L16" s="54">
        <f t="shared" si="2"/>
        <v>0</v>
      </c>
      <c r="M16" s="38"/>
      <c r="N16" s="106">
        <f>_xlfn.XLOOKUP($B:$B,'Compilado 2023'!$B:$B,'Compilado 2023'!N:N)</f>
        <v>0</v>
      </c>
      <c r="O16" s="106">
        <f>_xlfn.XLOOKUP($B:$B,'Compilado 2023'!$B:$B,'Compilado 2023'!O:O)</f>
        <v>0</v>
      </c>
      <c r="P16" s="106">
        <f>_xlfn.XLOOKUP($B:$B,'Compilado 2023'!$B:$B,'Compilado 2023'!P:P)</f>
        <v>0</v>
      </c>
      <c r="Q16" s="106">
        <f ca="1">_xlfn.XLOOKUP($B:$B,'Compilado 2023'!$B:$B,'Compilado 2023'!Q:Q)</f>
        <v>53.333333333333336</v>
      </c>
      <c r="R16" s="106">
        <f>_xlfn.XLOOKUP($B:$B,'Compilado 2023'!$B:$B,'Compilado 2023'!R:R)</f>
        <v>0</v>
      </c>
      <c r="S16" s="106">
        <f>_xlfn.XLOOKUP($B:$B,'Compilado 2023'!$B:$B,'Compilado 2023'!S:S)</f>
        <v>0</v>
      </c>
      <c r="T16" s="106">
        <f>_xlfn.XLOOKUP($B:$B,'Compilado 2023'!$B:$B,'Compilado 2023'!U:U)</f>
        <v>0</v>
      </c>
      <c r="U16" s="106">
        <f>_xlfn.XLOOKUP($B:$B,'Compilado 2023'!$B:$B,'Compilado 2023'!V:V)</f>
        <v>0</v>
      </c>
      <c r="V16" s="57"/>
      <c r="W16" s="106">
        <f>_xlfn.XLOOKUP($B:$B,'Compilado 2023'!$B:$B,'Compilado 2023'!X:X)</f>
        <v>0</v>
      </c>
      <c r="X16" s="106">
        <f>_xlfn.XLOOKUP($B:$B,'Compilado 2023'!$B:$B,'Compilado 2023'!Y:Y)</f>
        <v>0</v>
      </c>
      <c r="Y16" s="106">
        <f>_xlfn.XLOOKUP($B:$B,'Compilado 2023'!$B:$B,'Compilado 2023'!Z:Z)</f>
        <v>0</v>
      </c>
      <c r="Z16" s="38"/>
      <c r="AA16" s="107">
        <f>_xlfn.XLOOKUP($B:$B,'Compilado 2023'!$B:$B,'Compilado 2023'!AA:AA)</f>
        <v>0</v>
      </c>
    </row>
    <row r="17" spans="1:27" s="2" customFormat="1" x14ac:dyDescent="0.2">
      <c r="A17" s="16" t="str">
        <f t="shared" si="0"/>
        <v>quinta-feira</v>
      </c>
      <c r="B17" s="17">
        <f t="shared" si="6"/>
        <v>45183</v>
      </c>
      <c r="C17" s="19">
        <f t="shared" si="3"/>
        <v>0</v>
      </c>
      <c r="D17" s="35">
        <f>_xlfn.XLOOKUP($B:$B,'Compilado 2023'!$B:$B,'Compilado 2023'!D:D)</f>
        <v>0</v>
      </c>
      <c r="E17" s="35">
        <f>_xlfn.XLOOKUP($B:$B,'Compilado 2023'!$B:$B,'Compilado 2023'!E:E)</f>
        <v>0</v>
      </c>
      <c r="F17" s="18">
        <f>_xlfn.XLOOKUP($B:$B,'Compilado 2023'!$B:$B,'Compilado 2023'!F:F)</f>
        <v>0</v>
      </c>
      <c r="G17" s="18">
        <f>_xlfn.XLOOKUP($B:$B,'Compilado 2023'!$B:$B,'Compilado 2023'!G:G)</f>
        <v>0</v>
      </c>
      <c r="H17" s="35">
        <f t="shared" si="4"/>
        <v>0</v>
      </c>
      <c r="I17" s="19">
        <f t="shared" ca="1" si="5"/>
        <v>53.333333333333336</v>
      </c>
      <c r="J17" s="117">
        <f t="shared" ca="1" si="1"/>
        <v>0</v>
      </c>
      <c r="K17" s="18">
        <f>_xlfn.XLOOKUP($B:$B,'Compilado 2023'!$B:$B,'Compilado 2023'!K:K)</f>
        <v>0</v>
      </c>
      <c r="L17" s="54">
        <f t="shared" si="2"/>
        <v>0</v>
      </c>
      <c r="M17" s="38"/>
      <c r="N17" s="106">
        <f>_xlfn.XLOOKUP($B:$B,'Compilado 2023'!$B:$B,'Compilado 2023'!N:N)</f>
        <v>0</v>
      </c>
      <c r="O17" s="106">
        <f>_xlfn.XLOOKUP($B:$B,'Compilado 2023'!$B:$B,'Compilado 2023'!O:O)</f>
        <v>0</v>
      </c>
      <c r="P17" s="106">
        <f>_xlfn.XLOOKUP($B:$B,'Compilado 2023'!$B:$B,'Compilado 2023'!P:P)</f>
        <v>0</v>
      </c>
      <c r="Q17" s="106">
        <f ca="1">_xlfn.XLOOKUP($B:$B,'Compilado 2023'!$B:$B,'Compilado 2023'!Q:Q)</f>
        <v>53.333333333333336</v>
      </c>
      <c r="R17" s="106">
        <f>_xlfn.XLOOKUP($B:$B,'Compilado 2023'!$B:$B,'Compilado 2023'!R:R)</f>
        <v>0</v>
      </c>
      <c r="S17" s="106">
        <f>_xlfn.XLOOKUP($B:$B,'Compilado 2023'!$B:$B,'Compilado 2023'!S:S)</f>
        <v>0</v>
      </c>
      <c r="T17" s="106">
        <f>_xlfn.XLOOKUP($B:$B,'Compilado 2023'!$B:$B,'Compilado 2023'!U:U)</f>
        <v>0</v>
      </c>
      <c r="U17" s="106">
        <f>_xlfn.XLOOKUP($B:$B,'Compilado 2023'!$B:$B,'Compilado 2023'!V:V)</f>
        <v>0</v>
      </c>
      <c r="V17" s="57"/>
      <c r="W17" s="106">
        <f>_xlfn.XLOOKUP($B:$B,'Compilado 2023'!$B:$B,'Compilado 2023'!X:X)</f>
        <v>0</v>
      </c>
      <c r="X17" s="106">
        <f>_xlfn.XLOOKUP($B:$B,'Compilado 2023'!$B:$B,'Compilado 2023'!Y:Y)</f>
        <v>0</v>
      </c>
      <c r="Y17" s="106">
        <f>_xlfn.XLOOKUP($B:$B,'Compilado 2023'!$B:$B,'Compilado 2023'!Z:Z)</f>
        <v>0</v>
      </c>
      <c r="Z17" s="38"/>
      <c r="AA17" s="107">
        <f>_xlfn.XLOOKUP($B:$B,'Compilado 2023'!$B:$B,'Compilado 2023'!AA:AA)</f>
        <v>0</v>
      </c>
    </row>
    <row r="18" spans="1:27" s="2" customFormat="1" x14ac:dyDescent="0.2">
      <c r="A18" s="16" t="str">
        <f t="shared" si="0"/>
        <v>sexta-feira</v>
      </c>
      <c r="B18" s="17">
        <f t="shared" si="6"/>
        <v>45184</v>
      </c>
      <c r="C18" s="19">
        <f t="shared" si="3"/>
        <v>0</v>
      </c>
      <c r="D18" s="35">
        <f>_xlfn.XLOOKUP($B:$B,'Compilado 2023'!$B:$B,'Compilado 2023'!D:D)</f>
        <v>0</v>
      </c>
      <c r="E18" s="35">
        <f>_xlfn.XLOOKUP($B:$B,'Compilado 2023'!$B:$B,'Compilado 2023'!E:E)</f>
        <v>0</v>
      </c>
      <c r="F18" s="18">
        <f>_xlfn.XLOOKUP($B:$B,'Compilado 2023'!$B:$B,'Compilado 2023'!F:F)</f>
        <v>0</v>
      </c>
      <c r="G18" s="18">
        <f>_xlfn.XLOOKUP($B:$B,'Compilado 2023'!$B:$B,'Compilado 2023'!G:G)</f>
        <v>0</v>
      </c>
      <c r="H18" s="35">
        <f t="shared" si="4"/>
        <v>0</v>
      </c>
      <c r="I18" s="19">
        <f t="shared" ca="1" si="5"/>
        <v>53.333333333333336</v>
      </c>
      <c r="J18" s="117">
        <f t="shared" ca="1" si="1"/>
        <v>0</v>
      </c>
      <c r="K18" s="18">
        <f>_xlfn.XLOOKUP($B:$B,'Compilado 2023'!$B:$B,'Compilado 2023'!K:K)</f>
        <v>0</v>
      </c>
      <c r="L18" s="54">
        <f t="shared" si="2"/>
        <v>0</v>
      </c>
      <c r="M18" s="38"/>
      <c r="N18" s="106">
        <f>_xlfn.XLOOKUP($B:$B,'Compilado 2023'!$B:$B,'Compilado 2023'!N:N)</f>
        <v>0</v>
      </c>
      <c r="O18" s="106">
        <f>_xlfn.XLOOKUP($B:$B,'Compilado 2023'!$B:$B,'Compilado 2023'!O:O)</f>
        <v>0</v>
      </c>
      <c r="P18" s="106">
        <f>_xlfn.XLOOKUP($B:$B,'Compilado 2023'!$B:$B,'Compilado 2023'!P:P)</f>
        <v>0</v>
      </c>
      <c r="Q18" s="106">
        <f ca="1">_xlfn.XLOOKUP($B:$B,'Compilado 2023'!$B:$B,'Compilado 2023'!Q:Q)</f>
        <v>53.333333333333336</v>
      </c>
      <c r="R18" s="106">
        <f>_xlfn.XLOOKUP($B:$B,'Compilado 2023'!$B:$B,'Compilado 2023'!R:R)</f>
        <v>0</v>
      </c>
      <c r="S18" s="106">
        <f>_xlfn.XLOOKUP($B:$B,'Compilado 2023'!$B:$B,'Compilado 2023'!S:S)</f>
        <v>0</v>
      </c>
      <c r="T18" s="106">
        <f>_xlfn.XLOOKUP($B:$B,'Compilado 2023'!$B:$B,'Compilado 2023'!U:U)</f>
        <v>0</v>
      </c>
      <c r="U18" s="106">
        <f>_xlfn.XLOOKUP($B:$B,'Compilado 2023'!$B:$B,'Compilado 2023'!V:V)</f>
        <v>0</v>
      </c>
      <c r="V18" s="57"/>
      <c r="W18" s="106">
        <f>_xlfn.XLOOKUP($B:$B,'Compilado 2023'!$B:$B,'Compilado 2023'!X:X)</f>
        <v>0</v>
      </c>
      <c r="X18" s="106">
        <f>_xlfn.XLOOKUP($B:$B,'Compilado 2023'!$B:$B,'Compilado 2023'!Y:Y)</f>
        <v>0</v>
      </c>
      <c r="Y18" s="106">
        <f>_xlfn.XLOOKUP($B:$B,'Compilado 2023'!$B:$B,'Compilado 2023'!Z:Z)</f>
        <v>0</v>
      </c>
      <c r="Z18" s="38"/>
      <c r="AA18" s="107">
        <f>_xlfn.XLOOKUP($B:$B,'Compilado 2023'!$B:$B,'Compilado 2023'!AA:AA)</f>
        <v>0</v>
      </c>
    </row>
    <row r="19" spans="1:27" s="2" customFormat="1" x14ac:dyDescent="0.2">
      <c r="A19" s="16" t="str">
        <f t="shared" si="0"/>
        <v>sábado</v>
      </c>
      <c r="B19" s="17">
        <f t="shared" si="6"/>
        <v>45185</v>
      </c>
      <c r="C19" s="19">
        <f t="shared" si="3"/>
        <v>0</v>
      </c>
      <c r="D19" s="35">
        <f>_xlfn.XLOOKUP($B:$B,'Compilado 2023'!$B:$B,'Compilado 2023'!D:D)</f>
        <v>0</v>
      </c>
      <c r="E19" s="35">
        <f>_xlfn.XLOOKUP($B:$B,'Compilado 2023'!$B:$B,'Compilado 2023'!E:E)</f>
        <v>0</v>
      </c>
      <c r="F19" s="18">
        <f>_xlfn.XLOOKUP($B:$B,'Compilado 2023'!$B:$B,'Compilado 2023'!F:F)</f>
        <v>0</v>
      </c>
      <c r="G19" s="18">
        <f>_xlfn.XLOOKUP($B:$B,'Compilado 2023'!$B:$B,'Compilado 2023'!G:G)</f>
        <v>0</v>
      </c>
      <c r="H19" s="35">
        <f t="shared" si="4"/>
        <v>0</v>
      </c>
      <c r="I19" s="19">
        <f t="shared" ca="1" si="5"/>
        <v>53.333333333333336</v>
      </c>
      <c r="J19" s="117">
        <f t="shared" ca="1" si="1"/>
        <v>0</v>
      </c>
      <c r="K19" s="18">
        <f>_xlfn.XLOOKUP($B:$B,'Compilado 2023'!$B:$B,'Compilado 2023'!K:K)</f>
        <v>0</v>
      </c>
      <c r="L19" s="54">
        <f t="shared" si="2"/>
        <v>0</v>
      </c>
      <c r="M19" s="38"/>
      <c r="N19" s="106">
        <f>_xlfn.XLOOKUP($B:$B,'Compilado 2023'!$B:$B,'Compilado 2023'!N:N)</f>
        <v>0</v>
      </c>
      <c r="O19" s="106">
        <f>_xlfn.XLOOKUP($B:$B,'Compilado 2023'!$B:$B,'Compilado 2023'!O:O)</f>
        <v>0</v>
      </c>
      <c r="P19" s="106">
        <f>_xlfn.XLOOKUP($B:$B,'Compilado 2023'!$B:$B,'Compilado 2023'!P:P)</f>
        <v>0</v>
      </c>
      <c r="Q19" s="106">
        <f ca="1">_xlfn.XLOOKUP($B:$B,'Compilado 2023'!$B:$B,'Compilado 2023'!Q:Q)</f>
        <v>53.333333333333336</v>
      </c>
      <c r="R19" s="106">
        <f>_xlfn.XLOOKUP($B:$B,'Compilado 2023'!$B:$B,'Compilado 2023'!R:R)</f>
        <v>0</v>
      </c>
      <c r="S19" s="106">
        <f>_xlfn.XLOOKUP($B:$B,'Compilado 2023'!$B:$B,'Compilado 2023'!S:S)</f>
        <v>0</v>
      </c>
      <c r="T19" s="106">
        <f>_xlfn.XLOOKUP($B:$B,'Compilado 2023'!$B:$B,'Compilado 2023'!U:U)</f>
        <v>0</v>
      </c>
      <c r="U19" s="106">
        <f>_xlfn.XLOOKUP($B:$B,'Compilado 2023'!$B:$B,'Compilado 2023'!V:V)</f>
        <v>0</v>
      </c>
      <c r="V19" s="57"/>
      <c r="W19" s="106">
        <f>_xlfn.XLOOKUP($B:$B,'Compilado 2023'!$B:$B,'Compilado 2023'!X:X)</f>
        <v>0</v>
      </c>
      <c r="X19" s="106">
        <f>_xlfn.XLOOKUP($B:$B,'Compilado 2023'!$B:$B,'Compilado 2023'!Y:Y)</f>
        <v>0</v>
      </c>
      <c r="Y19" s="106">
        <f>_xlfn.XLOOKUP($B:$B,'Compilado 2023'!$B:$B,'Compilado 2023'!Z:Z)</f>
        <v>0</v>
      </c>
      <c r="Z19" s="38"/>
      <c r="AA19" s="107">
        <f>_xlfn.XLOOKUP($B:$B,'Compilado 2023'!$B:$B,'Compilado 2023'!AA:AA)</f>
        <v>0</v>
      </c>
    </row>
    <row r="20" spans="1:27" x14ac:dyDescent="0.2">
      <c r="A20" s="16" t="str">
        <f t="shared" si="0"/>
        <v>domingo</v>
      </c>
      <c r="B20" s="17">
        <f t="shared" si="6"/>
        <v>45186</v>
      </c>
      <c r="C20" s="19">
        <f t="shared" si="3"/>
        <v>0</v>
      </c>
      <c r="D20" s="35">
        <f>_xlfn.XLOOKUP($B:$B,'Compilado 2023'!$B:$B,'Compilado 2023'!D:D)</f>
        <v>0</v>
      </c>
      <c r="E20" s="35">
        <f>_xlfn.XLOOKUP($B:$B,'Compilado 2023'!$B:$B,'Compilado 2023'!E:E)</f>
        <v>0</v>
      </c>
      <c r="F20" s="18">
        <f>_xlfn.XLOOKUP($B:$B,'Compilado 2023'!$B:$B,'Compilado 2023'!F:F)</f>
        <v>0</v>
      </c>
      <c r="G20" s="18">
        <f>_xlfn.XLOOKUP($B:$B,'Compilado 2023'!$B:$B,'Compilado 2023'!G:G)</f>
        <v>0</v>
      </c>
      <c r="H20" s="35">
        <f t="shared" si="4"/>
        <v>0</v>
      </c>
      <c r="I20" s="19">
        <f t="shared" ca="1" si="5"/>
        <v>53.333333333333336</v>
      </c>
      <c r="J20" s="117">
        <f t="shared" ca="1" si="1"/>
        <v>0</v>
      </c>
      <c r="K20" s="18">
        <f>_xlfn.XLOOKUP($B:$B,'Compilado 2023'!$B:$B,'Compilado 2023'!K:K)</f>
        <v>0</v>
      </c>
      <c r="L20" s="54">
        <f t="shared" si="2"/>
        <v>0</v>
      </c>
      <c r="M20" s="38"/>
      <c r="N20" s="106">
        <f>_xlfn.XLOOKUP($B:$B,'Compilado 2023'!$B:$B,'Compilado 2023'!N:N)</f>
        <v>0</v>
      </c>
      <c r="O20" s="106">
        <f>_xlfn.XLOOKUP($B:$B,'Compilado 2023'!$B:$B,'Compilado 2023'!O:O)</f>
        <v>0</v>
      </c>
      <c r="P20" s="106">
        <f>_xlfn.XLOOKUP($B:$B,'Compilado 2023'!$B:$B,'Compilado 2023'!P:P)</f>
        <v>0</v>
      </c>
      <c r="Q20" s="106">
        <f ca="1">_xlfn.XLOOKUP($B:$B,'Compilado 2023'!$B:$B,'Compilado 2023'!Q:Q)</f>
        <v>53.333333333333336</v>
      </c>
      <c r="R20" s="106">
        <f>_xlfn.XLOOKUP($B:$B,'Compilado 2023'!$B:$B,'Compilado 2023'!R:R)</f>
        <v>0</v>
      </c>
      <c r="S20" s="106">
        <f>_xlfn.XLOOKUP($B:$B,'Compilado 2023'!$B:$B,'Compilado 2023'!S:S)</f>
        <v>0</v>
      </c>
      <c r="T20" s="106">
        <f>_xlfn.XLOOKUP($B:$B,'Compilado 2023'!$B:$B,'Compilado 2023'!U:U)</f>
        <v>0</v>
      </c>
      <c r="U20" s="106">
        <f>_xlfn.XLOOKUP($B:$B,'Compilado 2023'!$B:$B,'Compilado 2023'!V:V)</f>
        <v>0</v>
      </c>
      <c r="V20" s="57"/>
      <c r="W20" s="106">
        <f>_xlfn.XLOOKUP($B:$B,'Compilado 2023'!$B:$B,'Compilado 2023'!X:X)</f>
        <v>0</v>
      </c>
      <c r="X20" s="106">
        <f>_xlfn.XLOOKUP($B:$B,'Compilado 2023'!$B:$B,'Compilado 2023'!Y:Y)</f>
        <v>0</v>
      </c>
      <c r="Y20" s="106">
        <f>_xlfn.XLOOKUP($B:$B,'Compilado 2023'!$B:$B,'Compilado 2023'!Z:Z)</f>
        <v>0</v>
      </c>
      <c r="Z20" s="38"/>
      <c r="AA20" s="107">
        <f>_xlfn.XLOOKUP($B:$B,'Compilado 2023'!$B:$B,'Compilado 2023'!AA:AA)</f>
        <v>0</v>
      </c>
    </row>
    <row r="21" spans="1:27" x14ac:dyDescent="0.2">
      <c r="A21" s="16" t="str">
        <f t="shared" si="0"/>
        <v>segunda-feira</v>
      </c>
      <c r="B21" s="17">
        <f t="shared" si="6"/>
        <v>45187</v>
      </c>
      <c r="C21" s="19">
        <f t="shared" si="3"/>
        <v>0</v>
      </c>
      <c r="D21" s="35">
        <f>_xlfn.XLOOKUP($B:$B,'Compilado 2023'!$B:$B,'Compilado 2023'!D:D)</f>
        <v>0</v>
      </c>
      <c r="E21" s="35">
        <f>_xlfn.XLOOKUP($B:$B,'Compilado 2023'!$B:$B,'Compilado 2023'!E:E)</f>
        <v>0</v>
      </c>
      <c r="F21" s="18">
        <f>_xlfn.XLOOKUP($B:$B,'Compilado 2023'!$B:$B,'Compilado 2023'!F:F)</f>
        <v>0</v>
      </c>
      <c r="G21" s="18">
        <f>_xlfn.XLOOKUP($B:$B,'Compilado 2023'!$B:$B,'Compilado 2023'!G:G)</f>
        <v>0</v>
      </c>
      <c r="H21" s="35">
        <f t="shared" si="4"/>
        <v>0</v>
      </c>
      <c r="I21" s="19">
        <f t="shared" ca="1" si="5"/>
        <v>53.333333333333336</v>
      </c>
      <c r="J21" s="117">
        <f t="shared" ca="1" si="1"/>
        <v>0</v>
      </c>
      <c r="K21" s="18">
        <f>_xlfn.XLOOKUP($B:$B,'Compilado 2023'!$B:$B,'Compilado 2023'!K:K)</f>
        <v>0</v>
      </c>
      <c r="L21" s="54">
        <f t="shared" si="2"/>
        <v>0</v>
      </c>
      <c r="M21" s="38"/>
      <c r="N21" s="106">
        <f>_xlfn.XLOOKUP($B:$B,'Compilado 2023'!$B:$B,'Compilado 2023'!N:N)</f>
        <v>0</v>
      </c>
      <c r="O21" s="106">
        <f>_xlfn.XLOOKUP($B:$B,'Compilado 2023'!$B:$B,'Compilado 2023'!O:O)</f>
        <v>0</v>
      </c>
      <c r="P21" s="106">
        <f>_xlfn.XLOOKUP($B:$B,'Compilado 2023'!$B:$B,'Compilado 2023'!P:P)</f>
        <v>0</v>
      </c>
      <c r="Q21" s="106">
        <f ca="1">_xlfn.XLOOKUP($B:$B,'Compilado 2023'!$B:$B,'Compilado 2023'!Q:Q)</f>
        <v>53.333333333333336</v>
      </c>
      <c r="R21" s="106">
        <f>_xlfn.XLOOKUP($B:$B,'Compilado 2023'!$B:$B,'Compilado 2023'!R:R)</f>
        <v>0</v>
      </c>
      <c r="S21" s="106">
        <f>_xlfn.XLOOKUP($B:$B,'Compilado 2023'!$B:$B,'Compilado 2023'!S:S)</f>
        <v>0</v>
      </c>
      <c r="T21" s="106">
        <f>_xlfn.XLOOKUP($B:$B,'Compilado 2023'!$B:$B,'Compilado 2023'!U:U)</f>
        <v>0</v>
      </c>
      <c r="U21" s="106">
        <f>_xlfn.XLOOKUP($B:$B,'Compilado 2023'!$B:$B,'Compilado 2023'!V:V)</f>
        <v>0</v>
      </c>
      <c r="V21" s="57"/>
      <c r="W21" s="106">
        <f>_xlfn.XLOOKUP($B:$B,'Compilado 2023'!$B:$B,'Compilado 2023'!X:X)</f>
        <v>0</v>
      </c>
      <c r="X21" s="106">
        <f>_xlfn.XLOOKUP($B:$B,'Compilado 2023'!$B:$B,'Compilado 2023'!Y:Y)</f>
        <v>0</v>
      </c>
      <c r="Y21" s="106">
        <f>_xlfn.XLOOKUP($B:$B,'Compilado 2023'!$B:$B,'Compilado 2023'!Z:Z)</f>
        <v>0</v>
      </c>
      <c r="Z21" s="38"/>
      <c r="AA21" s="107">
        <f>_xlfn.XLOOKUP($B:$B,'Compilado 2023'!$B:$B,'Compilado 2023'!AA:AA)</f>
        <v>0</v>
      </c>
    </row>
    <row r="22" spans="1:27" s="2" customFormat="1" x14ac:dyDescent="0.2">
      <c r="A22" s="16" t="str">
        <f t="shared" si="0"/>
        <v>terça-feira</v>
      </c>
      <c r="B22" s="17">
        <f t="shared" si="6"/>
        <v>45188</v>
      </c>
      <c r="C22" s="19">
        <f t="shared" si="3"/>
        <v>0</v>
      </c>
      <c r="D22" s="35">
        <f>_xlfn.XLOOKUP($B:$B,'Compilado 2023'!$B:$B,'Compilado 2023'!D:D)</f>
        <v>0</v>
      </c>
      <c r="E22" s="35">
        <f>_xlfn.XLOOKUP($B:$B,'Compilado 2023'!$B:$B,'Compilado 2023'!E:E)</f>
        <v>0</v>
      </c>
      <c r="F22" s="18">
        <f>_xlfn.XLOOKUP($B:$B,'Compilado 2023'!$B:$B,'Compilado 2023'!F:F)</f>
        <v>0</v>
      </c>
      <c r="G22" s="18">
        <f>_xlfn.XLOOKUP($B:$B,'Compilado 2023'!$B:$B,'Compilado 2023'!G:G)</f>
        <v>0</v>
      </c>
      <c r="H22" s="35">
        <f t="shared" si="4"/>
        <v>0</v>
      </c>
      <c r="I22" s="19">
        <f t="shared" ca="1" si="5"/>
        <v>53.333333333333336</v>
      </c>
      <c r="J22" s="117">
        <f t="shared" ca="1" si="1"/>
        <v>0</v>
      </c>
      <c r="K22" s="18">
        <f>_xlfn.XLOOKUP($B:$B,'Compilado 2023'!$B:$B,'Compilado 2023'!K:K)</f>
        <v>0</v>
      </c>
      <c r="L22" s="54">
        <f t="shared" si="2"/>
        <v>0</v>
      </c>
      <c r="M22" s="38"/>
      <c r="N22" s="106">
        <f>_xlfn.XLOOKUP($B:$B,'Compilado 2023'!$B:$B,'Compilado 2023'!N:N)</f>
        <v>0</v>
      </c>
      <c r="O22" s="106">
        <f>_xlfn.XLOOKUP($B:$B,'Compilado 2023'!$B:$B,'Compilado 2023'!O:O)</f>
        <v>0</v>
      </c>
      <c r="P22" s="106">
        <f>_xlfn.XLOOKUP($B:$B,'Compilado 2023'!$B:$B,'Compilado 2023'!P:P)</f>
        <v>0</v>
      </c>
      <c r="Q22" s="106">
        <f ca="1">_xlfn.XLOOKUP($B:$B,'Compilado 2023'!$B:$B,'Compilado 2023'!Q:Q)</f>
        <v>53.333333333333336</v>
      </c>
      <c r="R22" s="106">
        <f>_xlfn.XLOOKUP($B:$B,'Compilado 2023'!$B:$B,'Compilado 2023'!R:R)</f>
        <v>0</v>
      </c>
      <c r="S22" s="106">
        <f>_xlfn.XLOOKUP($B:$B,'Compilado 2023'!$B:$B,'Compilado 2023'!S:S)</f>
        <v>0</v>
      </c>
      <c r="T22" s="106">
        <f>_xlfn.XLOOKUP($B:$B,'Compilado 2023'!$B:$B,'Compilado 2023'!U:U)</f>
        <v>0</v>
      </c>
      <c r="U22" s="106">
        <f>_xlfn.XLOOKUP($B:$B,'Compilado 2023'!$B:$B,'Compilado 2023'!V:V)</f>
        <v>0</v>
      </c>
      <c r="V22" s="57"/>
      <c r="W22" s="106">
        <f>_xlfn.XLOOKUP($B:$B,'Compilado 2023'!$B:$B,'Compilado 2023'!X:X)</f>
        <v>0</v>
      </c>
      <c r="X22" s="106">
        <f>_xlfn.XLOOKUP($B:$B,'Compilado 2023'!$B:$B,'Compilado 2023'!Y:Y)</f>
        <v>0</v>
      </c>
      <c r="Y22" s="106">
        <f>_xlfn.XLOOKUP($B:$B,'Compilado 2023'!$B:$B,'Compilado 2023'!Z:Z)</f>
        <v>0</v>
      </c>
      <c r="Z22" s="38"/>
      <c r="AA22" s="107">
        <f>_xlfn.XLOOKUP($B:$B,'Compilado 2023'!$B:$B,'Compilado 2023'!AA:AA)</f>
        <v>0</v>
      </c>
    </row>
    <row r="23" spans="1:27" s="2" customFormat="1" x14ac:dyDescent="0.2">
      <c r="A23" s="16" t="str">
        <f t="shared" si="0"/>
        <v>quarta-feira</v>
      </c>
      <c r="B23" s="17">
        <f t="shared" si="6"/>
        <v>45189</v>
      </c>
      <c r="C23" s="19">
        <f t="shared" si="3"/>
        <v>0</v>
      </c>
      <c r="D23" s="35">
        <f>_xlfn.XLOOKUP($B:$B,'Compilado 2023'!$B:$B,'Compilado 2023'!D:D)</f>
        <v>0</v>
      </c>
      <c r="E23" s="35">
        <f>_xlfn.XLOOKUP($B:$B,'Compilado 2023'!$B:$B,'Compilado 2023'!E:E)</f>
        <v>0</v>
      </c>
      <c r="F23" s="18">
        <f>_xlfn.XLOOKUP($B:$B,'Compilado 2023'!$B:$B,'Compilado 2023'!F:F)</f>
        <v>0</v>
      </c>
      <c r="G23" s="18">
        <f>_xlfn.XLOOKUP($B:$B,'Compilado 2023'!$B:$B,'Compilado 2023'!G:G)</f>
        <v>0</v>
      </c>
      <c r="H23" s="35">
        <f t="shared" si="4"/>
        <v>0</v>
      </c>
      <c r="I23" s="19">
        <f t="shared" ca="1" si="5"/>
        <v>53.333333333333336</v>
      </c>
      <c r="J23" s="117">
        <f t="shared" ca="1" si="1"/>
        <v>0</v>
      </c>
      <c r="K23" s="18">
        <f>_xlfn.XLOOKUP($B:$B,'Compilado 2023'!$B:$B,'Compilado 2023'!K:K)</f>
        <v>0</v>
      </c>
      <c r="L23" s="54">
        <f t="shared" si="2"/>
        <v>0</v>
      </c>
      <c r="M23" s="38"/>
      <c r="N23" s="106">
        <f>_xlfn.XLOOKUP($B:$B,'Compilado 2023'!$B:$B,'Compilado 2023'!N:N)</f>
        <v>0</v>
      </c>
      <c r="O23" s="106">
        <f>_xlfn.XLOOKUP($B:$B,'Compilado 2023'!$B:$B,'Compilado 2023'!O:O)</f>
        <v>0</v>
      </c>
      <c r="P23" s="106">
        <f>_xlfn.XLOOKUP($B:$B,'Compilado 2023'!$B:$B,'Compilado 2023'!P:P)</f>
        <v>0</v>
      </c>
      <c r="Q23" s="106">
        <f ca="1">_xlfn.XLOOKUP($B:$B,'Compilado 2023'!$B:$B,'Compilado 2023'!Q:Q)</f>
        <v>53.333333333333336</v>
      </c>
      <c r="R23" s="106">
        <f>_xlfn.XLOOKUP($B:$B,'Compilado 2023'!$B:$B,'Compilado 2023'!R:R)</f>
        <v>0</v>
      </c>
      <c r="S23" s="106">
        <f>_xlfn.XLOOKUP($B:$B,'Compilado 2023'!$B:$B,'Compilado 2023'!S:S)</f>
        <v>0</v>
      </c>
      <c r="T23" s="106">
        <f>_xlfn.XLOOKUP($B:$B,'Compilado 2023'!$B:$B,'Compilado 2023'!U:U)</f>
        <v>0</v>
      </c>
      <c r="U23" s="106">
        <f>_xlfn.XLOOKUP($B:$B,'Compilado 2023'!$B:$B,'Compilado 2023'!V:V)</f>
        <v>0</v>
      </c>
      <c r="V23" s="57"/>
      <c r="W23" s="106">
        <f>_xlfn.XLOOKUP($B:$B,'Compilado 2023'!$B:$B,'Compilado 2023'!X:X)</f>
        <v>0</v>
      </c>
      <c r="X23" s="106">
        <f>_xlfn.XLOOKUP($B:$B,'Compilado 2023'!$B:$B,'Compilado 2023'!Y:Y)</f>
        <v>0</v>
      </c>
      <c r="Y23" s="106">
        <f>_xlfn.XLOOKUP($B:$B,'Compilado 2023'!$B:$B,'Compilado 2023'!Z:Z)</f>
        <v>0</v>
      </c>
      <c r="Z23" s="38"/>
      <c r="AA23" s="107">
        <f>_xlfn.XLOOKUP($B:$B,'Compilado 2023'!$B:$B,'Compilado 2023'!AA:AA)</f>
        <v>0</v>
      </c>
    </row>
    <row r="24" spans="1:27" s="2" customFormat="1" x14ac:dyDescent="0.2">
      <c r="A24" s="16" t="str">
        <f t="shared" si="0"/>
        <v>quinta-feira</v>
      </c>
      <c r="B24" s="17">
        <f t="shared" si="6"/>
        <v>45190</v>
      </c>
      <c r="C24" s="19">
        <f t="shared" si="3"/>
        <v>0</v>
      </c>
      <c r="D24" s="35">
        <f>_xlfn.XLOOKUP($B:$B,'Compilado 2023'!$B:$B,'Compilado 2023'!D:D)</f>
        <v>0</v>
      </c>
      <c r="E24" s="35">
        <f>_xlfn.XLOOKUP($B:$B,'Compilado 2023'!$B:$B,'Compilado 2023'!E:E)</f>
        <v>0</v>
      </c>
      <c r="F24" s="18">
        <f>_xlfn.XLOOKUP($B:$B,'Compilado 2023'!$B:$B,'Compilado 2023'!F:F)</f>
        <v>0</v>
      </c>
      <c r="G24" s="18">
        <f>_xlfn.XLOOKUP($B:$B,'Compilado 2023'!$B:$B,'Compilado 2023'!G:G)</f>
        <v>0</v>
      </c>
      <c r="H24" s="35">
        <f t="shared" si="4"/>
        <v>0</v>
      </c>
      <c r="I24" s="19">
        <f t="shared" ca="1" si="5"/>
        <v>53.333333333333336</v>
      </c>
      <c r="J24" s="117">
        <f t="shared" ca="1" si="1"/>
        <v>0</v>
      </c>
      <c r="K24" s="18">
        <f>_xlfn.XLOOKUP($B:$B,'Compilado 2023'!$B:$B,'Compilado 2023'!K:K)</f>
        <v>0</v>
      </c>
      <c r="L24" s="54">
        <f t="shared" si="2"/>
        <v>0</v>
      </c>
      <c r="M24" s="38"/>
      <c r="N24" s="106">
        <f>_xlfn.XLOOKUP($B:$B,'Compilado 2023'!$B:$B,'Compilado 2023'!N:N)</f>
        <v>0</v>
      </c>
      <c r="O24" s="106">
        <f>_xlfn.XLOOKUP($B:$B,'Compilado 2023'!$B:$B,'Compilado 2023'!O:O)</f>
        <v>0</v>
      </c>
      <c r="P24" s="106">
        <f>_xlfn.XLOOKUP($B:$B,'Compilado 2023'!$B:$B,'Compilado 2023'!P:P)</f>
        <v>0</v>
      </c>
      <c r="Q24" s="106">
        <f ca="1">_xlfn.XLOOKUP($B:$B,'Compilado 2023'!$B:$B,'Compilado 2023'!Q:Q)</f>
        <v>53.333333333333336</v>
      </c>
      <c r="R24" s="106">
        <f>_xlfn.XLOOKUP($B:$B,'Compilado 2023'!$B:$B,'Compilado 2023'!R:R)</f>
        <v>0</v>
      </c>
      <c r="S24" s="106">
        <f>_xlfn.XLOOKUP($B:$B,'Compilado 2023'!$B:$B,'Compilado 2023'!S:S)</f>
        <v>0</v>
      </c>
      <c r="T24" s="106">
        <f>_xlfn.XLOOKUP($B:$B,'Compilado 2023'!$B:$B,'Compilado 2023'!U:U)</f>
        <v>0</v>
      </c>
      <c r="U24" s="106">
        <f>_xlfn.XLOOKUP($B:$B,'Compilado 2023'!$B:$B,'Compilado 2023'!V:V)</f>
        <v>0</v>
      </c>
      <c r="V24" s="57"/>
      <c r="W24" s="106">
        <f>_xlfn.XLOOKUP($B:$B,'Compilado 2023'!$B:$B,'Compilado 2023'!X:X)</f>
        <v>0</v>
      </c>
      <c r="X24" s="106">
        <f>_xlfn.XLOOKUP($B:$B,'Compilado 2023'!$B:$B,'Compilado 2023'!Y:Y)</f>
        <v>0</v>
      </c>
      <c r="Y24" s="106">
        <f>_xlfn.XLOOKUP($B:$B,'Compilado 2023'!$B:$B,'Compilado 2023'!Z:Z)</f>
        <v>0</v>
      </c>
      <c r="Z24" s="38"/>
      <c r="AA24" s="107">
        <f>_xlfn.XLOOKUP($B:$B,'Compilado 2023'!$B:$B,'Compilado 2023'!AA:AA)</f>
        <v>0</v>
      </c>
    </row>
    <row r="25" spans="1:27" s="2" customFormat="1" x14ac:dyDescent="0.2">
      <c r="A25" s="16" t="str">
        <f t="shared" si="0"/>
        <v>sexta-feira</v>
      </c>
      <c r="B25" s="17">
        <f t="shared" si="6"/>
        <v>45191</v>
      </c>
      <c r="C25" s="19">
        <f t="shared" si="3"/>
        <v>0</v>
      </c>
      <c r="D25" s="35">
        <f>_xlfn.XLOOKUP($B:$B,'Compilado 2023'!$B:$B,'Compilado 2023'!D:D)</f>
        <v>0</v>
      </c>
      <c r="E25" s="35">
        <f>_xlfn.XLOOKUP($B:$B,'Compilado 2023'!$B:$B,'Compilado 2023'!E:E)</f>
        <v>0</v>
      </c>
      <c r="F25" s="18">
        <f>_xlfn.XLOOKUP($B:$B,'Compilado 2023'!$B:$B,'Compilado 2023'!F:F)</f>
        <v>0</v>
      </c>
      <c r="G25" s="18">
        <f>_xlfn.XLOOKUP($B:$B,'Compilado 2023'!$B:$B,'Compilado 2023'!G:G)</f>
        <v>0</v>
      </c>
      <c r="H25" s="35">
        <f t="shared" si="4"/>
        <v>0</v>
      </c>
      <c r="I25" s="19">
        <f t="shared" ca="1" si="5"/>
        <v>53.333333333333336</v>
      </c>
      <c r="J25" s="117">
        <f t="shared" ca="1" si="1"/>
        <v>0</v>
      </c>
      <c r="K25" s="18">
        <f>_xlfn.XLOOKUP($B:$B,'Compilado 2023'!$B:$B,'Compilado 2023'!K:K)</f>
        <v>0</v>
      </c>
      <c r="L25" s="54">
        <f t="shared" si="2"/>
        <v>0</v>
      </c>
      <c r="M25" s="38"/>
      <c r="N25" s="106">
        <f>_xlfn.XLOOKUP($B:$B,'Compilado 2023'!$B:$B,'Compilado 2023'!N:N)</f>
        <v>0</v>
      </c>
      <c r="O25" s="106">
        <f>_xlfn.XLOOKUP($B:$B,'Compilado 2023'!$B:$B,'Compilado 2023'!O:O)</f>
        <v>0</v>
      </c>
      <c r="P25" s="106">
        <f>_xlfn.XLOOKUP($B:$B,'Compilado 2023'!$B:$B,'Compilado 2023'!P:P)</f>
        <v>0</v>
      </c>
      <c r="Q25" s="106">
        <f ca="1">_xlfn.XLOOKUP($B:$B,'Compilado 2023'!$B:$B,'Compilado 2023'!Q:Q)</f>
        <v>53.333333333333336</v>
      </c>
      <c r="R25" s="106">
        <f>_xlfn.XLOOKUP($B:$B,'Compilado 2023'!$B:$B,'Compilado 2023'!R:R)</f>
        <v>0</v>
      </c>
      <c r="S25" s="106">
        <f>_xlfn.XLOOKUP($B:$B,'Compilado 2023'!$B:$B,'Compilado 2023'!S:S)</f>
        <v>0</v>
      </c>
      <c r="T25" s="106">
        <f>_xlfn.XLOOKUP($B:$B,'Compilado 2023'!$B:$B,'Compilado 2023'!U:U)</f>
        <v>0</v>
      </c>
      <c r="U25" s="106">
        <f>_xlfn.XLOOKUP($B:$B,'Compilado 2023'!$B:$B,'Compilado 2023'!V:V)</f>
        <v>0</v>
      </c>
      <c r="V25" s="57"/>
      <c r="W25" s="106">
        <f>_xlfn.XLOOKUP($B:$B,'Compilado 2023'!$B:$B,'Compilado 2023'!X:X)</f>
        <v>0</v>
      </c>
      <c r="X25" s="106">
        <f>_xlfn.XLOOKUP($B:$B,'Compilado 2023'!$B:$B,'Compilado 2023'!Y:Y)</f>
        <v>0</v>
      </c>
      <c r="Y25" s="106">
        <f>_xlfn.XLOOKUP($B:$B,'Compilado 2023'!$B:$B,'Compilado 2023'!Z:Z)</f>
        <v>0</v>
      </c>
      <c r="Z25" s="38"/>
      <c r="AA25" s="107">
        <f>_xlfn.XLOOKUP($B:$B,'Compilado 2023'!$B:$B,'Compilado 2023'!AA:AA)</f>
        <v>0</v>
      </c>
    </row>
    <row r="26" spans="1:27" s="2" customFormat="1" x14ac:dyDescent="0.2">
      <c r="A26" s="16" t="str">
        <f t="shared" si="0"/>
        <v>sábado</v>
      </c>
      <c r="B26" s="17">
        <f t="shared" si="6"/>
        <v>45192</v>
      </c>
      <c r="C26" s="19">
        <f t="shared" si="3"/>
        <v>0</v>
      </c>
      <c r="D26" s="35">
        <f>_xlfn.XLOOKUP($B:$B,'Compilado 2023'!$B:$B,'Compilado 2023'!D:D)</f>
        <v>0</v>
      </c>
      <c r="E26" s="35">
        <f>_xlfn.XLOOKUP($B:$B,'Compilado 2023'!$B:$B,'Compilado 2023'!E:E)</f>
        <v>0</v>
      </c>
      <c r="F26" s="18">
        <f>_xlfn.XLOOKUP($B:$B,'Compilado 2023'!$B:$B,'Compilado 2023'!F:F)</f>
        <v>0</v>
      </c>
      <c r="G26" s="18">
        <f>_xlfn.XLOOKUP($B:$B,'Compilado 2023'!$B:$B,'Compilado 2023'!G:G)</f>
        <v>0</v>
      </c>
      <c r="H26" s="35">
        <f t="shared" si="4"/>
        <v>0</v>
      </c>
      <c r="I26" s="19">
        <f t="shared" ca="1" si="5"/>
        <v>53.333333333333336</v>
      </c>
      <c r="J26" s="117">
        <f t="shared" ca="1" si="1"/>
        <v>0</v>
      </c>
      <c r="K26" s="18">
        <f>_xlfn.XLOOKUP($B:$B,'Compilado 2023'!$B:$B,'Compilado 2023'!K:K)</f>
        <v>0</v>
      </c>
      <c r="L26" s="54">
        <f t="shared" si="2"/>
        <v>0</v>
      </c>
      <c r="M26" s="38"/>
      <c r="N26" s="106">
        <f>_xlfn.XLOOKUP($B:$B,'Compilado 2023'!$B:$B,'Compilado 2023'!N:N)</f>
        <v>0</v>
      </c>
      <c r="O26" s="106">
        <f>_xlfn.XLOOKUP($B:$B,'Compilado 2023'!$B:$B,'Compilado 2023'!O:O)</f>
        <v>0</v>
      </c>
      <c r="P26" s="106">
        <f>_xlfn.XLOOKUP($B:$B,'Compilado 2023'!$B:$B,'Compilado 2023'!P:P)</f>
        <v>0</v>
      </c>
      <c r="Q26" s="106">
        <f ca="1">_xlfn.XLOOKUP($B:$B,'Compilado 2023'!$B:$B,'Compilado 2023'!Q:Q)</f>
        <v>53.333333333333336</v>
      </c>
      <c r="R26" s="106">
        <f>_xlfn.XLOOKUP($B:$B,'Compilado 2023'!$B:$B,'Compilado 2023'!R:R)</f>
        <v>0</v>
      </c>
      <c r="S26" s="106">
        <f>_xlfn.XLOOKUP($B:$B,'Compilado 2023'!$B:$B,'Compilado 2023'!S:S)</f>
        <v>0</v>
      </c>
      <c r="T26" s="106">
        <f>_xlfn.XLOOKUP($B:$B,'Compilado 2023'!$B:$B,'Compilado 2023'!U:U)</f>
        <v>0</v>
      </c>
      <c r="U26" s="106">
        <f>_xlfn.XLOOKUP($B:$B,'Compilado 2023'!$B:$B,'Compilado 2023'!V:V)</f>
        <v>0</v>
      </c>
      <c r="V26" s="57"/>
      <c r="W26" s="106">
        <f>_xlfn.XLOOKUP($B:$B,'Compilado 2023'!$B:$B,'Compilado 2023'!X:X)</f>
        <v>0</v>
      </c>
      <c r="X26" s="106">
        <f>_xlfn.XLOOKUP($B:$B,'Compilado 2023'!$B:$B,'Compilado 2023'!Y:Y)</f>
        <v>0</v>
      </c>
      <c r="Y26" s="106">
        <f>_xlfn.XLOOKUP($B:$B,'Compilado 2023'!$B:$B,'Compilado 2023'!Z:Z)</f>
        <v>0</v>
      </c>
      <c r="Z26" s="38"/>
      <c r="AA26" s="107">
        <f>_xlfn.XLOOKUP($B:$B,'Compilado 2023'!$B:$B,'Compilado 2023'!AA:AA)</f>
        <v>0</v>
      </c>
    </row>
    <row r="27" spans="1:27" x14ac:dyDescent="0.2">
      <c r="A27" s="16" t="str">
        <f t="shared" si="0"/>
        <v>domingo</v>
      </c>
      <c r="B27" s="17">
        <f t="shared" si="6"/>
        <v>45193</v>
      </c>
      <c r="C27" s="19">
        <f t="shared" si="3"/>
        <v>0</v>
      </c>
      <c r="D27" s="35">
        <f>_xlfn.XLOOKUP($B:$B,'Compilado 2023'!$B:$B,'Compilado 2023'!D:D)</f>
        <v>0</v>
      </c>
      <c r="E27" s="35">
        <f>_xlfn.XLOOKUP($B:$B,'Compilado 2023'!$B:$B,'Compilado 2023'!E:E)</f>
        <v>0</v>
      </c>
      <c r="F27" s="18">
        <f>_xlfn.XLOOKUP($B:$B,'Compilado 2023'!$B:$B,'Compilado 2023'!F:F)</f>
        <v>0</v>
      </c>
      <c r="G27" s="18">
        <f>_xlfn.XLOOKUP($B:$B,'Compilado 2023'!$B:$B,'Compilado 2023'!G:G)</f>
        <v>0</v>
      </c>
      <c r="H27" s="35">
        <f t="shared" si="4"/>
        <v>0</v>
      </c>
      <c r="I27" s="19">
        <f t="shared" ca="1" si="5"/>
        <v>53.333333333333336</v>
      </c>
      <c r="J27" s="117">
        <f t="shared" ca="1" si="1"/>
        <v>0</v>
      </c>
      <c r="K27" s="18">
        <f>_xlfn.XLOOKUP($B:$B,'Compilado 2023'!$B:$B,'Compilado 2023'!K:K)</f>
        <v>0</v>
      </c>
      <c r="L27" s="54">
        <f t="shared" si="2"/>
        <v>0</v>
      </c>
      <c r="M27" s="38"/>
      <c r="N27" s="106">
        <f>_xlfn.XLOOKUP($B:$B,'Compilado 2023'!$B:$B,'Compilado 2023'!N:N)</f>
        <v>0</v>
      </c>
      <c r="O27" s="106">
        <f>_xlfn.XLOOKUP($B:$B,'Compilado 2023'!$B:$B,'Compilado 2023'!O:O)</f>
        <v>0</v>
      </c>
      <c r="P27" s="106">
        <f>_xlfn.XLOOKUP($B:$B,'Compilado 2023'!$B:$B,'Compilado 2023'!P:P)</f>
        <v>0</v>
      </c>
      <c r="Q27" s="106">
        <f ca="1">_xlfn.XLOOKUP($B:$B,'Compilado 2023'!$B:$B,'Compilado 2023'!Q:Q)</f>
        <v>53.333333333333336</v>
      </c>
      <c r="R27" s="106">
        <f>_xlfn.XLOOKUP($B:$B,'Compilado 2023'!$B:$B,'Compilado 2023'!R:R)</f>
        <v>0</v>
      </c>
      <c r="S27" s="106">
        <f>_xlfn.XLOOKUP($B:$B,'Compilado 2023'!$B:$B,'Compilado 2023'!S:S)</f>
        <v>0</v>
      </c>
      <c r="T27" s="106">
        <f>_xlfn.XLOOKUP($B:$B,'Compilado 2023'!$B:$B,'Compilado 2023'!U:U)</f>
        <v>0</v>
      </c>
      <c r="U27" s="106">
        <f>_xlfn.XLOOKUP($B:$B,'Compilado 2023'!$B:$B,'Compilado 2023'!V:V)</f>
        <v>0</v>
      </c>
      <c r="V27" s="57"/>
      <c r="W27" s="106">
        <f>_xlfn.XLOOKUP($B:$B,'Compilado 2023'!$B:$B,'Compilado 2023'!X:X)</f>
        <v>0</v>
      </c>
      <c r="X27" s="106">
        <f>_xlfn.XLOOKUP($B:$B,'Compilado 2023'!$B:$B,'Compilado 2023'!Y:Y)</f>
        <v>0</v>
      </c>
      <c r="Y27" s="106">
        <f>_xlfn.XLOOKUP($B:$B,'Compilado 2023'!$B:$B,'Compilado 2023'!Z:Z)</f>
        <v>0</v>
      </c>
      <c r="Z27" s="38"/>
      <c r="AA27" s="107">
        <f>_xlfn.XLOOKUP($B:$B,'Compilado 2023'!$B:$B,'Compilado 2023'!AA:AA)</f>
        <v>0</v>
      </c>
    </row>
    <row r="28" spans="1:27" x14ac:dyDescent="0.2">
      <c r="A28" s="16" t="str">
        <f t="shared" si="0"/>
        <v>segunda-feira</v>
      </c>
      <c r="B28" s="17">
        <f t="shared" si="6"/>
        <v>45194</v>
      </c>
      <c r="C28" s="19">
        <f t="shared" si="3"/>
        <v>0</v>
      </c>
      <c r="D28" s="35">
        <f>_xlfn.XLOOKUP($B:$B,'Compilado 2023'!$B:$B,'Compilado 2023'!D:D)</f>
        <v>0</v>
      </c>
      <c r="E28" s="35">
        <f>_xlfn.XLOOKUP($B:$B,'Compilado 2023'!$B:$B,'Compilado 2023'!E:E)</f>
        <v>0</v>
      </c>
      <c r="F28" s="18">
        <f>_xlfn.XLOOKUP($B:$B,'Compilado 2023'!$B:$B,'Compilado 2023'!F:F)</f>
        <v>0</v>
      </c>
      <c r="G28" s="18">
        <f>_xlfn.XLOOKUP($B:$B,'Compilado 2023'!$B:$B,'Compilado 2023'!G:G)</f>
        <v>0</v>
      </c>
      <c r="H28" s="35">
        <f t="shared" si="4"/>
        <v>0</v>
      </c>
      <c r="I28" s="19">
        <f t="shared" ca="1" si="5"/>
        <v>53.333333333333336</v>
      </c>
      <c r="J28" s="117">
        <f t="shared" ca="1" si="1"/>
        <v>0</v>
      </c>
      <c r="K28" s="18">
        <f>_xlfn.XLOOKUP($B:$B,'Compilado 2023'!$B:$B,'Compilado 2023'!K:K)</f>
        <v>0</v>
      </c>
      <c r="L28" s="54">
        <f t="shared" si="2"/>
        <v>0</v>
      </c>
      <c r="M28" s="38"/>
      <c r="N28" s="106">
        <f>_xlfn.XLOOKUP($B:$B,'Compilado 2023'!$B:$B,'Compilado 2023'!N:N)</f>
        <v>0</v>
      </c>
      <c r="O28" s="106">
        <f>_xlfn.XLOOKUP($B:$B,'Compilado 2023'!$B:$B,'Compilado 2023'!O:O)</f>
        <v>0</v>
      </c>
      <c r="P28" s="106">
        <f>_xlfn.XLOOKUP($B:$B,'Compilado 2023'!$B:$B,'Compilado 2023'!P:P)</f>
        <v>0</v>
      </c>
      <c r="Q28" s="106">
        <f ca="1">_xlfn.XLOOKUP($B:$B,'Compilado 2023'!$B:$B,'Compilado 2023'!Q:Q)</f>
        <v>53.333333333333336</v>
      </c>
      <c r="R28" s="106">
        <f>_xlfn.XLOOKUP($B:$B,'Compilado 2023'!$B:$B,'Compilado 2023'!R:R)</f>
        <v>0</v>
      </c>
      <c r="S28" s="106">
        <f>_xlfn.XLOOKUP($B:$B,'Compilado 2023'!$B:$B,'Compilado 2023'!S:S)</f>
        <v>0</v>
      </c>
      <c r="T28" s="106">
        <f>_xlfn.XLOOKUP($B:$B,'Compilado 2023'!$B:$B,'Compilado 2023'!U:U)</f>
        <v>0</v>
      </c>
      <c r="U28" s="106">
        <f>_xlfn.XLOOKUP($B:$B,'Compilado 2023'!$B:$B,'Compilado 2023'!V:V)</f>
        <v>0</v>
      </c>
      <c r="V28" s="57"/>
      <c r="W28" s="106">
        <f>_xlfn.XLOOKUP($B:$B,'Compilado 2023'!$B:$B,'Compilado 2023'!X:X)</f>
        <v>0</v>
      </c>
      <c r="X28" s="106">
        <f>_xlfn.XLOOKUP($B:$B,'Compilado 2023'!$B:$B,'Compilado 2023'!Y:Y)</f>
        <v>0</v>
      </c>
      <c r="Y28" s="106">
        <f>_xlfn.XLOOKUP($B:$B,'Compilado 2023'!$B:$B,'Compilado 2023'!Z:Z)</f>
        <v>0</v>
      </c>
      <c r="Z28" s="38"/>
      <c r="AA28" s="107">
        <f>_xlfn.XLOOKUP($B:$B,'Compilado 2023'!$B:$B,'Compilado 2023'!AA:AA)</f>
        <v>0</v>
      </c>
    </row>
    <row r="29" spans="1:27" s="2" customFormat="1" x14ac:dyDescent="0.2">
      <c r="A29" s="16" t="str">
        <f t="shared" si="0"/>
        <v>terça-feira</v>
      </c>
      <c r="B29" s="17">
        <f t="shared" si="6"/>
        <v>45195</v>
      </c>
      <c r="C29" s="19">
        <f t="shared" si="3"/>
        <v>0</v>
      </c>
      <c r="D29" s="35">
        <f>_xlfn.XLOOKUP($B:$B,'Compilado 2023'!$B:$B,'Compilado 2023'!D:D)</f>
        <v>0</v>
      </c>
      <c r="E29" s="35">
        <f>_xlfn.XLOOKUP($B:$B,'Compilado 2023'!$B:$B,'Compilado 2023'!E:E)</f>
        <v>0</v>
      </c>
      <c r="F29" s="18">
        <f>_xlfn.XLOOKUP($B:$B,'Compilado 2023'!$B:$B,'Compilado 2023'!F:F)</f>
        <v>0</v>
      </c>
      <c r="G29" s="18">
        <f>_xlfn.XLOOKUP($B:$B,'Compilado 2023'!$B:$B,'Compilado 2023'!G:G)</f>
        <v>0</v>
      </c>
      <c r="H29" s="35">
        <f t="shared" si="4"/>
        <v>0</v>
      </c>
      <c r="I29" s="19">
        <f t="shared" ca="1" si="5"/>
        <v>53.333333333333336</v>
      </c>
      <c r="J29" s="117">
        <f t="shared" ca="1" si="1"/>
        <v>0</v>
      </c>
      <c r="K29" s="18">
        <f>_xlfn.XLOOKUP($B:$B,'Compilado 2023'!$B:$B,'Compilado 2023'!K:K)</f>
        <v>0</v>
      </c>
      <c r="L29" s="54">
        <f t="shared" si="2"/>
        <v>0</v>
      </c>
      <c r="M29" s="38"/>
      <c r="N29" s="106">
        <f>_xlfn.XLOOKUP($B:$B,'Compilado 2023'!$B:$B,'Compilado 2023'!N:N)</f>
        <v>0</v>
      </c>
      <c r="O29" s="106">
        <f>_xlfn.XLOOKUP($B:$B,'Compilado 2023'!$B:$B,'Compilado 2023'!O:O)</f>
        <v>0</v>
      </c>
      <c r="P29" s="106">
        <f>_xlfn.XLOOKUP($B:$B,'Compilado 2023'!$B:$B,'Compilado 2023'!P:P)</f>
        <v>0</v>
      </c>
      <c r="Q29" s="106">
        <f ca="1">_xlfn.XLOOKUP($B:$B,'Compilado 2023'!$B:$B,'Compilado 2023'!Q:Q)</f>
        <v>53.333333333333336</v>
      </c>
      <c r="R29" s="106">
        <f>_xlfn.XLOOKUP($B:$B,'Compilado 2023'!$B:$B,'Compilado 2023'!R:R)</f>
        <v>0</v>
      </c>
      <c r="S29" s="106">
        <f>_xlfn.XLOOKUP($B:$B,'Compilado 2023'!$B:$B,'Compilado 2023'!S:S)</f>
        <v>0</v>
      </c>
      <c r="T29" s="106">
        <f>_xlfn.XLOOKUP($B:$B,'Compilado 2023'!$B:$B,'Compilado 2023'!U:U)</f>
        <v>0</v>
      </c>
      <c r="U29" s="106">
        <f>_xlfn.XLOOKUP($B:$B,'Compilado 2023'!$B:$B,'Compilado 2023'!V:V)</f>
        <v>0</v>
      </c>
      <c r="V29" s="57"/>
      <c r="W29" s="106">
        <f>_xlfn.XLOOKUP($B:$B,'Compilado 2023'!$B:$B,'Compilado 2023'!X:X)</f>
        <v>0</v>
      </c>
      <c r="X29" s="106">
        <f>_xlfn.XLOOKUP($B:$B,'Compilado 2023'!$B:$B,'Compilado 2023'!Y:Y)</f>
        <v>0</v>
      </c>
      <c r="Y29" s="106">
        <f>_xlfn.XLOOKUP($B:$B,'Compilado 2023'!$B:$B,'Compilado 2023'!Z:Z)</f>
        <v>0</v>
      </c>
      <c r="Z29" s="38"/>
      <c r="AA29" s="107">
        <f>_xlfn.XLOOKUP($B:$B,'Compilado 2023'!$B:$B,'Compilado 2023'!AA:AA)</f>
        <v>0</v>
      </c>
    </row>
    <row r="30" spans="1:27" s="2" customFormat="1" x14ac:dyDescent="0.2">
      <c r="A30" s="16" t="str">
        <f t="shared" si="0"/>
        <v>quarta-feira</v>
      </c>
      <c r="B30" s="17">
        <f t="shared" si="6"/>
        <v>45196</v>
      </c>
      <c r="C30" s="19">
        <f t="shared" si="3"/>
        <v>0</v>
      </c>
      <c r="D30" s="35">
        <f>_xlfn.XLOOKUP($B:$B,'Compilado 2023'!$B:$B,'Compilado 2023'!D:D)</f>
        <v>0</v>
      </c>
      <c r="E30" s="35">
        <f>_xlfn.XLOOKUP($B:$B,'Compilado 2023'!$B:$B,'Compilado 2023'!E:E)</f>
        <v>0</v>
      </c>
      <c r="F30" s="18">
        <f>_xlfn.XLOOKUP($B:$B,'Compilado 2023'!$B:$B,'Compilado 2023'!F:F)</f>
        <v>0</v>
      </c>
      <c r="G30" s="18">
        <f>_xlfn.XLOOKUP($B:$B,'Compilado 2023'!$B:$B,'Compilado 2023'!G:G)</f>
        <v>0</v>
      </c>
      <c r="H30" s="35">
        <f t="shared" si="4"/>
        <v>0</v>
      </c>
      <c r="I30" s="19">
        <f t="shared" ca="1" si="5"/>
        <v>53.333333333333336</v>
      </c>
      <c r="J30" s="117">
        <f t="shared" ca="1" si="1"/>
        <v>0</v>
      </c>
      <c r="K30" s="18">
        <f>_xlfn.XLOOKUP($B:$B,'Compilado 2023'!$B:$B,'Compilado 2023'!K:K)</f>
        <v>0</v>
      </c>
      <c r="L30" s="54">
        <f t="shared" si="2"/>
        <v>0</v>
      </c>
      <c r="M30" s="38"/>
      <c r="N30" s="106">
        <f>_xlfn.XLOOKUP($B:$B,'Compilado 2023'!$B:$B,'Compilado 2023'!N:N)</f>
        <v>0</v>
      </c>
      <c r="O30" s="106">
        <f>_xlfn.XLOOKUP($B:$B,'Compilado 2023'!$B:$B,'Compilado 2023'!O:O)</f>
        <v>0</v>
      </c>
      <c r="P30" s="106">
        <f>_xlfn.XLOOKUP($B:$B,'Compilado 2023'!$B:$B,'Compilado 2023'!P:P)</f>
        <v>0</v>
      </c>
      <c r="Q30" s="106">
        <f ca="1">_xlfn.XLOOKUP($B:$B,'Compilado 2023'!$B:$B,'Compilado 2023'!Q:Q)</f>
        <v>53.333333333333336</v>
      </c>
      <c r="R30" s="106">
        <f>_xlfn.XLOOKUP($B:$B,'Compilado 2023'!$B:$B,'Compilado 2023'!R:R)</f>
        <v>0</v>
      </c>
      <c r="S30" s="106">
        <f>_xlfn.XLOOKUP($B:$B,'Compilado 2023'!$B:$B,'Compilado 2023'!S:S)</f>
        <v>0</v>
      </c>
      <c r="T30" s="106">
        <f>_xlfn.XLOOKUP($B:$B,'Compilado 2023'!$B:$B,'Compilado 2023'!U:U)</f>
        <v>0</v>
      </c>
      <c r="U30" s="106">
        <f>_xlfn.XLOOKUP($B:$B,'Compilado 2023'!$B:$B,'Compilado 2023'!V:V)</f>
        <v>0</v>
      </c>
      <c r="V30" s="57"/>
      <c r="W30" s="106">
        <f>_xlfn.XLOOKUP($B:$B,'Compilado 2023'!$B:$B,'Compilado 2023'!X:X)</f>
        <v>0</v>
      </c>
      <c r="X30" s="106">
        <f>_xlfn.XLOOKUP($B:$B,'Compilado 2023'!$B:$B,'Compilado 2023'!Y:Y)</f>
        <v>0</v>
      </c>
      <c r="Y30" s="106">
        <f>_xlfn.XLOOKUP($B:$B,'Compilado 2023'!$B:$B,'Compilado 2023'!Z:Z)</f>
        <v>0</v>
      </c>
      <c r="Z30" s="38"/>
      <c r="AA30" s="107">
        <f>_xlfn.XLOOKUP($B:$B,'Compilado 2023'!$B:$B,'Compilado 2023'!AA:AA)</f>
        <v>0</v>
      </c>
    </row>
    <row r="31" spans="1:27" s="2" customFormat="1" x14ac:dyDescent="0.2">
      <c r="A31" s="16" t="str">
        <f t="shared" si="0"/>
        <v>quinta-feira</v>
      </c>
      <c r="B31" s="17">
        <f t="shared" si="6"/>
        <v>45197</v>
      </c>
      <c r="C31" s="19">
        <f t="shared" si="3"/>
        <v>0</v>
      </c>
      <c r="D31" s="35">
        <f>_xlfn.XLOOKUP($B:$B,'Compilado 2023'!$B:$B,'Compilado 2023'!D:D)</f>
        <v>0</v>
      </c>
      <c r="E31" s="35">
        <f>_xlfn.XLOOKUP($B:$B,'Compilado 2023'!$B:$B,'Compilado 2023'!E:E)</f>
        <v>0</v>
      </c>
      <c r="F31" s="18">
        <f>_xlfn.XLOOKUP($B:$B,'Compilado 2023'!$B:$B,'Compilado 2023'!F:F)</f>
        <v>0</v>
      </c>
      <c r="G31" s="18">
        <f>_xlfn.XLOOKUP($B:$B,'Compilado 2023'!$B:$B,'Compilado 2023'!G:G)</f>
        <v>0</v>
      </c>
      <c r="H31" s="35">
        <f t="shared" si="4"/>
        <v>0</v>
      </c>
      <c r="I31" s="19">
        <f t="shared" ca="1" si="5"/>
        <v>53.333333333333336</v>
      </c>
      <c r="J31" s="117">
        <f t="shared" ca="1" si="1"/>
        <v>0</v>
      </c>
      <c r="K31" s="18">
        <f>_xlfn.XLOOKUP($B:$B,'Compilado 2023'!$B:$B,'Compilado 2023'!K:K)</f>
        <v>0</v>
      </c>
      <c r="L31" s="54">
        <f t="shared" si="2"/>
        <v>0</v>
      </c>
      <c r="M31" s="38"/>
      <c r="N31" s="106">
        <f>_xlfn.XLOOKUP($B:$B,'Compilado 2023'!$B:$B,'Compilado 2023'!N:N)</f>
        <v>0</v>
      </c>
      <c r="O31" s="106">
        <f>_xlfn.XLOOKUP($B:$B,'Compilado 2023'!$B:$B,'Compilado 2023'!O:O)</f>
        <v>0</v>
      </c>
      <c r="P31" s="106">
        <f>_xlfn.XLOOKUP($B:$B,'Compilado 2023'!$B:$B,'Compilado 2023'!P:P)</f>
        <v>0</v>
      </c>
      <c r="Q31" s="106">
        <f ca="1">_xlfn.XLOOKUP($B:$B,'Compilado 2023'!$B:$B,'Compilado 2023'!Q:Q)</f>
        <v>53.333333333333336</v>
      </c>
      <c r="R31" s="106">
        <f>_xlfn.XLOOKUP($B:$B,'Compilado 2023'!$B:$B,'Compilado 2023'!R:R)</f>
        <v>0</v>
      </c>
      <c r="S31" s="106">
        <f>_xlfn.XLOOKUP($B:$B,'Compilado 2023'!$B:$B,'Compilado 2023'!S:S)</f>
        <v>0</v>
      </c>
      <c r="T31" s="106">
        <f>_xlfn.XLOOKUP($B:$B,'Compilado 2023'!$B:$B,'Compilado 2023'!U:U)</f>
        <v>0</v>
      </c>
      <c r="U31" s="106">
        <f>_xlfn.XLOOKUP($B:$B,'Compilado 2023'!$B:$B,'Compilado 2023'!V:V)</f>
        <v>0</v>
      </c>
      <c r="V31" s="57"/>
      <c r="W31" s="106">
        <f>_xlfn.XLOOKUP($B:$B,'Compilado 2023'!$B:$B,'Compilado 2023'!X:X)</f>
        <v>0</v>
      </c>
      <c r="X31" s="106">
        <f>_xlfn.XLOOKUP($B:$B,'Compilado 2023'!$B:$B,'Compilado 2023'!Y:Y)</f>
        <v>0</v>
      </c>
      <c r="Y31" s="106">
        <f>_xlfn.XLOOKUP($B:$B,'Compilado 2023'!$B:$B,'Compilado 2023'!Z:Z)</f>
        <v>0</v>
      </c>
      <c r="Z31" s="38"/>
      <c r="AA31" s="107">
        <f>_xlfn.XLOOKUP($B:$B,'Compilado 2023'!$B:$B,'Compilado 2023'!AA:AA)</f>
        <v>0</v>
      </c>
    </row>
    <row r="32" spans="1:27" s="2" customFormat="1" x14ac:dyDescent="0.2">
      <c r="A32" s="16" t="str">
        <f t="shared" si="0"/>
        <v>sexta-feira</v>
      </c>
      <c r="B32" s="17">
        <f t="shared" si="6"/>
        <v>45198</v>
      </c>
      <c r="C32" s="19">
        <f t="shared" si="3"/>
        <v>0</v>
      </c>
      <c r="D32" s="35">
        <f>_xlfn.XLOOKUP($B:$B,'Compilado 2023'!$B:$B,'Compilado 2023'!D:D)</f>
        <v>0</v>
      </c>
      <c r="E32" s="35">
        <f>_xlfn.XLOOKUP($B:$B,'Compilado 2023'!$B:$B,'Compilado 2023'!E:E)</f>
        <v>0</v>
      </c>
      <c r="F32" s="18">
        <f>_xlfn.XLOOKUP($B:$B,'Compilado 2023'!$B:$B,'Compilado 2023'!F:F)</f>
        <v>0</v>
      </c>
      <c r="G32" s="18">
        <f>_xlfn.XLOOKUP($B:$B,'Compilado 2023'!$B:$B,'Compilado 2023'!G:G)</f>
        <v>0</v>
      </c>
      <c r="H32" s="35">
        <f t="shared" si="4"/>
        <v>0</v>
      </c>
      <c r="I32" s="19">
        <f t="shared" ca="1" si="5"/>
        <v>53.333333333333336</v>
      </c>
      <c r="J32" s="117">
        <f t="shared" ca="1" si="1"/>
        <v>0</v>
      </c>
      <c r="K32" s="18">
        <f>_xlfn.XLOOKUP($B:$B,'Compilado 2023'!$B:$B,'Compilado 2023'!K:K)</f>
        <v>0</v>
      </c>
      <c r="L32" s="54">
        <f t="shared" si="2"/>
        <v>0</v>
      </c>
      <c r="M32" s="38"/>
      <c r="N32" s="106">
        <f>_xlfn.XLOOKUP($B:$B,'Compilado 2023'!$B:$B,'Compilado 2023'!N:N)</f>
        <v>0</v>
      </c>
      <c r="O32" s="106">
        <f>_xlfn.XLOOKUP($B:$B,'Compilado 2023'!$B:$B,'Compilado 2023'!O:O)</f>
        <v>0</v>
      </c>
      <c r="P32" s="106">
        <f>_xlfn.XLOOKUP($B:$B,'Compilado 2023'!$B:$B,'Compilado 2023'!P:P)</f>
        <v>0</v>
      </c>
      <c r="Q32" s="106">
        <f ca="1">_xlfn.XLOOKUP($B:$B,'Compilado 2023'!$B:$B,'Compilado 2023'!Q:Q)</f>
        <v>53.333333333333336</v>
      </c>
      <c r="R32" s="106">
        <f>_xlfn.XLOOKUP($B:$B,'Compilado 2023'!$B:$B,'Compilado 2023'!R:R)</f>
        <v>0</v>
      </c>
      <c r="S32" s="106">
        <f>_xlfn.XLOOKUP($B:$B,'Compilado 2023'!$B:$B,'Compilado 2023'!S:S)</f>
        <v>0</v>
      </c>
      <c r="T32" s="106">
        <f>_xlfn.XLOOKUP($B:$B,'Compilado 2023'!$B:$B,'Compilado 2023'!U:U)</f>
        <v>0</v>
      </c>
      <c r="U32" s="106">
        <f>_xlfn.XLOOKUP($B:$B,'Compilado 2023'!$B:$B,'Compilado 2023'!V:V)</f>
        <v>0</v>
      </c>
      <c r="V32" s="57"/>
      <c r="W32" s="106">
        <f>_xlfn.XLOOKUP($B:$B,'Compilado 2023'!$B:$B,'Compilado 2023'!X:X)</f>
        <v>0</v>
      </c>
      <c r="X32" s="106">
        <f>_xlfn.XLOOKUP($B:$B,'Compilado 2023'!$B:$B,'Compilado 2023'!Y:Y)</f>
        <v>0</v>
      </c>
      <c r="Y32" s="106">
        <f>_xlfn.XLOOKUP($B:$B,'Compilado 2023'!$B:$B,'Compilado 2023'!Z:Z)</f>
        <v>0</v>
      </c>
      <c r="Z32" s="38"/>
      <c r="AA32" s="107">
        <f>_xlfn.XLOOKUP($B:$B,'Compilado 2023'!$B:$B,'Compilado 2023'!AA:AA)</f>
        <v>0</v>
      </c>
    </row>
    <row r="33" spans="1:27" s="2" customFormat="1" x14ac:dyDescent="0.2">
      <c r="A33" s="16" t="str">
        <f t="shared" si="0"/>
        <v>sábado</v>
      </c>
      <c r="B33" s="17">
        <f t="shared" si="6"/>
        <v>45199</v>
      </c>
      <c r="C33" s="19">
        <f t="shared" si="3"/>
        <v>0</v>
      </c>
      <c r="D33" s="35">
        <f>_xlfn.XLOOKUP($B:$B,'Compilado 2023'!$B:$B,'Compilado 2023'!D:D)</f>
        <v>0</v>
      </c>
      <c r="E33" s="35">
        <f>_xlfn.XLOOKUP($B:$B,'Compilado 2023'!$B:$B,'Compilado 2023'!E:E)</f>
        <v>0</v>
      </c>
      <c r="F33" s="18">
        <f>_xlfn.XLOOKUP($B:$B,'Compilado 2023'!$B:$B,'Compilado 2023'!F:F)</f>
        <v>0</v>
      </c>
      <c r="G33" s="18">
        <f>_xlfn.XLOOKUP($B:$B,'Compilado 2023'!$B:$B,'Compilado 2023'!G:G)</f>
        <v>0</v>
      </c>
      <c r="H33" s="35">
        <f t="shared" si="4"/>
        <v>0</v>
      </c>
      <c r="I33" s="19">
        <f t="shared" ca="1" si="5"/>
        <v>53.333333333333336</v>
      </c>
      <c r="J33" s="117">
        <f t="shared" ca="1" si="1"/>
        <v>0</v>
      </c>
      <c r="K33" s="18">
        <f>_xlfn.XLOOKUP($B:$B,'Compilado 2023'!$B:$B,'Compilado 2023'!K:K)</f>
        <v>0</v>
      </c>
      <c r="L33" s="54">
        <f t="shared" si="2"/>
        <v>0</v>
      </c>
      <c r="M33" s="38"/>
      <c r="N33" s="106">
        <f>_xlfn.XLOOKUP($B:$B,'Compilado 2023'!$B:$B,'Compilado 2023'!N:N)</f>
        <v>0</v>
      </c>
      <c r="O33" s="106">
        <f>_xlfn.XLOOKUP($B:$B,'Compilado 2023'!$B:$B,'Compilado 2023'!O:O)</f>
        <v>0</v>
      </c>
      <c r="P33" s="106">
        <f>_xlfn.XLOOKUP($B:$B,'Compilado 2023'!$B:$B,'Compilado 2023'!P:P)</f>
        <v>0</v>
      </c>
      <c r="Q33" s="106">
        <f ca="1">_xlfn.XLOOKUP($B:$B,'Compilado 2023'!$B:$B,'Compilado 2023'!Q:Q)</f>
        <v>53.333333333333336</v>
      </c>
      <c r="R33" s="106">
        <f>_xlfn.XLOOKUP($B:$B,'Compilado 2023'!$B:$B,'Compilado 2023'!R:R)</f>
        <v>0</v>
      </c>
      <c r="S33" s="106">
        <f>_xlfn.XLOOKUP($B:$B,'Compilado 2023'!$B:$B,'Compilado 2023'!S:S)</f>
        <v>0</v>
      </c>
      <c r="T33" s="106">
        <f>_xlfn.XLOOKUP($B:$B,'Compilado 2023'!$B:$B,'Compilado 2023'!U:U)</f>
        <v>0</v>
      </c>
      <c r="U33" s="106">
        <f>_xlfn.XLOOKUP($B:$B,'Compilado 2023'!$B:$B,'Compilado 2023'!V:V)</f>
        <v>0</v>
      </c>
      <c r="V33" s="57"/>
      <c r="W33" s="106">
        <f>_xlfn.XLOOKUP($B:$B,'Compilado 2023'!$B:$B,'Compilado 2023'!X:X)</f>
        <v>0</v>
      </c>
      <c r="X33" s="106">
        <f>_xlfn.XLOOKUP($B:$B,'Compilado 2023'!$B:$B,'Compilado 2023'!Y:Y)</f>
        <v>0</v>
      </c>
      <c r="Y33" s="106">
        <f>_xlfn.XLOOKUP($B:$B,'Compilado 2023'!$B:$B,'Compilado 2023'!Z:Z)</f>
        <v>0</v>
      </c>
      <c r="Z33" s="38"/>
      <c r="AA33" s="107">
        <f>_xlfn.XLOOKUP($B:$B,'Compilado 2023'!$B:$B,'Compilado 2023'!AA:AA)</f>
        <v>0</v>
      </c>
    </row>
    <row r="34" spans="1:27" x14ac:dyDescent="0.2">
      <c r="A34" s="16"/>
      <c r="B34" s="17"/>
      <c r="C34" s="19"/>
      <c r="D34" s="35"/>
      <c r="E34" s="35"/>
      <c r="F34" s="18"/>
      <c r="G34" s="18"/>
      <c r="H34" s="35"/>
      <c r="I34" s="19"/>
      <c r="J34" s="117"/>
      <c r="K34" s="18"/>
      <c r="L34" s="54"/>
      <c r="M34" s="38"/>
      <c r="N34" s="106"/>
      <c r="O34" s="106"/>
      <c r="P34" s="106"/>
      <c r="Q34" s="106"/>
      <c r="R34" s="106"/>
      <c r="S34" s="106"/>
      <c r="T34" s="106"/>
      <c r="U34" s="106"/>
      <c r="V34" s="57"/>
      <c r="W34" s="106"/>
      <c r="X34" s="106"/>
      <c r="Y34" s="106"/>
      <c r="Z34" s="38"/>
      <c r="AA34" s="107"/>
    </row>
    <row r="35" spans="1:27" s="61" customFormat="1" ht="12" x14ac:dyDescent="0.2">
      <c r="A35" s="90" t="s">
        <v>186</v>
      </c>
      <c r="B35" s="91">
        <f>COUNTA(B4:B33)</f>
        <v>30</v>
      </c>
      <c r="C35" s="92">
        <f>SUM(C4:C34)</f>
        <v>0</v>
      </c>
      <c r="D35" s="92">
        <f>SUM(D4:D34)</f>
        <v>0</v>
      </c>
      <c r="E35" s="92">
        <f>SUM(E4:E34)</f>
        <v>0</v>
      </c>
      <c r="F35" s="93">
        <f>SUM(F4:F34)</f>
        <v>0</v>
      </c>
      <c r="G35" s="93">
        <f>SUM(G4:G34)</f>
        <v>0</v>
      </c>
      <c r="H35" s="92" t="e">
        <f>C35/F35</f>
        <v>#DIV/0!</v>
      </c>
      <c r="I35" s="92">
        <f ca="1">SUM(I4:I34)</f>
        <v>1599.9999999999995</v>
      </c>
      <c r="J35" s="123">
        <f ca="1">C35/I35</f>
        <v>0</v>
      </c>
      <c r="K35" s="93">
        <f>SUM(K4:K34)</f>
        <v>0</v>
      </c>
      <c r="L35" s="94">
        <f>IFERROR(F35/K35,0)</f>
        <v>0</v>
      </c>
      <c r="M35" s="95"/>
      <c r="N35" s="92">
        <f t="shared" ref="N35:U35" si="7">SUM(N4:N34)</f>
        <v>0</v>
      </c>
      <c r="O35" s="92">
        <f t="shared" si="7"/>
        <v>0</v>
      </c>
      <c r="P35" s="92">
        <f t="shared" si="7"/>
        <v>0</v>
      </c>
      <c r="Q35" s="92">
        <f t="shared" ca="1" si="7"/>
        <v>1599.9999999999995</v>
      </c>
      <c r="R35" s="92">
        <f t="shared" si="7"/>
        <v>0</v>
      </c>
      <c r="S35" s="92">
        <f t="shared" si="7"/>
        <v>0</v>
      </c>
      <c r="T35" s="92">
        <f t="shared" si="7"/>
        <v>0</v>
      </c>
      <c r="U35" s="92">
        <f t="shared" si="7"/>
        <v>0</v>
      </c>
      <c r="V35" s="97">
        <f t="shared" ref="V35:Y35" si="8">SUM(V4:V33)</f>
        <v>0</v>
      </c>
      <c r="W35" s="96">
        <f t="shared" si="8"/>
        <v>0</v>
      </c>
      <c r="X35" s="92">
        <f t="shared" si="8"/>
        <v>0</v>
      </c>
      <c r="Y35" s="92">
        <f t="shared" si="8"/>
        <v>0</v>
      </c>
      <c r="Z35" s="95"/>
      <c r="AA35" s="98"/>
    </row>
    <row r="36" spans="1:27" ht="6.75" customHeight="1" x14ac:dyDescent="0.2">
      <c r="M36" s="21"/>
    </row>
    <row r="37" spans="1:27" s="34" customFormat="1" ht="15.75" x14ac:dyDescent="0.3">
      <c r="A37" s="99" t="str">
        <f>JUN!A38</f>
        <v>Média Junho 2023</v>
      </c>
      <c r="B37" s="100"/>
      <c r="C37" s="101">
        <f>AGO!C38</f>
        <v>19995.121290322582</v>
      </c>
      <c r="D37" s="101">
        <f>AGO!D38</f>
        <v>19393.952666666664</v>
      </c>
      <c r="E37" s="101">
        <f>AGO!E38</f>
        <v>6.4273333333333333</v>
      </c>
      <c r="F37" s="102">
        <f>AGO!F38</f>
        <v>74.099999999999994</v>
      </c>
      <c r="G37" s="102">
        <f>AGO!G38</f>
        <v>90.433333333333337</v>
      </c>
      <c r="H37" s="103">
        <f>AGO!H38</f>
        <v>263.54113945578234</v>
      </c>
      <c r="I37" s="101">
        <f ca="1">AGO!I38</f>
        <v>388.76056989247343</v>
      </c>
      <c r="J37" s="119">
        <f ca="1">AGO!J38</f>
        <v>51.43299716803326</v>
      </c>
      <c r="K37" s="104">
        <f>AGO!K38</f>
        <v>0</v>
      </c>
      <c r="L37" s="105">
        <f>AGO!L38</f>
        <v>0</v>
      </c>
      <c r="M37" s="21"/>
      <c r="N37"/>
      <c r="O37"/>
      <c r="P37"/>
      <c r="Q37"/>
      <c r="R37"/>
      <c r="S37"/>
      <c r="T37"/>
      <c r="U37"/>
      <c r="V37"/>
      <c r="W37"/>
      <c r="X37"/>
      <c r="Y37"/>
      <c r="Z37"/>
      <c r="AA37"/>
    </row>
    <row r="38" spans="1:27" s="34" customFormat="1" ht="15.75" x14ac:dyDescent="0.3">
      <c r="A38" s="99" t="str">
        <f>_xlfn.CONCAT("Média ",B2)</f>
        <v>Média Setembro 2023</v>
      </c>
      <c r="B38" s="100"/>
      <c r="C38" s="101">
        <f>AVERAGE(C4:C34)</f>
        <v>0</v>
      </c>
      <c r="D38" s="101">
        <f>AVERAGE(D5:D34)</f>
        <v>0</v>
      </c>
      <c r="E38" s="101">
        <f>AVERAGE(E5:E34)</f>
        <v>0</v>
      </c>
      <c r="F38" s="102">
        <f>AVERAGE(F5:F34)</f>
        <v>0</v>
      </c>
      <c r="G38" s="102">
        <f>AVERAGE(G5:G34)</f>
        <v>0</v>
      </c>
      <c r="H38" s="103" t="e">
        <f>H35</f>
        <v>#DIV/0!</v>
      </c>
      <c r="I38" s="101">
        <f ca="1">AVERAGE(I5:I34)</f>
        <v>53.333333333333321</v>
      </c>
      <c r="J38" s="119">
        <f ca="1">IFERROR(C38/I38,0)</f>
        <v>0</v>
      </c>
      <c r="K38" s="104">
        <f>AVERAGE(K5:K34)</f>
        <v>0</v>
      </c>
      <c r="L38" s="105">
        <f>IFERROR(F38/K38,0)</f>
        <v>0</v>
      </c>
      <c r="M38" s="21"/>
      <c r="N38"/>
      <c r="O38"/>
      <c r="P38"/>
      <c r="Q38"/>
      <c r="R38"/>
      <c r="S38"/>
      <c r="T38"/>
      <c r="U38"/>
      <c r="V38"/>
      <c r="W38"/>
      <c r="X38"/>
      <c r="Y38"/>
      <c r="Z38"/>
      <c r="AA38"/>
    </row>
    <row r="39" spans="1:27" ht="15.75" customHeight="1" x14ac:dyDescent="0.2">
      <c r="M39" s="21"/>
    </row>
    <row r="40" spans="1:27" ht="15.75" customHeight="1" x14ac:dyDescent="0.2">
      <c r="M40" s="21"/>
    </row>
    <row r="41" spans="1:27" ht="14.25" x14ac:dyDescent="0.2">
      <c r="B41" s="223" t="s">
        <v>188</v>
      </c>
      <c r="C41" s="223"/>
      <c r="D41" s="223"/>
      <c r="E41" s="76"/>
      <c r="F41" s="76"/>
      <c r="G41" s="76"/>
      <c r="H41" s="76"/>
      <c r="I41" s="76"/>
      <c r="J41" s="76"/>
      <c r="K41" s="76"/>
      <c r="L41" s="76"/>
      <c r="M41" s="21"/>
    </row>
    <row r="42" spans="1:27" ht="15.75" customHeight="1" x14ac:dyDescent="0.2"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21"/>
    </row>
    <row r="43" spans="1:27" ht="15" thickBot="1" x14ac:dyDescent="0.25">
      <c r="B43" s="77" t="s">
        <v>153</v>
      </c>
      <c r="C43" s="78" t="s">
        <v>75</v>
      </c>
      <c r="D43" s="78" t="s">
        <v>154</v>
      </c>
      <c r="E43" s="78" t="s">
        <v>77</v>
      </c>
      <c r="F43" s="78" t="s">
        <v>78</v>
      </c>
      <c r="G43" s="78" t="s">
        <v>79</v>
      </c>
      <c r="H43" s="78" t="s">
        <v>80</v>
      </c>
      <c r="I43" s="78" t="s">
        <v>81</v>
      </c>
      <c r="J43" s="78" t="s">
        <v>82</v>
      </c>
      <c r="K43" s="78" t="s">
        <v>40</v>
      </c>
      <c r="L43" s="78" t="s">
        <v>83</v>
      </c>
      <c r="M43" s="21"/>
      <c r="N43" s="78" t="s">
        <v>85</v>
      </c>
      <c r="O43" s="78" t="s">
        <v>155</v>
      </c>
      <c r="P43" s="78" t="s">
        <v>87</v>
      </c>
      <c r="Q43" s="78" t="s">
        <v>88</v>
      </c>
      <c r="R43" s="78" t="s">
        <v>89</v>
      </c>
      <c r="S43" s="78" t="s">
        <v>90</v>
      </c>
      <c r="T43" s="78" t="s">
        <v>91</v>
      </c>
      <c r="U43" s="78" t="s">
        <v>92</v>
      </c>
    </row>
    <row r="44" spans="1:27" s="20" customFormat="1" ht="14.25" x14ac:dyDescent="0.2">
      <c r="B44" s="79" t="str">
        <f>_xlfn.CONCAT(_xlfn.XLOOKUP(O1,Referencia!B1:B13,Referencia!C1:C13),"/",P1)</f>
        <v>SET/2023</v>
      </c>
      <c r="C44" s="80">
        <f>C35</f>
        <v>0</v>
      </c>
      <c r="D44" s="80">
        <f t="shared" ref="D44:L44" si="9">D35</f>
        <v>0</v>
      </c>
      <c r="E44" s="80">
        <f t="shared" si="9"/>
        <v>0</v>
      </c>
      <c r="F44" s="81">
        <f t="shared" si="9"/>
        <v>0</v>
      </c>
      <c r="G44" s="81">
        <f t="shared" si="9"/>
        <v>0</v>
      </c>
      <c r="H44" s="80" t="e">
        <f t="shared" si="9"/>
        <v>#DIV/0!</v>
      </c>
      <c r="I44" s="80">
        <f t="shared" ca="1" si="9"/>
        <v>1599.9999999999995</v>
      </c>
      <c r="J44" s="118">
        <f t="shared" ca="1" si="9"/>
        <v>0</v>
      </c>
      <c r="K44" s="81">
        <f t="shared" si="9"/>
        <v>0</v>
      </c>
      <c r="L44" s="82">
        <f t="shared" si="9"/>
        <v>0</v>
      </c>
      <c r="M44" s="21"/>
      <c r="N44" s="134">
        <f>N35</f>
        <v>0</v>
      </c>
      <c r="O44" s="134">
        <f t="shared" ref="O44:U44" si="10">O35</f>
        <v>0</v>
      </c>
      <c r="P44" s="134">
        <f t="shared" si="10"/>
        <v>0</v>
      </c>
      <c r="Q44" s="134">
        <f t="shared" ca="1" si="10"/>
        <v>1599.9999999999995</v>
      </c>
      <c r="R44" s="134">
        <f t="shared" si="10"/>
        <v>0</v>
      </c>
      <c r="S44" s="134">
        <f t="shared" si="10"/>
        <v>0</v>
      </c>
      <c r="T44" s="134">
        <f t="shared" si="10"/>
        <v>0</v>
      </c>
      <c r="U44" s="134">
        <f t="shared" si="10"/>
        <v>0</v>
      </c>
      <c r="V44"/>
      <c r="W44"/>
      <c r="X44"/>
      <c r="Y44"/>
      <c r="Z44"/>
      <c r="AA44"/>
    </row>
    <row r="45" spans="1:27" s="20" customFormat="1" ht="14.25" x14ac:dyDescent="0.2">
      <c r="B45" s="138" t="str">
        <f>_xlfn.CONCAT(_xlfn.XLOOKUP(O1,Referencia!B1:B13,Referencia!C1:C13),"/",(P1-1))</f>
        <v>SET/2022</v>
      </c>
      <c r="C45" s="134">
        <f>SUM(C64:C94)</f>
        <v>1500212.96</v>
      </c>
      <c r="D45" s="134">
        <f>SUM(D64:D94)</f>
        <v>1500070.37</v>
      </c>
      <c r="E45" s="134">
        <f>SUM(E64:E94)</f>
        <v>142.59</v>
      </c>
      <c r="F45" s="135">
        <f>SUM(F64:F94)</f>
        <v>5790</v>
      </c>
      <c r="G45" s="135">
        <f>SUM(G64:G94)</f>
        <v>8221</v>
      </c>
      <c r="H45" s="134">
        <f>C45/F45</f>
        <v>259.10413816925734</v>
      </c>
      <c r="I45" s="134">
        <f>SUM(I64:I94)</f>
        <v>29743.86</v>
      </c>
      <c r="J45" s="136">
        <f>C45/I45</f>
        <v>50.437736057122372</v>
      </c>
      <c r="K45" s="135">
        <f>SUM(K64:K94)</f>
        <v>126979</v>
      </c>
      <c r="L45" s="137">
        <f>F45/K45</f>
        <v>4.5598091022925051E-2</v>
      </c>
      <c r="M45" s="207"/>
      <c r="N45" s="134">
        <f>SUM(N64:N94)</f>
        <v>19357.749999999996</v>
      </c>
      <c r="O45" s="134">
        <f t="shared" ref="O45:V45" si="11">SUM(O64:O94)</f>
        <v>8786.11</v>
      </c>
      <c r="P45" s="134">
        <f t="shared" si="11"/>
        <v>0</v>
      </c>
      <c r="Q45" s="134">
        <f t="shared" si="11"/>
        <v>1599.9999999999995</v>
      </c>
      <c r="R45" s="134">
        <f t="shared" si="11"/>
        <v>0</v>
      </c>
      <c r="S45" s="134">
        <f t="shared" si="11"/>
        <v>0</v>
      </c>
      <c r="T45" s="134">
        <f t="shared" si="11"/>
        <v>0</v>
      </c>
      <c r="U45" s="134">
        <f t="shared" si="11"/>
        <v>0</v>
      </c>
      <c r="V45" s="134">
        <f t="shared" si="11"/>
        <v>0</v>
      </c>
      <c r="W45"/>
      <c r="X45"/>
      <c r="Y45"/>
      <c r="Z45"/>
      <c r="AA45"/>
    </row>
    <row r="46" spans="1:27" s="20" customFormat="1" ht="14.25" x14ac:dyDescent="0.2">
      <c r="B46" s="83"/>
      <c r="C46" s="87">
        <f>C44-C45</f>
        <v>-1500212.96</v>
      </c>
      <c r="D46" s="87">
        <f t="shared" ref="D46:L46" si="12">D44-D45</f>
        <v>-1500070.37</v>
      </c>
      <c r="E46" s="87">
        <f t="shared" si="12"/>
        <v>-142.59</v>
      </c>
      <c r="F46" s="88">
        <f t="shared" si="12"/>
        <v>-5790</v>
      </c>
      <c r="G46" s="88">
        <f t="shared" si="12"/>
        <v>-8221</v>
      </c>
      <c r="H46" s="87" t="e">
        <f t="shared" si="12"/>
        <v>#DIV/0!</v>
      </c>
      <c r="I46" s="87">
        <f t="shared" ca="1" si="12"/>
        <v>-28143.86</v>
      </c>
      <c r="J46" s="125">
        <f t="shared" ca="1" si="12"/>
        <v>-50.437736057122372</v>
      </c>
      <c r="K46" s="88">
        <f t="shared" si="12"/>
        <v>-126979</v>
      </c>
      <c r="L46" s="89">
        <f t="shared" si="12"/>
        <v>-4.5598091022925051E-2</v>
      </c>
      <c r="M46" s="21"/>
      <c r="N46"/>
      <c r="O46"/>
      <c r="P46"/>
      <c r="Q46"/>
      <c r="R46"/>
      <c r="S46"/>
      <c r="T46"/>
      <c r="U46"/>
      <c r="V46"/>
      <c r="W46"/>
      <c r="X46"/>
      <c r="Y46"/>
      <c r="Z46"/>
      <c r="AA46"/>
    </row>
    <row r="47" spans="1:27" ht="14.25" x14ac:dyDescent="0.2">
      <c r="B47" s="84"/>
      <c r="C47" s="85">
        <f>IFERROR(1-(C45/C44),0)</f>
        <v>0</v>
      </c>
      <c r="D47" s="85">
        <f t="shared" ref="D47:L47" si="13">IFERROR(1-(D45/D44),0)</f>
        <v>0</v>
      </c>
      <c r="E47" s="85">
        <f t="shared" si="13"/>
        <v>0</v>
      </c>
      <c r="F47" s="85">
        <f t="shared" si="13"/>
        <v>0</v>
      </c>
      <c r="G47" s="85">
        <f t="shared" si="13"/>
        <v>0</v>
      </c>
      <c r="H47" s="85">
        <f t="shared" si="13"/>
        <v>0</v>
      </c>
      <c r="I47" s="85">
        <f t="shared" ca="1" si="13"/>
        <v>-17.589912500000004</v>
      </c>
      <c r="J47" s="85">
        <f t="shared" ca="1" si="13"/>
        <v>0</v>
      </c>
      <c r="K47" s="85">
        <f t="shared" si="13"/>
        <v>0</v>
      </c>
      <c r="L47" s="85">
        <f t="shared" si="13"/>
        <v>0</v>
      </c>
      <c r="M47" s="21"/>
    </row>
    <row r="48" spans="1:27" ht="15.75" customHeight="1" x14ac:dyDescent="0.2"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</row>
    <row r="49" spans="1:27" ht="14.25" x14ac:dyDescent="0.2">
      <c r="B49" s="223" t="s">
        <v>189</v>
      </c>
      <c r="C49" s="223"/>
      <c r="D49" s="223"/>
      <c r="E49" s="84"/>
      <c r="F49" s="84"/>
      <c r="G49" s="84"/>
      <c r="H49" s="84"/>
      <c r="I49" s="84"/>
      <c r="J49" s="84"/>
      <c r="K49" s="84"/>
      <c r="L49" s="84"/>
      <c r="M49" s="21"/>
    </row>
    <row r="50" spans="1:27" ht="15" thickBot="1" x14ac:dyDescent="0.25">
      <c r="B50" s="77" t="s">
        <v>153</v>
      </c>
      <c r="C50" s="78" t="s">
        <v>75</v>
      </c>
      <c r="D50" s="78" t="s">
        <v>154</v>
      </c>
      <c r="E50" s="78" t="s">
        <v>77</v>
      </c>
      <c r="F50" s="78" t="s">
        <v>78</v>
      </c>
      <c r="G50" s="78" t="s">
        <v>79</v>
      </c>
      <c r="H50" s="78" t="s">
        <v>80</v>
      </c>
      <c r="I50" s="78" t="s">
        <v>81</v>
      </c>
      <c r="J50" s="78" t="s">
        <v>82</v>
      </c>
      <c r="K50" s="78" t="s">
        <v>40</v>
      </c>
      <c r="L50" s="78" t="s">
        <v>83</v>
      </c>
      <c r="M50" s="21"/>
      <c r="N50" s="78" t="s">
        <v>85</v>
      </c>
      <c r="O50" s="78" t="s">
        <v>155</v>
      </c>
      <c r="P50" s="78" t="s">
        <v>87</v>
      </c>
      <c r="Q50" s="78" t="s">
        <v>88</v>
      </c>
      <c r="R50" s="78" t="s">
        <v>89</v>
      </c>
      <c r="S50" s="78" t="s">
        <v>90</v>
      </c>
      <c r="T50" s="78" t="s">
        <v>91</v>
      </c>
      <c r="U50" s="78" t="s">
        <v>92</v>
      </c>
    </row>
    <row r="51" spans="1:27" ht="14.25" x14ac:dyDescent="0.2">
      <c r="B51" s="79" t="str">
        <f>B44</f>
        <v>SET/2023</v>
      </c>
      <c r="C51" s="80">
        <f>C44</f>
        <v>0</v>
      </c>
      <c r="D51" s="80">
        <f t="shared" ref="D51:U51" si="14">D44</f>
        <v>0</v>
      </c>
      <c r="E51" s="80">
        <f t="shared" si="14"/>
        <v>0</v>
      </c>
      <c r="F51" s="81">
        <f t="shared" si="14"/>
        <v>0</v>
      </c>
      <c r="G51" s="81">
        <f t="shared" si="14"/>
        <v>0</v>
      </c>
      <c r="H51" s="80" t="e">
        <f t="shared" si="14"/>
        <v>#DIV/0!</v>
      </c>
      <c r="I51" s="80">
        <f t="shared" ca="1" si="14"/>
        <v>1599.9999999999995</v>
      </c>
      <c r="J51" s="118">
        <f t="shared" ca="1" si="14"/>
        <v>0</v>
      </c>
      <c r="K51" s="81">
        <f t="shared" si="14"/>
        <v>0</v>
      </c>
      <c r="L51" s="82">
        <f t="shared" si="14"/>
        <v>0</v>
      </c>
      <c r="M51" s="21"/>
      <c r="N51" s="80">
        <f t="shared" si="14"/>
        <v>0</v>
      </c>
      <c r="O51" s="80">
        <f t="shared" si="14"/>
        <v>0</v>
      </c>
      <c r="P51" s="80">
        <f t="shared" si="14"/>
        <v>0</v>
      </c>
      <c r="Q51" s="80">
        <f t="shared" ca="1" si="14"/>
        <v>1599.9999999999995</v>
      </c>
      <c r="R51" s="80">
        <f t="shared" si="14"/>
        <v>0</v>
      </c>
      <c r="S51" s="80">
        <f t="shared" si="14"/>
        <v>0</v>
      </c>
      <c r="T51" s="80">
        <f t="shared" si="14"/>
        <v>0</v>
      </c>
      <c r="U51" s="80">
        <f t="shared" si="14"/>
        <v>0</v>
      </c>
    </row>
    <row r="52" spans="1:27" ht="14.25" x14ac:dyDescent="0.2">
      <c r="B52" s="138" t="str">
        <f>AGO!B51</f>
        <v>AGO/2023</v>
      </c>
      <c r="C52" s="134">
        <f>AGO!C51</f>
        <v>619848.76</v>
      </c>
      <c r="D52" s="134">
        <f>AGO!D51</f>
        <v>619655.94000000018</v>
      </c>
      <c r="E52" s="134">
        <f>AGO!E51</f>
        <v>192.82</v>
      </c>
      <c r="F52" s="135">
        <f>AGO!F51</f>
        <v>2352</v>
      </c>
      <c r="G52" s="135">
        <f>AGO!G51</f>
        <v>2863</v>
      </c>
      <c r="H52" s="134">
        <f>AGO!H51</f>
        <v>263.54113945578234</v>
      </c>
      <c r="I52" s="134">
        <f ca="1">AGO!I51</f>
        <v>12658.160000000009</v>
      </c>
      <c r="J52" s="136">
        <f ca="1">AGO!J51</f>
        <v>48.96831451016574</v>
      </c>
      <c r="K52" s="135">
        <f>AGO!K51</f>
        <v>0</v>
      </c>
      <c r="L52" s="137">
        <f>AGO!L51</f>
        <v>0</v>
      </c>
      <c r="M52" s="21"/>
      <c r="N52" s="134">
        <f>AGO!N51</f>
        <v>8321.18</v>
      </c>
      <c r="O52" s="134">
        <f>AGO!O51</f>
        <v>2569.8900000000003</v>
      </c>
      <c r="P52" s="134">
        <f>AGO!P51</f>
        <v>0</v>
      </c>
      <c r="Q52" s="134">
        <f ca="1">AGO!Q51</f>
        <v>1599.9999999999989</v>
      </c>
      <c r="R52" s="134">
        <f>AGO!R51</f>
        <v>13.950000000000001</v>
      </c>
      <c r="S52" s="134">
        <f>AGO!S51</f>
        <v>153.14000000000001</v>
      </c>
      <c r="T52" s="134">
        <f>AGO!T51</f>
        <v>0</v>
      </c>
      <c r="U52" s="134">
        <f>AGO!U51</f>
        <v>0</v>
      </c>
    </row>
    <row r="53" spans="1:27" ht="14.25" x14ac:dyDescent="0.2">
      <c r="B53" s="83"/>
      <c r="C53" s="87">
        <f t="shared" ref="C53:L53" si="15">C51-C52</f>
        <v>-619848.76</v>
      </c>
      <c r="D53" s="87">
        <f t="shared" si="15"/>
        <v>-619655.94000000018</v>
      </c>
      <c r="E53" s="87">
        <f t="shared" si="15"/>
        <v>-192.82</v>
      </c>
      <c r="F53" s="88">
        <f t="shared" si="15"/>
        <v>-2352</v>
      </c>
      <c r="G53" s="88">
        <f t="shared" si="15"/>
        <v>-2863</v>
      </c>
      <c r="H53" s="87" t="e">
        <f t="shared" si="15"/>
        <v>#DIV/0!</v>
      </c>
      <c r="I53" s="87">
        <f t="shared" ca="1" si="15"/>
        <v>-11058.160000000009</v>
      </c>
      <c r="J53" s="125">
        <f t="shared" ca="1" si="15"/>
        <v>-48.96831451016574</v>
      </c>
      <c r="K53" s="88">
        <f t="shared" si="15"/>
        <v>0</v>
      </c>
      <c r="L53" s="89">
        <f t="shared" si="15"/>
        <v>0</v>
      </c>
      <c r="M53" s="21"/>
    </row>
    <row r="54" spans="1:27" ht="14.25" x14ac:dyDescent="0.2">
      <c r="B54" s="84"/>
      <c r="C54" s="85">
        <f>IFERROR(1-(C52/C51),0)</f>
        <v>0</v>
      </c>
      <c r="D54" s="85">
        <f t="shared" ref="D54:L54" si="16">IFERROR(1-(D52/D51),0)</f>
        <v>0</v>
      </c>
      <c r="E54" s="85">
        <f t="shared" si="16"/>
        <v>0</v>
      </c>
      <c r="F54" s="85">
        <f t="shared" si="16"/>
        <v>0</v>
      </c>
      <c r="G54" s="85">
        <f t="shared" si="16"/>
        <v>0</v>
      </c>
      <c r="H54" s="85">
        <f t="shared" si="16"/>
        <v>0</v>
      </c>
      <c r="I54" s="85">
        <f t="shared" ca="1" si="16"/>
        <v>-6.9113500000000077</v>
      </c>
      <c r="J54" s="85">
        <f t="shared" ca="1" si="16"/>
        <v>0</v>
      </c>
      <c r="K54" s="85">
        <f t="shared" si="16"/>
        <v>0</v>
      </c>
      <c r="L54" s="85">
        <f t="shared" si="16"/>
        <v>0</v>
      </c>
      <c r="M54" s="21"/>
    </row>
    <row r="56" spans="1:27" ht="15.75" customHeight="1" x14ac:dyDescent="0.2">
      <c r="B56" s="84"/>
      <c r="C56" s="84"/>
      <c r="D56" s="84"/>
      <c r="E56" s="84"/>
      <c r="F56" s="84"/>
      <c r="G56" s="84"/>
      <c r="H56" s="84"/>
      <c r="I56" s="84"/>
      <c r="J56" s="84"/>
      <c r="K56" s="84"/>
    </row>
    <row r="57" spans="1:27" x14ac:dyDescent="0.2">
      <c r="B57" s="223" t="s">
        <v>191</v>
      </c>
      <c r="C57" s="223"/>
      <c r="D57" s="223"/>
      <c r="E57" s="84"/>
      <c r="F57" s="84"/>
      <c r="G57" s="84"/>
      <c r="H57" s="84"/>
      <c r="I57" s="84"/>
      <c r="J57" s="84"/>
      <c r="K57" s="84"/>
      <c r="L57" s="84"/>
      <c r="M57" s="150"/>
    </row>
    <row r="58" spans="1:27" ht="13.5" thickBot="1" x14ac:dyDescent="0.25">
      <c r="B58" s="77" t="s">
        <v>153</v>
      </c>
      <c r="C58" s="78" t="s">
        <v>75</v>
      </c>
      <c r="D58" s="78" t="s">
        <v>154</v>
      </c>
      <c r="E58" s="78" t="s">
        <v>77</v>
      </c>
      <c r="F58" s="78" t="s">
        <v>78</v>
      </c>
      <c r="G58" s="78" t="s">
        <v>79</v>
      </c>
      <c r="H58" s="78" t="s">
        <v>80</v>
      </c>
      <c r="I58" s="78" t="s">
        <v>81</v>
      </c>
      <c r="J58" s="78" t="s">
        <v>82</v>
      </c>
      <c r="K58" s="78" t="s">
        <v>40</v>
      </c>
      <c r="L58" s="78" t="s">
        <v>83</v>
      </c>
      <c r="M58" s="150"/>
      <c r="N58" s="78" t="s">
        <v>85</v>
      </c>
      <c r="O58" s="78" t="s">
        <v>155</v>
      </c>
      <c r="P58" s="78" t="s">
        <v>87</v>
      </c>
      <c r="Q58" s="78" t="s">
        <v>88</v>
      </c>
      <c r="R58" s="78" t="s">
        <v>89</v>
      </c>
      <c r="S58" s="78" t="s">
        <v>90</v>
      </c>
      <c r="T58" s="78" t="s">
        <v>91</v>
      </c>
      <c r="U58" s="78" t="s">
        <v>92</v>
      </c>
    </row>
    <row r="59" spans="1:27" x14ac:dyDescent="0.2">
      <c r="B59" s="79" t="str">
        <f>B52</f>
        <v>AGO/2023</v>
      </c>
      <c r="C59" s="80">
        <f>C44</f>
        <v>0</v>
      </c>
      <c r="D59" s="80">
        <f t="shared" ref="D59:L59" si="17">D51</f>
        <v>0</v>
      </c>
      <c r="E59" s="80">
        <f t="shared" si="17"/>
        <v>0</v>
      </c>
      <c r="F59" s="81">
        <f t="shared" si="17"/>
        <v>0</v>
      </c>
      <c r="G59" s="81">
        <f t="shared" si="17"/>
        <v>0</v>
      </c>
      <c r="H59" s="80" t="e">
        <f t="shared" si="17"/>
        <v>#DIV/0!</v>
      </c>
      <c r="I59" s="80">
        <f t="shared" ca="1" si="17"/>
        <v>1599.9999999999995</v>
      </c>
      <c r="J59" s="118">
        <f t="shared" ca="1" si="17"/>
        <v>0</v>
      </c>
      <c r="K59" s="81">
        <f t="shared" si="17"/>
        <v>0</v>
      </c>
      <c r="L59" s="82">
        <f t="shared" si="17"/>
        <v>0</v>
      </c>
      <c r="M59" s="150"/>
      <c r="N59" s="80">
        <f t="shared" ref="N59:U59" si="18">N51</f>
        <v>0</v>
      </c>
      <c r="O59" s="80">
        <f t="shared" si="18"/>
        <v>0</v>
      </c>
      <c r="P59" s="80">
        <f t="shared" si="18"/>
        <v>0</v>
      </c>
      <c r="Q59" s="80">
        <f t="shared" ca="1" si="18"/>
        <v>1599.9999999999995</v>
      </c>
      <c r="R59" s="80">
        <f t="shared" si="18"/>
        <v>0</v>
      </c>
      <c r="S59" s="80">
        <f t="shared" si="18"/>
        <v>0</v>
      </c>
      <c r="T59" s="80">
        <f t="shared" si="18"/>
        <v>0</v>
      </c>
      <c r="U59" s="80">
        <f t="shared" si="18"/>
        <v>0</v>
      </c>
    </row>
    <row r="60" spans="1:27" ht="14.25" x14ac:dyDescent="0.2">
      <c r="A60" s="128">
        <f ca="1">TODAY()</f>
        <v>45834</v>
      </c>
      <c r="B60" s="138" t="str">
        <f>B45</f>
        <v>SET/2022</v>
      </c>
      <c r="C60" s="134">
        <f ca="1">SUMIF($A$64:$A$93,"Realizado",C64:C93)</f>
        <v>1500212.96</v>
      </c>
      <c r="D60" s="134">
        <f ca="1">SUMIF($A$64:$A$93,"Realizado",D64:D93)</f>
        <v>1500070.37</v>
      </c>
      <c r="E60" s="134">
        <f ca="1">SUMIF($A$64:$A$93,"Realizado",E64:E93)</f>
        <v>142.59</v>
      </c>
      <c r="F60" s="135">
        <f ca="1">SUMIF($A$64:$A$93,"Realizado",F64:F93)</f>
        <v>5790</v>
      </c>
      <c r="G60" s="135">
        <f ca="1">SUMIF($A$64:$A$93,"Realizado",G64:G93)</f>
        <v>8221</v>
      </c>
      <c r="H60" s="134">
        <f ca="1">C60/F60</f>
        <v>259.10413816925734</v>
      </c>
      <c r="I60" s="134">
        <f ca="1">SUMIF($A$64:$A$93,"Realizado",I64:I93)</f>
        <v>29743.86</v>
      </c>
      <c r="J60" s="136">
        <f ca="1">C60/I60</f>
        <v>50.437736057122372</v>
      </c>
      <c r="K60" s="135">
        <f>SUM(K64:K88)</f>
        <v>104577</v>
      </c>
      <c r="L60" s="137">
        <f ca="1">F60/K60</f>
        <v>5.5365902636334952E-2</v>
      </c>
      <c r="M60" s="21"/>
      <c r="N60" s="134">
        <f t="shared" ref="N60:S60" si="19">SUM(N64:N88)</f>
        <v>17333.060000000001</v>
      </c>
      <c r="O60" s="134">
        <f t="shared" si="19"/>
        <v>6329.2400000000007</v>
      </c>
      <c r="P60" s="134">
        <f t="shared" si="19"/>
        <v>0</v>
      </c>
      <c r="Q60" s="134">
        <f t="shared" si="19"/>
        <v>1333.3333333333333</v>
      </c>
      <c r="R60" s="134">
        <f t="shared" si="19"/>
        <v>0</v>
      </c>
      <c r="S60" s="134">
        <f t="shared" si="19"/>
        <v>0</v>
      </c>
      <c r="T60" s="134">
        <f>JUN!T59</f>
        <v>0</v>
      </c>
      <c r="U60" s="134">
        <f>JUN!U59</f>
        <v>0</v>
      </c>
    </row>
    <row r="61" spans="1:27" x14ac:dyDescent="0.2">
      <c r="B61" s="83"/>
      <c r="C61" s="87">
        <f t="shared" ref="C61:L61" ca="1" si="20">C59-C60</f>
        <v>-1500212.96</v>
      </c>
      <c r="D61" s="87">
        <f t="shared" ca="1" si="20"/>
        <v>-1500070.37</v>
      </c>
      <c r="E61" s="87">
        <f t="shared" ca="1" si="20"/>
        <v>-142.59</v>
      </c>
      <c r="F61" s="88">
        <f t="shared" ca="1" si="20"/>
        <v>-5790</v>
      </c>
      <c r="G61" s="88">
        <f t="shared" ca="1" si="20"/>
        <v>-8221</v>
      </c>
      <c r="H61" s="87" t="e">
        <f t="shared" ca="1" si="20"/>
        <v>#DIV/0!</v>
      </c>
      <c r="I61" s="87">
        <f t="shared" ca="1" si="20"/>
        <v>-28143.86</v>
      </c>
      <c r="J61" s="125">
        <f t="shared" ca="1" si="20"/>
        <v>-50.437736057122372</v>
      </c>
      <c r="K61" s="88">
        <f t="shared" si="20"/>
        <v>-104577</v>
      </c>
      <c r="L61" s="89">
        <f t="shared" ca="1" si="20"/>
        <v>-5.5365902636334952E-2</v>
      </c>
      <c r="M61" s="150"/>
    </row>
    <row r="62" spans="1:27" x14ac:dyDescent="0.2">
      <c r="B62" s="84"/>
      <c r="C62" s="85">
        <f ca="1">IFERROR(1-(C60/C59),0)</f>
        <v>0</v>
      </c>
      <c r="D62" s="85">
        <f t="shared" ref="D62:L62" ca="1" si="21">IFERROR(1-(D60/D59),0)</f>
        <v>0</v>
      </c>
      <c r="E62" s="85">
        <f t="shared" ca="1" si="21"/>
        <v>0</v>
      </c>
      <c r="F62" s="85">
        <f t="shared" ca="1" si="21"/>
        <v>0</v>
      </c>
      <c r="G62" s="85">
        <f t="shared" ca="1" si="21"/>
        <v>0</v>
      </c>
      <c r="H62" s="85">
        <f t="shared" ca="1" si="21"/>
        <v>0</v>
      </c>
      <c r="I62" s="85">
        <f t="shared" ca="1" si="21"/>
        <v>-17.589912500000004</v>
      </c>
      <c r="J62" s="85">
        <f t="shared" ca="1" si="21"/>
        <v>0</v>
      </c>
      <c r="K62" s="85">
        <f t="shared" si="21"/>
        <v>0</v>
      </c>
      <c r="L62" s="85">
        <f t="shared" ca="1" si="21"/>
        <v>0</v>
      </c>
      <c r="M62" s="150"/>
    </row>
    <row r="63" spans="1:27" x14ac:dyDescent="0.2">
      <c r="A63" s="180">
        <f ca="1">TODAY()</f>
        <v>45834</v>
      </c>
      <c r="B63" s="201"/>
    </row>
    <row r="64" spans="1:27" hidden="1" x14ac:dyDescent="0.2">
      <c r="A64" s="17" t="str">
        <f t="shared" ref="A64:A68" ca="1" si="22">IF($A$63&lt;=AA64,"Previsto","Realizado")</f>
        <v>Realizado</v>
      </c>
      <c r="B64" s="17">
        <v>44805</v>
      </c>
      <c r="C64" s="19">
        <f t="shared" ref="C64:C94" si="23">D64+E64</f>
        <v>78671.47</v>
      </c>
      <c r="D64" s="35">
        <f>_xlfn.XLOOKUP($B:$B,'Compilado 2023'!$B:$B,'Compilado 2023'!D:D)</f>
        <v>78671.47</v>
      </c>
      <c r="E64" s="35">
        <f>_xlfn.XLOOKUP($B:$B,'Compilado 2023'!$B:$B,'Compilado 2023'!E:E)</f>
        <v>0</v>
      </c>
      <c r="F64" s="18">
        <f>_xlfn.XLOOKUP($B:$B,'Compilado 2023'!$B:$B,'Compilado 2023'!F:F)</f>
        <v>342</v>
      </c>
      <c r="G64" s="18">
        <f>_xlfn.XLOOKUP($B:$B,'Compilado 2023'!$B:$B,'Compilado 2023'!G:G)</f>
        <v>516</v>
      </c>
      <c r="H64" s="35">
        <f t="shared" ref="H64:H94" si="24">IFERROR(C64/F64,0)</f>
        <v>230.0335380116959</v>
      </c>
      <c r="I64" s="19">
        <f t="shared" ref="I64:I94" si="25">SUM(N64:U64)</f>
        <v>874.00333333333333</v>
      </c>
      <c r="J64" s="122">
        <f t="shared" ref="J64:J94" si="26">IF(I64&gt;0,C64/I64,0)</f>
        <v>90.012780271623683</v>
      </c>
      <c r="K64" s="18">
        <f>_xlfn.XLOOKUP($B:$B,'Compilado 2023'!$B:$B,'Compilado 2023'!K:K)</f>
        <v>4990</v>
      </c>
      <c r="L64" s="54">
        <f t="shared" ref="L64:L94" si="27">IFERROR(F64/K64,0)</f>
        <v>6.8537074148296587E-2</v>
      </c>
      <c r="M64" s="149"/>
      <c r="N64" s="106">
        <f>_xlfn.XLOOKUP($B:$B,'Compilado 2023'!$B:$B,'Compilado 2023'!N:N)</f>
        <v>583.75</v>
      </c>
      <c r="O64" s="106">
        <f>_xlfn.XLOOKUP($B:$B,'Compilado 2023'!$B:$B,'Compilado 2023'!O:O)</f>
        <v>236.92</v>
      </c>
      <c r="P64" s="106">
        <f>_xlfn.XLOOKUP($B:$B,'Compilado 2023'!$B:$B,'Compilado 2023'!P:P)</f>
        <v>0</v>
      </c>
      <c r="Q64" s="106">
        <f>_xlfn.XLOOKUP($B:$B,'Compilado 2023'!$B:$B,'Compilado 2023'!Q:Q)</f>
        <v>53.333333333333336</v>
      </c>
      <c r="R64" s="106">
        <f>_xlfn.XLOOKUP($B:$B,'Compilado 2023'!$B:$B,'Compilado 2023'!R:R)</f>
        <v>0</v>
      </c>
      <c r="S64" s="106">
        <f>_xlfn.XLOOKUP($B:$B,'Compilado 2023'!$B:$B,'Compilado 2023'!T:T)</f>
        <v>0</v>
      </c>
      <c r="T64" s="106">
        <f>_xlfn.XLOOKUP($B:$B,'Compilado 2023'!$B:$B,'Compilado 2023'!U:U)</f>
        <v>0</v>
      </c>
      <c r="U64" s="106">
        <f>_xlfn.XLOOKUP($B:$B,'Compilado 2023'!$B:$B,'Compilado 2023'!V:V)</f>
        <v>0</v>
      </c>
      <c r="V64" s="57"/>
      <c r="W64" s="106">
        <f>_xlfn.XLOOKUP($B:$B,'Compilado 2023'!$B:$B,'Compilado 2023'!X:X)</f>
        <v>0</v>
      </c>
      <c r="X64" s="106">
        <f>_xlfn.XLOOKUP($B:$B,'Compilado 2023'!$B:$B,'Compilado 2023'!Y:Y)</f>
        <v>0</v>
      </c>
      <c r="Y64" s="106">
        <f>_xlfn.XLOOKUP($B:$B,'Compilado 2023'!$B:$B,'Compilado 2023'!Z:Z)</f>
        <v>0</v>
      </c>
      <c r="AA64" s="208">
        <v>45108</v>
      </c>
    </row>
    <row r="65" spans="1:27" hidden="1" x14ac:dyDescent="0.2">
      <c r="A65" s="17" t="str">
        <f t="shared" ca="1" si="22"/>
        <v>Realizado</v>
      </c>
      <c r="B65" s="17">
        <v>44806</v>
      </c>
      <c r="C65" s="19">
        <f t="shared" si="23"/>
        <v>64168.27</v>
      </c>
      <c r="D65" s="35">
        <f>_xlfn.XLOOKUP($B:$B,'Compilado 2023'!$B:$B,'Compilado 2023'!D:D)</f>
        <v>64168.27</v>
      </c>
      <c r="E65" s="35">
        <f>_xlfn.XLOOKUP($B:$B,'Compilado 2023'!$B:$B,'Compilado 2023'!E:E)</f>
        <v>0</v>
      </c>
      <c r="F65" s="18">
        <f>_xlfn.XLOOKUP($B:$B,'Compilado 2023'!$B:$B,'Compilado 2023'!F:F)</f>
        <v>270</v>
      </c>
      <c r="G65" s="18">
        <f>_xlfn.XLOOKUP($B:$B,'Compilado 2023'!$B:$B,'Compilado 2023'!G:G)</f>
        <v>412</v>
      </c>
      <c r="H65" s="35">
        <f t="shared" si="24"/>
        <v>237.66025925925925</v>
      </c>
      <c r="I65" s="19">
        <f t="shared" si="25"/>
        <v>949.99333333333345</v>
      </c>
      <c r="J65" s="122">
        <f t="shared" si="26"/>
        <v>67.546021375588595</v>
      </c>
      <c r="K65" s="18">
        <f>_xlfn.XLOOKUP($B:$B,'Compilado 2023'!$B:$B,'Compilado 2023'!K:K)</f>
        <v>4768</v>
      </c>
      <c r="L65" s="54">
        <f t="shared" si="27"/>
        <v>5.6627516778523491E-2</v>
      </c>
      <c r="M65" s="149"/>
      <c r="N65" s="106">
        <f>_xlfn.XLOOKUP($B:$B,'Compilado 2023'!$B:$B,'Compilado 2023'!N:N)</f>
        <v>643.44000000000005</v>
      </c>
      <c r="O65" s="106">
        <f>_xlfn.XLOOKUP($B:$B,'Compilado 2023'!$B:$B,'Compilado 2023'!O:O)</f>
        <v>253.22</v>
      </c>
      <c r="P65" s="106">
        <f>_xlfn.XLOOKUP($B:$B,'Compilado 2023'!$B:$B,'Compilado 2023'!P:P)</f>
        <v>0</v>
      </c>
      <c r="Q65" s="106">
        <f>_xlfn.XLOOKUP($B:$B,'Compilado 2023'!$B:$B,'Compilado 2023'!Q:Q)</f>
        <v>53.333333333333336</v>
      </c>
      <c r="R65" s="106">
        <f>_xlfn.XLOOKUP($B:$B,'Compilado 2023'!$B:$B,'Compilado 2023'!R:R)</f>
        <v>0</v>
      </c>
      <c r="S65" s="106">
        <f>_xlfn.XLOOKUP($B:$B,'Compilado 2023'!$B:$B,'Compilado 2023'!T:T)</f>
        <v>0</v>
      </c>
      <c r="T65" s="106">
        <f>_xlfn.XLOOKUP($B:$B,'Compilado 2023'!$B:$B,'Compilado 2023'!U:U)</f>
        <v>0</v>
      </c>
      <c r="U65" s="106">
        <f>_xlfn.XLOOKUP($B:$B,'Compilado 2023'!$B:$B,'Compilado 2023'!V:V)</f>
        <v>0</v>
      </c>
      <c r="V65" s="57"/>
      <c r="W65" s="106">
        <f>_xlfn.XLOOKUP($B:$B,'Compilado 2023'!$B:$B,'Compilado 2023'!X:X)</f>
        <v>0</v>
      </c>
      <c r="X65" s="106">
        <f>_xlfn.XLOOKUP($B:$B,'Compilado 2023'!$B:$B,'Compilado 2023'!Y:Y)</f>
        <v>0</v>
      </c>
      <c r="Y65" s="106">
        <f>_xlfn.XLOOKUP($B:$B,'Compilado 2023'!$B:$B,'Compilado 2023'!Z:Z)</f>
        <v>0</v>
      </c>
      <c r="AA65" s="208">
        <v>45109</v>
      </c>
    </row>
    <row r="66" spans="1:27" hidden="1" x14ac:dyDescent="0.2">
      <c r="A66" s="17" t="str">
        <f t="shared" ca="1" si="22"/>
        <v>Realizado</v>
      </c>
      <c r="B66" s="17">
        <v>44807</v>
      </c>
      <c r="C66" s="19">
        <f t="shared" si="23"/>
        <v>39457.31</v>
      </c>
      <c r="D66" s="35">
        <f>_xlfn.XLOOKUP($B:$B,'Compilado 2023'!$B:$B,'Compilado 2023'!D:D)</f>
        <v>39457.31</v>
      </c>
      <c r="E66" s="35">
        <f>_xlfn.XLOOKUP($B:$B,'Compilado 2023'!$B:$B,'Compilado 2023'!E:E)</f>
        <v>0</v>
      </c>
      <c r="F66" s="18">
        <f>_xlfn.XLOOKUP($B:$B,'Compilado 2023'!$B:$B,'Compilado 2023'!F:F)</f>
        <v>192</v>
      </c>
      <c r="G66" s="18">
        <f>_xlfn.XLOOKUP($B:$B,'Compilado 2023'!$B:$B,'Compilado 2023'!G:G)</f>
        <v>283</v>
      </c>
      <c r="H66" s="35">
        <f t="shared" si="24"/>
        <v>205.50682291666666</v>
      </c>
      <c r="I66" s="19">
        <f t="shared" si="25"/>
        <v>885.09333333333336</v>
      </c>
      <c r="J66" s="122">
        <f t="shared" si="26"/>
        <v>44.57982962248802</v>
      </c>
      <c r="K66" s="18">
        <f>_xlfn.XLOOKUP($B:$B,'Compilado 2023'!$B:$B,'Compilado 2023'!K:K)</f>
        <v>3716</v>
      </c>
      <c r="L66" s="54">
        <f t="shared" si="27"/>
        <v>5.1668460710441337E-2</v>
      </c>
      <c r="M66" s="149"/>
      <c r="N66" s="106">
        <f>_xlfn.XLOOKUP($B:$B,'Compilado 2023'!$B:$B,'Compilado 2023'!N:N)</f>
        <v>556.98</v>
      </c>
      <c r="O66" s="106">
        <f>_xlfn.XLOOKUP($B:$B,'Compilado 2023'!$B:$B,'Compilado 2023'!O:O)</f>
        <v>274.77999999999997</v>
      </c>
      <c r="P66" s="106">
        <f>_xlfn.XLOOKUP($B:$B,'Compilado 2023'!$B:$B,'Compilado 2023'!P:P)</f>
        <v>0</v>
      </c>
      <c r="Q66" s="106">
        <f>_xlfn.XLOOKUP($B:$B,'Compilado 2023'!$B:$B,'Compilado 2023'!Q:Q)</f>
        <v>53.333333333333336</v>
      </c>
      <c r="R66" s="106">
        <f>_xlfn.XLOOKUP($B:$B,'Compilado 2023'!$B:$B,'Compilado 2023'!R:R)</f>
        <v>0</v>
      </c>
      <c r="S66" s="106">
        <f>_xlfn.XLOOKUP($B:$B,'Compilado 2023'!$B:$B,'Compilado 2023'!T:T)</f>
        <v>0</v>
      </c>
      <c r="T66" s="106">
        <f>_xlfn.XLOOKUP($B:$B,'Compilado 2023'!$B:$B,'Compilado 2023'!U:U)</f>
        <v>0</v>
      </c>
      <c r="U66" s="106">
        <f>_xlfn.XLOOKUP($B:$B,'Compilado 2023'!$B:$B,'Compilado 2023'!V:V)</f>
        <v>0</v>
      </c>
      <c r="V66" s="57"/>
      <c r="W66" s="106">
        <f>_xlfn.XLOOKUP($B:$B,'Compilado 2023'!$B:$B,'Compilado 2023'!X:X)</f>
        <v>0</v>
      </c>
      <c r="X66" s="106">
        <f>_xlfn.XLOOKUP($B:$B,'Compilado 2023'!$B:$B,'Compilado 2023'!Y:Y)</f>
        <v>0</v>
      </c>
      <c r="Y66" s="106">
        <f>_xlfn.XLOOKUP($B:$B,'Compilado 2023'!$B:$B,'Compilado 2023'!Z:Z)</f>
        <v>0</v>
      </c>
      <c r="AA66" s="208">
        <v>45110</v>
      </c>
    </row>
    <row r="67" spans="1:27" hidden="1" x14ac:dyDescent="0.2">
      <c r="A67" s="17" t="str">
        <f t="shared" ca="1" si="22"/>
        <v>Realizado</v>
      </c>
      <c r="B67" s="17">
        <v>44808</v>
      </c>
      <c r="C67" s="19">
        <f t="shared" si="23"/>
        <v>43705.19</v>
      </c>
      <c r="D67" s="35">
        <f>_xlfn.XLOOKUP($B:$B,'Compilado 2023'!$B:$B,'Compilado 2023'!D:D)</f>
        <v>43705.19</v>
      </c>
      <c r="E67" s="35">
        <f>_xlfn.XLOOKUP($B:$B,'Compilado 2023'!$B:$B,'Compilado 2023'!E:E)</f>
        <v>0</v>
      </c>
      <c r="F67" s="18">
        <f>_xlfn.XLOOKUP($B:$B,'Compilado 2023'!$B:$B,'Compilado 2023'!F:F)</f>
        <v>198</v>
      </c>
      <c r="G67" s="18">
        <f>_xlfn.XLOOKUP($B:$B,'Compilado 2023'!$B:$B,'Compilado 2023'!G:G)</f>
        <v>296</v>
      </c>
      <c r="H67" s="35">
        <f t="shared" si="24"/>
        <v>220.73328282828285</v>
      </c>
      <c r="I67" s="19">
        <f t="shared" si="25"/>
        <v>842.18333333333339</v>
      </c>
      <c r="J67" s="122">
        <f t="shared" si="26"/>
        <v>51.895102016583877</v>
      </c>
      <c r="K67" s="18">
        <f>_xlfn.XLOOKUP($B:$B,'Compilado 2023'!$B:$B,'Compilado 2023'!K:K)</f>
        <v>3251</v>
      </c>
      <c r="L67" s="54">
        <f t="shared" si="27"/>
        <v>6.0904337127037834E-2</v>
      </c>
      <c r="M67" s="149"/>
      <c r="N67" s="106">
        <f>_xlfn.XLOOKUP($B:$B,'Compilado 2023'!$B:$B,'Compilado 2023'!N:N)</f>
        <v>498.47</v>
      </c>
      <c r="O67" s="106">
        <f>_xlfn.XLOOKUP($B:$B,'Compilado 2023'!$B:$B,'Compilado 2023'!O:O)</f>
        <v>290.38</v>
      </c>
      <c r="P67" s="106">
        <f>_xlfn.XLOOKUP($B:$B,'Compilado 2023'!$B:$B,'Compilado 2023'!P:P)</f>
        <v>0</v>
      </c>
      <c r="Q67" s="106">
        <f>_xlfn.XLOOKUP($B:$B,'Compilado 2023'!$B:$B,'Compilado 2023'!Q:Q)</f>
        <v>53.333333333333336</v>
      </c>
      <c r="R67" s="106">
        <f>_xlfn.XLOOKUP($B:$B,'Compilado 2023'!$B:$B,'Compilado 2023'!R:R)</f>
        <v>0</v>
      </c>
      <c r="S67" s="106">
        <f>_xlfn.XLOOKUP($B:$B,'Compilado 2023'!$B:$B,'Compilado 2023'!T:T)</f>
        <v>0</v>
      </c>
      <c r="T67" s="106">
        <f>_xlfn.XLOOKUP($B:$B,'Compilado 2023'!$B:$B,'Compilado 2023'!U:U)</f>
        <v>0</v>
      </c>
      <c r="U67" s="106">
        <f>_xlfn.XLOOKUP($B:$B,'Compilado 2023'!$B:$B,'Compilado 2023'!V:V)</f>
        <v>0</v>
      </c>
      <c r="V67" s="57"/>
      <c r="W67" s="106">
        <f>_xlfn.XLOOKUP($B:$B,'Compilado 2023'!$B:$B,'Compilado 2023'!X:X)</f>
        <v>0</v>
      </c>
      <c r="X67" s="106">
        <f>_xlfn.XLOOKUP($B:$B,'Compilado 2023'!$B:$B,'Compilado 2023'!Y:Y)</f>
        <v>0</v>
      </c>
      <c r="Y67" s="106">
        <f>_xlfn.XLOOKUP($B:$B,'Compilado 2023'!$B:$B,'Compilado 2023'!Z:Z)</f>
        <v>0</v>
      </c>
      <c r="AA67" s="208">
        <v>45111</v>
      </c>
    </row>
    <row r="68" spans="1:27" hidden="1" x14ac:dyDescent="0.2">
      <c r="A68" s="17" t="str">
        <f t="shared" ca="1" si="22"/>
        <v>Realizado</v>
      </c>
      <c r="B68" s="17">
        <v>44809</v>
      </c>
      <c r="C68" s="19">
        <f t="shared" si="23"/>
        <v>59206.32</v>
      </c>
      <c r="D68" s="35">
        <f>_xlfn.XLOOKUP($B:$B,'Compilado 2023'!$B:$B,'Compilado 2023'!D:D)</f>
        <v>59206.32</v>
      </c>
      <c r="E68" s="35">
        <f>_xlfn.XLOOKUP($B:$B,'Compilado 2023'!$B:$B,'Compilado 2023'!E:E)</f>
        <v>0</v>
      </c>
      <c r="F68" s="18">
        <f>_xlfn.XLOOKUP($B:$B,'Compilado 2023'!$B:$B,'Compilado 2023'!F:F)</f>
        <v>230</v>
      </c>
      <c r="G68" s="18">
        <f>_xlfn.XLOOKUP($B:$B,'Compilado 2023'!$B:$B,'Compilado 2023'!G:G)</f>
        <v>343</v>
      </c>
      <c r="H68" s="35">
        <f t="shared" si="24"/>
        <v>257.41878260869566</v>
      </c>
      <c r="I68" s="19">
        <f t="shared" si="25"/>
        <v>987.85333333333335</v>
      </c>
      <c r="J68" s="122">
        <f t="shared" si="26"/>
        <v>59.934322234069832</v>
      </c>
      <c r="K68" s="18">
        <f>_xlfn.XLOOKUP($B:$B,'Compilado 2023'!$B:$B,'Compilado 2023'!K:K)</f>
        <v>4471</v>
      </c>
      <c r="L68" s="54">
        <f t="shared" si="27"/>
        <v>5.1442630284052784E-2</v>
      </c>
      <c r="M68" s="149"/>
      <c r="N68" s="106">
        <f>_xlfn.XLOOKUP($B:$B,'Compilado 2023'!$B:$B,'Compilado 2023'!N:N)</f>
        <v>703.43</v>
      </c>
      <c r="O68" s="106">
        <f>_xlfn.XLOOKUP($B:$B,'Compilado 2023'!$B:$B,'Compilado 2023'!O:O)</f>
        <v>231.09</v>
      </c>
      <c r="P68" s="106">
        <f>_xlfn.XLOOKUP($B:$B,'Compilado 2023'!$B:$B,'Compilado 2023'!P:P)</f>
        <v>0</v>
      </c>
      <c r="Q68" s="106">
        <f>_xlfn.XLOOKUP($B:$B,'Compilado 2023'!$B:$B,'Compilado 2023'!Q:Q)</f>
        <v>53.333333333333336</v>
      </c>
      <c r="R68" s="106">
        <f>_xlfn.XLOOKUP($B:$B,'Compilado 2023'!$B:$B,'Compilado 2023'!R:R)</f>
        <v>0</v>
      </c>
      <c r="S68" s="106">
        <f>_xlfn.XLOOKUP($B:$B,'Compilado 2023'!$B:$B,'Compilado 2023'!T:T)</f>
        <v>0</v>
      </c>
      <c r="T68" s="106">
        <f>_xlfn.XLOOKUP($B:$B,'Compilado 2023'!$B:$B,'Compilado 2023'!U:U)</f>
        <v>0</v>
      </c>
      <c r="U68" s="106">
        <f>_xlfn.XLOOKUP($B:$B,'Compilado 2023'!$B:$B,'Compilado 2023'!V:V)</f>
        <v>0</v>
      </c>
      <c r="V68" s="57"/>
      <c r="W68" s="106">
        <f>_xlfn.XLOOKUP($B:$B,'Compilado 2023'!$B:$B,'Compilado 2023'!X:X)</f>
        <v>0</v>
      </c>
      <c r="X68" s="106">
        <f>_xlfn.XLOOKUP($B:$B,'Compilado 2023'!$B:$B,'Compilado 2023'!Y:Y)</f>
        <v>0</v>
      </c>
      <c r="Y68" s="106">
        <f>_xlfn.XLOOKUP($B:$B,'Compilado 2023'!$B:$B,'Compilado 2023'!Z:Z)</f>
        <v>0</v>
      </c>
      <c r="AA68" s="208">
        <v>45112</v>
      </c>
    </row>
    <row r="69" spans="1:27" hidden="1" x14ac:dyDescent="0.2">
      <c r="A69" s="17" t="str">
        <f ca="1">IF($A$63&lt;=AA69,"Previsto","Realizado")</f>
        <v>Realizado</v>
      </c>
      <c r="B69" s="17">
        <v>44810</v>
      </c>
      <c r="C69" s="19">
        <f t="shared" si="23"/>
        <v>53971.99</v>
      </c>
      <c r="D69" s="35">
        <f>_xlfn.XLOOKUP($B:$B,'Compilado 2023'!$B:$B,'Compilado 2023'!D:D)</f>
        <v>53971.99</v>
      </c>
      <c r="E69" s="35">
        <f>_xlfn.XLOOKUP($B:$B,'Compilado 2023'!$B:$B,'Compilado 2023'!E:E)</f>
        <v>0</v>
      </c>
      <c r="F69" s="18">
        <f>_xlfn.XLOOKUP($B:$B,'Compilado 2023'!$B:$B,'Compilado 2023'!F:F)</f>
        <v>254</v>
      </c>
      <c r="G69" s="18">
        <f>_xlfn.XLOOKUP($B:$B,'Compilado 2023'!$B:$B,'Compilado 2023'!G:G)</f>
        <v>375</v>
      </c>
      <c r="H69" s="35">
        <f t="shared" si="24"/>
        <v>212.4881496062992</v>
      </c>
      <c r="I69" s="19">
        <f t="shared" si="25"/>
        <v>867.48333333333335</v>
      </c>
      <c r="J69" s="122">
        <f t="shared" si="26"/>
        <v>62.216745758804201</v>
      </c>
      <c r="K69" s="18">
        <f>_xlfn.XLOOKUP($B:$B,'Compilado 2023'!$B:$B,'Compilado 2023'!K:K)</f>
        <v>4205</v>
      </c>
      <c r="L69" s="54">
        <f t="shared" si="27"/>
        <v>6.0404280618311532E-2</v>
      </c>
      <c r="M69" s="149"/>
      <c r="N69" s="106">
        <f>_xlfn.XLOOKUP($B:$B,'Compilado 2023'!$B:$B,'Compilado 2023'!N:N)</f>
        <v>592.53</v>
      </c>
      <c r="O69" s="106">
        <f>_xlfn.XLOOKUP($B:$B,'Compilado 2023'!$B:$B,'Compilado 2023'!O:O)</f>
        <v>221.62</v>
      </c>
      <c r="P69" s="106">
        <f>_xlfn.XLOOKUP($B:$B,'Compilado 2023'!$B:$B,'Compilado 2023'!P:P)</f>
        <v>0</v>
      </c>
      <c r="Q69" s="106">
        <f>_xlfn.XLOOKUP($B:$B,'Compilado 2023'!$B:$B,'Compilado 2023'!Q:Q)</f>
        <v>53.333333333333336</v>
      </c>
      <c r="R69" s="106">
        <f>_xlfn.XLOOKUP($B:$B,'Compilado 2023'!$B:$B,'Compilado 2023'!R:R)</f>
        <v>0</v>
      </c>
      <c r="S69" s="106">
        <f>_xlfn.XLOOKUP($B:$B,'Compilado 2023'!$B:$B,'Compilado 2023'!T:T)</f>
        <v>0</v>
      </c>
      <c r="T69" s="106">
        <f>_xlfn.XLOOKUP($B:$B,'Compilado 2023'!$B:$B,'Compilado 2023'!U:U)</f>
        <v>0</v>
      </c>
      <c r="U69" s="106">
        <f>_xlfn.XLOOKUP($B:$B,'Compilado 2023'!$B:$B,'Compilado 2023'!V:V)</f>
        <v>0</v>
      </c>
      <c r="V69" s="57"/>
      <c r="W69" s="106">
        <f>_xlfn.XLOOKUP($B:$B,'Compilado 2023'!$B:$B,'Compilado 2023'!X:X)</f>
        <v>0</v>
      </c>
      <c r="X69" s="106">
        <f>_xlfn.XLOOKUP($B:$B,'Compilado 2023'!$B:$B,'Compilado 2023'!Y:Y)</f>
        <v>0</v>
      </c>
      <c r="Y69" s="106">
        <f>_xlfn.XLOOKUP($B:$B,'Compilado 2023'!$B:$B,'Compilado 2023'!Z:Z)</f>
        <v>0</v>
      </c>
      <c r="AA69" s="208">
        <v>45113</v>
      </c>
    </row>
    <row r="70" spans="1:27" hidden="1" x14ac:dyDescent="0.2">
      <c r="A70" s="17" t="str">
        <f t="shared" ref="A70:A94" ca="1" si="28">IF($A$63&lt;=AA70,"Previsto","Realizado")</f>
        <v>Realizado</v>
      </c>
      <c r="B70" s="17">
        <v>44811</v>
      </c>
      <c r="C70" s="19">
        <f t="shared" si="23"/>
        <v>28432.95</v>
      </c>
      <c r="D70" s="35">
        <f>_xlfn.XLOOKUP($B:$B,'Compilado 2023'!$B:$B,'Compilado 2023'!D:D)</f>
        <v>28432.95</v>
      </c>
      <c r="E70" s="35">
        <f>_xlfn.XLOOKUP($B:$B,'Compilado 2023'!$B:$B,'Compilado 2023'!E:E)</f>
        <v>0</v>
      </c>
      <c r="F70" s="18">
        <f>_xlfn.XLOOKUP($B:$B,'Compilado 2023'!$B:$B,'Compilado 2023'!F:F)</f>
        <v>121</v>
      </c>
      <c r="G70" s="18">
        <f>_xlfn.XLOOKUP($B:$B,'Compilado 2023'!$B:$B,'Compilado 2023'!G:G)</f>
        <v>164</v>
      </c>
      <c r="H70" s="35">
        <f t="shared" si="24"/>
        <v>234.98305785123966</v>
      </c>
      <c r="I70" s="19">
        <f t="shared" si="25"/>
        <v>778.93333333333339</v>
      </c>
      <c r="J70" s="122">
        <f t="shared" si="26"/>
        <v>36.502417836357409</v>
      </c>
      <c r="K70" s="18">
        <f>_xlfn.XLOOKUP($B:$B,'Compilado 2023'!$B:$B,'Compilado 2023'!K:K)</f>
        <v>3079</v>
      </c>
      <c r="L70" s="54">
        <f t="shared" si="27"/>
        <v>3.9298473530367001E-2</v>
      </c>
      <c r="M70" s="149"/>
      <c r="N70" s="106">
        <f>_xlfn.XLOOKUP($B:$B,'Compilado 2023'!$B:$B,'Compilado 2023'!N:N)</f>
        <v>559.94000000000005</v>
      </c>
      <c r="O70" s="106">
        <f>_xlfn.XLOOKUP($B:$B,'Compilado 2023'!$B:$B,'Compilado 2023'!O:O)</f>
        <v>165.66</v>
      </c>
      <c r="P70" s="106">
        <f>_xlfn.XLOOKUP($B:$B,'Compilado 2023'!$B:$B,'Compilado 2023'!P:P)</f>
        <v>0</v>
      </c>
      <c r="Q70" s="106">
        <f>_xlfn.XLOOKUP($B:$B,'Compilado 2023'!$B:$B,'Compilado 2023'!Q:Q)</f>
        <v>53.333333333333336</v>
      </c>
      <c r="R70" s="106">
        <f>_xlfn.XLOOKUP($B:$B,'Compilado 2023'!$B:$B,'Compilado 2023'!R:R)</f>
        <v>0</v>
      </c>
      <c r="S70" s="106">
        <f>_xlfn.XLOOKUP($B:$B,'Compilado 2023'!$B:$B,'Compilado 2023'!T:T)</f>
        <v>0</v>
      </c>
      <c r="T70" s="106">
        <f>_xlfn.XLOOKUP($B:$B,'Compilado 2023'!$B:$B,'Compilado 2023'!U:U)</f>
        <v>0</v>
      </c>
      <c r="U70" s="106">
        <f>_xlfn.XLOOKUP($B:$B,'Compilado 2023'!$B:$B,'Compilado 2023'!V:V)</f>
        <v>0</v>
      </c>
      <c r="V70" s="57"/>
      <c r="W70" s="106">
        <f>_xlfn.XLOOKUP($B:$B,'Compilado 2023'!$B:$B,'Compilado 2023'!X:X)</f>
        <v>0</v>
      </c>
      <c r="X70" s="106">
        <f>_xlfn.XLOOKUP($B:$B,'Compilado 2023'!$B:$B,'Compilado 2023'!Y:Y)</f>
        <v>0</v>
      </c>
      <c r="Y70" s="106">
        <f>_xlfn.XLOOKUP($B:$B,'Compilado 2023'!$B:$B,'Compilado 2023'!Z:Z)</f>
        <v>0</v>
      </c>
      <c r="AA70" s="208">
        <v>45114</v>
      </c>
    </row>
    <row r="71" spans="1:27" hidden="1" x14ac:dyDescent="0.2">
      <c r="A71" s="17" t="str">
        <f t="shared" ca="1" si="28"/>
        <v>Realizado</v>
      </c>
      <c r="B71" s="17">
        <v>44812</v>
      </c>
      <c r="C71" s="19">
        <f t="shared" si="23"/>
        <v>56579.35</v>
      </c>
      <c r="D71" s="35">
        <f>_xlfn.XLOOKUP($B:$B,'Compilado 2023'!$B:$B,'Compilado 2023'!D:D)</f>
        <v>56579.35</v>
      </c>
      <c r="E71" s="35">
        <f>_xlfn.XLOOKUP($B:$B,'Compilado 2023'!$B:$B,'Compilado 2023'!E:E)</f>
        <v>0</v>
      </c>
      <c r="F71" s="18">
        <f>_xlfn.XLOOKUP($B:$B,'Compilado 2023'!$B:$B,'Compilado 2023'!F:F)</f>
        <v>216</v>
      </c>
      <c r="G71" s="18">
        <f>_xlfn.XLOOKUP($B:$B,'Compilado 2023'!$B:$B,'Compilado 2023'!G:G)</f>
        <v>305</v>
      </c>
      <c r="H71" s="35">
        <f t="shared" si="24"/>
        <v>261.94143518518518</v>
      </c>
      <c r="I71" s="19">
        <f t="shared" si="25"/>
        <v>865.43333333333339</v>
      </c>
      <c r="J71" s="122">
        <f t="shared" si="26"/>
        <v>65.376901744790658</v>
      </c>
      <c r="K71" s="18">
        <f>_xlfn.XLOOKUP($B:$B,'Compilado 2023'!$B:$B,'Compilado 2023'!K:K)</f>
        <v>4536</v>
      </c>
      <c r="L71" s="54">
        <f t="shared" si="27"/>
        <v>4.7619047619047616E-2</v>
      </c>
      <c r="M71" s="149"/>
      <c r="N71" s="106">
        <f>_xlfn.XLOOKUP($B:$B,'Compilado 2023'!$B:$B,'Compilado 2023'!N:N)</f>
        <v>585.38</v>
      </c>
      <c r="O71" s="106">
        <f>_xlfn.XLOOKUP($B:$B,'Compilado 2023'!$B:$B,'Compilado 2023'!O:O)</f>
        <v>226.72</v>
      </c>
      <c r="P71" s="106">
        <f>_xlfn.XLOOKUP($B:$B,'Compilado 2023'!$B:$B,'Compilado 2023'!P:P)</f>
        <v>0</v>
      </c>
      <c r="Q71" s="106">
        <f>_xlfn.XLOOKUP($B:$B,'Compilado 2023'!$B:$B,'Compilado 2023'!Q:Q)</f>
        <v>53.333333333333336</v>
      </c>
      <c r="R71" s="106">
        <f>_xlfn.XLOOKUP($B:$B,'Compilado 2023'!$B:$B,'Compilado 2023'!R:R)</f>
        <v>0</v>
      </c>
      <c r="S71" s="106">
        <f>_xlfn.XLOOKUP($B:$B,'Compilado 2023'!$B:$B,'Compilado 2023'!T:T)</f>
        <v>0</v>
      </c>
      <c r="T71" s="106">
        <f>_xlfn.XLOOKUP($B:$B,'Compilado 2023'!$B:$B,'Compilado 2023'!U:U)</f>
        <v>0</v>
      </c>
      <c r="U71" s="106">
        <f>_xlfn.XLOOKUP($B:$B,'Compilado 2023'!$B:$B,'Compilado 2023'!V:V)</f>
        <v>0</v>
      </c>
      <c r="V71" s="57"/>
      <c r="W71" s="106">
        <f>_xlfn.XLOOKUP($B:$B,'Compilado 2023'!$B:$B,'Compilado 2023'!X:X)</f>
        <v>0</v>
      </c>
      <c r="X71" s="106">
        <f>_xlfn.XLOOKUP($B:$B,'Compilado 2023'!$B:$B,'Compilado 2023'!Y:Y)</f>
        <v>0</v>
      </c>
      <c r="Y71" s="106">
        <f>_xlfn.XLOOKUP($B:$B,'Compilado 2023'!$B:$B,'Compilado 2023'!Z:Z)</f>
        <v>0</v>
      </c>
      <c r="AA71" s="208">
        <v>45115</v>
      </c>
    </row>
    <row r="72" spans="1:27" hidden="1" x14ac:dyDescent="0.2">
      <c r="A72" s="17" t="str">
        <f t="shared" ca="1" si="28"/>
        <v>Realizado</v>
      </c>
      <c r="B72" s="17">
        <v>44813</v>
      </c>
      <c r="C72" s="19">
        <f t="shared" si="23"/>
        <v>51745.83</v>
      </c>
      <c r="D72" s="35">
        <f>_xlfn.XLOOKUP($B:$B,'Compilado 2023'!$B:$B,'Compilado 2023'!D:D)</f>
        <v>51745.83</v>
      </c>
      <c r="E72" s="35">
        <f>_xlfn.XLOOKUP($B:$B,'Compilado 2023'!$B:$B,'Compilado 2023'!E:E)</f>
        <v>0</v>
      </c>
      <c r="F72" s="18">
        <f>_xlfn.XLOOKUP($B:$B,'Compilado 2023'!$B:$B,'Compilado 2023'!F:F)</f>
        <v>210</v>
      </c>
      <c r="G72" s="18">
        <f>_xlfn.XLOOKUP($B:$B,'Compilado 2023'!$B:$B,'Compilado 2023'!G:G)</f>
        <v>299</v>
      </c>
      <c r="H72" s="35">
        <f t="shared" si="24"/>
        <v>246.4087142857143</v>
      </c>
      <c r="I72" s="19">
        <f t="shared" si="25"/>
        <v>959.25333333333344</v>
      </c>
      <c r="J72" s="122">
        <f t="shared" si="26"/>
        <v>53.943862587568105</v>
      </c>
      <c r="K72" s="18">
        <f>_xlfn.XLOOKUP($B:$B,'Compilado 2023'!$B:$B,'Compilado 2023'!K:K)</f>
        <v>4035</v>
      </c>
      <c r="L72" s="54">
        <f t="shared" si="27"/>
        <v>5.204460966542751E-2</v>
      </c>
      <c r="M72" s="149"/>
      <c r="N72" s="106">
        <f>_xlfn.XLOOKUP($B:$B,'Compilado 2023'!$B:$B,'Compilado 2023'!N:N)</f>
        <v>673.2</v>
      </c>
      <c r="O72" s="106">
        <f>_xlfn.XLOOKUP($B:$B,'Compilado 2023'!$B:$B,'Compilado 2023'!O:O)</f>
        <v>232.72</v>
      </c>
      <c r="P72" s="106">
        <f>_xlfn.XLOOKUP($B:$B,'Compilado 2023'!$B:$B,'Compilado 2023'!P:P)</f>
        <v>0</v>
      </c>
      <c r="Q72" s="106">
        <f>_xlfn.XLOOKUP($B:$B,'Compilado 2023'!$B:$B,'Compilado 2023'!Q:Q)</f>
        <v>53.333333333333336</v>
      </c>
      <c r="R72" s="106">
        <f>_xlfn.XLOOKUP($B:$B,'Compilado 2023'!$B:$B,'Compilado 2023'!R:R)</f>
        <v>0</v>
      </c>
      <c r="S72" s="106">
        <f>_xlfn.XLOOKUP($B:$B,'Compilado 2023'!$B:$B,'Compilado 2023'!T:T)</f>
        <v>0</v>
      </c>
      <c r="T72" s="106">
        <f>_xlfn.XLOOKUP($B:$B,'Compilado 2023'!$B:$B,'Compilado 2023'!U:U)</f>
        <v>0</v>
      </c>
      <c r="U72" s="106">
        <f>_xlfn.XLOOKUP($B:$B,'Compilado 2023'!$B:$B,'Compilado 2023'!V:V)</f>
        <v>0</v>
      </c>
      <c r="V72" s="57"/>
      <c r="W72" s="106">
        <f>_xlfn.XLOOKUP($B:$B,'Compilado 2023'!$B:$B,'Compilado 2023'!X:X)</f>
        <v>0</v>
      </c>
      <c r="X72" s="106">
        <f>_xlfn.XLOOKUP($B:$B,'Compilado 2023'!$B:$B,'Compilado 2023'!Y:Y)</f>
        <v>0</v>
      </c>
      <c r="Y72" s="106">
        <f>_xlfn.XLOOKUP($B:$B,'Compilado 2023'!$B:$B,'Compilado 2023'!Z:Z)</f>
        <v>0</v>
      </c>
      <c r="AA72" s="208">
        <v>45116</v>
      </c>
    </row>
    <row r="73" spans="1:27" hidden="1" x14ac:dyDescent="0.2">
      <c r="A73" s="17" t="str">
        <f t="shared" ca="1" si="28"/>
        <v>Realizado</v>
      </c>
      <c r="B73" s="17">
        <v>44814</v>
      </c>
      <c r="C73" s="19">
        <f t="shared" si="23"/>
        <v>37821.11</v>
      </c>
      <c r="D73" s="35">
        <f>_xlfn.XLOOKUP($B:$B,'Compilado 2023'!$B:$B,'Compilado 2023'!D:D)</f>
        <v>37784.699999999997</v>
      </c>
      <c r="E73" s="35">
        <f>_xlfn.XLOOKUP($B:$B,'Compilado 2023'!$B:$B,'Compilado 2023'!E:E)</f>
        <v>36.409999999999997</v>
      </c>
      <c r="F73" s="18">
        <f>_xlfn.XLOOKUP($B:$B,'Compilado 2023'!$B:$B,'Compilado 2023'!F:F)</f>
        <v>149</v>
      </c>
      <c r="G73" s="18">
        <f>_xlfn.XLOOKUP($B:$B,'Compilado 2023'!$B:$B,'Compilado 2023'!G:G)</f>
        <v>181</v>
      </c>
      <c r="H73" s="35">
        <f t="shared" si="24"/>
        <v>253.83295302013423</v>
      </c>
      <c r="I73" s="19">
        <f t="shared" si="25"/>
        <v>816.35333333333347</v>
      </c>
      <c r="J73" s="122">
        <f t="shared" si="26"/>
        <v>46.329338603382517</v>
      </c>
      <c r="K73" s="18">
        <f>_xlfn.XLOOKUP($B:$B,'Compilado 2023'!$B:$B,'Compilado 2023'!K:K)</f>
        <v>3298</v>
      </c>
      <c r="L73" s="54">
        <f t="shared" si="27"/>
        <v>4.5178896300788356E-2</v>
      </c>
      <c r="M73" s="149"/>
      <c r="N73" s="106">
        <f>_xlfn.XLOOKUP($B:$B,'Compilado 2023'!$B:$B,'Compilado 2023'!N:N)</f>
        <v>518.44000000000005</v>
      </c>
      <c r="O73" s="106">
        <f>_xlfn.XLOOKUP($B:$B,'Compilado 2023'!$B:$B,'Compilado 2023'!O:O)</f>
        <v>244.58</v>
      </c>
      <c r="P73" s="106">
        <f>_xlfn.XLOOKUP($B:$B,'Compilado 2023'!$B:$B,'Compilado 2023'!P:P)</f>
        <v>0</v>
      </c>
      <c r="Q73" s="106">
        <f>_xlfn.XLOOKUP($B:$B,'Compilado 2023'!$B:$B,'Compilado 2023'!Q:Q)</f>
        <v>53.333333333333336</v>
      </c>
      <c r="R73" s="106">
        <f>_xlfn.XLOOKUP($B:$B,'Compilado 2023'!$B:$B,'Compilado 2023'!R:R)</f>
        <v>0</v>
      </c>
      <c r="S73" s="106">
        <f>_xlfn.XLOOKUP($B:$B,'Compilado 2023'!$B:$B,'Compilado 2023'!T:T)</f>
        <v>0</v>
      </c>
      <c r="T73" s="106">
        <f>_xlfn.XLOOKUP($B:$B,'Compilado 2023'!$B:$B,'Compilado 2023'!U:U)</f>
        <v>0</v>
      </c>
      <c r="U73" s="106">
        <f>_xlfn.XLOOKUP($B:$B,'Compilado 2023'!$B:$B,'Compilado 2023'!V:V)</f>
        <v>0</v>
      </c>
      <c r="V73" s="57"/>
      <c r="W73" s="106">
        <f>_xlfn.XLOOKUP($B:$B,'Compilado 2023'!$B:$B,'Compilado 2023'!X:X)</f>
        <v>0</v>
      </c>
      <c r="X73" s="106">
        <f>_xlfn.XLOOKUP($B:$B,'Compilado 2023'!$B:$B,'Compilado 2023'!Y:Y)</f>
        <v>0</v>
      </c>
      <c r="Y73" s="106">
        <f>_xlfn.XLOOKUP($B:$B,'Compilado 2023'!$B:$B,'Compilado 2023'!Z:Z)</f>
        <v>0</v>
      </c>
      <c r="AA73" s="208">
        <v>45117</v>
      </c>
    </row>
    <row r="74" spans="1:27" hidden="1" x14ac:dyDescent="0.2">
      <c r="A74" s="17" t="str">
        <f t="shared" ca="1" si="28"/>
        <v>Realizado</v>
      </c>
      <c r="B74" s="17">
        <v>44815</v>
      </c>
      <c r="C74" s="19">
        <f t="shared" si="23"/>
        <v>21783.94</v>
      </c>
      <c r="D74" s="35">
        <f>_xlfn.XLOOKUP($B:$B,'Compilado 2023'!$B:$B,'Compilado 2023'!D:D)</f>
        <v>21783.94</v>
      </c>
      <c r="E74" s="35">
        <f>_xlfn.XLOOKUP($B:$B,'Compilado 2023'!$B:$B,'Compilado 2023'!E:E)</f>
        <v>0</v>
      </c>
      <c r="F74" s="18">
        <f>_xlfn.XLOOKUP($B:$B,'Compilado 2023'!$B:$B,'Compilado 2023'!F:F)</f>
        <v>93</v>
      </c>
      <c r="G74" s="18">
        <f>_xlfn.XLOOKUP($B:$B,'Compilado 2023'!$B:$B,'Compilado 2023'!G:G)</f>
        <v>120</v>
      </c>
      <c r="H74" s="35">
        <f t="shared" si="24"/>
        <v>234.23591397849461</v>
      </c>
      <c r="I74" s="19">
        <f t="shared" si="25"/>
        <v>797.18333333333339</v>
      </c>
      <c r="J74" s="122">
        <f t="shared" si="26"/>
        <v>27.32613576968911</v>
      </c>
      <c r="K74" s="18">
        <f>_xlfn.XLOOKUP($B:$B,'Compilado 2023'!$B:$B,'Compilado 2023'!K:K)</f>
        <v>2818</v>
      </c>
      <c r="L74" s="54">
        <f t="shared" si="27"/>
        <v>3.3002129169623848E-2</v>
      </c>
      <c r="M74" s="149"/>
      <c r="N74" s="106">
        <f>_xlfn.XLOOKUP($B:$B,'Compilado 2023'!$B:$B,'Compilado 2023'!N:N)</f>
        <v>489.8</v>
      </c>
      <c r="O74" s="106">
        <f>_xlfn.XLOOKUP($B:$B,'Compilado 2023'!$B:$B,'Compilado 2023'!O:O)</f>
        <v>254.05</v>
      </c>
      <c r="P74" s="106">
        <f>_xlfn.XLOOKUP($B:$B,'Compilado 2023'!$B:$B,'Compilado 2023'!P:P)</f>
        <v>0</v>
      </c>
      <c r="Q74" s="106">
        <f>_xlfn.XLOOKUP($B:$B,'Compilado 2023'!$B:$B,'Compilado 2023'!Q:Q)</f>
        <v>53.333333333333336</v>
      </c>
      <c r="R74" s="106">
        <f>_xlfn.XLOOKUP($B:$B,'Compilado 2023'!$B:$B,'Compilado 2023'!R:R)</f>
        <v>0</v>
      </c>
      <c r="S74" s="106">
        <f>_xlfn.XLOOKUP($B:$B,'Compilado 2023'!$B:$B,'Compilado 2023'!T:T)</f>
        <v>0</v>
      </c>
      <c r="T74" s="106">
        <f>_xlfn.XLOOKUP($B:$B,'Compilado 2023'!$B:$B,'Compilado 2023'!U:U)</f>
        <v>0</v>
      </c>
      <c r="U74" s="106">
        <f>_xlfn.XLOOKUP($B:$B,'Compilado 2023'!$B:$B,'Compilado 2023'!V:V)</f>
        <v>0</v>
      </c>
      <c r="V74" s="57"/>
      <c r="W74" s="106">
        <f>_xlfn.XLOOKUP($B:$B,'Compilado 2023'!$B:$B,'Compilado 2023'!X:X)</f>
        <v>0</v>
      </c>
      <c r="X74" s="106">
        <f>_xlfn.XLOOKUP($B:$B,'Compilado 2023'!$B:$B,'Compilado 2023'!Y:Y)</f>
        <v>0</v>
      </c>
      <c r="Y74" s="106">
        <f>_xlfn.XLOOKUP($B:$B,'Compilado 2023'!$B:$B,'Compilado 2023'!Z:Z)</f>
        <v>0</v>
      </c>
      <c r="AA74" s="208">
        <v>45118</v>
      </c>
    </row>
    <row r="75" spans="1:27" hidden="1" x14ac:dyDescent="0.2">
      <c r="A75" s="17" t="str">
        <f t="shared" ca="1" si="28"/>
        <v>Realizado</v>
      </c>
      <c r="B75" s="17">
        <v>44816</v>
      </c>
      <c r="C75" s="19">
        <f t="shared" si="23"/>
        <v>56171.27</v>
      </c>
      <c r="D75" s="35">
        <f>_xlfn.XLOOKUP($B:$B,'Compilado 2023'!$B:$B,'Compilado 2023'!D:D)</f>
        <v>56171.27</v>
      </c>
      <c r="E75" s="35">
        <f>_xlfn.XLOOKUP($B:$B,'Compilado 2023'!$B:$B,'Compilado 2023'!E:E)</f>
        <v>0</v>
      </c>
      <c r="F75" s="18">
        <f>_xlfn.XLOOKUP($B:$B,'Compilado 2023'!$B:$B,'Compilado 2023'!F:F)</f>
        <v>212</v>
      </c>
      <c r="G75" s="18">
        <f>_xlfn.XLOOKUP($B:$B,'Compilado 2023'!$B:$B,'Compilado 2023'!G:G)</f>
        <v>301</v>
      </c>
      <c r="H75" s="35">
        <f t="shared" si="24"/>
        <v>264.95882075471695</v>
      </c>
      <c r="I75" s="19">
        <f t="shared" si="25"/>
        <v>973.10333333333335</v>
      </c>
      <c r="J75" s="122">
        <f t="shared" si="26"/>
        <v>57.723849128732468</v>
      </c>
      <c r="K75" s="18">
        <f>_xlfn.XLOOKUP($B:$B,'Compilado 2023'!$B:$B,'Compilado 2023'!K:K)</f>
        <v>4451</v>
      </c>
      <c r="L75" s="54">
        <f t="shared" si="27"/>
        <v>4.762974612446641E-2</v>
      </c>
      <c r="M75" s="149"/>
      <c r="N75" s="106">
        <f>_xlfn.XLOOKUP($B:$B,'Compilado 2023'!$B:$B,'Compilado 2023'!N:N)</f>
        <v>667.8</v>
      </c>
      <c r="O75" s="106">
        <f>_xlfn.XLOOKUP($B:$B,'Compilado 2023'!$B:$B,'Compilado 2023'!O:O)</f>
        <v>251.97</v>
      </c>
      <c r="P75" s="106">
        <f>_xlfn.XLOOKUP($B:$B,'Compilado 2023'!$B:$B,'Compilado 2023'!P:P)</f>
        <v>0</v>
      </c>
      <c r="Q75" s="106">
        <f>_xlfn.XLOOKUP($B:$B,'Compilado 2023'!$B:$B,'Compilado 2023'!Q:Q)</f>
        <v>53.333333333333336</v>
      </c>
      <c r="R75" s="106">
        <f>_xlfn.XLOOKUP($B:$B,'Compilado 2023'!$B:$B,'Compilado 2023'!R:R)</f>
        <v>0</v>
      </c>
      <c r="S75" s="106">
        <f>_xlfn.XLOOKUP($B:$B,'Compilado 2023'!$B:$B,'Compilado 2023'!T:T)</f>
        <v>0</v>
      </c>
      <c r="T75" s="106">
        <f>_xlfn.XLOOKUP($B:$B,'Compilado 2023'!$B:$B,'Compilado 2023'!U:U)</f>
        <v>0</v>
      </c>
      <c r="U75" s="106">
        <f>_xlfn.XLOOKUP($B:$B,'Compilado 2023'!$B:$B,'Compilado 2023'!V:V)</f>
        <v>0</v>
      </c>
      <c r="V75" s="57"/>
      <c r="W75" s="106">
        <f>_xlfn.XLOOKUP($B:$B,'Compilado 2023'!$B:$B,'Compilado 2023'!X:X)</f>
        <v>0</v>
      </c>
      <c r="X75" s="106">
        <f>_xlfn.XLOOKUP($B:$B,'Compilado 2023'!$B:$B,'Compilado 2023'!Y:Y)</f>
        <v>0</v>
      </c>
      <c r="Y75" s="106">
        <f>_xlfn.XLOOKUP($B:$B,'Compilado 2023'!$B:$B,'Compilado 2023'!Z:Z)</f>
        <v>0</v>
      </c>
      <c r="AA75" s="208">
        <v>45119</v>
      </c>
    </row>
    <row r="76" spans="1:27" hidden="1" x14ac:dyDescent="0.2">
      <c r="A76" s="17" t="str">
        <f t="shared" ca="1" si="28"/>
        <v>Realizado</v>
      </c>
      <c r="B76" s="17">
        <v>44817</v>
      </c>
      <c r="C76" s="19">
        <f t="shared" si="23"/>
        <v>54652.83</v>
      </c>
      <c r="D76" s="35">
        <f>_xlfn.XLOOKUP($B:$B,'Compilado 2023'!$B:$B,'Compilado 2023'!D:D)</f>
        <v>54652.83</v>
      </c>
      <c r="E76" s="35">
        <f>_xlfn.XLOOKUP($B:$B,'Compilado 2023'!$B:$B,'Compilado 2023'!E:E)</f>
        <v>0</v>
      </c>
      <c r="F76" s="18">
        <f>_xlfn.XLOOKUP($B:$B,'Compilado 2023'!$B:$B,'Compilado 2023'!F:F)</f>
        <v>234</v>
      </c>
      <c r="G76" s="18">
        <f>_xlfn.XLOOKUP($B:$B,'Compilado 2023'!$B:$B,'Compilado 2023'!G:G)</f>
        <v>346</v>
      </c>
      <c r="H76" s="35">
        <f t="shared" si="24"/>
        <v>233.55910256410257</v>
      </c>
      <c r="I76" s="19">
        <f t="shared" si="25"/>
        <v>951.49333333333345</v>
      </c>
      <c r="J76" s="122">
        <f t="shared" si="26"/>
        <v>57.439004652335974</v>
      </c>
      <c r="K76" s="18">
        <f>_xlfn.XLOOKUP($B:$B,'Compilado 2023'!$B:$B,'Compilado 2023'!K:K)</f>
        <v>4524</v>
      </c>
      <c r="L76" s="54">
        <f t="shared" si="27"/>
        <v>5.1724137931034482E-2</v>
      </c>
      <c r="M76" s="149"/>
      <c r="N76" s="106">
        <f>_xlfn.XLOOKUP($B:$B,'Compilado 2023'!$B:$B,'Compilado 2023'!N:N)</f>
        <v>655.59</v>
      </c>
      <c r="O76" s="106">
        <f>_xlfn.XLOOKUP($B:$B,'Compilado 2023'!$B:$B,'Compilado 2023'!O:O)</f>
        <v>242.57</v>
      </c>
      <c r="P76" s="106">
        <f>_xlfn.XLOOKUP($B:$B,'Compilado 2023'!$B:$B,'Compilado 2023'!P:P)</f>
        <v>0</v>
      </c>
      <c r="Q76" s="106">
        <f>_xlfn.XLOOKUP($B:$B,'Compilado 2023'!$B:$B,'Compilado 2023'!Q:Q)</f>
        <v>53.333333333333336</v>
      </c>
      <c r="R76" s="106">
        <f>_xlfn.XLOOKUP($B:$B,'Compilado 2023'!$B:$B,'Compilado 2023'!R:R)</f>
        <v>0</v>
      </c>
      <c r="S76" s="106">
        <f>_xlfn.XLOOKUP($B:$B,'Compilado 2023'!$B:$B,'Compilado 2023'!T:T)</f>
        <v>0</v>
      </c>
      <c r="T76" s="106">
        <f>_xlfn.XLOOKUP($B:$B,'Compilado 2023'!$B:$B,'Compilado 2023'!U:U)</f>
        <v>0</v>
      </c>
      <c r="U76" s="106">
        <f>_xlfn.XLOOKUP($B:$B,'Compilado 2023'!$B:$B,'Compilado 2023'!V:V)</f>
        <v>0</v>
      </c>
      <c r="V76" s="57"/>
      <c r="W76" s="106">
        <f>_xlfn.XLOOKUP($B:$B,'Compilado 2023'!$B:$B,'Compilado 2023'!X:X)</f>
        <v>0</v>
      </c>
      <c r="X76" s="106">
        <f>_xlfn.XLOOKUP($B:$B,'Compilado 2023'!$B:$B,'Compilado 2023'!Y:Y)</f>
        <v>0</v>
      </c>
      <c r="Y76" s="106">
        <f>_xlfn.XLOOKUP($B:$B,'Compilado 2023'!$B:$B,'Compilado 2023'!Z:Z)</f>
        <v>0</v>
      </c>
      <c r="AA76" s="208">
        <v>45120</v>
      </c>
    </row>
    <row r="77" spans="1:27" hidden="1" x14ac:dyDescent="0.2">
      <c r="A77" s="17" t="str">
        <f t="shared" ca="1" si="28"/>
        <v>Realizado</v>
      </c>
      <c r="B77" s="17">
        <v>44818</v>
      </c>
      <c r="C77" s="19">
        <f t="shared" si="23"/>
        <v>58360.29</v>
      </c>
      <c r="D77" s="35">
        <f>_xlfn.XLOOKUP($B:$B,'Compilado 2023'!$B:$B,'Compilado 2023'!D:D)</f>
        <v>58360.29</v>
      </c>
      <c r="E77" s="35">
        <f>_xlfn.XLOOKUP($B:$B,'Compilado 2023'!$B:$B,'Compilado 2023'!E:E)</f>
        <v>0</v>
      </c>
      <c r="F77" s="18">
        <f>_xlfn.XLOOKUP($B:$B,'Compilado 2023'!$B:$B,'Compilado 2023'!F:F)</f>
        <v>274</v>
      </c>
      <c r="G77" s="18">
        <f>_xlfn.XLOOKUP($B:$B,'Compilado 2023'!$B:$B,'Compilado 2023'!G:G)</f>
        <v>376</v>
      </c>
      <c r="H77" s="35">
        <f t="shared" si="24"/>
        <v>212.9937591240876</v>
      </c>
      <c r="I77" s="19">
        <f t="shared" si="25"/>
        <v>881.53333333333342</v>
      </c>
      <c r="J77" s="122">
        <f t="shared" si="26"/>
        <v>66.203157377297131</v>
      </c>
      <c r="K77" s="18">
        <f>_xlfn.XLOOKUP($B:$B,'Compilado 2023'!$B:$B,'Compilado 2023'!K:K)</f>
        <v>4481</v>
      </c>
      <c r="L77" s="54">
        <f t="shared" si="27"/>
        <v>6.1147065387190357E-2</v>
      </c>
      <c r="M77" s="149"/>
      <c r="N77" s="106">
        <f>_xlfn.XLOOKUP($B:$B,'Compilado 2023'!$B:$B,'Compilado 2023'!N:N)</f>
        <v>603.77</v>
      </c>
      <c r="O77" s="106">
        <f>_xlfn.XLOOKUP($B:$B,'Compilado 2023'!$B:$B,'Compilado 2023'!O:O)</f>
        <v>224.43</v>
      </c>
      <c r="P77" s="106">
        <f>_xlfn.XLOOKUP($B:$B,'Compilado 2023'!$B:$B,'Compilado 2023'!P:P)</f>
        <v>0</v>
      </c>
      <c r="Q77" s="106">
        <f>_xlfn.XLOOKUP($B:$B,'Compilado 2023'!$B:$B,'Compilado 2023'!Q:Q)</f>
        <v>53.333333333333336</v>
      </c>
      <c r="R77" s="106">
        <f>_xlfn.XLOOKUP($B:$B,'Compilado 2023'!$B:$B,'Compilado 2023'!R:R)</f>
        <v>0</v>
      </c>
      <c r="S77" s="106">
        <f>_xlfn.XLOOKUP($B:$B,'Compilado 2023'!$B:$B,'Compilado 2023'!T:T)</f>
        <v>0</v>
      </c>
      <c r="T77" s="106">
        <f>_xlfn.XLOOKUP($B:$B,'Compilado 2023'!$B:$B,'Compilado 2023'!U:U)</f>
        <v>0</v>
      </c>
      <c r="U77" s="106">
        <f>_xlfn.XLOOKUP($B:$B,'Compilado 2023'!$B:$B,'Compilado 2023'!V:V)</f>
        <v>0</v>
      </c>
      <c r="V77" s="57"/>
      <c r="W77" s="106">
        <f>_xlfn.XLOOKUP($B:$B,'Compilado 2023'!$B:$B,'Compilado 2023'!X:X)</f>
        <v>0</v>
      </c>
      <c r="X77" s="106">
        <f>_xlfn.XLOOKUP($B:$B,'Compilado 2023'!$B:$B,'Compilado 2023'!Y:Y)</f>
        <v>0</v>
      </c>
      <c r="Y77" s="106">
        <f>_xlfn.XLOOKUP($B:$B,'Compilado 2023'!$B:$B,'Compilado 2023'!Z:Z)</f>
        <v>0</v>
      </c>
      <c r="AA77" s="208">
        <v>45121</v>
      </c>
    </row>
    <row r="78" spans="1:27" hidden="1" x14ac:dyDescent="0.2">
      <c r="A78" s="17" t="str">
        <f t="shared" ca="1" si="28"/>
        <v>Realizado</v>
      </c>
      <c r="B78" s="17">
        <v>44819</v>
      </c>
      <c r="C78" s="19">
        <f t="shared" si="23"/>
        <v>53315.81</v>
      </c>
      <c r="D78" s="35">
        <f>_xlfn.XLOOKUP($B:$B,'Compilado 2023'!$B:$B,'Compilado 2023'!D:D)</f>
        <v>53315.81</v>
      </c>
      <c r="E78" s="35">
        <f>_xlfn.XLOOKUP($B:$B,'Compilado 2023'!$B:$B,'Compilado 2023'!E:E)</f>
        <v>0</v>
      </c>
      <c r="F78" s="18">
        <f>_xlfn.XLOOKUP($B:$B,'Compilado 2023'!$B:$B,'Compilado 2023'!F:F)</f>
        <v>181</v>
      </c>
      <c r="G78" s="18">
        <f>_xlfn.XLOOKUP($B:$B,'Compilado 2023'!$B:$B,'Compilado 2023'!G:G)</f>
        <v>222</v>
      </c>
      <c r="H78" s="35">
        <f t="shared" si="24"/>
        <v>294.56248618784531</v>
      </c>
      <c r="I78" s="19">
        <f t="shared" si="25"/>
        <v>911.85333333333335</v>
      </c>
      <c r="J78" s="122">
        <f t="shared" si="26"/>
        <v>58.469721007764406</v>
      </c>
      <c r="K78" s="18">
        <f>_xlfn.XLOOKUP($B:$B,'Compilado 2023'!$B:$B,'Compilado 2023'!K:K)</f>
        <v>5422</v>
      </c>
      <c r="L78" s="54">
        <f t="shared" si="27"/>
        <v>3.3382515676872004E-2</v>
      </c>
      <c r="M78" s="149"/>
      <c r="N78" s="106">
        <f>_xlfn.XLOOKUP($B:$B,'Compilado 2023'!$B:$B,'Compilado 2023'!N:N)</f>
        <v>616.01</v>
      </c>
      <c r="O78" s="106">
        <f>_xlfn.XLOOKUP($B:$B,'Compilado 2023'!$B:$B,'Compilado 2023'!O:O)</f>
        <v>242.51</v>
      </c>
      <c r="P78" s="106">
        <f>_xlfn.XLOOKUP($B:$B,'Compilado 2023'!$B:$B,'Compilado 2023'!P:P)</f>
        <v>0</v>
      </c>
      <c r="Q78" s="106">
        <f>_xlfn.XLOOKUP($B:$B,'Compilado 2023'!$B:$B,'Compilado 2023'!Q:Q)</f>
        <v>53.333333333333336</v>
      </c>
      <c r="R78" s="106">
        <f>_xlfn.XLOOKUP($B:$B,'Compilado 2023'!$B:$B,'Compilado 2023'!R:R)</f>
        <v>0</v>
      </c>
      <c r="S78" s="106">
        <f>_xlfn.XLOOKUP($B:$B,'Compilado 2023'!$B:$B,'Compilado 2023'!T:T)</f>
        <v>0</v>
      </c>
      <c r="T78" s="106">
        <f>_xlfn.XLOOKUP($B:$B,'Compilado 2023'!$B:$B,'Compilado 2023'!U:U)</f>
        <v>0</v>
      </c>
      <c r="U78" s="106">
        <f>_xlfn.XLOOKUP($B:$B,'Compilado 2023'!$B:$B,'Compilado 2023'!V:V)</f>
        <v>0</v>
      </c>
      <c r="V78" s="57"/>
      <c r="W78" s="106">
        <f>_xlfn.XLOOKUP($B:$B,'Compilado 2023'!$B:$B,'Compilado 2023'!X:X)</f>
        <v>0</v>
      </c>
      <c r="X78" s="106">
        <f>_xlfn.XLOOKUP($B:$B,'Compilado 2023'!$B:$B,'Compilado 2023'!Y:Y)</f>
        <v>0</v>
      </c>
      <c r="Y78" s="106">
        <f>_xlfn.XLOOKUP($B:$B,'Compilado 2023'!$B:$B,'Compilado 2023'!Z:Z)</f>
        <v>0</v>
      </c>
      <c r="AA78" s="208">
        <v>45122</v>
      </c>
    </row>
    <row r="79" spans="1:27" hidden="1" x14ac:dyDescent="0.2">
      <c r="A79" s="17" t="str">
        <f t="shared" ca="1" si="28"/>
        <v>Realizado</v>
      </c>
      <c r="B79" s="17">
        <v>44820</v>
      </c>
      <c r="C79" s="19">
        <f t="shared" si="23"/>
        <v>47071.95</v>
      </c>
      <c r="D79" s="35">
        <f>_xlfn.XLOOKUP($B:$B,'Compilado 2023'!$B:$B,'Compilado 2023'!D:D)</f>
        <v>47071.95</v>
      </c>
      <c r="E79" s="35">
        <f>_xlfn.XLOOKUP($B:$B,'Compilado 2023'!$B:$B,'Compilado 2023'!E:E)</f>
        <v>0</v>
      </c>
      <c r="F79" s="18">
        <f>_xlfn.XLOOKUP($B:$B,'Compilado 2023'!$B:$B,'Compilado 2023'!F:F)</f>
        <v>163</v>
      </c>
      <c r="G79" s="18">
        <f>_xlfn.XLOOKUP($B:$B,'Compilado 2023'!$B:$B,'Compilado 2023'!G:G)</f>
        <v>194</v>
      </c>
      <c r="H79" s="35">
        <f t="shared" si="24"/>
        <v>288.78496932515338</v>
      </c>
      <c r="I79" s="19">
        <f t="shared" si="25"/>
        <v>1262.7633333333331</v>
      </c>
      <c r="J79" s="122">
        <f t="shared" si="26"/>
        <v>37.27693761565245</v>
      </c>
      <c r="K79" s="18">
        <f>_xlfn.XLOOKUP($B:$B,'Compilado 2023'!$B:$B,'Compilado 2023'!K:K)</f>
        <v>4585</v>
      </c>
      <c r="L79" s="54">
        <f t="shared" si="27"/>
        <v>3.5550708833151583E-2</v>
      </c>
      <c r="M79" s="149"/>
      <c r="N79" s="106">
        <f>_xlfn.XLOOKUP($B:$B,'Compilado 2023'!$B:$B,'Compilado 2023'!N:N)</f>
        <v>947.43</v>
      </c>
      <c r="O79" s="106">
        <f>_xlfn.XLOOKUP($B:$B,'Compilado 2023'!$B:$B,'Compilado 2023'!O:O)</f>
        <v>262</v>
      </c>
      <c r="P79" s="106">
        <f>_xlfn.XLOOKUP($B:$B,'Compilado 2023'!$B:$B,'Compilado 2023'!P:P)</f>
        <v>0</v>
      </c>
      <c r="Q79" s="106">
        <f>_xlfn.XLOOKUP($B:$B,'Compilado 2023'!$B:$B,'Compilado 2023'!Q:Q)</f>
        <v>53.333333333333336</v>
      </c>
      <c r="R79" s="106">
        <f>_xlfn.XLOOKUP($B:$B,'Compilado 2023'!$B:$B,'Compilado 2023'!R:R)</f>
        <v>0</v>
      </c>
      <c r="S79" s="106">
        <f>_xlfn.XLOOKUP($B:$B,'Compilado 2023'!$B:$B,'Compilado 2023'!T:T)</f>
        <v>0</v>
      </c>
      <c r="T79" s="106">
        <f>_xlfn.XLOOKUP($B:$B,'Compilado 2023'!$B:$B,'Compilado 2023'!U:U)</f>
        <v>0</v>
      </c>
      <c r="U79" s="106">
        <f>_xlfn.XLOOKUP($B:$B,'Compilado 2023'!$B:$B,'Compilado 2023'!V:V)</f>
        <v>0</v>
      </c>
      <c r="V79" s="57"/>
      <c r="W79" s="106">
        <f>_xlfn.XLOOKUP($B:$B,'Compilado 2023'!$B:$B,'Compilado 2023'!X:X)</f>
        <v>0</v>
      </c>
      <c r="X79" s="106">
        <f>_xlfn.XLOOKUP($B:$B,'Compilado 2023'!$B:$B,'Compilado 2023'!Y:Y)</f>
        <v>0</v>
      </c>
      <c r="Y79" s="106">
        <f>_xlfn.XLOOKUP($B:$B,'Compilado 2023'!$B:$B,'Compilado 2023'!Z:Z)</f>
        <v>0</v>
      </c>
      <c r="AA79" s="208">
        <v>45123</v>
      </c>
    </row>
    <row r="80" spans="1:27" hidden="1" x14ac:dyDescent="0.2">
      <c r="A80" s="17" t="str">
        <f t="shared" ca="1" si="28"/>
        <v>Realizado</v>
      </c>
      <c r="B80" s="17">
        <v>44821</v>
      </c>
      <c r="C80" s="19">
        <f t="shared" si="23"/>
        <v>32546.26</v>
      </c>
      <c r="D80" s="35">
        <f>_xlfn.XLOOKUP($B:$B,'Compilado 2023'!$B:$B,'Compilado 2023'!D:D)</f>
        <v>32520.55</v>
      </c>
      <c r="E80" s="35">
        <f>_xlfn.XLOOKUP($B:$B,'Compilado 2023'!$B:$B,'Compilado 2023'!E:E)</f>
        <v>25.71</v>
      </c>
      <c r="F80" s="18">
        <f>_xlfn.XLOOKUP($B:$B,'Compilado 2023'!$B:$B,'Compilado 2023'!F:F)</f>
        <v>108</v>
      </c>
      <c r="G80" s="18">
        <f>_xlfn.XLOOKUP($B:$B,'Compilado 2023'!$B:$B,'Compilado 2023'!G:G)</f>
        <v>135</v>
      </c>
      <c r="H80" s="35">
        <f t="shared" si="24"/>
        <v>301.35425925925927</v>
      </c>
      <c r="I80" s="19">
        <f t="shared" si="25"/>
        <v>1395.1633333333332</v>
      </c>
      <c r="J80" s="122">
        <f t="shared" si="26"/>
        <v>23.327920984161953</v>
      </c>
      <c r="K80" s="18">
        <f>_xlfn.XLOOKUP($B:$B,'Compilado 2023'!$B:$B,'Compilado 2023'!K:K)</f>
        <v>3452</v>
      </c>
      <c r="L80" s="54">
        <f t="shared" si="27"/>
        <v>3.1286210892236384E-2</v>
      </c>
      <c r="M80" s="149"/>
      <c r="N80" s="106">
        <f>_xlfn.XLOOKUP($B:$B,'Compilado 2023'!$B:$B,'Compilado 2023'!N:N)</f>
        <v>1065.24</v>
      </c>
      <c r="O80" s="106">
        <f>_xlfn.XLOOKUP($B:$B,'Compilado 2023'!$B:$B,'Compilado 2023'!O:O)</f>
        <v>276.58999999999997</v>
      </c>
      <c r="P80" s="106">
        <f>_xlfn.XLOOKUP($B:$B,'Compilado 2023'!$B:$B,'Compilado 2023'!P:P)</f>
        <v>0</v>
      </c>
      <c r="Q80" s="106">
        <f>_xlfn.XLOOKUP($B:$B,'Compilado 2023'!$B:$B,'Compilado 2023'!Q:Q)</f>
        <v>53.333333333333336</v>
      </c>
      <c r="R80" s="106">
        <f>_xlfn.XLOOKUP($B:$B,'Compilado 2023'!$B:$B,'Compilado 2023'!R:R)</f>
        <v>0</v>
      </c>
      <c r="S80" s="106">
        <f>_xlfn.XLOOKUP($B:$B,'Compilado 2023'!$B:$B,'Compilado 2023'!T:T)</f>
        <v>0</v>
      </c>
      <c r="T80" s="106">
        <f>_xlfn.XLOOKUP($B:$B,'Compilado 2023'!$B:$B,'Compilado 2023'!U:U)</f>
        <v>0</v>
      </c>
      <c r="U80" s="106">
        <f>_xlfn.XLOOKUP($B:$B,'Compilado 2023'!$B:$B,'Compilado 2023'!V:V)</f>
        <v>0</v>
      </c>
      <c r="V80" s="57"/>
      <c r="W80" s="106">
        <f>_xlfn.XLOOKUP($B:$B,'Compilado 2023'!$B:$B,'Compilado 2023'!X:X)</f>
        <v>0</v>
      </c>
      <c r="X80" s="106">
        <f>_xlfn.XLOOKUP($B:$B,'Compilado 2023'!$B:$B,'Compilado 2023'!Y:Y)</f>
        <v>0</v>
      </c>
      <c r="Y80" s="106">
        <f>_xlfn.XLOOKUP($B:$B,'Compilado 2023'!$B:$B,'Compilado 2023'!Z:Z)</f>
        <v>0</v>
      </c>
      <c r="AA80" s="208">
        <v>45124</v>
      </c>
    </row>
    <row r="81" spans="1:27" hidden="1" x14ac:dyDescent="0.2">
      <c r="A81" s="17" t="str">
        <f t="shared" ca="1" si="28"/>
        <v>Realizado</v>
      </c>
      <c r="B81" s="17">
        <v>44822</v>
      </c>
      <c r="C81" s="19">
        <f t="shared" si="23"/>
        <v>20304.75</v>
      </c>
      <c r="D81" s="35">
        <f>_xlfn.XLOOKUP($B:$B,'Compilado 2023'!$B:$B,'Compilado 2023'!D:D)</f>
        <v>20304.75</v>
      </c>
      <c r="E81" s="35">
        <f>_xlfn.XLOOKUP($B:$B,'Compilado 2023'!$B:$B,'Compilado 2023'!E:E)</f>
        <v>0</v>
      </c>
      <c r="F81" s="18">
        <f>_xlfn.XLOOKUP($B:$B,'Compilado 2023'!$B:$B,'Compilado 2023'!F:F)</f>
        <v>73</v>
      </c>
      <c r="G81" s="18">
        <f>_xlfn.XLOOKUP($B:$B,'Compilado 2023'!$B:$B,'Compilado 2023'!G:G)</f>
        <v>83</v>
      </c>
      <c r="H81" s="35">
        <f t="shared" si="24"/>
        <v>278.14726027397262</v>
      </c>
      <c r="I81" s="19">
        <f t="shared" si="25"/>
        <v>1325.2933333333333</v>
      </c>
      <c r="J81" s="122">
        <f t="shared" si="26"/>
        <v>15.320947815326418</v>
      </c>
      <c r="K81" s="18">
        <f>_xlfn.XLOOKUP($B:$B,'Compilado 2023'!$B:$B,'Compilado 2023'!K:K)</f>
        <v>2982</v>
      </c>
      <c r="L81" s="54">
        <f t="shared" si="27"/>
        <v>2.448021462105969E-2</v>
      </c>
      <c r="M81" s="149"/>
      <c r="N81" s="106">
        <f>_xlfn.XLOOKUP($B:$B,'Compilado 2023'!$B:$B,'Compilado 2023'!N:N)</f>
        <v>978.31</v>
      </c>
      <c r="O81" s="106">
        <f>_xlfn.XLOOKUP($B:$B,'Compilado 2023'!$B:$B,'Compilado 2023'!O:O)</f>
        <v>293.64999999999998</v>
      </c>
      <c r="P81" s="106">
        <f>_xlfn.XLOOKUP($B:$B,'Compilado 2023'!$B:$B,'Compilado 2023'!P:P)</f>
        <v>0</v>
      </c>
      <c r="Q81" s="106">
        <f>_xlfn.XLOOKUP($B:$B,'Compilado 2023'!$B:$B,'Compilado 2023'!Q:Q)</f>
        <v>53.333333333333336</v>
      </c>
      <c r="R81" s="106">
        <f>_xlfn.XLOOKUP($B:$B,'Compilado 2023'!$B:$B,'Compilado 2023'!R:R)</f>
        <v>0</v>
      </c>
      <c r="S81" s="106">
        <f>_xlfn.XLOOKUP($B:$B,'Compilado 2023'!$B:$B,'Compilado 2023'!T:T)</f>
        <v>0</v>
      </c>
      <c r="T81" s="106">
        <f>_xlfn.XLOOKUP($B:$B,'Compilado 2023'!$B:$B,'Compilado 2023'!U:U)</f>
        <v>0</v>
      </c>
      <c r="U81" s="106">
        <f>_xlfn.XLOOKUP($B:$B,'Compilado 2023'!$B:$B,'Compilado 2023'!V:V)</f>
        <v>0</v>
      </c>
      <c r="V81" s="57"/>
      <c r="W81" s="106">
        <f>_xlfn.XLOOKUP($B:$B,'Compilado 2023'!$B:$B,'Compilado 2023'!X:X)</f>
        <v>0</v>
      </c>
      <c r="X81" s="106">
        <f>_xlfn.XLOOKUP($B:$B,'Compilado 2023'!$B:$B,'Compilado 2023'!Y:Y)</f>
        <v>0</v>
      </c>
      <c r="Y81" s="106">
        <f>_xlfn.XLOOKUP($B:$B,'Compilado 2023'!$B:$B,'Compilado 2023'!Z:Z)</f>
        <v>0</v>
      </c>
      <c r="AA81" s="208">
        <v>45125</v>
      </c>
    </row>
    <row r="82" spans="1:27" hidden="1" x14ac:dyDescent="0.2">
      <c r="A82" s="17" t="str">
        <f t="shared" ca="1" si="28"/>
        <v>Realizado</v>
      </c>
      <c r="B82" s="17">
        <v>44823</v>
      </c>
      <c r="C82" s="19">
        <f t="shared" si="23"/>
        <v>71887.569999999992</v>
      </c>
      <c r="D82" s="35">
        <f>_xlfn.XLOOKUP($B:$B,'Compilado 2023'!$B:$B,'Compilado 2023'!D:D)</f>
        <v>71831.789999999994</v>
      </c>
      <c r="E82" s="35">
        <f>_xlfn.XLOOKUP($B:$B,'Compilado 2023'!$B:$B,'Compilado 2023'!E:E)</f>
        <v>55.78</v>
      </c>
      <c r="F82" s="18">
        <f>_xlfn.XLOOKUP($B:$B,'Compilado 2023'!$B:$B,'Compilado 2023'!F:F)</f>
        <v>295</v>
      </c>
      <c r="G82" s="18">
        <f>_xlfn.XLOOKUP($B:$B,'Compilado 2023'!$B:$B,'Compilado 2023'!G:G)</f>
        <v>415</v>
      </c>
      <c r="H82" s="35">
        <f t="shared" si="24"/>
        <v>243.68667796610166</v>
      </c>
      <c r="I82" s="19">
        <f t="shared" si="25"/>
        <v>2043.3633333333332</v>
      </c>
      <c r="J82" s="122">
        <f t="shared" si="26"/>
        <v>35.18100223650876</v>
      </c>
      <c r="K82" s="18">
        <f>_xlfn.XLOOKUP($B:$B,'Compilado 2023'!$B:$B,'Compilado 2023'!K:K)</f>
        <v>5581</v>
      </c>
      <c r="L82" s="54">
        <f t="shared" si="27"/>
        <v>5.2857910768679447E-2</v>
      </c>
      <c r="M82" s="149"/>
      <c r="N82" s="106">
        <f>_xlfn.XLOOKUP($B:$B,'Compilado 2023'!$B:$B,'Compilado 2023'!N:N)</f>
        <v>1674.01</v>
      </c>
      <c r="O82" s="106">
        <f>_xlfn.XLOOKUP($B:$B,'Compilado 2023'!$B:$B,'Compilado 2023'!O:O)</f>
        <v>316.02</v>
      </c>
      <c r="P82" s="106">
        <f>_xlfn.XLOOKUP($B:$B,'Compilado 2023'!$B:$B,'Compilado 2023'!P:P)</f>
        <v>0</v>
      </c>
      <c r="Q82" s="106">
        <f>_xlfn.XLOOKUP($B:$B,'Compilado 2023'!$B:$B,'Compilado 2023'!Q:Q)</f>
        <v>53.333333333333336</v>
      </c>
      <c r="R82" s="106">
        <f>_xlfn.XLOOKUP($B:$B,'Compilado 2023'!$B:$B,'Compilado 2023'!R:R)</f>
        <v>0</v>
      </c>
      <c r="S82" s="106">
        <f>_xlfn.XLOOKUP($B:$B,'Compilado 2023'!$B:$B,'Compilado 2023'!T:T)</f>
        <v>0</v>
      </c>
      <c r="T82" s="106">
        <f>_xlfn.XLOOKUP($B:$B,'Compilado 2023'!$B:$B,'Compilado 2023'!U:U)</f>
        <v>0</v>
      </c>
      <c r="U82" s="106">
        <f>_xlfn.XLOOKUP($B:$B,'Compilado 2023'!$B:$B,'Compilado 2023'!V:V)</f>
        <v>0</v>
      </c>
      <c r="V82" s="57"/>
      <c r="W82" s="106">
        <f>_xlfn.XLOOKUP($B:$B,'Compilado 2023'!$B:$B,'Compilado 2023'!X:X)</f>
        <v>0</v>
      </c>
      <c r="X82" s="106">
        <f>_xlfn.XLOOKUP($B:$B,'Compilado 2023'!$B:$B,'Compilado 2023'!Y:Y)</f>
        <v>0</v>
      </c>
      <c r="Y82" s="106">
        <f>_xlfn.XLOOKUP($B:$B,'Compilado 2023'!$B:$B,'Compilado 2023'!Z:Z)</f>
        <v>0</v>
      </c>
      <c r="AA82" s="208">
        <v>45126</v>
      </c>
    </row>
    <row r="83" spans="1:27" hidden="1" x14ac:dyDescent="0.2">
      <c r="A83" s="17" t="str">
        <f t="shared" ca="1" si="28"/>
        <v>Realizado</v>
      </c>
      <c r="B83" s="17">
        <v>44824</v>
      </c>
      <c r="C83" s="19">
        <f t="shared" si="23"/>
        <v>65118.879999999997</v>
      </c>
      <c r="D83" s="35">
        <f>_xlfn.XLOOKUP($B:$B,'Compilado 2023'!$B:$B,'Compilado 2023'!D:D)</f>
        <v>65118.879999999997</v>
      </c>
      <c r="E83" s="35">
        <f>_xlfn.XLOOKUP($B:$B,'Compilado 2023'!$B:$B,'Compilado 2023'!E:E)</f>
        <v>0</v>
      </c>
      <c r="F83" s="18">
        <f>_xlfn.XLOOKUP($B:$B,'Compilado 2023'!$B:$B,'Compilado 2023'!F:F)</f>
        <v>241</v>
      </c>
      <c r="G83" s="18">
        <f>_xlfn.XLOOKUP($B:$B,'Compilado 2023'!$B:$B,'Compilado 2023'!G:G)</f>
        <v>337</v>
      </c>
      <c r="H83" s="35">
        <f t="shared" si="24"/>
        <v>270.20282157676348</v>
      </c>
      <c r="I83" s="19">
        <f t="shared" si="25"/>
        <v>1889.9533333333334</v>
      </c>
      <c r="J83" s="122">
        <f t="shared" si="26"/>
        <v>34.455284610202014</v>
      </c>
      <c r="K83" s="18">
        <f>_xlfn.XLOOKUP($B:$B,'Compilado 2023'!$B:$B,'Compilado 2023'!K:K)</f>
        <v>5118</v>
      </c>
      <c r="L83" s="54">
        <f t="shared" si="27"/>
        <v>4.7088706525986714E-2</v>
      </c>
      <c r="M83" s="149"/>
      <c r="N83" s="106">
        <f>_xlfn.XLOOKUP($B:$B,'Compilado 2023'!$B:$B,'Compilado 2023'!N:N)</f>
        <v>1519.65</v>
      </c>
      <c r="O83" s="106">
        <f>_xlfn.XLOOKUP($B:$B,'Compilado 2023'!$B:$B,'Compilado 2023'!O:O)</f>
        <v>316.97000000000003</v>
      </c>
      <c r="P83" s="106">
        <f>_xlfn.XLOOKUP($B:$B,'Compilado 2023'!$B:$B,'Compilado 2023'!P:P)</f>
        <v>0</v>
      </c>
      <c r="Q83" s="106">
        <f>_xlfn.XLOOKUP($B:$B,'Compilado 2023'!$B:$B,'Compilado 2023'!Q:Q)</f>
        <v>53.333333333333336</v>
      </c>
      <c r="R83" s="106">
        <f>_xlfn.XLOOKUP($B:$B,'Compilado 2023'!$B:$B,'Compilado 2023'!R:R)</f>
        <v>0</v>
      </c>
      <c r="S83" s="106">
        <f>_xlfn.XLOOKUP($B:$B,'Compilado 2023'!$B:$B,'Compilado 2023'!T:T)</f>
        <v>0</v>
      </c>
      <c r="T83" s="106">
        <f>_xlfn.XLOOKUP($B:$B,'Compilado 2023'!$B:$B,'Compilado 2023'!U:U)</f>
        <v>0</v>
      </c>
      <c r="U83" s="106">
        <f>_xlfn.XLOOKUP($B:$B,'Compilado 2023'!$B:$B,'Compilado 2023'!V:V)</f>
        <v>0</v>
      </c>
      <c r="V83" s="57"/>
      <c r="W83" s="106">
        <f>_xlfn.XLOOKUP($B:$B,'Compilado 2023'!$B:$B,'Compilado 2023'!X:X)</f>
        <v>0</v>
      </c>
      <c r="X83" s="106">
        <f>_xlfn.XLOOKUP($B:$B,'Compilado 2023'!$B:$B,'Compilado 2023'!Y:Y)</f>
        <v>0</v>
      </c>
      <c r="Y83" s="106">
        <f>_xlfn.XLOOKUP($B:$B,'Compilado 2023'!$B:$B,'Compilado 2023'!Z:Z)</f>
        <v>0</v>
      </c>
      <c r="AA83" s="208">
        <v>45127</v>
      </c>
    </row>
    <row r="84" spans="1:27" hidden="1" x14ac:dyDescent="0.2">
      <c r="A84" s="17" t="str">
        <f t="shared" ca="1" si="28"/>
        <v>Realizado</v>
      </c>
      <c r="B84" s="17">
        <v>44825</v>
      </c>
      <c r="C84" s="19">
        <f t="shared" si="23"/>
        <v>61030.95</v>
      </c>
      <c r="D84" s="35">
        <f>_xlfn.XLOOKUP($B:$B,'Compilado 2023'!$B:$B,'Compilado 2023'!D:D)</f>
        <v>61030.95</v>
      </c>
      <c r="E84" s="35">
        <f>_xlfn.XLOOKUP($B:$B,'Compilado 2023'!$B:$B,'Compilado 2023'!E:E)</f>
        <v>0</v>
      </c>
      <c r="F84" s="18">
        <f>_xlfn.XLOOKUP($B:$B,'Compilado 2023'!$B:$B,'Compilado 2023'!F:F)</f>
        <v>240</v>
      </c>
      <c r="G84" s="18">
        <f>_xlfn.XLOOKUP($B:$B,'Compilado 2023'!$B:$B,'Compilado 2023'!G:G)</f>
        <v>352</v>
      </c>
      <c r="H84" s="35">
        <f t="shared" si="24"/>
        <v>254.295625</v>
      </c>
      <c r="I84" s="19">
        <f t="shared" si="25"/>
        <v>967.63333333333333</v>
      </c>
      <c r="J84" s="122">
        <f t="shared" si="26"/>
        <v>63.072393124117262</v>
      </c>
      <c r="K84" s="18">
        <f>_xlfn.XLOOKUP($B:$B,'Compilado 2023'!$B:$B,'Compilado 2023'!K:K)</f>
        <v>5393</v>
      </c>
      <c r="L84" s="54">
        <f t="shared" si="27"/>
        <v>4.4502132393843874E-2</v>
      </c>
      <c r="M84" s="149"/>
      <c r="N84" s="106">
        <f>_xlfn.XLOOKUP($B:$B,'Compilado 2023'!$B:$B,'Compilado 2023'!N:N)</f>
        <v>568.26</v>
      </c>
      <c r="O84" s="106">
        <f>_xlfn.XLOOKUP($B:$B,'Compilado 2023'!$B:$B,'Compilado 2023'!O:O)</f>
        <v>346.04</v>
      </c>
      <c r="P84" s="106">
        <f>_xlfn.XLOOKUP($B:$B,'Compilado 2023'!$B:$B,'Compilado 2023'!P:P)</f>
        <v>0</v>
      </c>
      <c r="Q84" s="106">
        <f>_xlfn.XLOOKUP($B:$B,'Compilado 2023'!$B:$B,'Compilado 2023'!Q:Q)</f>
        <v>53.333333333333336</v>
      </c>
      <c r="R84" s="106">
        <f>_xlfn.XLOOKUP($B:$B,'Compilado 2023'!$B:$B,'Compilado 2023'!R:R)</f>
        <v>0</v>
      </c>
      <c r="S84" s="106">
        <f>_xlfn.XLOOKUP($B:$B,'Compilado 2023'!$B:$B,'Compilado 2023'!T:T)</f>
        <v>0</v>
      </c>
      <c r="T84" s="106">
        <f>_xlfn.XLOOKUP($B:$B,'Compilado 2023'!$B:$B,'Compilado 2023'!U:U)</f>
        <v>0</v>
      </c>
      <c r="U84" s="106">
        <f>_xlfn.XLOOKUP($B:$B,'Compilado 2023'!$B:$B,'Compilado 2023'!V:V)</f>
        <v>0</v>
      </c>
      <c r="V84" s="57"/>
      <c r="W84" s="106">
        <f>_xlfn.XLOOKUP($B:$B,'Compilado 2023'!$B:$B,'Compilado 2023'!X:X)</f>
        <v>0</v>
      </c>
      <c r="X84" s="106">
        <f>_xlfn.XLOOKUP($B:$B,'Compilado 2023'!$B:$B,'Compilado 2023'!Y:Y)</f>
        <v>0</v>
      </c>
      <c r="Y84" s="106">
        <f>_xlfn.XLOOKUP($B:$B,'Compilado 2023'!$B:$B,'Compilado 2023'!Z:Z)</f>
        <v>0</v>
      </c>
      <c r="AA84" s="208">
        <v>45128</v>
      </c>
    </row>
    <row r="85" spans="1:27" hidden="1" x14ac:dyDescent="0.2">
      <c r="A85" s="17" t="str">
        <f t="shared" ca="1" si="28"/>
        <v>Realizado</v>
      </c>
      <c r="B85" s="17">
        <v>44826</v>
      </c>
      <c r="C85" s="19">
        <f t="shared" si="23"/>
        <v>58325.86</v>
      </c>
      <c r="D85" s="35">
        <f>_xlfn.XLOOKUP($B:$B,'Compilado 2023'!$B:$B,'Compilado 2023'!D:D)</f>
        <v>58301.17</v>
      </c>
      <c r="E85" s="35">
        <f>_xlfn.XLOOKUP($B:$B,'Compilado 2023'!$B:$B,'Compilado 2023'!E:E)</f>
        <v>24.69</v>
      </c>
      <c r="F85" s="18">
        <f>_xlfn.XLOOKUP($B:$B,'Compilado 2023'!$B:$B,'Compilado 2023'!F:F)</f>
        <v>257</v>
      </c>
      <c r="G85" s="18">
        <f>_xlfn.XLOOKUP($B:$B,'Compilado 2023'!$B:$B,'Compilado 2023'!G:G)</f>
        <v>366</v>
      </c>
      <c r="H85" s="35">
        <f t="shared" si="24"/>
        <v>226.94887159533073</v>
      </c>
      <c r="I85" s="19">
        <f t="shared" si="25"/>
        <v>851.8033333333334</v>
      </c>
      <c r="J85" s="122">
        <f t="shared" si="26"/>
        <v>68.473387832089557</v>
      </c>
      <c r="K85" s="18">
        <f>_xlfn.XLOOKUP($B:$B,'Compilado 2023'!$B:$B,'Compilado 2023'!K:K)</f>
        <v>5591</v>
      </c>
      <c r="L85" s="54">
        <f t="shared" si="27"/>
        <v>4.5966732248256127E-2</v>
      </c>
      <c r="M85" s="149"/>
      <c r="N85" s="106">
        <f>_xlfn.XLOOKUP($B:$B,'Compilado 2023'!$B:$B,'Compilado 2023'!N:N)</f>
        <v>519.64</v>
      </c>
      <c r="O85" s="106">
        <f>_xlfn.XLOOKUP($B:$B,'Compilado 2023'!$B:$B,'Compilado 2023'!O:O)</f>
        <v>278.83</v>
      </c>
      <c r="P85" s="106">
        <f>_xlfn.XLOOKUP($B:$B,'Compilado 2023'!$B:$B,'Compilado 2023'!P:P)</f>
        <v>0</v>
      </c>
      <c r="Q85" s="106">
        <f>_xlfn.XLOOKUP($B:$B,'Compilado 2023'!$B:$B,'Compilado 2023'!Q:Q)</f>
        <v>53.333333333333336</v>
      </c>
      <c r="R85" s="106">
        <f>_xlfn.XLOOKUP($B:$B,'Compilado 2023'!$B:$B,'Compilado 2023'!R:R)</f>
        <v>0</v>
      </c>
      <c r="S85" s="106">
        <f>_xlfn.XLOOKUP($B:$B,'Compilado 2023'!$B:$B,'Compilado 2023'!T:T)</f>
        <v>0</v>
      </c>
      <c r="T85" s="106">
        <f>_xlfn.XLOOKUP($B:$B,'Compilado 2023'!$B:$B,'Compilado 2023'!U:U)</f>
        <v>0</v>
      </c>
      <c r="U85" s="106">
        <f>_xlfn.XLOOKUP($B:$B,'Compilado 2023'!$B:$B,'Compilado 2023'!V:V)</f>
        <v>0</v>
      </c>
      <c r="V85" s="57"/>
      <c r="W85" s="106">
        <f>_xlfn.XLOOKUP($B:$B,'Compilado 2023'!$B:$B,'Compilado 2023'!X:X)</f>
        <v>0</v>
      </c>
      <c r="X85" s="106">
        <f>_xlfn.XLOOKUP($B:$B,'Compilado 2023'!$B:$B,'Compilado 2023'!Y:Y)</f>
        <v>0</v>
      </c>
      <c r="Y85" s="106">
        <f>_xlfn.XLOOKUP($B:$B,'Compilado 2023'!$B:$B,'Compilado 2023'!Z:Z)</f>
        <v>0</v>
      </c>
      <c r="AA85" s="208">
        <v>45129</v>
      </c>
    </row>
    <row r="86" spans="1:27" hidden="1" x14ac:dyDescent="0.2">
      <c r="A86" s="17" t="str">
        <f t="shared" ca="1" si="28"/>
        <v>Realizado</v>
      </c>
      <c r="B86" s="17">
        <v>44827</v>
      </c>
      <c r="C86" s="19">
        <f t="shared" si="23"/>
        <v>49237.4</v>
      </c>
      <c r="D86" s="35">
        <f>_xlfn.XLOOKUP($B:$B,'Compilado 2023'!$B:$B,'Compilado 2023'!D:D)</f>
        <v>49237.4</v>
      </c>
      <c r="E86" s="35">
        <f>_xlfn.XLOOKUP($B:$B,'Compilado 2023'!$B:$B,'Compilado 2023'!E:E)</f>
        <v>0</v>
      </c>
      <c r="F86" s="18">
        <f>_xlfn.XLOOKUP($B:$B,'Compilado 2023'!$B:$B,'Compilado 2023'!F:F)</f>
        <v>158</v>
      </c>
      <c r="G86" s="18">
        <f>_xlfn.XLOOKUP($B:$B,'Compilado 2023'!$B:$B,'Compilado 2023'!G:G)</f>
        <v>224</v>
      </c>
      <c r="H86" s="35">
        <f t="shared" si="24"/>
        <v>311.62911392405061</v>
      </c>
      <c r="I86" s="19">
        <f t="shared" si="25"/>
        <v>707.22333333333336</v>
      </c>
      <c r="J86" s="122">
        <f t="shared" si="26"/>
        <v>69.620723298156634</v>
      </c>
      <c r="K86" s="18">
        <f>_xlfn.XLOOKUP($B:$B,'Compilado 2023'!$B:$B,'Compilado 2023'!K:K)</f>
        <v>4236</v>
      </c>
      <c r="L86" s="54">
        <f t="shared" si="27"/>
        <v>3.7299338999055714E-2</v>
      </c>
      <c r="M86" s="149"/>
      <c r="N86" s="106">
        <f>_xlfn.XLOOKUP($B:$B,'Compilado 2023'!$B:$B,'Compilado 2023'!N:N)</f>
        <v>444.88</v>
      </c>
      <c r="O86" s="106">
        <f>_xlfn.XLOOKUP($B:$B,'Compilado 2023'!$B:$B,'Compilado 2023'!O:O)</f>
        <v>209.01</v>
      </c>
      <c r="P86" s="106">
        <f>_xlfn.XLOOKUP($B:$B,'Compilado 2023'!$B:$B,'Compilado 2023'!P:P)</f>
        <v>0</v>
      </c>
      <c r="Q86" s="106">
        <f>_xlfn.XLOOKUP($B:$B,'Compilado 2023'!$B:$B,'Compilado 2023'!Q:Q)</f>
        <v>53.333333333333336</v>
      </c>
      <c r="R86" s="106">
        <f>_xlfn.XLOOKUP($B:$B,'Compilado 2023'!$B:$B,'Compilado 2023'!R:R)</f>
        <v>0</v>
      </c>
      <c r="S86" s="106">
        <f>_xlfn.XLOOKUP($B:$B,'Compilado 2023'!$B:$B,'Compilado 2023'!T:T)</f>
        <v>0</v>
      </c>
      <c r="T86" s="106">
        <f>_xlfn.XLOOKUP($B:$B,'Compilado 2023'!$B:$B,'Compilado 2023'!U:U)</f>
        <v>0</v>
      </c>
      <c r="U86" s="106">
        <f>_xlfn.XLOOKUP($B:$B,'Compilado 2023'!$B:$B,'Compilado 2023'!V:V)</f>
        <v>0</v>
      </c>
      <c r="V86" s="57"/>
      <c r="W86" s="106">
        <f>_xlfn.XLOOKUP($B:$B,'Compilado 2023'!$B:$B,'Compilado 2023'!X:X)</f>
        <v>0</v>
      </c>
      <c r="X86" s="106">
        <f>_xlfn.XLOOKUP($B:$B,'Compilado 2023'!$B:$B,'Compilado 2023'!Y:Y)</f>
        <v>0</v>
      </c>
      <c r="Y86" s="106">
        <f>_xlfn.XLOOKUP($B:$B,'Compilado 2023'!$B:$B,'Compilado 2023'!Z:Z)</f>
        <v>0</v>
      </c>
      <c r="AA86" s="208">
        <v>45130</v>
      </c>
    </row>
    <row r="87" spans="1:27" hidden="1" x14ac:dyDescent="0.2">
      <c r="A87" s="17" t="str">
        <f t="shared" ca="1" si="28"/>
        <v>Realizado</v>
      </c>
      <c r="B87" s="17">
        <v>44828</v>
      </c>
      <c r="C87" s="19">
        <f t="shared" si="23"/>
        <v>26717.62</v>
      </c>
      <c r="D87" s="35">
        <f>_xlfn.XLOOKUP($B:$B,'Compilado 2023'!$B:$B,'Compilado 2023'!D:D)</f>
        <v>26717.62</v>
      </c>
      <c r="E87" s="35">
        <f>_xlfn.XLOOKUP($B:$B,'Compilado 2023'!$B:$B,'Compilado 2023'!E:E)</f>
        <v>0</v>
      </c>
      <c r="F87" s="18">
        <f>_xlfn.XLOOKUP($B:$B,'Compilado 2023'!$B:$B,'Compilado 2023'!F:F)</f>
        <v>96</v>
      </c>
      <c r="G87" s="18">
        <f>_xlfn.XLOOKUP($B:$B,'Compilado 2023'!$B:$B,'Compilado 2023'!G:G)</f>
        <v>138</v>
      </c>
      <c r="H87" s="35">
        <f t="shared" si="24"/>
        <v>278.30854166666666</v>
      </c>
      <c r="I87" s="19">
        <f t="shared" si="25"/>
        <v>597.83333333333337</v>
      </c>
      <c r="J87" s="122">
        <f t="shared" si="26"/>
        <v>44.690749930303873</v>
      </c>
      <c r="K87" s="18">
        <f>_xlfn.XLOOKUP($B:$B,'Compilado 2023'!$B:$B,'Compilado 2023'!K:K)</f>
        <v>2965</v>
      </c>
      <c r="L87" s="54">
        <f t="shared" si="27"/>
        <v>3.2377740303541312E-2</v>
      </c>
      <c r="M87" s="149"/>
      <c r="N87" s="106">
        <f>_xlfn.XLOOKUP($B:$B,'Compilado 2023'!$B:$B,'Compilado 2023'!N:N)</f>
        <v>335.73</v>
      </c>
      <c r="O87" s="106">
        <f>_xlfn.XLOOKUP($B:$B,'Compilado 2023'!$B:$B,'Compilado 2023'!O:O)</f>
        <v>208.77</v>
      </c>
      <c r="P87" s="106">
        <f>_xlfn.XLOOKUP($B:$B,'Compilado 2023'!$B:$B,'Compilado 2023'!P:P)</f>
        <v>0</v>
      </c>
      <c r="Q87" s="106">
        <f>_xlfn.XLOOKUP($B:$B,'Compilado 2023'!$B:$B,'Compilado 2023'!Q:Q)</f>
        <v>53.333333333333336</v>
      </c>
      <c r="R87" s="106">
        <f>_xlfn.XLOOKUP($B:$B,'Compilado 2023'!$B:$B,'Compilado 2023'!R:R)</f>
        <v>0</v>
      </c>
      <c r="S87" s="106">
        <f>_xlfn.XLOOKUP($B:$B,'Compilado 2023'!$B:$B,'Compilado 2023'!T:T)</f>
        <v>0</v>
      </c>
      <c r="T87" s="106">
        <f>_xlfn.XLOOKUP($B:$B,'Compilado 2023'!$B:$B,'Compilado 2023'!U:U)</f>
        <v>0</v>
      </c>
      <c r="U87" s="106">
        <f>_xlfn.XLOOKUP($B:$B,'Compilado 2023'!$B:$B,'Compilado 2023'!V:V)</f>
        <v>0</v>
      </c>
      <c r="V87" s="57"/>
      <c r="W87" s="106">
        <f>_xlfn.XLOOKUP($B:$B,'Compilado 2023'!$B:$B,'Compilado 2023'!X:X)</f>
        <v>0</v>
      </c>
      <c r="X87" s="106">
        <f>_xlfn.XLOOKUP($B:$B,'Compilado 2023'!$B:$B,'Compilado 2023'!Y:Y)</f>
        <v>0</v>
      </c>
      <c r="Y87" s="106">
        <f>_xlfn.XLOOKUP($B:$B,'Compilado 2023'!$B:$B,'Compilado 2023'!Z:Z)</f>
        <v>0</v>
      </c>
      <c r="AA87" s="208">
        <v>45131</v>
      </c>
    </row>
    <row r="88" spans="1:27" hidden="1" x14ac:dyDescent="0.2">
      <c r="A88" s="17" t="str">
        <f t="shared" ca="1" si="28"/>
        <v>Realizado</v>
      </c>
      <c r="B88" s="17">
        <v>44829</v>
      </c>
      <c r="C88" s="19">
        <f t="shared" si="23"/>
        <v>16274.91</v>
      </c>
      <c r="D88" s="35">
        <f>_xlfn.XLOOKUP($B:$B,'Compilado 2023'!$B:$B,'Compilado 2023'!D:D)</f>
        <v>16274.91</v>
      </c>
      <c r="E88" s="35">
        <f>_xlfn.XLOOKUP($B:$B,'Compilado 2023'!$B:$B,'Compilado 2023'!E:E)</f>
        <v>0</v>
      </c>
      <c r="F88" s="18">
        <f>_xlfn.XLOOKUP($B:$B,'Compilado 2023'!$B:$B,'Compilado 2023'!F:F)</f>
        <v>59</v>
      </c>
      <c r="G88" s="18">
        <f>_xlfn.XLOOKUP($B:$B,'Compilado 2023'!$B:$B,'Compilado 2023'!G:G)</f>
        <v>66</v>
      </c>
      <c r="H88" s="35">
        <f t="shared" si="24"/>
        <v>275.84593220338985</v>
      </c>
      <c r="I88" s="19">
        <f t="shared" si="25"/>
        <v>612.85333333333335</v>
      </c>
      <c r="J88" s="122">
        <f t="shared" si="26"/>
        <v>26.555962274823774</v>
      </c>
      <c r="K88" s="18">
        <f>_xlfn.XLOOKUP($B:$B,'Compilado 2023'!$B:$B,'Compilado 2023'!K:K)</f>
        <v>2629</v>
      </c>
      <c r="L88" s="54">
        <f t="shared" si="27"/>
        <v>2.2441993153290225E-2</v>
      </c>
      <c r="M88" s="149"/>
      <c r="N88" s="106">
        <f>_xlfn.XLOOKUP($B:$B,'Compilado 2023'!$B:$B,'Compilado 2023'!N:N)</f>
        <v>331.38</v>
      </c>
      <c r="O88" s="106">
        <f>_xlfn.XLOOKUP($B:$B,'Compilado 2023'!$B:$B,'Compilado 2023'!O:O)</f>
        <v>228.14</v>
      </c>
      <c r="P88" s="106">
        <f>_xlfn.XLOOKUP($B:$B,'Compilado 2023'!$B:$B,'Compilado 2023'!P:P)</f>
        <v>0</v>
      </c>
      <c r="Q88" s="106">
        <f>_xlfn.XLOOKUP($B:$B,'Compilado 2023'!$B:$B,'Compilado 2023'!Q:Q)</f>
        <v>53.333333333333336</v>
      </c>
      <c r="R88" s="106">
        <f>_xlfn.XLOOKUP($B:$B,'Compilado 2023'!$B:$B,'Compilado 2023'!R:R)</f>
        <v>0</v>
      </c>
      <c r="S88" s="106">
        <f>_xlfn.XLOOKUP($B:$B,'Compilado 2023'!$B:$B,'Compilado 2023'!T:T)</f>
        <v>0</v>
      </c>
      <c r="T88" s="106">
        <f>_xlfn.XLOOKUP($B:$B,'Compilado 2023'!$B:$B,'Compilado 2023'!U:U)</f>
        <v>0</v>
      </c>
      <c r="U88" s="106">
        <f>_xlfn.XLOOKUP($B:$B,'Compilado 2023'!$B:$B,'Compilado 2023'!V:V)</f>
        <v>0</v>
      </c>
      <c r="V88" s="57"/>
      <c r="W88" s="106">
        <f>_xlfn.XLOOKUP($B:$B,'Compilado 2023'!$B:$B,'Compilado 2023'!X:X)</f>
        <v>0</v>
      </c>
      <c r="X88" s="106">
        <f>_xlfn.XLOOKUP($B:$B,'Compilado 2023'!$B:$B,'Compilado 2023'!Y:Y)</f>
        <v>0</v>
      </c>
      <c r="Y88" s="106">
        <f>_xlfn.XLOOKUP($B:$B,'Compilado 2023'!$B:$B,'Compilado 2023'!Z:Z)</f>
        <v>0</v>
      </c>
      <c r="AA88" s="208">
        <v>45132</v>
      </c>
    </row>
    <row r="89" spans="1:27" hidden="1" x14ac:dyDescent="0.2">
      <c r="A89" s="17" t="str">
        <f t="shared" ca="1" si="28"/>
        <v>Realizado</v>
      </c>
      <c r="B89" s="17">
        <v>44830</v>
      </c>
      <c r="C89" s="19">
        <f t="shared" si="23"/>
        <v>41882.97</v>
      </c>
      <c r="D89" s="35">
        <f>_xlfn.XLOOKUP($B:$B,'Compilado 2023'!$B:$B,'Compilado 2023'!D:D)</f>
        <v>41882.97</v>
      </c>
      <c r="E89" s="35">
        <f>_xlfn.XLOOKUP($B:$B,'Compilado 2023'!$B:$B,'Compilado 2023'!E:E)</f>
        <v>0</v>
      </c>
      <c r="F89" s="18">
        <f>_xlfn.XLOOKUP($B:$B,'Compilado 2023'!$B:$B,'Compilado 2023'!F:F)</f>
        <v>148</v>
      </c>
      <c r="G89" s="18">
        <f>_xlfn.XLOOKUP($B:$B,'Compilado 2023'!$B:$B,'Compilado 2023'!G:G)</f>
        <v>186</v>
      </c>
      <c r="H89" s="35">
        <f t="shared" si="24"/>
        <v>282.99304054054056</v>
      </c>
      <c r="I89" s="19">
        <f t="shared" si="25"/>
        <v>855.08333333333337</v>
      </c>
      <c r="J89" s="122">
        <f t="shared" si="26"/>
        <v>48.981155832764834</v>
      </c>
      <c r="K89" s="18">
        <f>_xlfn.XLOOKUP($B:$B,'Compilado 2023'!$B:$B,'Compilado 2023'!K:K)</f>
        <v>4585</v>
      </c>
      <c r="L89" s="54">
        <f t="shared" si="27"/>
        <v>3.2279171210468922E-2</v>
      </c>
      <c r="M89" s="149"/>
      <c r="N89" s="106">
        <f>_xlfn.XLOOKUP($B:$B,'Compilado 2023'!$B:$B,'Compilado 2023'!N:N)</f>
        <v>468.78</v>
      </c>
      <c r="O89" s="106">
        <f>_xlfn.XLOOKUP($B:$B,'Compilado 2023'!$B:$B,'Compilado 2023'!O:O)</f>
        <v>332.97</v>
      </c>
      <c r="P89" s="106">
        <f>_xlfn.XLOOKUP($B:$B,'Compilado 2023'!$B:$B,'Compilado 2023'!P:P)</f>
        <v>0</v>
      </c>
      <c r="Q89" s="106">
        <f>_xlfn.XLOOKUP($B:$B,'Compilado 2023'!$B:$B,'Compilado 2023'!Q:Q)</f>
        <v>53.333333333333336</v>
      </c>
      <c r="R89" s="106">
        <f>_xlfn.XLOOKUP($B:$B,'Compilado 2023'!$B:$B,'Compilado 2023'!R:R)</f>
        <v>0</v>
      </c>
      <c r="S89" s="106">
        <f>_xlfn.XLOOKUP($B:$B,'Compilado 2023'!$B:$B,'Compilado 2023'!T:T)</f>
        <v>0</v>
      </c>
      <c r="T89" s="106">
        <f>_xlfn.XLOOKUP($B:$B,'Compilado 2023'!$B:$B,'Compilado 2023'!U:U)</f>
        <v>0</v>
      </c>
      <c r="U89" s="106">
        <f>_xlfn.XLOOKUP($B:$B,'Compilado 2023'!$B:$B,'Compilado 2023'!V:V)</f>
        <v>0</v>
      </c>
      <c r="V89" s="57"/>
      <c r="W89" s="106">
        <f>_xlfn.XLOOKUP($B:$B,'Compilado 2023'!$B:$B,'Compilado 2023'!X:X)</f>
        <v>0</v>
      </c>
      <c r="X89" s="106">
        <f>_xlfn.XLOOKUP($B:$B,'Compilado 2023'!$B:$B,'Compilado 2023'!Y:Y)</f>
        <v>0</v>
      </c>
      <c r="Y89" s="106">
        <f>_xlfn.XLOOKUP($B:$B,'Compilado 2023'!$B:$B,'Compilado 2023'!Z:Z)</f>
        <v>0</v>
      </c>
      <c r="AA89" s="208">
        <v>45133</v>
      </c>
    </row>
    <row r="90" spans="1:27" hidden="1" x14ac:dyDescent="0.2">
      <c r="A90" s="17" t="str">
        <f t="shared" ca="1" si="28"/>
        <v>Realizado</v>
      </c>
      <c r="B90" s="17">
        <v>44831</v>
      </c>
      <c r="C90" s="19">
        <f t="shared" si="23"/>
        <v>44967.11</v>
      </c>
      <c r="D90" s="35">
        <f>_xlfn.XLOOKUP($B:$B,'Compilado 2023'!$B:$B,'Compilado 2023'!D:D)</f>
        <v>44967.11</v>
      </c>
      <c r="E90" s="35">
        <f>_xlfn.XLOOKUP($B:$B,'Compilado 2023'!$B:$B,'Compilado 2023'!E:E)</f>
        <v>0</v>
      </c>
      <c r="F90" s="18">
        <f>_xlfn.XLOOKUP($B:$B,'Compilado 2023'!$B:$B,'Compilado 2023'!F:F)</f>
        <v>160</v>
      </c>
      <c r="G90" s="18">
        <f>_xlfn.XLOOKUP($B:$B,'Compilado 2023'!$B:$B,'Compilado 2023'!G:G)</f>
        <v>209</v>
      </c>
      <c r="H90" s="35">
        <f t="shared" si="24"/>
        <v>281.04443750000002</v>
      </c>
      <c r="I90" s="19">
        <f t="shared" si="25"/>
        <v>784.45333333333338</v>
      </c>
      <c r="J90" s="122">
        <f t="shared" si="26"/>
        <v>57.322861780603048</v>
      </c>
      <c r="K90" s="18">
        <f>_xlfn.XLOOKUP($B:$B,'Compilado 2023'!$B:$B,'Compilado 2023'!K:K)</f>
        <v>4252</v>
      </c>
      <c r="L90" s="54">
        <f t="shared" si="27"/>
        <v>3.7629350893697081E-2</v>
      </c>
      <c r="M90" s="149"/>
      <c r="N90" s="106">
        <f>_xlfn.XLOOKUP($B:$B,'Compilado 2023'!$B:$B,'Compilado 2023'!N:N)</f>
        <v>459.89</v>
      </c>
      <c r="O90" s="106">
        <f>_xlfn.XLOOKUP($B:$B,'Compilado 2023'!$B:$B,'Compilado 2023'!O:O)</f>
        <v>271.23</v>
      </c>
      <c r="P90" s="106">
        <f>_xlfn.XLOOKUP($B:$B,'Compilado 2023'!$B:$B,'Compilado 2023'!P:P)</f>
        <v>0</v>
      </c>
      <c r="Q90" s="106">
        <f>_xlfn.XLOOKUP($B:$B,'Compilado 2023'!$B:$B,'Compilado 2023'!Q:Q)</f>
        <v>53.333333333333336</v>
      </c>
      <c r="R90" s="106">
        <f>_xlfn.XLOOKUP($B:$B,'Compilado 2023'!$B:$B,'Compilado 2023'!R:R)</f>
        <v>0</v>
      </c>
      <c r="S90" s="106">
        <f>_xlfn.XLOOKUP($B:$B,'Compilado 2023'!$B:$B,'Compilado 2023'!T:T)</f>
        <v>0</v>
      </c>
      <c r="T90" s="106">
        <f>_xlfn.XLOOKUP($B:$B,'Compilado 2023'!$B:$B,'Compilado 2023'!U:U)</f>
        <v>0</v>
      </c>
      <c r="U90" s="106">
        <f>_xlfn.XLOOKUP($B:$B,'Compilado 2023'!$B:$B,'Compilado 2023'!V:V)</f>
        <v>0</v>
      </c>
      <c r="V90" s="57"/>
      <c r="W90" s="106">
        <f>_xlfn.XLOOKUP($B:$B,'Compilado 2023'!$B:$B,'Compilado 2023'!X:X)</f>
        <v>0</v>
      </c>
      <c r="X90" s="106">
        <f>_xlfn.XLOOKUP($B:$B,'Compilado 2023'!$B:$B,'Compilado 2023'!Y:Y)</f>
        <v>0</v>
      </c>
      <c r="Y90" s="106">
        <f>_xlfn.XLOOKUP($B:$B,'Compilado 2023'!$B:$B,'Compilado 2023'!Z:Z)</f>
        <v>0</v>
      </c>
      <c r="AA90" s="208">
        <v>45134</v>
      </c>
    </row>
    <row r="91" spans="1:27" hidden="1" x14ac:dyDescent="0.2">
      <c r="A91" s="17" t="str">
        <f t="shared" ca="1" si="28"/>
        <v>Realizado</v>
      </c>
      <c r="B91" s="17">
        <v>44832</v>
      </c>
      <c r="C91" s="19">
        <f t="shared" si="23"/>
        <v>66855.64</v>
      </c>
      <c r="D91" s="35">
        <f>_xlfn.XLOOKUP($B:$B,'Compilado 2023'!$B:$B,'Compilado 2023'!D:D)</f>
        <v>66855.64</v>
      </c>
      <c r="E91" s="35">
        <f>_xlfn.XLOOKUP($B:$B,'Compilado 2023'!$B:$B,'Compilado 2023'!E:E)</f>
        <v>0</v>
      </c>
      <c r="F91" s="18">
        <f>_xlfn.XLOOKUP($B:$B,'Compilado 2023'!$B:$B,'Compilado 2023'!F:F)</f>
        <v>193</v>
      </c>
      <c r="G91" s="18">
        <f>_xlfn.XLOOKUP($B:$B,'Compilado 2023'!$B:$B,'Compilado 2023'!G:G)</f>
        <v>328</v>
      </c>
      <c r="H91" s="35">
        <f t="shared" si="24"/>
        <v>346.40227979274613</v>
      </c>
      <c r="I91" s="19">
        <f t="shared" si="25"/>
        <v>942.3033333333334</v>
      </c>
      <c r="J91" s="122">
        <f t="shared" si="26"/>
        <v>70.949170649224769</v>
      </c>
      <c r="K91" s="18">
        <f>_xlfn.XLOOKUP($B:$B,'Compilado 2023'!$B:$B,'Compilado 2023'!K:K)</f>
        <v>4736</v>
      </c>
      <c r="L91" s="54">
        <f t="shared" si="27"/>
        <v>4.0751689189189186E-2</v>
      </c>
      <c r="M91" s="149"/>
      <c r="N91" s="106">
        <f>_xlfn.XLOOKUP($B:$B,'Compilado 2023'!$B:$B,'Compilado 2023'!N:N)</f>
        <v>415.17</v>
      </c>
      <c r="O91" s="106">
        <f>_xlfn.XLOOKUP($B:$B,'Compilado 2023'!$B:$B,'Compilado 2023'!O:O)</f>
        <v>473.8</v>
      </c>
      <c r="P91" s="106">
        <f>_xlfn.XLOOKUP($B:$B,'Compilado 2023'!$B:$B,'Compilado 2023'!P:P)</f>
        <v>0</v>
      </c>
      <c r="Q91" s="106">
        <f>_xlfn.XLOOKUP($B:$B,'Compilado 2023'!$B:$B,'Compilado 2023'!Q:Q)</f>
        <v>53.333333333333336</v>
      </c>
      <c r="R91" s="106">
        <f>_xlfn.XLOOKUP($B:$B,'Compilado 2023'!$B:$B,'Compilado 2023'!R:R)</f>
        <v>0</v>
      </c>
      <c r="S91" s="106">
        <f>_xlfn.XLOOKUP($B:$B,'Compilado 2023'!$B:$B,'Compilado 2023'!T:T)</f>
        <v>0</v>
      </c>
      <c r="T91" s="106">
        <f>_xlfn.XLOOKUP($B:$B,'Compilado 2023'!$B:$B,'Compilado 2023'!U:U)</f>
        <v>0</v>
      </c>
      <c r="U91" s="106">
        <f>_xlfn.XLOOKUP($B:$B,'Compilado 2023'!$B:$B,'Compilado 2023'!V:V)</f>
        <v>0</v>
      </c>
      <c r="V91" s="57"/>
      <c r="W91" s="106">
        <f>_xlfn.XLOOKUP($B:$B,'Compilado 2023'!$B:$B,'Compilado 2023'!X:X)</f>
        <v>0</v>
      </c>
      <c r="X91" s="106">
        <f>_xlfn.XLOOKUP($B:$B,'Compilado 2023'!$B:$B,'Compilado 2023'!Y:Y)</f>
        <v>0</v>
      </c>
      <c r="Y91" s="106">
        <f>_xlfn.XLOOKUP($B:$B,'Compilado 2023'!$B:$B,'Compilado 2023'!Z:Z)</f>
        <v>0</v>
      </c>
      <c r="AA91" s="208">
        <v>45135</v>
      </c>
    </row>
    <row r="92" spans="1:27" hidden="1" x14ac:dyDescent="0.2">
      <c r="A92" s="17" t="str">
        <f t="shared" ca="1" si="28"/>
        <v>Realizado</v>
      </c>
      <c r="B92" s="17">
        <v>44833</v>
      </c>
      <c r="C92" s="19">
        <f t="shared" si="23"/>
        <v>67928.87</v>
      </c>
      <c r="D92" s="35">
        <f>_xlfn.XLOOKUP($B:$B,'Compilado 2023'!$B:$B,'Compilado 2023'!D:D)</f>
        <v>67928.87</v>
      </c>
      <c r="E92" s="35">
        <f>_xlfn.XLOOKUP($B:$B,'Compilado 2023'!$B:$B,'Compilado 2023'!E:E)</f>
        <v>0</v>
      </c>
      <c r="F92" s="18">
        <f>_xlfn.XLOOKUP($B:$B,'Compilado 2023'!$B:$B,'Compilado 2023'!F:F)</f>
        <v>210</v>
      </c>
      <c r="G92" s="18">
        <f>_xlfn.XLOOKUP($B:$B,'Compilado 2023'!$B:$B,'Compilado 2023'!G:G)</f>
        <v>301</v>
      </c>
      <c r="H92" s="35">
        <f t="shared" si="24"/>
        <v>323.47080952380952</v>
      </c>
      <c r="I92" s="19">
        <f t="shared" si="25"/>
        <v>1046.6633333333332</v>
      </c>
      <c r="J92" s="122">
        <f t="shared" si="26"/>
        <v>64.900400956690945</v>
      </c>
      <c r="K92" s="18">
        <f>_xlfn.XLOOKUP($B:$B,'Compilado 2023'!$B:$B,'Compilado 2023'!K:K)</f>
        <v>4408</v>
      </c>
      <c r="L92" s="54">
        <f t="shared" si="27"/>
        <v>4.7640653357531759E-2</v>
      </c>
      <c r="M92" s="149"/>
      <c r="N92" s="106">
        <f>_xlfn.XLOOKUP($B:$B,'Compilado 2023'!$B:$B,'Compilado 2023'!N:N)</f>
        <v>352.71</v>
      </c>
      <c r="O92" s="106">
        <f>_xlfn.XLOOKUP($B:$B,'Compilado 2023'!$B:$B,'Compilado 2023'!O:O)</f>
        <v>640.62</v>
      </c>
      <c r="P92" s="106">
        <f>_xlfn.XLOOKUP($B:$B,'Compilado 2023'!$B:$B,'Compilado 2023'!P:P)</f>
        <v>0</v>
      </c>
      <c r="Q92" s="106">
        <f>_xlfn.XLOOKUP($B:$B,'Compilado 2023'!$B:$B,'Compilado 2023'!Q:Q)</f>
        <v>53.333333333333336</v>
      </c>
      <c r="R92" s="106">
        <f>_xlfn.XLOOKUP($B:$B,'Compilado 2023'!$B:$B,'Compilado 2023'!R:R)</f>
        <v>0</v>
      </c>
      <c r="S92" s="106">
        <f>_xlfn.XLOOKUP($B:$B,'Compilado 2023'!$B:$B,'Compilado 2023'!T:T)</f>
        <v>0</v>
      </c>
      <c r="T92" s="106">
        <f>_xlfn.XLOOKUP($B:$B,'Compilado 2023'!$B:$B,'Compilado 2023'!U:U)</f>
        <v>0</v>
      </c>
      <c r="U92" s="106">
        <f>_xlfn.XLOOKUP($B:$B,'Compilado 2023'!$B:$B,'Compilado 2023'!V:V)</f>
        <v>0</v>
      </c>
      <c r="V92" s="57"/>
      <c r="W92" s="106">
        <f>_xlfn.XLOOKUP($B:$B,'Compilado 2023'!$B:$B,'Compilado 2023'!X:X)</f>
        <v>0</v>
      </c>
      <c r="X92" s="106">
        <f>_xlfn.XLOOKUP($B:$B,'Compilado 2023'!$B:$B,'Compilado 2023'!Y:Y)</f>
        <v>0</v>
      </c>
      <c r="Y92" s="106">
        <f>_xlfn.XLOOKUP($B:$B,'Compilado 2023'!$B:$B,'Compilado 2023'!Z:Z)</f>
        <v>0</v>
      </c>
      <c r="AA92" s="208">
        <v>45136</v>
      </c>
    </row>
    <row r="93" spans="1:27" hidden="1" x14ac:dyDescent="0.2">
      <c r="A93" s="17" t="str">
        <f t="shared" ca="1" si="28"/>
        <v>Realizado</v>
      </c>
      <c r="B93" s="17">
        <v>44834</v>
      </c>
      <c r="C93" s="19">
        <f t="shared" si="23"/>
        <v>72018.289999999994</v>
      </c>
      <c r="D93" s="35">
        <f>_xlfn.XLOOKUP($B:$B,'Compilado 2023'!$B:$B,'Compilado 2023'!D:D)</f>
        <v>72018.289999999994</v>
      </c>
      <c r="E93" s="35">
        <f>_xlfn.XLOOKUP($B:$B,'Compilado 2023'!$B:$B,'Compilado 2023'!E:E)</f>
        <v>0</v>
      </c>
      <c r="F93" s="18">
        <f>_xlfn.XLOOKUP($B:$B,'Compilado 2023'!$B:$B,'Compilado 2023'!F:F)</f>
        <v>213</v>
      </c>
      <c r="G93" s="18">
        <f>_xlfn.XLOOKUP($B:$B,'Compilado 2023'!$B:$B,'Compilado 2023'!G:G)</f>
        <v>348</v>
      </c>
      <c r="H93" s="35">
        <f t="shared" si="24"/>
        <v>338.11403755868542</v>
      </c>
      <c r="I93" s="19">
        <f t="shared" si="25"/>
        <v>1119.7233333333331</v>
      </c>
      <c r="J93" s="122">
        <f t="shared" si="26"/>
        <v>64.317932703614289</v>
      </c>
      <c r="K93" s="18">
        <f>_xlfn.XLOOKUP($B:$B,'Compilado 2023'!$B:$B,'Compilado 2023'!K:K)</f>
        <v>4421</v>
      </c>
      <c r="L93" s="54">
        <f t="shared" si="27"/>
        <v>4.8179144989821308E-2</v>
      </c>
      <c r="M93" s="149"/>
      <c r="N93" s="106">
        <f>_xlfn.XLOOKUP($B:$B,'Compilado 2023'!$B:$B,'Compilado 2023'!N:N)</f>
        <v>328.14</v>
      </c>
      <c r="O93" s="106">
        <f>_xlfn.XLOOKUP($B:$B,'Compilado 2023'!$B:$B,'Compilado 2023'!O:O)</f>
        <v>738.25</v>
      </c>
      <c r="P93" s="106">
        <f>_xlfn.XLOOKUP($B:$B,'Compilado 2023'!$B:$B,'Compilado 2023'!P:P)</f>
        <v>0</v>
      </c>
      <c r="Q93" s="106">
        <f>_xlfn.XLOOKUP($B:$B,'Compilado 2023'!$B:$B,'Compilado 2023'!Q:Q)</f>
        <v>53.333333333333336</v>
      </c>
      <c r="R93" s="106">
        <f>_xlfn.XLOOKUP($B:$B,'Compilado 2023'!$B:$B,'Compilado 2023'!R:R)</f>
        <v>0</v>
      </c>
      <c r="S93" s="106">
        <f>_xlfn.XLOOKUP($B:$B,'Compilado 2023'!$B:$B,'Compilado 2023'!T:T)</f>
        <v>0</v>
      </c>
      <c r="T93" s="106">
        <f>_xlfn.XLOOKUP($B:$B,'Compilado 2023'!$B:$B,'Compilado 2023'!U:U)</f>
        <v>0</v>
      </c>
      <c r="U93" s="106">
        <f>_xlfn.XLOOKUP($B:$B,'Compilado 2023'!$B:$B,'Compilado 2023'!V:V)</f>
        <v>0</v>
      </c>
      <c r="V93" s="57"/>
      <c r="W93" s="106">
        <f>_xlfn.XLOOKUP($B:$B,'Compilado 2023'!$B:$B,'Compilado 2023'!X:X)</f>
        <v>0</v>
      </c>
      <c r="X93" s="106">
        <f>_xlfn.XLOOKUP($B:$B,'Compilado 2023'!$B:$B,'Compilado 2023'!Y:Y)</f>
        <v>0</v>
      </c>
      <c r="Y93" s="106">
        <f>_xlfn.XLOOKUP($B:$B,'Compilado 2023'!$B:$B,'Compilado 2023'!Z:Z)</f>
        <v>0</v>
      </c>
      <c r="AA93" s="208">
        <v>45137</v>
      </c>
    </row>
    <row r="94" spans="1:27" hidden="1" x14ac:dyDescent="0.2">
      <c r="A94" s="17" t="str">
        <f t="shared" ca="1" si="28"/>
        <v>Realizado</v>
      </c>
      <c r="C94" s="19">
        <f t="shared" si="23"/>
        <v>0</v>
      </c>
      <c r="D94" s="35">
        <f>_xlfn.XLOOKUP($B:$B,'Compilado 2023'!$B:$B,'Compilado 2023'!D:D)</f>
        <v>0</v>
      </c>
      <c r="E94" s="35">
        <f>_xlfn.XLOOKUP($B:$B,'Compilado 2023'!$B:$B,'Compilado 2023'!E:E)</f>
        <v>0</v>
      </c>
      <c r="F94" s="18">
        <f>_xlfn.XLOOKUP($B:$B,'Compilado 2023'!$B:$B,'Compilado 2023'!F:F)</f>
        <v>0</v>
      </c>
      <c r="G94" s="18">
        <f>_xlfn.XLOOKUP($B:$B,'Compilado 2023'!$B:$B,'Compilado 2023'!G:G)</f>
        <v>0</v>
      </c>
      <c r="H94" s="35">
        <f t="shared" si="24"/>
        <v>0</v>
      </c>
      <c r="I94" s="19">
        <f t="shared" si="25"/>
        <v>0</v>
      </c>
      <c r="J94" s="122">
        <f t="shared" si="26"/>
        <v>0</v>
      </c>
      <c r="K94" s="18">
        <f>_xlfn.XLOOKUP($B:$B,'Compilado 2023'!$B:$B,'Compilado 2023'!K:K)</f>
        <v>0</v>
      </c>
      <c r="L94" s="54">
        <f t="shared" si="27"/>
        <v>0</v>
      </c>
      <c r="M94" s="149"/>
      <c r="N94" s="106">
        <f>_xlfn.XLOOKUP($B:$B,'Compilado 2023'!$B:$B,'Compilado 2023'!N:N)</f>
        <v>0</v>
      </c>
      <c r="O94" s="106">
        <f>_xlfn.XLOOKUP($B:$B,'Compilado 2023'!$B:$B,'Compilado 2023'!O:O)</f>
        <v>0</v>
      </c>
      <c r="P94" s="106">
        <f>_xlfn.XLOOKUP($B:$B,'Compilado 2023'!$B:$B,'Compilado 2023'!P:P)</f>
        <v>0</v>
      </c>
      <c r="Q94" s="106">
        <f>_xlfn.XLOOKUP($B:$B,'Compilado 2023'!$B:$B,'Compilado 2023'!Q:Q)</f>
        <v>0</v>
      </c>
      <c r="R94" s="106">
        <f>_xlfn.XLOOKUP($B:$B,'Compilado 2023'!$B:$B,'Compilado 2023'!R:R)</f>
        <v>0</v>
      </c>
      <c r="S94" s="106">
        <f>_xlfn.XLOOKUP($B:$B,'Compilado 2023'!$B:$B,'Compilado 2023'!T:T)</f>
        <v>0</v>
      </c>
      <c r="T94" s="106">
        <f>_xlfn.XLOOKUP($B:$B,'Compilado 2023'!$B:$B,'Compilado 2023'!U:U)</f>
        <v>0</v>
      </c>
      <c r="U94" s="106">
        <f>_xlfn.XLOOKUP($B:$B,'Compilado 2023'!$B:$B,'Compilado 2023'!V:V)</f>
        <v>0</v>
      </c>
      <c r="V94" s="57"/>
      <c r="W94" s="106">
        <f>_xlfn.XLOOKUP($B:$B,'Compilado 2023'!$B:$B,'Compilado 2023'!X:X)</f>
        <v>0</v>
      </c>
      <c r="X94" s="106">
        <f>_xlfn.XLOOKUP($B:$B,'Compilado 2023'!$B:$B,'Compilado 2023'!Y:Y)</f>
        <v>0</v>
      </c>
      <c r="Y94" s="106">
        <f>_xlfn.XLOOKUP($B:$B,'Compilado 2023'!$B:$B,'Compilado 2023'!Z:Z)</f>
        <v>0</v>
      </c>
      <c r="AA94" s="208">
        <v>45138</v>
      </c>
    </row>
  </sheetData>
  <mergeCells count="3">
    <mergeCell ref="B41:D41"/>
    <mergeCell ref="B49:D49"/>
    <mergeCell ref="B57:D57"/>
  </mergeCells>
  <conditionalFormatting sqref="A64:A94">
    <cfRule type="cellIs" dxfId="98" priority="23" operator="equal">
      <formula>"Realizado"</formula>
    </cfRule>
    <cfRule type="cellIs" dxfId="97" priority="24" operator="equal">
      <formula>TODAY()</formula>
    </cfRule>
    <cfRule type="cellIs" dxfId="96" priority="25" operator="equal">
      <formula>"Realizado"</formula>
    </cfRule>
    <cfRule type="cellIs" dxfId="95" priority="26" operator="equal">
      <formula>TODAY()</formula>
    </cfRule>
  </conditionalFormatting>
  <conditionalFormatting sqref="A63:B63">
    <cfRule type="cellIs" dxfId="94" priority="30" operator="equal">
      <formula>TODAY()</formula>
    </cfRule>
  </conditionalFormatting>
  <conditionalFormatting sqref="B64:B93">
    <cfRule type="cellIs" dxfId="93" priority="77" operator="equal">
      <formula>TODAY()</formula>
    </cfRule>
  </conditionalFormatting>
  <conditionalFormatting sqref="B4:H34">
    <cfRule type="cellIs" dxfId="92" priority="54" operator="equal">
      <formula>TODAY()</formula>
    </cfRule>
  </conditionalFormatting>
  <conditionalFormatting sqref="C65:D93">
    <cfRule type="cellIs" dxfId="91" priority="22" operator="equal">
      <formula>TODAY()</formula>
    </cfRule>
    <cfRule type="cellIs" dxfId="90" priority="21" operator="equal">
      <formula>$A$1</formula>
    </cfRule>
  </conditionalFormatting>
  <conditionalFormatting sqref="C64:H94">
    <cfRule type="cellIs" dxfId="89" priority="1" operator="equal">
      <formula>TODAY()</formula>
    </cfRule>
  </conditionalFormatting>
  <conditionalFormatting sqref="C94:H94">
    <cfRule type="cellIs" dxfId="88" priority="18" operator="equal">
      <formula>$A$1</formula>
    </cfRule>
  </conditionalFormatting>
  <conditionalFormatting sqref="C46:L46">
    <cfRule type="cellIs" dxfId="87" priority="52" operator="lessThan">
      <formula>0</formula>
    </cfRule>
  </conditionalFormatting>
  <conditionalFormatting sqref="C47:L47">
    <cfRule type="cellIs" dxfId="86" priority="33" operator="lessThan">
      <formula>0</formula>
    </cfRule>
  </conditionalFormatting>
  <conditionalFormatting sqref="C53:L53">
    <cfRule type="cellIs" dxfId="85" priority="50" operator="lessThan">
      <formula>0</formula>
    </cfRule>
  </conditionalFormatting>
  <conditionalFormatting sqref="C54:L54">
    <cfRule type="cellIs" dxfId="84" priority="34" operator="lessThan">
      <formula>0</formula>
    </cfRule>
  </conditionalFormatting>
  <conditionalFormatting sqref="C61:L61">
    <cfRule type="cellIs" dxfId="83" priority="38" operator="lessThan">
      <formula>0</formula>
    </cfRule>
  </conditionalFormatting>
  <conditionalFormatting sqref="C62:L62">
    <cfRule type="cellIs" dxfId="82" priority="35" operator="lessThan">
      <formula>0</formula>
    </cfRule>
  </conditionalFormatting>
  <conditionalFormatting sqref="H5:H34">
    <cfRule type="cellIs" dxfId="81" priority="73" operator="equal">
      <formula>TODAY()</formula>
    </cfRule>
  </conditionalFormatting>
  <conditionalFormatting sqref="N4:Q34">
    <cfRule type="cellIs" dxfId="80" priority="69" operator="equal">
      <formula>TODAY()</formula>
    </cfRule>
  </conditionalFormatting>
  <conditionalFormatting sqref="N64:U94">
    <cfRule type="cellIs" dxfId="79" priority="5" operator="equal">
      <formula>TODAY()</formula>
    </cfRule>
  </conditionalFormatting>
  <conditionalFormatting sqref="R4 R5:S34">
    <cfRule type="cellIs" dxfId="78" priority="68" operator="equal">
      <formula>TODAY()</formula>
    </cfRule>
  </conditionalFormatting>
  <conditionalFormatting sqref="S4:U34">
    <cfRule type="cellIs" dxfId="77" priority="59" operator="equal">
      <formula>TODAY()</formula>
    </cfRule>
  </conditionalFormatting>
  <conditionalFormatting sqref="W4:Y34">
    <cfRule type="cellIs" dxfId="76" priority="57" operator="equal">
      <formula>TODAY()</formula>
    </cfRule>
  </conditionalFormatting>
  <conditionalFormatting sqref="W64:Y94">
    <cfRule type="cellIs" dxfId="75" priority="3" operator="equal">
      <formula>TODAY()</formula>
    </cfRule>
  </conditionalFormatting>
  <conditionalFormatting sqref="AA4:AA34">
    <cfRule type="cellIs" dxfId="74" priority="62" operator="equal">
      <formula>TODAY()</formula>
    </cfRule>
  </conditionalFormatting>
  <conditionalFormatting sqref="AA64:AA94">
    <cfRule type="cellIs" dxfId="73" priority="19" operator="equal">
      <formula>TODAY()</formula>
    </cfRule>
  </conditionalFormatting>
  <printOptions horizontalCentered="1" gridLines="1"/>
  <pageMargins left="0.7" right="0.7" top="0.75" bottom="0.75" header="0" footer="0"/>
  <pageSetup paperSize="9" scale="64" fitToWidth="0" pageOrder="overThenDown" orientation="landscape" cellComments="atEnd" r:id="rId1"/>
  <colBreaks count="1" manualBreakCount="1">
    <brk id="22" max="1048575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A4461-B396-4790-962D-44F97E8092B7}">
  <sheetPr codeName="Planilha14">
    <outlinePr summaryBelow="0" summaryRight="0"/>
    <pageSetUpPr fitToPage="1"/>
  </sheetPr>
  <dimension ref="A1:AG94"/>
  <sheetViews>
    <sheetView showGridLines="0" topLeftCell="J1" workbookViewId="0">
      <pane ySplit="3" topLeftCell="A48" activePane="bottomLeft" state="frozen"/>
      <selection activeCell="C64" sqref="C64:AA94"/>
      <selection pane="bottomLeft" activeCell="C64" sqref="C64:AA94"/>
    </sheetView>
  </sheetViews>
  <sheetFormatPr defaultColWidth="0" defaultRowHeight="12.75" x14ac:dyDescent="0.2"/>
  <cols>
    <col min="1" max="1" width="14" customWidth="1"/>
    <col min="2" max="2" width="11.7109375" customWidth="1"/>
    <col min="3" max="3" width="18.7109375" customWidth="1"/>
    <col min="4" max="4" width="16" bestFit="1" customWidth="1"/>
    <col min="5" max="5" width="11.7109375" customWidth="1"/>
    <col min="6" max="6" width="8.42578125" bestFit="1" customWidth="1"/>
    <col min="7" max="7" width="8.85546875" bestFit="1" customWidth="1"/>
    <col min="8" max="8" width="15.140625" customWidth="1"/>
    <col min="9" max="9" width="15.28515625" customWidth="1"/>
    <col min="10" max="10" width="12.28515625" bestFit="1" customWidth="1"/>
    <col min="11" max="11" width="12" customWidth="1"/>
    <col min="12" max="12" width="9.5703125" bestFit="1" customWidth="1"/>
    <col min="13" max="13" width="0.42578125" customWidth="1"/>
    <col min="14" max="14" width="12.5703125" bestFit="1" customWidth="1"/>
    <col min="15" max="15" width="11.5703125" bestFit="1" customWidth="1"/>
    <col min="16" max="16" width="10.42578125" bestFit="1" customWidth="1"/>
    <col min="17" max="17" width="11.5703125" bestFit="1" customWidth="1"/>
    <col min="18" max="18" width="10.140625" bestFit="1" customWidth="1"/>
    <col min="19" max="19" width="10.140625" customWidth="1"/>
    <col min="20" max="20" width="7.7109375" bestFit="1" customWidth="1"/>
    <col min="21" max="21" width="10.42578125" bestFit="1" customWidth="1"/>
    <col min="22" max="22" width="1.140625" customWidth="1"/>
    <col min="23" max="25" width="10.42578125" bestFit="1" customWidth="1"/>
    <col min="26" max="26" width="0.7109375" customWidth="1"/>
    <col min="27" max="27" width="36" customWidth="1"/>
    <col min="28" max="33" width="0" hidden="1" customWidth="1"/>
    <col min="34" max="16384" width="12.5703125" hidden="1"/>
  </cols>
  <sheetData>
    <row r="1" spans="1:27" s="8" customFormat="1" ht="59.25" x14ac:dyDescent="0.75">
      <c r="A1" s="6"/>
      <c r="B1" s="6"/>
      <c r="C1" s="7" t="s">
        <v>69</v>
      </c>
      <c r="D1" s="6"/>
      <c r="E1" s="6"/>
      <c r="F1" s="6"/>
      <c r="G1" s="6"/>
      <c r="H1" s="6"/>
      <c r="I1" s="6"/>
      <c r="J1" s="6"/>
      <c r="K1" s="6"/>
      <c r="L1" s="6"/>
      <c r="M1" s="75" t="s">
        <v>184</v>
      </c>
      <c r="N1" s="49">
        <f ca="1">TODAY()</f>
        <v>45834</v>
      </c>
      <c r="O1" s="50">
        <f>MONTH(B4)</f>
        <v>10</v>
      </c>
      <c r="P1" s="50">
        <f>YEAR(B4)</f>
        <v>2023</v>
      </c>
      <c r="Q1" s="49"/>
      <c r="R1" s="49"/>
      <c r="S1" s="49"/>
      <c r="T1" s="49"/>
      <c r="U1" s="36"/>
      <c r="V1" s="75" t="s">
        <v>185</v>
      </c>
      <c r="W1" s="36"/>
      <c r="X1" s="36"/>
      <c r="Y1" s="36"/>
      <c r="Z1" s="36"/>
      <c r="AA1" s="51" t="s">
        <v>73</v>
      </c>
    </row>
    <row r="2" spans="1:27" s="10" customFormat="1" ht="24" thickBot="1" x14ac:dyDescent="0.25">
      <c r="A2" s="43"/>
      <c r="B2" s="11" t="str">
        <f>_xlfn.CONCAT(_xlfn.XLOOKUP(O1,Referencia!$B$1:$B$13,Referencia!$A$1:$A$13)," ",P1)</f>
        <v>Outubro 2023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</row>
    <row r="3" spans="1:27" s="9" customFormat="1" ht="16.5" x14ac:dyDescent="0.35">
      <c r="A3" s="15" t="s">
        <v>74</v>
      </c>
      <c r="B3" s="13" t="s">
        <v>20</v>
      </c>
      <c r="C3" s="13" t="s">
        <v>75</v>
      </c>
      <c r="D3" s="13" t="s">
        <v>76</v>
      </c>
      <c r="E3" s="13" t="s">
        <v>77</v>
      </c>
      <c r="F3" s="13" t="s">
        <v>78</v>
      </c>
      <c r="G3" s="13" t="s">
        <v>79</v>
      </c>
      <c r="H3" s="13" t="s">
        <v>80</v>
      </c>
      <c r="I3" s="13" t="s">
        <v>81</v>
      </c>
      <c r="J3" s="13" t="s">
        <v>82</v>
      </c>
      <c r="K3" s="13" t="s">
        <v>40</v>
      </c>
      <c r="L3" s="13" t="s">
        <v>83</v>
      </c>
      <c r="M3" s="37"/>
      <c r="N3" s="13" t="s">
        <v>85</v>
      </c>
      <c r="O3" s="13" t="s">
        <v>155</v>
      </c>
      <c r="P3" s="13" t="s">
        <v>87</v>
      </c>
      <c r="Q3" s="13" t="s">
        <v>88</v>
      </c>
      <c r="R3" s="13" t="s">
        <v>89</v>
      </c>
      <c r="S3" s="13" t="s">
        <v>90</v>
      </c>
      <c r="T3" s="13" t="s">
        <v>91</v>
      </c>
      <c r="U3" s="13" t="s">
        <v>92</v>
      </c>
      <c r="V3" s="56"/>
      <c r="W3" s="13" t="s">
        <v>88</v>
      </c>
      <c r="X3" s="13" t="s">
        <v>91</v>
      </c>
      <c r="Y3" s="13" t="s">
        <v>92</v>
      </c>
      <c r="Z3" s="37"/>
      <c r="AA3" s="14" t="s">
        <v>73</v>
      </c>
    </row>
    <row r="4" spans="1:27" s="2" customFormat="1" x14ac:dyDescent="0.2">
      <c r="A4" s="16" t="str">
        <f t="shared" ref="A4:A34" si="0">TEXT(B4,"DDDD")</f>
        <v>domingo</v>
      </c>
      <c r="B4" s="17">
        <v>45200</v>
      </c>
      <c r="C4" s="19">
        <f>D4+E4</f>
        <v>0</v>
      </c>
      <c r="D4" s="35">
        <f>_xlfn.XLOOKUP($B:$B,'Compilado 2023'!$B:$B,'Compilado 2023'!D:D)</f>
        <v>0</v>
      </c>
      <c r="E4" s="35">
        <f>_xlfn.XLOOKUP($B:$B,'Compilado 2023'!$B:$B,'Compilado 2023'!E:E)</f>
        <v>0</v>
      </c>
      <c r="F4" s="18">
        <f>_xlfn.XLOOKUP($B:$B,'Compilado 2023'!$B:$B,'Compilado 2023'!F:F)</f>
        <v>0</v>
      </c>
      <c r="G4" s="18">
        <f>_xlfn.XLOOKUP($B:$B,'Compilado 2023'!$B:$B,'Compilado 2023'!G:G)</f>
        <v>0</v>
      </c>
      <c r="H4" s="35">
        <f>IFERROR(C4/F4,0)</f>
        <v>0</v>
      </c>
      <c r="I4" s="19">
        <f ca="1">SUM(N4:U4)</f>
        <v>51.612903225806448</v>
      </c>
      <c r="J4" s="117">
        <f t="shared" ref="J4:J34" ca="1" si="1">IF(I4&gt;0,C4/I4,0)</f>
        <v>0</v>
      </c>
      <c r="K4" s="18">
        <f>_xlfn.XLOOKUP($B:$B,'Compilado 2023'!$B:$B,'Compilado 2023'!K:K)</f>
        <v>0</v>
      </c>
      <c r="L4" s="54">
        <f t="shared" ref="L4:L34" si="2">IFERROR(F4/K4,0)</f>
        <v>0</v>
      </c>
      <c r="M4" s="38"/>
      <c r="N4" s="106">
        <f>_xlfn.XLOOKUP($B:$B,'Compilado 2023'!$B:$B,'Compilado 2023'!N:N)</f>
        <v>0</v>
      </c>
      <c r="O4" s="106">
        <f>_xlfn.XLOOKUP($B:$B,'Compilado 2023'!$B:$B,'Compilado 2023'!O:O)</f>
        <v>0</v>
      </c>
      <c r="P4" s="106">
        <f>_xlfn.XLOOKUP($B:$B,'Compilado 2023'!$B:$B,'Compilado 2023'!P:P)</f>
        <v>0</v>
      </c>
      <c r="Q4" s="106">
        <f ca="1">_xlfn.XLOOKUP($B:$B,'Compilado 2023'!$B:$B,'Compilado 2023'!Q:Q)</f>
        <v>51.612903225806448</v>
      </c>
      <c r="R4" s="106">
        <f>_xlfn.XLOOKUP($B:$B,'Compilado 2023'!$B:$B,'Compilado 2023'!R:R)</f>
        <v>0</v>
      </c>
      <c r="S4" s="106">
        <f>_xlfn.XLOOKUP($B:$B,'Compilado 2023'!$B:$B,'Compilado 2023'!S:S)</f>
        <v>0</v>
      </c>
      <c r="T4" s="106">
        <f>_xlfn.XLOOKUP($B:$B,'Compilado 2023'!$B:$B,'Compilado 2023'!U:U)</f>
        <v>0</v>
      </c>
      <c r="U4" s="106">
        <f>_xlfn.XLOOKUP($B:$B,'Compilado 2023'!$B:$B,'Compilado 2023'!V:V)</f>
        <v>0</v>
      </c>
      <c r="V4" s="57"/>
      <c r="W4" s="106">
        <f>_xlfn.XLOOKUP($B:$B,'Compilado 2023'!$B:$B,'Compilado 2023'!X:X)</f>
        <v>0</v>
      </c>
      <c r="X4" s="106">
        <f>_xlfn.XLOOKUP($B:$B,'Compilado 2023'!$B:$B,'Compilado 2023'!Y:Y)</f>
        <v>0</v>
      </c>
      <c r="Y4" s="106">
        <f>_xlfn.XLOOKUP($B:$B,'Compilado 2023'!$B:$B,'Compilado 2023'!Z:Z)</f>
        <v>0</v>
      </c>
      <c r="Z4" s="38"/>
      <c r="AA4" s="107">
        <f>_xlfn.XLOOKUP($B:$B,'Compilado 2023'!$B:$B,'Compilado 2023'!AA:AA)</f>
        <v>0</v>
      </c>
    </row>
    <row r="5" spans="1:27" s="2" customFormat="1" x14ac:dyDescent="0.2">
      <c r="A5" s="16" t="str">
        <f t="shared" si="0"/>
        <v>segunda-feira</v>
      </c>
      <c r="B5" s="17">
        <f>B4+1</f>
        <v>45201</v>
      </c>
      <c r="C5" s="19">
        <f t="shared" ref="C5:C34" si="3">D5+E5</f>
        <v>0</v>
      </c>
      <c r="D5" s="35">
        <f>_xlfn.XLOOKUP($B:$B,'Compilado 2023'!$B:$B,'Compilado 2023'!D:D)</f>
        <v>0</v>
      </c>
      <c r="E5" s="35">
        <f>_xlfn.XLOOKUP($B:$B,'Compilado 2023'!$B:$B,'Compilado 2023'!E:E)</f>
        <v>0</v>
      </c>
      <c r="F5" s="18">
        <f>_xlfn.XLOOKUP($B:$B,'Compilado 2023'!$B:$B,'Compilado 2023'!F:F)</f>
        <v>0</v>
      </c>
      <c r="G5" s="18">
        <f>_xlfn.XLOOKUP($B:$B,'Compilado 2023'!$B:$B,'Compilado 2023'!G:G)</f>
        <v>0</v>
      </c>
      <c r="H5" s="35">
        <f t="shared" ref="H5:H34" si="4">IFERROR(C5/F5,0)</f>
        <v>0</v>
      </c>
      <c r="I5" s="19">
        <f t="shared" ref="I5:I34" ca="1" si="5">SUM(N5:U5)</f>
        <v>51.612903225806448</v>
      </c>
      <c r="J5" s="117">
        <f t="shared" ca="1" si="1"/>
        <v>0</v>
      </c>
      <c r="K5" s="18">
        <f>_xlfn.XLOOKUP($B:$B,'Compilado 2023'!$B:$B,'Compilado 2023'!K:K)</f>
        <v>0</v>
      </c>
      <c r="L5" s="54">
        <f t="shared" si="2"/>
        <v>0</v>
      </c>
      <c r="M5" s="38"/>
      <c r="N5" s="106">
        <f>_xlfn.XLOOKUP($B:$B,'Compilado 2023'!$B:$B,'Compilado 2023'!N:N)</f>
        <v>0</v>
      </c>
      <c r="O5" s="106">
        <f>_xlfn.XLOOKUP($B:$B,'Compilado 2023'!$B:$B,'Compilado 2023'!O:O)</f>
        <v>0</v>
      </c>
      <c r="P5" s="106">
        <f>_xlfn.XLOOKUP($B:$B,'Compilado 2023'!$B:$B,'Compilado 2023'!P:P)</f>
        <v>0</v>
      </c>
      <c r="Q5" s="106">
        <f ca="1">_xlfn.XLOOKUP($B:$B,'Compilado 2023'!$B:$B,'Compilado 2023'!Q:Q)</f>
        <v>51.612903225806448</v>
      </c>
      <c r="R5" s="106">
        <f>_xlfn.XLOOKUP($B:$B,'Compilado 2023'!$B:$B,'Compilado 2023'!R:R)</f>
        <v>0</v>
      </c>
      <c r="S5" s="106">
        <f>_xlfn.XLOOKUP($B:$B,'Compilado 2023'!$B:$B,'Compilado 2023'!S:S)</f>
        <v>0</v>
      </c>
      <c r="T5" s="106">
        <f>_xlfn.XLOOKUP($B:$B,'Compilado 2023'!$B:$B,'Compilado 2023'!U:U)</f>
        <v>0</v>
      </c>
      <c r="U5" s="106">
        <f>_xlfn.XLOOKUP($B:$B,'Compilado 2023'!$B:$B,'Compilado 2023'!V:V)</f>
        <v>0</v>
      </c>
      <c r="V5" s="57"/>
      <c r="W5" s="106">
        <f>_xlfn.XLOOKUP($B:$B,'Compilado 2023'!$B:$B,'Compilado 2023'!X:X)</f>
        <v>0</v>
      </c>
      <c r="X5" s="106">
        <f>_xlfn.XLOOKUP($B:$B,'Compilado 2023'!$B:$B,'Compilado 2023'!Y:Y)</f>
        <v>0</v>
      </c>
      <c r="Y5" s="106">
        <f>_xlfn.XLOOKUP($B:$B,'Compilado 2023'!$B:$B,'Compilado 2023'!Z:Z)</f>
        <v>0</v>
      </c>
      <c r="Z5" s="38"/>
      <c r="AA5" s="107">
        <f>_xlfn.XLOOKUP($B:$B,'Compilado 2023'!$B:$B,'Compilado 2023'!AA:AA)</f>
        <v>0</v>
      </c>
    </row>
    <row r="6" spans="1:27" x14ac:dyDescent="0.2">
      <c r="A6" s="16" t="str">
        <f t="shared" si="0"/>
        <v>terça-feira</v>
      </c>
      <c r="B6" s="17">
        <f t="shared" ref="B6:B34" si="6">B5+1</f>
        <v>45202</v>
      </c>
      <c r="C6" s="19">
        <f t="shared" si="3"/>
        <v>0</v>
      </c>
      <c r="D6" s="35">
        <f>_xlfn.XLOOKUP($B:$B,'Compilado 2023'!$B:$B,'Compilado 2023'!D:D)</f>
        <v>0</v>
      </c>
      <c r="E6" s="35">
        <f>_xlfn.XLOOKUP($B:$B,'Compilado 2023'!$B:$B,'Compilado 2023'!E:E)</f>
        <v>0</v>
      </c>
      <c r="F6" s="18">
        <f>_xlfn.XLOOKUP($B:$B,'Compilado 2023'!$B:$B,'Compilado 2023'!F:F)</f>
        <v>0</v>
      </c>
      <c r="G6" s="18">
        <f>_xlfn.XLOOKUP($B:$B,'Compilado 2023'!$B:$B,'Compilado 2023'!G:G)</f>
        <v>0</v>
      </c>
      <c r="H6" s="35">
        <f t="shared" si="4"/>
        <v>0</v>
      </c>
      <c r="I6" s="19">
        <f t="shared" ca="1" si="5"/>
        <v>51.612903225806448</v>
      </c>
      <c r="J6" s="117">
        <f t="shared" ca="1" si="1"/>
        <v>0</v>
      </c>
      <c r="K6" s="18">
        <f>_xlfn.XLOOKUP($B:$B,'Compilado 2023'!$B:$B,'Compilado 2023'!K:K)</f>
        <v>0</v>
      </c>
      <c r="L6" s="54">
        <f t="shared" si="2"/>
        <v>0</v>
      </c>
      <c r="M6" s="38"/>
      <c r="N6" s="106">
        <f>_xlfn.XLOOKUP($B:$B,'Compilado 2023'!$B:$B,'Compilado 2023'!N:N)</f>
        <v>0</v>
      </c>
      <c r="O6" s="106">
        <f>_xlfn.XLOOKUP($B:$B,'Compilado 2023'!$B:$B,'Compilado 2023'!O:O)</f>
        <v>0</v>
      </c>
      <c r="P6" s="106">
        <f>_xlfn.XLOOKUP($B:$B,'Compilado 2023'!$B:$B,'Compilado 2023'!P:P)</f>
        <v>0</v>
      </c>
      <c r="Q6" s="106">
        <f ca="1">_xlfn.XLOOKUP($B:$B,'Compilado 2023'!$B:$B,'Compilado 2023'!Q:Q)</f>
        <v>51.612903225806448</v>
      </c>
      <c r="R6" s="106">
        <f>_xlfn.XLOOKUP($B:$B,'Compilado 2023'!$B:$B,'Compilado 2023'!R:R)</f>
        <v>0</v>
      </c>
      <c r="S6" s="106">
        <f>_xlfn.XLOOKUP($B:$B,'Compilado 2023'!$B:$B,'Compilado 2023'!S:S)</f>
        <v>0</v>
      </c>
      <c r="T6" s="106">
        <f>_xlfn.XLOOKUP($B:$B,'Compilado 2023'!$B:$B,'Compilado 2023'!U:U)</f>
        <v>0</v>
      </c>
      <c r="U6" s="106">
        <f>_xlfn.XLOOKUP($B:$B,'Compilado 2023'!$B:$B,'Compilado 2023'!V:V)</f>
        <v>0</v>
      </c>
      <c r="V6" s="57"/>
      <c r="W6" s="106">
        <f>_xlfn.XLOOKUP($B:$B,'Compilado 2023'!$B:$B,'Compilado 2023'!X:X)</f>
        <v>0</v>
      </c>
      <c r="X6" s="106">
        <f>_xlfn.XLOOKUP($B:$B,'Compilado 2023'!$B:$B,'Compilado 2023'!Y:Y)</f>
        <v>0</v>
      </c>
      <c r="Y6" s="106">
        <f>_xlfn.XLOOKUP($B:$B,'Compilado 2023'!$B:$B,'Compilado 2023'!Z:Z)</f>
        <v>0</v>
      </c>
      <c r="Z6" s="38"/>
      <c r="AA6" s="107">
        <f>_xlfn.XLOOKUP($B:$B,'Compilado 2023'!$B:$B,'Compilado 2023'!AA:AA)</f>
        <v>0</v>
      </c>
    </row>
    <row r="7" spans="1:27" x14ac:dyDescent="0.2">
      <c r="A7" s="16" t="str">
        <f t="shared" si="0"/>
        <v>quarta-feira</v>
      </c>
      <c r="B7" s="17">
        <f t="shared" si="6"/>
        <v>45203</v>
      </c>
      <c r="C7" s="19">
        <f t="shared" si="3"/>
        <v>0</v>
      </c>
      <c r="D7" s="35">
        <f>_xlfn.XLOOKUP($B:$B,'Compilado 2023'!$B:$B,'Compilado 2023'!D:D)</f>
        <v>0</v>
      </c>
      <c r="E7" s="35">
        <f>_xlfn.XLOOKUP($B:$B,'Compilado 2023'!$B:$B,'Compilado 2023'!E:E)</f>
        <v>0</v>
      </c>
      <c r="F7" s="18">
        <f>_xlfn.XLOOKUP($B:$B,'Compilado 2023'!$B:$B,'Compilado 2023'!F:F)</f>
        <v>0</v>
      </c>
      <c r="G7" s="18">
        <f>_xlfn.XLOOKUP($B:$B,'Compilado 2023'!$B:$B,'Compilado 2023'!G:G)</f>
        <v>0</v>
      </c>
      <c r="H7" s="35">
        <f t="shared" si="4"/>
        <v>0</v>
      </c>
      <c r="I7" s="19">
        <f t="shared" ca="1" si="5"/>
        <v>51.612903225806448</v>
      </c>
      <c r="J7" s="117">
        <f t="shared" ca="1" si="1"/>
        <v>0</v>
      </c>
      <c r="K7" s="18">
        <f>_xlfn.XLOOKUP($B:$B,'Compilado 2023'!$B:$B,'Compilado 2023'!K:K)</f>
        <v>0</v>
      </c>
      <c r="L7" s="54">
        <f t="shared" si="2"/>
        <v>0</v>
      </c>
      <c r="M7" s="38"/>
      <c r="N7" s="106">
        <f>_xlfn.XLOOKUP($B:$B,'Compilado 2023'!$B:$B,'Compilado 2023'!N:N)</f>
        <v>0</v>
      </c>
      <c r="O7" s="106">
        <f>_xlfn.XLOOKUP($B:$B,'Compilado 2023'!$B:$B,'Compilado 2023'!O:O)</f>
        <v>0</v>
      </c>
      <c r="P7" s="106">
        <f>_xlfn.XLOOKUP($B:$B,'Compilado 2023'!$B:$B,'Compilado 2023'!P:P)</f>
        <v>0</v>
      </c>
      <c r="Q7" s="106">
        <f ca="1">_xlfn.XLOOKUP($B:$B,'Compilado 2023'!$B:$B,'Compilado 2023'!Q:Q)</f>
        <v>51.612903225806448</v>
      </c>
      <c r="R7" s="106">
        <f>_xlfn.XLOOKUP($B:$B,'Compilado 2023'!$B:$B,'Compilado 2023'!R:R)</f>
        <v>0</v>
      </c>
      <c r="S7" s="106">
        <f>_xlfn.XLOOKUP($B:$B,'Compilado 2023'!$B:$B,'Compilado 2023'!S:S)</f>
        <v>0</v>
      </c>
      <c r="T7" s="106">
        <f>_xlfn.XLOOKUP($B:$B,'Compilado 2023'!$B:$B,'Compilado 2023'!U:U)</f>
        <v>0</v>
      </c>
      <c r="U7" s="106">
        <f>_xlfn.XLOOKUP($B:$B,'Compilado 2023'!$B:$B,'Compilado 2023'!V:V)</f>
        <v>0</v>
      </c>
      <c r="V7" s="57"/>
      <c r="W7" s="106">
        <f>_xlfn.XLOOKUP($B:$B,'Compilado 2023'!$B:$B,'Compilado 2023'!X:X)</f>
        <v>0</v>
      </c>
      <c r="X7" s="106">
        <f>_xlfn.XLOOKUP($B:$B,'Compilado 2023'!$B:$B,'Compilado 2023'!Y:Y)</f>
        <v>0</v>
      </c>
      <c r="Y7" s="106">
        <f>_xlfn.XLOOKUP($B:$B,'Compilado 2023'!$B:$B,'Compilado 2023'!Z:Z)</f>
        <v>0</v>
      </c>
      <c r="Z7" s="38"/>
      <c r="AA7" s="107">
        <f>_xlfn.XLOOKUP($B:$B,'Compilado 2023'!$B:$B,'Compilado 2023'!AA:AA)</f>
        <v>0</v>
      </c>
    </row>
    <row r="8" spans="1:27" s="2" customFormat="1" x14ac:dyDescent="0.2">
      <c r="A8" s="16" t="str">
        <f t="shared" si="0"/>
        <v>quinta-feira</v>
      </c>
      <c r="B8" s="17">
        <f t="shared" si="6"/>
        <v>45204</v>
      </c>
      <c r="C8" s="19">
        <f t="shared" si="3"/>
        <v>0</v>
      </c>
      <c r="D8" s="35">
        <f>_xlfn.XLOOKUP($B:$B,'Compilado 2023'!$B:$B,'Compilado 2023'!D:D)</f>
        <v>0</v>
      </c>
      <c r="E8" s="35">
        <f>_xlfn.XLOOKUP($B:$B,'Compilado 2023'!$B:$B,'Compilado 2023'!E:E)</f>
        <v>0</v>
      </c>
      <c r="F8" s="18">
        <f>_xlfn.XLOOKUP($B:$B,'Compilado 2023'!$B:$B,'Compilado 2023'!F:F)</f>
        <v>0</v>
      </c>
      <c r="G8" s="18">
        <f>_xlfn.XLOOKUP($B:$B,'Compilado 2023'!$B:$B,'Compilado 2023'!G:G)</f>
        <v>0</v>
      </c>
      <c r="H8" s="35">
        <f t="shared" si="4"/>
        <v>0</v>
      </c>
      <c r="I8" s="19">
        <f t="shared" ca="1" si="5"/>
        <v>51.612903225806448</v>
      </c>
      <c r="J8" s="117">
        <f t="shared" ca="1" si="1"/>
        <v>0</v>
      </c>
      <c r="K8" s="18">
        <f>_xlfn.XLOOKUP($B:$B,'Compilado 2023'!$B:$B,'Compilado 2023'!K:K)</f>
        <v>0</v>
      </c>
      <c r="L8" s="54">
        <f t="shared" si="2"/>
        <v>0</v>
      </c>
      <c r="M8" s="38"/>
      <c r="N8" s="106">
        <f>_xlfn.XLOOKUP($B:$B,'Compilado 2023'!$B:$B,'Compilado 2023'!N:N)</f>
        <v>0</v>
      </c>
      <c r="O8" s="106">
        <f>_xlfn.XLOOKUP($B:$B,'Compilado 2023'!$B:$B,'Compilado 2023'!O:O)</f>
        <v>0</v>
      </c>
      <c r="P8" s="106">
        <f>_xlfn.XLOOKUP($B:$B,'Compilado 2023'!$B:$B,'Compilado 2023'!P:P)</f>
        <v>0</v>
      </c>
      <c r="Q8" s="106">
        <f ca="1">_xlfn.XLOOKUP($B:$B,'Compilado 2023'!$B:$B,'Compilado 2023'!Q:Q)</f>
        <v>51.612903225806448</v>
      </c>
      <c r="R8" s="106">
        <f>_xlfn.XLOOKUP($B:$B,'Compilado 2023'!$B:$B,'Compilado 2023'!R:R)</f>
        <v>0</v>
      </c>
      <c r="S8" s="106">
        <f>_xlfn.XLOOKUP($B:$B,'Compilado 2023'!$B:$B,'Compilado 2023'!S:S)</f>
        <v>0</v>
      </c>
      <c r="T8" s="106">
        <f>_xlfn.XLOOKUP($B:$B,'Compilado 2023'!$B:$B,'Compilado 2023'!U:U)</f>
        <v>0</v>
      </c>
      <c r="U8" s="106">
        <f>_xlfn.XLOOKUP($B:$B,'Compilado 2023'!$B:$B,'Compilado 2023'!V:V)</f>
        <v>0</v>
      </c>
      <c r="V8" s="57"/>
      <c r="W8" s="106">
        <f>_xlfn.XLOOKUP($B:$B,'Compilado 2023'!$B:$B,'Compilado 2023'!X:X)</f>
        <v>0</v>
      </c>
      <c r="X8" s="106">
        <f>_xlfn.XLOOKUP($B:$B,'Compilado 2023'!$B:$B,'Compilado 2023'!Y:Y)</f>
        <v>0</v>
      </c>
      <c r="Y8" s="106">
        <f>_xlfn.XLOOKUP($B:$B,'Compilado 2023'!$B:$B,'Compilado 2023'!Z:Z)</f>
        <v>0</v>
      </c>
      <c r="Z8" s="38"/>
      <c r="AA8" s="107">
        <f>_xlfn.XLOOKUP($B:$B,'Compilado 2023'!$B:$B,'Compilado 2023'!AA:AA)</f>
        <v>0</v>
      </c>
    </row>
    <row r="9" spans="1:27" s="2" customFormat="1" x14ac:dyDescent="0.2">
      <c r="A9" s="16" t="str">
        <f t="shared" si="0"/>
        <v>sexta-feira</v>
      </c>
      <c r="B9" s="17">
        <f t="shared" si="6"/>
        <v>45205</v>
      </c>
      <c r="C9" s="19">
        <f t="shared" si="3"/>
        <v>0</v>
      </c>
      <c r="D9" s="35">
        <f>_xlfn.XLOOKUP($B:$B,'Compilado 2023'!$B:$B,'Compilado 2023'!D:D)</f>
        <v>0</v>
      </c>
      <c r="E9" s="35">
        <f>_xlfn.XLOOKUP($B:$B,'Compilado 2023'!$B:$B,'Compilado 2023'!E:E)</f>
        <v>0</v>
      </c>
      <c r="F9" s="18">
        <f>_xlfn.XLOOKUP($B:$B,'Compilado 2023'!$B:$B,'Compilado 2023'!F:F)</f>
        <v>0</v>
      </c>
      <c r="G9" s="18">
        <f>_xlfn.XLOOKUP($B:$B,'Compilado 2023'!$B:$B,'Compilado 2023'!G:G)</f>
        <v>0</v>
      </c>
      <c r="H9" s="35">
        <f t="shared" si="4"/>
        <v>0</v>
      </c>
      <c r="I9" s="19">
        <f t="shared" ca="1" si="5"/>
        <v>51.612903225806448</v>
      </c>
      <c r="J9" s="117">
        <f t="shared" ca="1" si="1"/>
        <v>0</v>
      </c>
      <c r="K9" s="18">
        <f>_xlfn.XLOOKUP($B:$B,'Compilado 2023'!$B:$B,'Compilado 2023'!K:K)</f>
        <v>0</v>
      </c>
      <c r="L9" s="54">
        <f t="shared" si="2"/>
        <v>0</v>
      </c>
      <c r="M9" s="38"/>
      <c r="N9" s="106">
        <f>_xlfn.XLOOKUP($B:$B,'Compilado 2023'!$B:$B,'Compilado 2023'!N:N)</f>
        <v>0</v>
      </c>
      <c r="O9" s="106">
        <f>_xlfn.XLOOKUP($B:$B,'Compilado 2023'!$B:$B,'Compilado 2023'!O:O)</f>
        <v>0</v>
      </c>
      <c r="P9" s="106">
        <f>_xlfn.XLOOKUP($B:$B,'Compilado 2023'!$B:$B,'Compilado 2023'!P:P)</f>
        <v>0</v>
      </c>
      <c r="Q9" s="106">
        <f ca="1">_xlfn.XLOOKUP($B:$B,'Compilado 2023'!$B:$B,'Compilado 2023'!Q:Q)</f>
        <v>51.612903225806448</v>
      </c>
      <c r="R9" s="106">
        <f>_xlfn.XLOOKUP($B:$B,'Compilado 2023'!$B:$B,'Compilado 2023'!R:R)</f>
        <v>0</v>
      </c>
      <c r="S9" s="106">
        <f>_xlfn.XLOOKUP($B:$B,'Compilado 2023'!$B:$B,'Compilado 2023'!S:S)</f>
        <v>0</v>
      </c>
      <c r="T9" s="106">
        <f>_xlfn.XLOOKUP($B:$B,'Compilado 2023'!$B:$B,'Compilado 2023'!U:U)</f>
        <v>0</v>
      </c>
      <c r="U9" s="106">
        <f>_xlfn.XLOOKUP($B:$B,'Compilado 2023'!$B:$B,'Compilado 2023'!V:V)</f>
        <v>0</v>
      </c>
      <c r="V9" s="57"/>
      <c r="W9" s="106">
        <f>_xlfn.XLOOKUP($B:$B,'Compilado 2023'!$B:$B,'Compilado 2023'!X:X)</f>
        <v>0</v>
      </c>
      <c r="X9" s="106">
        <f>_xlfn.XLOOKUP($B:$B,'Compilado 2023'!$B:$B,'Compilado 2023'!Y:Y)</f>
        <v>0</v>
      </c>
      <c r="Y9" s="106">
        <f>_xlfn.XLOOKUP($B:$B,'Compilado 2023'!$B:$B,'Compilado 2023'!Z:Z)</f>
        <v>0</v>
      </c>
      <c r="Z9" s="38"/>
      <c r="AA9" s="107">
        <f>_xlfn.XLOOKUP($B:$B,'Compilado 2023'!$B:$B,'Compilado 2023'!AA:AA)</f>
        <v>0</v>
      </c>
    </row>
    <row r="10" spans="1:27" s="2" customFormat="1" x14ac:dyDescent="0.2">
      <c r="A10" s="16" t="str">
        <f t="shared" si="0"/>
        <v>sábado</v>
      </c>
      <c r="B10" s="17">
        <f t="shared" si="6"/>
        <v>45206</v>
      </c>
      <c r="C10" s="19">
        <f t="shared" si="3"/>
        <v>0</v>
      </c>
      <c r="D10" s="35">
        <f>_xlfn.XLOOKUP($B:$B,'Compilado 2023'!$B:$B,'Compilado 2023'!D:D)</f>
        <v>0</v>
      </c>
      <c r="E10" s="35">
        <f>_xlfn.XLOOKUP($B:$B,'Compilado 2023'!$B:$B,'Compilado 2023'!E:E)</f>
        <v>0</v>
      </c>
      <c r="F10" s="18">
        <f>_xlfn.XLOOKUP($B:$B,'Compilado 2023'!$B:$B,'Compilado 2023'!F:F)</f>
        <v>0</v>
      </c>
      <c r="G10" s="18">
        <f>_xlfn.XLOOKUP($B:$B,'Compilado 2023'!$B:$B,'Compilado 2023'!G:G)</f>
        <v>0</v>
      </c>
      <c r="H10" s="35">
        <f t="shared" si="4"/>
        <v>0</v>
      </c>
      <c r="I10" s="19">
        <f t="shared" ca="1" si="5"/>
        <v>51.612903225806448</v>
      </c>
      <c r="J10" s="117">
        <f t="shared" ca="1" si="1"/>
        <v>0</v>
      </c>
      <c r="K10" s="18">
        <f>_xlfn.XLOOKUP($B:$B,'Compilado 2023'!$B:$B,'Compilado 2023'!K:K)</f>
        <v>0</v>
      </c>
      <c r="L10" s="54">
        <f t="shared" si="2"/>
        <v>0</v>
      </c>
      <c r="M10" s="38"/>
      <c r="N10" s="106">
        <f>_xlfn.XLOOKUP($B:$B,'Compilado 2023'!$B:$B,'Compilado 2023'!N:N)</f>
        <v>0</v>
      </c>
      <c r="O10" s="106">
        <f>_xlfn.XLOOKUP($B:$B,'Compilado 2023'!$B:$B,'Compilado 2023'!O:O)</f>
        <v>0</v>
      </c>
      <c r="P10" s="106">
        <f>_xlfn.XLOOKUP($B:$B,'Compilado 2023'!$B:$B,'Compilado 2023'!P:P)</f>
        <v>0</v>
      </c>
      <c r="Q10" s="106">
        <f ca="1">_xlfn.XLOOKUP($B:$B,'Compilado 2023'!$B:$B,'Compilado 2023'!Q:Q)</f>
        <v>51.612903225806448</v>
      </c>
      <c r="R10" s="106">
        <f>_xlfn.XLOOKUP($B:$B,'Compilado 2023'!$B:$B,'Compilado 2023'!R:R)</f>
        <v>0</v>
      </c>
      <c r="S10" s="106">
        <f>_xlfn.XLOOKUP($B:$B,'Compilado 2023'!$B:$B,'Compilado 2023'!S:S)</f>
        <v>0</v>
      </c>
      <c r="T10" s="106">
        <f>_xlfn.XLOOKUP($B:$B,'Compilado 2023'!$B:$B,'Compilado 2023'!U:U)</f>
        <v>0</v>
      </c>
      <c r="U10" s="106">
        <f>_xlfn.XLOOKUP($B:$B,'Compilado 2023'!$B:$B,'Compilado 2023'!V:V)</f>
        <v>0</v>
      </c>
      <c r="V10" s="57"/>
      <c r="W10" s="106">
        <f>_xlfn.XLOOKUP($B:$B,'Compilado 2023'!$B:$B,'Compilado 2023'!X:X)</f>
        <v>0</v>
      </c>
      <c r="X10" s="106">
        <f>_xlfn.XLOOKUP($B:$B,'Compilado 2023'!$B:$B,'Compilado 2023'!Y:Y)</f>
        <v>0</v>
      </c>
      <c r="Y10" s="106">
        <f>_xlfn.XLOOKUP($B:$B,'Compilado 2023'!$B:$B,'Compilado 2023'!Z:Z)</f>
        <v>0</v>
      </c>
      <c r="Z10" s="38"/>
      <c r="AA10" s="107">
        <f>_xlfn.XLOOKUP($B:$B,'Compilado 2023'!$B:$B,'Compilado 2023'!AA:AA)</f>
        <v>0</v>
      </c>
    </row>
    <row r="11" spans="1:27" s="2" customFormat="1" x14ac:dyDescent="0.2">
      <c r="A11" s="16" t="str">
        <f t="shared" si="0"/>
        <v>domingo</v>
      </c>
      <c r="B11" s="17">
        <f t="shared" si="6"/>
        <v>45207</v>
      </c>
      <c r="C11" s="19">
        <f t="shared" si="3"/>
        <v>0</v>
      </c>
      <c r="D11" s="35">
        <f>_xlfn.XLOOKUP($B:$B,'Compilado 2023'!$B:$B,'Compilado 2023'!D:D)</f>
        <v>0</v>
      </c>
      <c r="E11" s="35">
        <f>_xlfn.XLOOKUP($B:$B,'Compilado 2023'!$B:$B,'Compilado 2023'!E:E)</f>
        <v>0</v>
      </c>
      <c r="F11" s="18">
        <f>_xlfn.XLOOKUP($B:$B,'Compilado 2023'!$B:$B,'Compilado 2023'!F:F)</f>
        <v>0</v>
      </c>
      <c r="G11" s="18">
        <f>_xlfn.XLOOKUP($B:$B,'Compilado 2023'!$B:$B,'Compilado 2023'!G:G)</f>
        <v>0</v>
      </c>
      <c r="H11" s="35">
        <f t="shared" si="4"/>
        <v>0</v>
      </c>
      <c r="I11" s="19">
        <f t="shared" ca="1" si="5"/>
        <v>51.612903225806448</v>
      </c>
      <c r="J11" s="117">
        <f t="shared" ca="1" si="1"/>
        <v>0</v>
      </c>
      <c r="K11" s="18">
        <f>_xlfn.XLOOKUP($B:$B,'Compilado 2023'!$B:$B,'Compilado 2023'!K:K)</f>
        <v>0</v>
      </c>
      <c r="L11" s="54">
        <f t="shared" si="2"/>
        <v>0</v>
      </c>
      <c r="M11" s="38"/>
      <c r="N11" s="106">
        <f>_xlfn.XLOOKUP($B:$B,'Compilado 2023'!$B:$B,'Compilado 2023'!N:N)</f>
        <v>0</v>
      </c>
      <c r="O11" s="106">
        <f>_xlfn.XLOOKUP($B:$B,'Compilado 2023'!$B:$B,'Compilado 2023'!O:O)</f>
        <v>0</v>
      </c>
      <c r="P11" s="106">
        <f>_xlfn.XLOOKUP($B:$B,'Compilado 2023'!$B:$B,'Compilado 2023'!P:P)</f>
        <v>0</v>
      </c>
      <c r="Q11" s="106">
        <f ca="1">_xlfn.XLOOKUP($B:$B,'Compilado 2023'!$B:$B,'Compilado 2023'!Q:Q)</f>
        <v>51.612903225806448</v>
      </c>
      <c r="R11" s="106">
        <f>_xlfn.XLOOKUP($B:$B,'Compilado 2023'!$B:$B,'Compilado 2023'!R:R)</f>
        <v>0</v>
      </c>
      <c r="S11" s="106">
        <f>_xlfn.XLOOKUP($B:$B,'Compilado 2023'!$B:$B,'Compilado 2023'!S:S)</f>
        <v>0</v>
      </c>
      <c r="T11" s="106">
        <f>_xlfn.XLOOKUP($B:$B,'Compilado 2023'!$B:$B,'Compilado 2023'!U:U)</f>
        <v>0</v>
      </c>
      <c r="U11" s="106">
        <f>_xlfn.XLOOKUP($B:$B,'Compilado 2023'!$B:$B,'Compilado 2023'!V:V)</f>
        <v>0</v>
      </c>
      <c r="V11" s="57"/>
      <c r="W11" s="106">
        <f>_xlfn.XLOOKUP($B:$B,'Compilado 2023'!$B:$B,'Compilado 2023'!X:X)</f>
        <v>0</v>
      </c>
      <c r="X11" s="106">
        <f>_xlfn.XLOOKUP($B:$B,'Compilado 2023'!$B:$B,'Compilado 2023'!Y:Y)</f>
        <v>0</v>
      </c>
      <c r="Y11" s="106">
        <f>_xlfn.XLOOKUP($B:$B,'Compilado 2023'!$B:$B,'Compilado 2023'!Z:Z)</f>
        <v>0</v>
      </c>
      <c r="Z11" s="38"/>
      <c r="AA11" s="107">
        <f>_xlfn.XLOOKUP($B:$B,'Compilado 2023'!$B:$B,'Compilado 2023'!AA:AA)</f>
        <v>0</v>
      </c>
    </row>
    <row r="12" spans="1:27" s="2" customFormat="1" x14ac:dyDescent="0.2">
      <c r="A12" s="16" t="str">
        <f t="shared" si="0"/>
        <v>segunda-feira</v>
      </c>
      <c r="B12" s="17">
        <f t="shared" si="6"/>
        <v>45208</v>
      </c>
      <c r="C12" s="19">
        <f t="shared" si="3"/>
        <v>0</v>
      </c>
      <c r="D12" s="35">
        <f>_xlfn.XLOOKUP($B:$B,'Compilado 2023'!$B:$B,'Compilado 2023'!D:D)</f>
        <v>0</v>
      </c>
      <c r="E12" s="35">
        <f>_xlfn.XLOOKUP($B:$B,'Compilado 2023'!$B:$B,'Compilado 2023'!E:E)</f>
        <v>0</v>
      </c>
      <c r="F12" s="18">
        <f>_xlfn.XLOOKUP($B:$B,'Compilado 2023'!$B:$B,'Compilado 2023'!F:F)</f>
        <v>0</v>
      </c>
      <c r="G12" s="18">
        <f>_xlfn.XLOOKUP($B:$B,'Compilado 2023'!$B:$B,'Compilado 2023'!G:G)</f>
        <v>0</v>
      </c>
      <c r="H12" s="35">
        <f t="shared" si="4"/>
        <v>0</v>
      </c>
      <c r="I12" s="19">
        <f t="shared" ca="1" si="5"/>
        <v>51.612903225806448</v>
      </c>
      <c r="J12" s="117">
        <f t="shared" ca="1" si="1"/>
        <v>0</v>
      </c>
      <c r="K12" s="18">
        <f>_xlfn.XLOOKUP($B:$B,'Compilado 2023'!$B:$B,'Compilado 2023'!K:K)</f>
        <v>0</v>
      </c>
      <c r="L12" s="54">
        <f t="shared" si="2"/>
        <v>0</v>
      </c>
      <c r="M12" s="38"/>
      <c r="N12" s="106">
        <f>_xlfn.XLOOKUP($B:$B,'Compilado 2023'!$B:$B,'Compilado 2023'!N:N)</f>
        <v>0</v>
      </c>
      <c r="O12" s="106">
        <f>_xlfn.XLOOKUP($B:$B,'Compilado 2023'!$B:$B,'Compilado 2023'!O:O)</f>
        <v>0</v>
      </c>
      <c r="P12" s="106">
        <f>_xlfn.XLOOKUP($B:$B,'Compilado 2023'!$B:$B,'Compilado 2023'!P:P)</f>
        <v>0</v>
      </c>
      <c r="Q12" s="106">
        <f ca="1">_xlfn.XLOOKUP($B:$B,'Compilado 2023'!$B:$B,'Compilado 2023'!Q:Q)</f>
        <v>51.612903225806448</v>
      </c>
      <c r="R12" s="106">
        <f>_xlfn.XLOOKUP($B:$B,'Compilado 2023'!$B:$B,'Compilado 2023'!R:R)</f>
        <v>0</v>
      </c>
      <c r="S12" s="106">
        <f>_xlfn.XLOOKUP($B:$B,'Compilado 2023'!$B:$B,'Compilado 2023'!S:S)</f>
        <v>0</v>
      </c>
      <c r="T12" s="106">
        <f>_xlfn.XLOOKUP($B:$B,'Compilado 2023'!$B:$B,'Compilado 2023'!U:U)</f>
        <v>0</v>
      </c>
      <c r="U12" s="106">
        <f>_xlfn.XLOOKUP($B:$B,'Compilado 2023'!$B:$B,'Compilado 2023'!V:V)</f>
        <v>0</v>
      </c>
      <c r="V12" s="57"/>
      <c r="W12" s="106">
        <f>_xlfn.XLOOKUP($B:$B,'Compilado 2023'!$B:$B,'Compilado 2023'!X:X)</f>
        <v>0</v>
      </c>
      <c r="X12" s="106">
        <f>_xlfn.XLOOKUP($B:$B,'Compilado 2023'!$B:$B,'Compilado 2023'!Y:Y)</f>
        <v>0</v>
      </c>
      <c r="Y12" s="106">
        <f>_xlfn.XLOOKUP($B:$B,'Compilado 2023'!$B:$B,'Compilado 2023'!Z:Z)</f>
        <v>0</v>
      </c>
      <c r="Z12" s="38"/>
      <c r="AA12" s="107">
        <f>_xlfn.XLOOKUP($B:$B,'Compilado 2023'!$B:$B,'Compilado 2023'!AA:AA)</f>
        <v>0</v>
      </c>
    </row>
    <row r="13" spans="1:27" x14ac:dyDescent="0.2">
      <c r="A13" s="16" t="str">
        <f t="shared" si="0"/>
        <v>terça-feira</v>
      </c>
      <c r="B13" s="17">
        <f t="shared" si="6"/>
        <v>45209</v>
      </c>
      <c r="C13" s="19">
        <f t="shared" si="3"/>
        <v>0</v>
      </c>
      <c r="D13" s="35">
        <f>_xlfn.XLOOKUP($B:$B,'Compilado 2023'!$B:$B,'Compilado 2023'!D:D)</f>
        <v>0</v>
      </c>
      <c r="E13" s="35">
        <f>_xlfn.XLOOKUP($B:$B,'Compilado 2023'!$B:$B,'Compilado 2023'!E:E)</f>
        <v>0</v>
      </c>
      <c r="F13" s="18">
        <f>_xlfn.XLOOKUP($B:$B,'Compilado 2023'!$B:$B,'Compilado 2023'!F:F)</f>
        <v>0</v>
      </c>
      <c r="G13" s="18">
        <f>_xlfn.XLOOKUP($B:$B,'Compilado 2023'!$B:$B,'Compilado 2023'!G:G)</f>
        <v>0</v>
      </c>
      <c r="H13" s="35">
        <f t="shared" si="4"/>
        <v>0</v>
      </c>
      <c r="I13" s="19">
        <f t="shared" ca="1" si="5"/>
        <v>51.612903225806448</v>
      </c>
      <c r="J13" s="117">
        <f t="shared" ca="1" si="1"/>
        <v>0</v>
      </c>
      <c r="K13" s="18">
        <f>_xlfn.XLOOKUP($B:$B,'Compilado 2023'!$B:$B,'Compilado 2023'!K:K)</f>
        <v>0</v>
      </c>
      <c r="L13" s="54">
        <f t="shared" si="2"/>
        <v>0</v>
      </c>
      <c r="M13" s="38"/>
      <c r="N13" s="106">
        <f>_xlfn.XLOOKUP($B:$B,'Compilado 2023'!$B:$B,'Compilado 2023'!N:N)</f>
        <v>0</v>
      </c>
      <c r="O13" s="106">
        <f>_xlfn.XLOOKUP($B:$B,'Compilado 2023'!$B:$B,'Compilado 2023'!O:O)</f>
        <v>0</v>
      </c>
      <c r="P13" s="106">
        <f>_xlfn.XLOOKUP($B:$B,'Compilado 2023'!$B:$B,'Compilado 2023'!P:P)</f>
        <v>0</v>
      </c>
      <c r="Q13" s="106">
        <f ca="1">_xlfn.XLOOKUP($B:$B,'Compilado 2023'!$B:$B,'Compilado 2023'!Q:Q)</f>
        <v>51.612903225806448</v>
      </c>
      <c r="R13" s="106">
        <f>_xlfn.XLOOKUP($B:$B,'Compilado 2023'!$B:$B,'Compilado 2023'!R:R)</f>
        <v>0</v>
      </c>
      <c r="S13" s="106">
        <f>_xlfn.XLOOKUP($B:$B,'Compilado 2023'!$B:$B,'Compilado 2023'!S:S)</f>
        <v>0</v>
      </c>
      <c r="T13" s="106">
        <f>_xlfn.XLOOKUP($B:$B,'Compilado 2023'!$B:$B,'Compilado 2023'!U:U)</f>
        <v>0</v>
      </c>
      <c r="U13" s="106">
        <f>_xlfn.XLOOKUP($B:$B,'Compilado 2023'!$B:$B,'Compilado 2023'!V:V)</f>
        <v>0</v>
      </c>
      <c r="V13" s="57"/>
      <c r="W13" s="106">
        <f>_xlfn.XLOOKUP($B:$B,'Compilado 2023'!$B:$B,'Compilado 2023'!X:X)</f>
        <v>0</v>
      </c>
      <c r="X13" s="106">
        <f>_xlfn.XLOOKUP($B:$B,'Compilado 2023'!$B:$B,'Compilado 2023'!Y:Y)</f>
        <v>0</v>
      </c>
      <c r="Y13" s="106">
        <f>_xlfn.XLOOKUP($B:$B,'Compilado 2023'!$B:$B,'Compilado 2023'!Z:Z)</f>
        <v>0</v>
      </c>
      <c r="Z13" s="38"/>
      <c r="AA13" s="107">
        <f>_xlfn.XLOOKUP($B:$B,'Compilado 2023'!$B:$B,'Compilado 2023'!AA:AA)</f>
        <v>0</v>
      </c>
    </row>
    <row r="14" spans="1:27" x14ac:dyDescent="0.2">
      <c r="A14" s="16" t="str">
        <f t="shared" si="0"/>
        <v>quarta-feira</v>
      </c>
      <c r="B14" s="17">
        <f t="shared" si="6"/>
        <v>45210</v>
      </c>
      <c r="C14" s="19">
        <f t="shared" si="3"/>
        <v>0</v>
      </c>
      <c r="D14" s="35">
        <f>_xlfn.XLOOKUP($B:$B,'Compilado 2023'!$B:$B,'Compilado 2023'!D:D)</f>
        <v>0</v>
      </c>
      <c r="E14" s="35">
        <f>_xlfn.XLOOKUP($B:$B,'Compilado 2023'!$B:$B,'Compilado 2023'!E:E)</f>
        <v>0</v>
      </c>
      <c r="F14" s="18">
        <f>_xlfn.XLOOKUP($B:$B,'Compilado 2023'!$B:$B,'Compilado 2023'!F:F)</f>
        <v>0</v>
      </c>
      <c r="G14" s="18">
        <f>_xlfn.XLOOKUP($B:$B,'Compilado 2023'!$B:$B,'Compilado 2023'!G:G)</f>
        <v>0</v>
      </c>
      <c r="H14" s="35">
        <f t="shared" si="4"/>
        <v>0</v>
      </c>
      <c r="I14" s="19">
        <f t="shared" ca="1" si="5"/>
        <v>51.612903225806448</v>
      </c>
      <c r="J14" s="117">
        <f t="shared" ca="1" si="1"/>
        <v>0</v>
      </c>
      <c r="K14" s="18">
        <f>_xlfn.XLOOKUP($B:$B,'Compilado 2023'!$B:$B,'Compilado 2023'!K:K)</f>
        <v>0</v>
      </c>
      <c r="L14" s="54">
        <f t="shared" si="2"/>
        <v>0</v>
      </c>
      <c r="M14" s="38"/>
      <c r="N14" s="106">
        <f>_xlfn.XLOOKUP($B:$B,'Compilado 2023'!$B:$B,'Compilado 2023'!N:N)</f>
        <v>0</v>
      </c>
      <c r="O14" s="106">
        <f>_xlfn.XLOOKUP($B:$B,'Compilado 2023'!$B:$B,'Compilado 2023'!O:O)</f>
        <v>0</v>
      </c>
      <c r="P14" s="106">
        <f>_xlfn.XLOOKUP($B:$B,'Compilado 2023'!$B:$B,'Compilado 2023'!P:P)</f>
        <v>0</v>
      </c>
      <c r="Q14" s="106">
        <f ca="1">_xlfn.XLOOKUP($B:$B,'Compilado 2023'!$B:$B,'Compilado 2023'!Q:Q)</f>
        <v>51.612903225806448</v>
      </c>
      <c r="R14" s="106">
        <f>_xlfn.XLOOKUP($B:$B,'Compilado 2023'!$B:$B,'Compilado 2023'!R:R)</f>
        <v>0</v>
      </c>
      <c r="S14" s="106">
        <f>_xlfn.XLOOKUP($B:$B,'Compilado 2023'!$B:$B,'Compilado 2023'!S:S)</f>
        <v>0</v>
      </c>
      <c r="T14" s="106">
        <f>_xlfn.XLOOKUP($B:$B,'Compilado 2023'!$B:$B,'Compilado 2023'!U:U)</f>
        <v>0</v>
      </c>
      <c r="U14" s="106">
        <f>_xlfn.XLOOKUP($B:$B,'Compilado 2023'!$B:$B,'Compilado 2023'!V:V)</f>
        <v>0</v>
      </c>
      <c r="V14" s="57"/>
      <c r="W14" s="106">
        <f>_xlfn.XLOOKUP($B:$B,'Compilado 2023'!$B:$B,'Compilado 2023'!X:X)</f>
        <v>0</v>
      </c>
      <c r="X14" s="106">
        <f>_xlfn.XLOOKUP($B:$B,'Compilado 2023'!$B:$B,'Compilado 2023'!Y:Y)</f>
        <v>0</v>
      </c>
      <c r="Y14" s="106">
        <f>_xlfn.XLOOKUP($B:$B,'Compilado 2023'!$B:$B,'Compilado 2023'!Z:Z)</f>
        <v>0</v>
      </c>
      <c r="Z14" s="38"/>
      <c r="AA14" s="107">
        <f>_xlfn.XLOOKUP($B:$B,'Compilado 2023'!$B:$B,'Compilado 2023'!AA:AA)</f>
        <v>0</v>
      </c>
    </row>
    <row r="15" spans="1:27" s="2" customFormat="1" x14ac:dyDescent="0.2">
      <c r="A15" s="16" t="str">
        <f t="shared" si="0"/>
        <v>quinta-feira</v>
      </c>
      <c r="B15" s="17">
        <f t="shared" si="6"/>
        <v>45211</v>
      </c>
      <c r="C15" s="19">
        <f t="shared" si="3"/>
        <v>0</v>
      </c>
      <c r="D15" s="35">
        <f>_xlfn.XLOOKUP($B:$B,'Compilado 2023'!$B:$B,'Compilado 2023'!D:D)</f>
        <v>0</v>
      </c>
      <c r="E15" s="35">
        <f>_xlfn.XLOOKUP($B:$B,'Compilado 2023'!$B:$B,'Compilado 2023'!E:E)</f>
        <v>0</v>
      </c>
      <c r="F15" s="18">
        <f>_xlfn.XLOOKUP($B:$B,'Compilado 2023'!$B:$B,'Compilado 2023'!F:F)</f>
        <v>0</v>
      </c>
      <c r="G15" s="18">
        <f>_xlfn.XLOOKUP($B:$B,'Compilado 2023'!$B:$B,'Compilado 2023'!G:G)</f>
        <v>0</v>
      </c>
      <c r="H15" s="35">
        <f t="shared" si="4"/>
        <v>0</v>
      </c>
      <c r="I15" s="19">
        <f t="shared" ca="1" si="5"/>
        <v>51.612903225806448</v>
      </c>
      <c r="J15" s="117">
        <f t="shared" ca="1" si="1"/>
        <v>0</v>
      </c>
      <c r="K15" s="18">
        <f>_xlfn.XLOOKUP($B:$B,'Compilado 2023'!$B:$B,'Compilado 2023'!K:K)</f>
        <v>0</v>
      </c>
      <c r="L15" s="54">
        <f t="shared" si="2"/>
        <v>0</v>
      </c>
      <c r="M15" s="38"/>
      <c r="N15" s="106">
        <f>_xlfn.XLOOKUP($B:$B,'Compilado 2023'!$B:$B,'Compilado 2023'!N:N)</f>
        <v>0</v>
      </c>
      <c r="O15" s="106">
        <f>_xlfn.XLOOKUP($B:$B,'Compilado 2023'!$B:$B,'Compilado 2023'!O:O)</f>
        <v>0</v>
      </c>
      <c r="P15" s="106">
        <f>_xlfn.XLOOKUP($B:$B,'Compilado 2023'!$B:$B,'Compilado 2023'!P:P)</f>
        <v>0</v>
      </c>
      <c r="Q15" s="106">
        <f ca="1">_xlfn.XLOOKUP($B:$B,'Compilado 2023'!$B:$B,'Compilado 2023'!Q:Q)</f>
        <v>51.612903225806448</v>
      </c>
      <c r="R15" s="106">
        <f>_xlfn.XLOOKUP($B:$B,'Compilado 2023'!$B:$B,'Compilado 2023'!R:R)</f>
        <v>0</v>
      </c>
      <c r="S15" s="106">
        <f>_xlfn.XLOOKUP($B:$B,'Compilado 2023'!$B:$B,'Compilado 2023'!S:S)</f>
        <v>0</v>
      </c>
      <c r="T15" s="106">
        <f>_xlfn.XLOOKUP($B:$B,'Compilado 2023'!$B:$B,'Compilado 2023'!U:U)</f>
        <v>0</v>
      </c>
      <c r="U15" s="106">
        <f>_xlfn.XLOOKUP($B:$B,'Compilado 2023'!$B:$B,'Compilado 2023'!V:V)</f>
        <v>0</v>
      </c>
      <c r="V15" s="57"/>
      <c r="W15" s="106">
        <f>_xlfn.XLOOKUP($B:$B,'Compilado 2023'!$B:$B,'Compilado 2023'!X:X)</f>
        <v>0</v>
      </c>
      <c r="X15" s="106">
        <f>_xlfn.XLOOKUP($B:$B,'Compilado 2023'!$B:$B,'Compilado 2023'!Y:Y)</f>
        <v>0</v>
      </c>
      <c r="Y15" s="106">
        <f>_xlfn.XLOOKUP($B:$B,'Compilado 2023'!$B:$B,'Compilado 2023'!Z:Z)</f>
        <v>0</v>
      </c>
      <c r="Z15" s="38"/>
      <c r="AA15" s="107">
        <f>_xlfn.XLOOKUP($B:$B,'Compilado 2023'!$B:$B,'Compilado 2023'!AA:AA)</f>
        <v>0</v>
      </c>
    </row>
    <row r="16" spans="1:27" s="2" customFormat="1" x14ac:dyDescent="0.2">
      <c r="A16" s="16" t="str">
        <f t="shared" si="0"/>
        <v>sexta-feira</v>
      </c>
      <c r="B16" s="17">
        <f t="shared" si="6"/>
        <v>45212</v>
      </c>
      <c r="C16" s="19">
        <f t="shared" si="3"/>
        <v>0</v>
      </c>
      <c r="D16" s="35">
        <f>_xlfn.XLOOKUP($B:$B,'Compilado 2023'!$B:$B,'Compilado 2023'!D:D)</f>
        <v>0</v>
      </c>
      <c r="E16" s="35">
        <f>_xlfn.XLOOKUP($B:$B,'Compilado 2023'!$B:$B,'Compilado 2023'!E:E)</f>
        <v>0</v>
      </c>
      <c r="F16" s="18">
        <f>_xlfn.XLOOKUP($B:$B,'Compilado 2023'!$B:$B,'Compilado 2023'!F:F)</f>
        <v>0</v>
      </c>
      <c r="G16" s="18">
        <f>_xlfn.XLOOKUP($B:$B,'Compilado 2023'!$B:$B,'Compilado 2023'!G:G)</f>
        <v>0</v>
      </c>
      <c r="H16" s="35">
        <f t="shared" si="4"/>
        <v>0</v>
      </c>
      <c r="I16" s="19">
        <f t="shared" ca="1" si="5"/>
        <v>51.612903225806448</v>
      </c>
      <c r="J16" s="117">
        <f t="shared" ca="1" si="1"/>
        <v>0</v>
      </c>
      <c r="K16" s="18">
        <f>_xlfn.XLOOKUP($B:$B,'Compilado 2023'!$B:$B,'Compilado 2023'!K:K)</f>
        <v>0</v>
      </c>
      <c r="L16" s="54">
        <f t="shared" si="2"/>
        <v>0</v>
      </c>
      <c r="M16" s="38"/>
      <c r="N16" s="106">
        <f>_xlfn.XLOOKUP($B:$B,'Compilado 2023'!$B:$B,'Compilado 2023'!N:N)</f>
        <v>0</v>
      </c>
      <c r="O16" s="106">
        <f>_xlfn.XLOOKUP($B:$B,'Compilado 2023'!$B:$B,'Compilado 2023'!O:O)</f>
        <v>0</v>
      </c>
      <c r="P16" s="106">
        <f>_xlfn.XLOOKUP($B:$B,'Compilado 2023'!$B:$B,'Compilado 2023'!P:P)</f>
        <v>0</v>
      </c>
      <c r="Q16" s="106">
        <f ca="1">_xlfn.XLOOKUP($B:$B,'Compilado 2023'!$B:$B,'Compilado 2023'!Q:Q)</f>
        <v>51.612903225806448</v>
      </c>
      <c r="R16" s="106">
        <f>_xlfn.XLOOKUP($B:$B,'Compilado 2023'!$B:$B,'Compilado 2023'!R:R)</f>
        <v>0</v>
      </c>
      <c r="S16" s="106">
        <f>_xlfn.XLOOKUP($B:$B,'Compilado 2023'!$B:$B,'Compilado 2023'!S:S)</f>
        <v>0</v>
      </c>
      <c r="T16" s="106">
        <f>_xlfn.XLOOKUP($B:$B,'Compilado 2023'!$B:$B,'Compilado 2023'!U:U)</f>
        <v>0</v>
      </c>
      <c r="U16" s="106">
        <f>_xlfn.XLOOKUP($B:$B,'Compilado 2023'!$B:$B,'Compilado 2023'!V:V)</f>
        <v>0</v>
      </c>
      <c r="V16" s="57"/>
      <c r="W16" s="106">
        <f>_xlfn.XLOOKUP($B:$B,'Compilado 2023'!$B:$B,'Compilado 2023'!X:X)</f>
        <v>0</v>
      </c>
      <c r="X16" s="106">
        <f>_xlfn.XLOOKUP($B:$B,'Compilado 2023'!$B:$B,'Compilado 2023'!Y:Y)</f>
        <v>0</v>
      </c>
      <c r="Y16" s="106">
        <f>_xlfn.XLOOKUP($B:$B,'Compilado 2023'!$B:$B,'Compilado 2023'!Z:Z)</f>
        <v>0</v>
      </c>
      <c r="Z16" s="38"/>
      <c r="AA16" s="107">
        <f>_xlfn.XLOOKUP($B:$B,'Compilado 2023'!$B:$B,'Compilado 2023'!AA:AA)</f>
        <v>0</v>
      </c>
    </row>
    <row r="17" spans="1:27" s="2" customFormat="1" x14ac:dyDescent="0.2">
      <c r="A17" s="16" t="str">
        <f t="shared" si="0"/>
        <v>sábado</v>
      </c>
      <c r="B17" s="17">
        <f t="shared" si="6"/>
        <v>45213</v>
      </c>
      <c r="C17" s="19">
        <f t="shared" si="3"/>
        <v>0</v>
      </c>
      <c r="D17" s="35">
        <f>_xlfn.XLOOKUP($B:$B,'Compilado 2023'!$B:$B,'Compilado 2023'!D:D)</f>
        <v>0</v>
      </c>
      <c r="E17" s="35">
        <f>_xlfn.XLOOKUP($B:$B,'Compilado 2023'!$B:$B,'Compilado 2023'!E:E)</f>
        <v>0</v>
      </c>
      <c r="F17" s="18">
        <f>_xlfn.XLOOKUP($B:$B,'Compilado 2023'!$B:$B,'Compilado 2023'!F:F)</f>
        <v>0</v>
      </c>
      <c r="G17" s="18">
        <f>_xlfn.XLOOKUP($B:$B,'Compilado 2023'!$B:$B,'Compilado 2023'!G:G)</f>
        <v>0</v>
      </c>
      <c r="H17" s="35">
        <f t="shared" si="4"/>
        <v>0</v>
      </c>
      <c r="I17" s="19">
        <f t="shared" ca="1" si="5"/>
        <v>51.612903225806448</v>
      </c>
      <c r="J17" s="117">
        <f t="shared" ca="1" si="1"/>
        <v>0</v>
      </c>
      <c r="K17" s="18">
        <f>_xlfn.XLOOKUP($B:$B,'Compilado 2023'!$B:$B,'Compilado 2023'!K:K)</f>
        <v>0</v>
      </c>
      <c r="L17" s="54">
        <f t="shared" si="2"/>
        <v>0</v>
      </c>
      <c r="M17" s="38"/>
      <c r="N17" s="106">
        <f>_xlfn.XLOOKUP($B:$B,'Compilado 2023'!$B:$B,'Compilado 2023'!N:N)</f>
        <v>0</v>
      </c>
      <c r="O17" s="106">
        <f>_xlfn.XLOOKUP($B:$B,'Compilado 2023'!$B:$B,'Compilado 2023'!O:O)</f>
        <v>0</v>
      </c>
      <c r="P17" s="106">
        <f>_xlfn.XLOOKUP($B:$B,'Compilado 2023'!$B:$B,'Compilado 2023'!P:P)</f>
        <v>0</v>
      </c>
      <c r="Q17" s="106">
        <f ca="1">_xlfn.XLOOKUP($B:$B,'Compilado 2023'!$B:$B,'Compilado 2023'!Q:Q)</f>
        <v>51.612903225806448</v>
      </c>
      <c r="R17" s="106">
        <f>_xlfn.XLOOKUP($B:$B,'Compilado 2023'!$B:$B,'Compilado 2023'!R:R)</f>
        <v>0</v>
      </c>
      <c r="S17" s="106">
        <f>_xlfn.XLOOKUP($B:$B,'Compilado 2023'!$B:$B,'Compilado 2023'!S:S)</f>
        <v>0</v>
      </c>
      <c r="T17" s="106">
        <f>_xlfn.XLOOKUP($B:$B,'Compilado 2023'!$B:$B,'Compilado 2023'!U:U)</f>
        <v>0</v>
      </c>
      <c r="U17" s="106">
        <f>_xlfn.XLOOKUP($B:$B,'Compilado 2023'!$B:$B,'Compilado 2023'!V:V)</f>
        <v>0</v>
      </c>
      <c r="V17" s="57"/>
      <c r="W17" s="106">
        <f>_xlfn.XLOOKUP($B:$B,'Compilado 2023'!$B:$B,'Compilado 2023'!X:X)</f>
        <v>0</v>
      </c>
      <c r="X17" s="106">
        <f>_xlfn.XLOOKUP($B:$B,'Compilado 2023'!$B:$B,'Compilado 2023'!Y:Y)</f>
        <v>0</v>
      </c>
      <c r="Y17" s="106">
        <f>_xlfn.XLOOKUP($B:$B,'Compilado 2023'!$B:$B,'Compilado 2023'!Z:Z)</f>
        <v>0</v>
      </c>
      <c r="Z17" s="38"/>
      <c r="AA17" s="107">
        <f>_xlfn.XLOOKUP($B:$B,'Compilado 2023'!$B:$B,'Compilado 2023'!AA:AA)</f>
        <v>0</v>
      </c>
    </row>
    <row r="18" spans="1:27" s="2" customFormat="1" x14ac:dyDescent="0.2">
      <c r="A18" s="16" t="str">
        <f t="shared" si="0"/>
        <v>domingo</v>
      </c>
      <c r="B18" s="17">
        <f t="shared" si="6"/>
        <v>45214</v>
      </c>
      <c r="C18" s="19">
        <f t="shared" si="3"/>
        <v>0</v>
      </c>
      <c r="D18" s="35">
        <f>_xlfn.XLOOKUP($B:$B,'Compilado 2023'!$B:$B,'Compilado 2023'!D:D)</f>
        <v>0</v>
      </c>
      <c r="E18" s="35">
        <f>_xlfn.XLOOKUP($B:$B,'Compilado 2023'!$B:$B,'Compilado 2023'!E:E)</f>
        <v>0</v>
      </c>
      <c r="F18" s="18">
        <f>_xlfn.XLOOKUP($B:$B,'Compilado 2023'!$B:$B,'Compilado 2023'!F:F)</f>
        <v>0</v>
      </c>
      <c r="G18" s="18">
        <f>_xlfn.XLOOKUP($B:$B,'Compilado 2023'!$B:$B,'Compilado 2023'!G:G)</f>
        <v>0</v>
      </c>
      <c r="H18" s="35">
        <f t="shared" si="4"/>
        <v>0</v>
      </c>
      <c r="I18" s="19">
        <f t="shared" ca="1" si="5"/>
        <v>51.612903225806448</v>
      </c>
      <c r="J18" s="117">
        <f t="shared" ca="1" si="1"/>
        <v>0</v>
      </c>
      <c r="K18" s="18">
        <f>_xlfn.XLOOKUP($B:$B,'Compilado 2023'!$B:$B,'Compilado 2023'!K:K)</f>
        <v>0</v>
      </c>
      <c r="L18" s="54">
        <f t="shared" si="2"/>
        <v>0</v>
      </c>
      <c r="M18" s="38"/>
      <c r="N18" s="106">
        <f>_xlfn.XLOOKUP($B:$B,'Compilado 2023'!$B:$B,'Compilado 2023'!N:N)</f>
        <v>0</v>
      </c>
      <c r="O18" s="106">
        <f>_xlfn.XLOOKUP($B:$B,'Compilado 2023'!$B:$B,'Compilado 2023'!O:O)</f>
        <v>0</v>
      </c>
      <c r="P18" s="106">
        <f>_xlfn.XLOOKUP($B:$B,'Compilado 2023'!$B:$B,'Compilado 2023'!P:P)</f>
        <v>0</v>
      </c>
      <c r="Q18" s="106">
        <f ca="1">_xlfn.XLOOKUP($B:$B,'Compilado 2023'!$B:$B,'Compilado 2023'!Q:Q)</f>
        <v>51.612903225806448</v>
      </c>
      <c r="R18" s="106">
        <f>_xlfn.XLOOKUP($B:$B,'Compilado 2023'!$B:$B,'Compilado 2023'!R:R)</f>
        <v>0</v>
      </c>
      <c r="S18" s="106">
        <f>_xlfn.XLOOKUP($B:$B,'Compilado 2023'!$B:$B,'Compilado 2023'!S:S)</f>
        <v>0</v>
      </c>
      <c r="T18" s="106">
        <f>_xlfn.XLOOKUP($B:$B,'Compilado 2023'!$B:$B,'Compilado 2023'!U:U)</f>
        <v>0</v>
      </c>
      <c r="U18" s="106">
        <f>_xlfn.XLOOKUP($B:$B,'Compilado 2023'!$B:$B,'Compilado 2023'!V:V)</f>
        <v>0</v>
      </c>
      <c r="V18" s="57"/>
      <c r="W18" s="106">
        <f>_xlfn.XLOOKUP($B:$B,'Compilado 2023'!$B:$B,'Compilado 2023'!X:X)</f>
        <v>0</v>
      </c>
      <c r="X18" s="106">
        <f>_xlfn.XLOOKUP($B:$B,'Compilado 2023'!$B:$B,'Compilado 2023'!Y:Y)</f>
        <v>0</v>
      </c>
      <c r="Y18" s="106">
        <f>_xlfn.XLOOKUP($B:$B,'Compilado 2023'!$B:$B,'Compilado 2023'!Z:Z)</f>
        <v>0</v>
      </c>
      <c r="Z18" s="38"/>
      <c r="AA18" s="107">
        <f>_xlfn.XLOOKUP($B:$B,'Compilado 2023'!$B:$B,'Compilado 2023'!AA:AA)</f>
        <v>0</v>
      </c>
    </row>
    <row r="19" spans="1:27" s="2" customFormat="1" x14ac:dyDescent="0.2">
      <c r="A19" s="16" t="str">
        <f t="shared" si="0"/>
        <v>segunda-feira</v>
      </c>
      <c r="B19" s="17">
        <f t="shared" si="6"/>
        <v>45215</v>
      </c>
      <c r="C19" s="19">
        <f t="shared" si="3"/>
        <v>0</v>
      </c>
      <c r="D19" s="35">
        <f>_xlfn.XLOOKUP($B:$B,'Compilado 2023'!$B:$B,'Compilado 2023'!D:D)</f>
        <v>0</v>
      </c>
      <c r="E19" s="35">
        <f>_xlfn.XLOOKUP($B:$B,'Compilado 2023'!$B:$B,'Compilado 2023'!E:E)</f>
        <v>0</v>
      </c>
      <c r="F19" s="18">
        <f>_xlfn.XLOOKUP($B:$B,'Compilado 2023'!$B:$B,'Compilado 2023'!F:F)</f>
        <v>0</v>
      </c>
      <c r="G19" s="18">
        <f>_xlfn.XLOOKUP($B:$B,'Compilado 2023'!$B:$B,'Compilado 2023'!G:G)</f>
        <v>0</v>
      </c>
      <c r="H19" s="35">
        <f t="shared" si="4"/>
        <v>0</v>
      </c>
      <c r="I19" s="19">
        <f t="shared" ca="1" si="5"/>
        <v>51.612903225806448</v>
      </c>
      <c r="J19" s="117">
        <f t="shared" ca="1" si="1"/>
        <v>0</v>
      </c>
      <c r="K19" s="18">
        <f>_xlfn.XLOOKUP($B:$B,'Compilado 2023'!$B:$B,'Compilado 2023'!K:K)</f>
        <v>0</v>
      </c>
      <c r="L19" s="54">
        <f t="shared" si="2"/>
        <v>0</v>
      </c>
      <c r="M19" s="38"/>
      <c r="N19" s="106">
        <f>_xlfn.XLOOKUP($B:$B,'Compilado 2023'!$B:$B,'Compilado 2023'!N:N)</f>
        <v>0</v>
      </c>
      <c r="O19" s="106">
        <f>_xlfn.XLOOKUP($B:$B,'Compilado 2023'!$B:$B,'Compilado 2023'!O:O)</f>
        <v>0</v>
      </c>
      <c r="P19" s="106">
        <f>_xlfn.XLOOKUP($B:$B,'Compilado 2023'!$B:$B,'Compilado 2023'!P:P)</f>
        <v>0</v>
      </c>
      <c r="Q19" s="106">
        <f ca="1">_xlfn.XLOOKUP($B:$B,'Compilado 2023'!$B:$B,'Compilado 2023'!Q:Q)</f>
        <v>51.612903225806448</v>
      </c>
      <c r="R19" s="106">
        <f>_xlfn.XLOOKUP($B:$B,'Compilado 2023'!$B:$B,'Compilado 2023'!R:R)</f>
        <v>0</v>
      </c>
      <c r="S19" s="106">
        <f>_xlfn.XLOOKUP($B:$B,'Compilado 2023'!$B:$B,'Compilado 2023'!S:S)</f>
        <v>0</v>
      </c>
      <c r="T19" s="106">
        <f>_xlfn.XLOOKUP($B:$B,'Compilado 2023'!$B:$B,'Compilado 2023'!U:U)</f>
        <v>0</v>
      </c>
      <c r="U19" s="106">
        <f>_xlfn.XLOOKUP($B:$B,'Compilado 2023'!$B:$B,'Compilado 2023'!V:V)</f>
        <v>0</v>
      </c>
      <c r="V19" s="57"/>
      <c r="W19" s="106">
        <f>_xlfn.XLOOKUP($B:$B,'Compilado 2023'!$B:$B,'Compilado 2023'!X:X)</f>
        <v>0</v>
      </c>
      <c r="X19" s="106">
        <f>_xlfn.XLOOKUP($B:$B,'Compilado 2023'!$B:$B,'Compilado 2023'!Y:Y)</f>
        <v>0</v>
      </c>
      <c r="Y19" s="106">
        <f>_xlfn.XLOOKUP($B:$B,'Compilado 2023'!$B:$B,'Compilado 2023'!Z:Z)</f>
        <v>0</v>
      </c>
      <c r="Z19" s="38"/>
      <c r="AA19" s="107">
        <f>_xlfn.XLOOKUP($B:$B,'Compilado 2023'!$B:$B,'Compilado 2023'!AA:AA)</f>
        <v>0</v>
      </c>
    </row>
    <row r="20" spans="1:27" x14ac:dyDescent="0.2">
      <c r="A20" s="16" t="str">
        <f t="shared" si="0"/>
        <v>terça-feira</v>
      </c>
      <c r="B20" s="17">
        <f t="shared" si="6"/>
        <v>45216</v>
      </c>
      <c r="C20" s="19">
        <f t="shared" si="3"/>
        <v>0</v>
      </c>
      <c r="D20" s="35">
        <f>_xlfn.XLOOKUP($B:$B,'Compilado 2023'!$B:$B,'Compilado 2023'!D:D)</f>
        <v>0</v>
      </c>
      <c r="E20" s="35">
        <f>_xlfn.XLOOKUP($B:$B,'Compilado 2023'!$B:$B,'Compilado 2023'!E:E)</f>
        <v>0</v>
      </c>
      <c r="F20" s="18">
        <f>_xlfn.XLOOKUP($B:$B,'Compilado 2023'!$B:$B,'Compilado 2023'!F:F)</f>
        <v>0</v>
      </c>
      <c r="G20" s="18">
        <f>_xlfn.XLOOKUP($B:$B,'Compilado 2023'!$B:$B,'Compilado 2023'!G:G)</f>
        <v>0</v>
      </c>
      <c r="H20" s="35">
        <f t="shared" si="4"/>
        <v>0</v>
      </c>
      <c r="I20" s="19">
        <f t="shared" ca="1" si="5"/>
        <v>51.612903225806448</v>
      </c>
      <c r="J20" s="117">
        <f t="shared" ca="1" si="1"/>
        <v>0</v>
      </c>
      <c r="K20" s="18">
        <f>_xlfn.XLOOKUP($B:$B,'Compilado 2023'!$B:$B,'Compilado 2023'!K:K)</f>
        <v>0</v>
      </c>
      <c r="L20" s="54">
        <f t="shared" si="2"/>
        <v>0</v>
      </c>
      <c r="M20" s="38"/>
      <c r="N20" s="106">
        <f>_xlfn.XLOOKUP($B:$B,'Compilado 2023'!$B:$B,'Compilado 2023'!N:N)</f>
        <v>0</v>
      </c>
      <c r="O20" s="106">
        <f>_xlfn.XLOOKUP($B:$B,'Compilado 2023'!$B:$B,'Compilado 2023'!O:O)</f>
        <v>0</v>
      </c>
      <c r="P20" s="106">
        <f>_xlfn.XLOOKUP($B:$B,'Compilado 2023'!$B:$B,'Compilado 2023'!P:P)</f>
        <v>0</v>
      </c>
      <c r="Q20" s="106">
        <f ca="1">_xlfn.XLOOKUP($B:$B,'Compilado 2023'!$B:$B,'Compilado 2023'!Q:Q)</f>
        <v>51.612903225806448</v>
      </c>
      <c r="R20" s="106">
        <f>_xlfn.XLOOKUP($B:$B,'Compilado 2023'!$B:$B,'Compilado 2023'!R:R)</f>
        <v>0</v>
      </c>
      <c r="S20" s="106">
        <f>_xlfn.XLOOKUP($B:$B,'Compilado 2023'!$B:$B,'Compilado 2023'!S:S)</f>
        <v>0</v>
      </c>
      <c r="T20" s="106">
        <f>_xlfn.XLOOKUP($B:$B,'Compilado 2023'!$B:$B,'Compilado 2023'!U:U)</f>
        <v>0</v>
      </c>
      <c r="U20" s="106">
        <f>_xlfn.XLOOKUP($B:$B,'Compilado 2023'!$B:$B,'Compilado 2023'!V:V)</f>
        <v>0</v>
      </c>
      <c r="V20" s="57"/>
      <c r="W20" s="106">
        <f>_xlfn.XLOOKUP($B:$B,'Compilado 2023'!$B:$B,'Compilado 2023'!X:X)</f>
        <v>0</v>
      </c>
      <c r="X20" s="106">
        <f>_xlfn.XLOOKUP($B:$B,'Compilado 2023'!$B:$B,'Compilado 2023'!Y:Y)</f>
        <v>0</v>
      </c>
      <c r="Y20" s="106">
        <f>_xlfn.XLOOKUP($B:$B,'Compilado 2023'!$B:$B,'Compilado 2023'!Z:Z)</f>
        <v>0</v>
      </c>
      <c r="Z20" s="38"/>
      <c r="AA20" s="107">
        <f>_xlfn.XLOOKUP($B:$B,'Compilado 2023'!$B:$B,'Compilado 2023'!AA:AA)</f>
        <v>0</v>
      </c>
    </row>
    <row r="21" spans="1:27" x14ac:dyDescent="0.2">
      <c r="A21" s="16" t="str">
        <f t="shared" si="0"/>
        <v>quarta-feira</v>
      </c>
      <c r="B21" s="17">
        <f t="shared" si="6"/>
        <v>45217</v>
      </c>
      <c r="C21" s="19">
        <f t="shared" si="3"/>
        <v>0</v>
      </c>
      <c r="D21" s="35">
        <f>_xlfn.XLOOKUP($B:$B,'Compilado 2023'!$B:$B,'Compilado 2023'!D:D)</f>
        <v>0</v>
      </c>
      <c r="E21" s="35">
        <f>_xlfn.XLOOKUP($B:$B,'Compilado 2023'!$B:$B,'Compilado 2023'!E:E)</f>
        <v>0</v>
      </c>
      <c r="F21" s="18">
        <f>_xlfn.XLOOKUP($B:$B,'Compilado 2023'!$B:$B,'Compilado 2023'!F:F)</f>
        <v>0</v>
      </c>
      <c r="G21" s="18">
        <f>_xlfn.XLOOKUP($B:$B,'Compilado 2023'!$B:$B,'Compilado 2023'!G:G)</f>
        <v>0</v>
      </c>
      <c r="H21" s="35">
        <f t="shared" si="4"/>
        <v>0</v>
      </c>
      <c r="I21" s="19">
        <f t="shared" ca="1" si="5"/>
        <v>51.612903225806448</v>
      </c>
      <c r="J21" s="117">
        <f t="shared" ca="1" si="1"/>
        <v>0</v>
      </c>
      <c r="K21" s="18">
        <f>_xlfn.XLOOKUP($B:$B,'Compilado 2023'!$B:$B,'Compilado 2023'!K:K)</f>
        <v>0</v>
      </c>
      <c r="L21" s="54">
        <f t="shared" si="2"/>
        <v>0</v>
      </c>
      <c r="M21" s="38"/>
      <c r="N21" s="106">
        <f>_xlfn.XLOOKUP($B:$B,'Compilado 2023'!$B:$B,'Compilado 2023'!N:N)</f>
        <v>0</v>
      </c>
      <c r="O21" s="106">
        <f>_xlfn.XLOOKUP($B:$B,'Compilado 2023'!$B:$B,'Compilado 2023'!O:O)</f>
        <v>0</v>
      </c>
      <c r="P21" s="106">
        <f>_xlfn.XLOOKUP($B:$B,'Compilado 2023'!$B:$B,'Compilado 2023'!P:P)</f>
        <v>0</v>
      </c>
      <c r="Q21" s="106">
        <f ca="1">_xlfn.XLOOKUP($B:$B,'Compilado 2023'!$B:$B,'Compilado 2023'!Q:Q)</f>
        <v>51.612903225806448</v>
      </c>
      <c r="R21" s="106">
        <f>_xlfn.XLOOKUP($B:$B,'Compilado 2023'!$B:$B,'Compilado 2023'!R:R)</f>
        <v>0</v>
      </c>
      <c r="S21" s="106">
        <f>_xlfn.XLOOKUP($B:$B,'Compilado 2023'!$B:$B,'Compilado 2023'!S:S)</f>
        <v>0</v>
      </c>
      <c r="T21" s="106">
        <f>_xlfn.XLOOKUP($B:$B,'Compilado 2023'!$B:$B,'Compilado 2023'!U:U)</f>
        <v>0</v>
      </c>
      <c r="U21" s="106">
        <f>_xlfn.XLOOKUP($B:$B,'Compilado 2023'!$B:$B,'Compilado 2023'!V:V)</f>
        <v>0</v>
      </c>
      <c r="V21" s="57"/>
      <c r="W21" s="106">
        <f>_xlfn.XLOOKUP($B:$B,'Compilado 2023'!$B:$B,'Compilado 2023'!X:X)</f>
        <v>0</v>
      </c>
      <c r="X21" s="106">
        <f>_xlfn.XLOOKUP($B:$B,'Compilado 2023'!$B:$B,'Compilado 2023'!Y:Y)</f>
        <v>0</v>
      </c>
      <c r="Y21" s="106">
        <f>_xlfn.XLOOKUP($B:$B,'Compilado 2023'!$B:$B,'Compilado 2023'!Z:Z)</f>
        <v>0</v>
      </c>
      <c r="Z21" s="38"/>
      <c r="AA21" s="107">
        <f>_xlfn.XLOOKUP($B:$B,'Compilado 2023'!$B:$B,'Compilado 2023'!AA:AA)</f>
        <v>0</v>
      </c>
    </row>
    <row r="22" spans="1:27" s="2" customFormat="1" x14ac:dyDescent="0.2">
      <c r="A22" s="16" t="str">
        <f t="shared" si="0"/>
        <v>quinta-feira</v>
      </c>
      <c r="B22" s="17">
        <f t="shared" si="6"/>
        <v>45218</v>
      </c>
      <c r="C22" s="19">
        <f t="shared" si="3"/>
        <v>0</v>
      </c>
      <c r="D22" s="35">
        <f>_xlfn.XLOOKUP($B:$B,'Compilado 2023'!$B:$B,'Compilado 2023'!D:D)</f>
        <v>0</v>
      </c>
      <c r="E22" s="35">
        <f>_xlfn.XLOOKUP($B:$B,'Compilado 2023'!$B:$B,'Compilado 2023'!E:E)</f>
        <v>0</v>
      </c>
      <c r="F22" s="18">
        <f>_xlfn.XLOOKUP($B:$B,'Compilado 2023'!$B:$B,'Compilado 2023'!F:F)</f>
        <v>0</v>
      </c>
      <c r="G22" s="18">
        <f>_xlfn.XLOOKUP($B:$B,'Compilado 2023'!$B:$B,'Compilado 2023'!G:G)</f>
        <v>0</v>
      </c>
      <c r="H22" s="35">
        <f t="shared" si="4"/>
        <v>0</v>
      </c>
      <c r="I22" s="19">
        <f t="shared" ca="1" si="5"/>
        <v>51.612903225806448</v>
      </c>
      <c r="J22" s="117">
        <f t="shared" ca="1" si="1"/>
        <v>0</v>
      </c>
      <c r="K22" s="18">
        <f>_xlfn.XLOOKUP($B:$B,'Compilado 2023'!$B:$B,'Compilado 2023'!K:K)</f>
        <v>0</v>
      </c>
      <c r="L22" s="54">
        <f t="shared" si="2"/>
        <v>0</v>
      </c>
      <c r="M22" s="38"/>
      <c r="N22" s="106">
        <f>_xlfn.XLOOKUP($B:$B,'Compilado 2023'!$B:$B,'Compilado 2023'!N:N)</f>
        <v>0</v>
      </c>
      <c r="O22" s="106">
        <f>_xlfn.XLOOKUP($B:$B,'Compilado 2023'!$B:$B,'Compilado 2023'!O:O)</f>
        <v>0</v>
      </c>
      <c r="P22" s="106">
        <f>_xlfn.XLOOKUP($B:$B,'Compilado 2023'!$B:$B,'Compilado 2023'!P:P)</f>
        <v>0</v>
      </c>
      <c r="Q22" s="106">
        <f ca="1">_xlfn.XLOOKUP($B:$B,'Compilado 2023'!$B:$B,'Compilado 2023'!Q:Q)</f>
        <v>51.612903225806448</v>
      </c>
      <c r="R22" s="106">
        <f>_xlfn.XLOOKUP($B:$B,'Compilado 2023'!$B:$B,'Compilado 2023'!R:R)</f>
        <v>0</v>
      </c>
      <c r="S22" s="106">
        <f>_xlfn.XLOOKUP($B:$B,'Compilado 2023'!$B:$B,'Compilado 2023'!S:S)</f>
        <v>0</v>
      </c>
      <c r="T22" s="106">
        <f>_xlfn.XLOOKUP($B:$B,'Compilado 2023'!$B:$B,'Compilado 2023'!U:U)</f>
        <v>0</v>
      </c>
      <c r="U22" s="106">
        <f>_xlfn.XLOOKUP($B:$B,'Compilado 2023'!$B:$B,'Compilado 2023'!V:V)</f>
        <v>0</v>
      </c>
      <c r="V22" s="57"/>
      <c r="W22" s="106">
        <f>_xlfn.XLOOKUP($B:$B,'Compilado 2023'!$B:$B,'Compilado 2023'!X:X)</f>
        <v>0</v>
      </c>
      <c r="X22" s="106">
        <f>_xlfn.XLOOKUP($B:$B,'Compilado 2023'!$B:$B,'Compilado 2023'!Y:Y)</f>
        <v>0</v>
      </c>
      <c r="Y22" s="106">
        <f>_xlfn.XLOOKUP($B:$B,'Compilado 2023'!$B:$B,'Compilado 2023'!Z:Z)</f>
        <v>0</v>
      </c>
      <c r="Z22" s="38"/>
      <c r="AA22" s="107">
        <f>_xlfn.XLOOKUP($B:$B,'Compilado 2023'!$B:$B,'Compilado 2023'!AA:AA)</f>
        <v>0</v>
      </c>
    </row>
    <row r="23" spans="1:27" s="2" customFormat="1" x14ac:dyDescent="0.2">
      <c r="A23" s="16" t="str">
        <f t="shared" si="0"/>
        <v>sexta-feira</v>
      </c>
      <c r="B23" s="17">
        <f t="shared" si="6"/>
        <v>45219</v>
      </c>
      <c r="C23" s="19">
        <f t="shared" si="3"/>
        <v>0</v>
      </c>
      <c r="D23" s="35">
        <f>_xlfn.XLOOKUP($B:$B,'Compilado 2023'!$B:$B,'Compilado 2023'!D:D)</f>
        <v>0</v>
      </c>
      <c r="E23" s="35">
        <f>_xlfn.XLOOKUP($B:$B,'Compilado 2023'!$B:$B,'Compilado 2023'!E:E)</f>
        <v>0</v>
      </c>
      <c r="F23" s="18">
        <f>_xlfn.XLOOKUP($B:$B,'Compilado 2023'!$B:$B,'Compilado 2023'!F:F)</f>
        <v>0</v>
      </c>
      <c r="G23" s="18">
        <f>_xlfn.XLOOKUP($B:$B,'Compilado 2023'!$B:$B,'Compilado 2023'!G:G)</f>
        <v>0</v>
      </c>
      <c r="H23" s="35">
        <f t="shared" si="4"/>
        <v>0</v>
      </c>
      <c r="I23" s="19">
        <f t="shared" ca="1" si="5"/>
        <v>51.612903225806448</v>
      </c>
      <c r="J23" s="117">
        <f t="shared" ca="1" si="1"/>
        <v>0</v>
      </c>
      <c r="K23" s="18">
        <f>_xlfn.XLOOKUP($B:$B,'Compilado 2023'!$B:$B,'Compilado 2023'!K:K)</f>
        <v>0</v>
      </c>
      <c r="L23" s="54">
        <f t="shared" si="2"/>
        <v>0</v>
      </c>
      <c r="M23" s="38"/>
      <c r="N23" s="106">
        <f>_xlfn.XLOOKUP($B:$B,'Compilado 2023'!$B:$B,'Compilado 2023'!N:N)</f>
        <v>0</v>
      </c>
      <c r="O23" s="106">
        <f>_xlfn.XLOOKUP($B:$B,'Compilado 2023'!$B:$B,'Compilado 2023'!O:O)</f>
        <v>0</v>
      </c>
      <c r="P23" s="106">
        <f>_xlfn.XLOOKUP($B:$B,'Compilado 2023'!$B:$B,'Compilado 2023'!P:P)</f>
        <v>0</v>
      </c>
      <c r="Q23" s="106">
        <f ca="1">_xlfn.XLOOKUP($B:$B,'Compilado 2023'!$B:$B,'Compilado 2023'!Q:Q)</f>
        <v>51.612903225806448</v>
      </c>
      <c r="R23" s="106">
        <f>_xlfn.XLOOKUP($B:$B,'Compilado 2023'!$B:$B,'Compilado 2023'!R:R)</f>
        <v>0</v>
      </c>
      <c r="S23" s="106">
        <f>_xlfn.XLOOKUP($B:$B,'Compilado 2023'!$B:$B,'Compilado 2023'!S:S)</f>
        <v>0</v>
      </c>
      <c r="T23" s="106">
        <f>_xlfn.XLOOKUP($B:$B,'Compilado 2023'!$B:$B,'Compilado 2023'!U:U)</f>
        <v>0</v>
      </c>
      <c r="U23" s="106">
        <f>_xlfn.XLOOKUP($B:$B,'Compilado 2023'!$B:$B,'Compilado 2023'!V:V)</f>
        <v>0</v>
      </c>
      <c r="V23" s="57"/>
      <c r="W23" s="106">
        <f>_xlfn.XLOOKUP($B:$B,'Compilado 2023'!$B:$B,'Compilado 2023'!X:X)</f>
        <v>0</v>
      </c>
      <c r="X23" s="106">
        <f>_xlfn.XLOOKUP($B:$B,'Compilado 2023'!$B:$B,'Compilado 2023'!Y:Y)</f>
        <v>0</v>
      </c>
      <c r="Y23" s="106">
        <f>_xlfn.XLOOKUP($B:$B,'Compilado 2023'!$B:$B,'Compilado 2023'!Z:Z)</f>
        <v>0</v>
      </c>
      <c r="Z23" s="38"/>
      <c r="AA23" s="107">
        <f>_xlfn.XLOOKUP($B:$B,'Compilado 2023'!$B:$B,'Compilado 2023'!AA:AA)</f>
        <v>0</v>
      </c>
    </row>
    <row r="24" spans="1:27" s="2" customFormat="1" x14ac:dyDescent="0.2">
      <c r="A24" s="16" t="str">
        <f t="shared" si="0"/>
        <v>sábado</v>
      </c>
      <c r="B24" s="17">
        <f t="shared" si="6"/>
        <v>45220</v>
      </c>
      <c r="C24" s="19">
        <f t="shared" si="3"/>
        <v>0</v>
      </c>
      <c r="D24" s="35">
        <f>_xlfn.XLOOKUP($B:$B,'Compilado 2023'!$B:$B,'Compilado 2023'!D:D)</f>
        <v>0</v>
      </c>
      <c r="E24" s="35">
        <f>_xlfn.XLOOKUP($B:$B,'Compilado 2023'!$B:$B,'Compilado 2023'!E:E)</f>
        <v>0</v>
      </c>
      <c r="F24" s="18">
        <f>_xlfn.XLOOKUP($B:$B,'Compilado 2023'!$B:$B,'Compilado 2023'!F:F)</f>
        <v>0</v>
      </c>
      <c r="G24" s="18">
        <f>_xlfn.XLOOKUP($B:$B,'Compilado 2023'!$B:$B,'Compilado 2023'!G:G)</f>
        <v>0</v>
      </c>
      <c r="H24" s="35">
        <f t="shared" si="4"/>
        <v>0</v>
      </c>
      <c r="I24" s="19">
        <f t="shared" ca="1" si="5"/>
        <v>51.612903225806448</v>
      </c>
      <c r="J24" s="117">
        <f t="shared" ca="1" si="1"/>
        <v>0</v>
      </c>
      <c r="K24" s="18">
        <f>_xlfn.XLOOKUP($B:$B,'Compilado 2023'!$B:$B,'Compilado 2023'!K:K)</f>
        <v>0</v>
      </c>
      <c r="L24" s="54">
        <f t="shared" si="2"/>
        <v>0</v>
      </c>
      <c r="M24" s="38"/>
      <c r="N24" s="106">
        <f>_xlfn.XLOOKUP($B:$B,'Compilado 2023'!$B:$B,'Compilado 2023'!N:N)</f>
        <v>0</v>
      </c>
      <c r="O24" s="106">
        <f>_xlfn.XLOOKUP($B:$B,'Compilado 2023'!$B:$B,'Compilado 2023'!O:O)</f>
        <v>0</v>
      </c>
      <c r="P24" s="106">
        <f>_xlfn.XLOOKUP($B:$B,'Compilado 2023'!$B:$B,'Compilado 2023'!P:P)</f>
        <v>0</v>
      </c>
      <c r="Q24" s="106">
        <f ca="1">_xlfn.XLOOKUP($B:$B,'Compilado 2023'!$B:$B,'Compilado 2023'!Q:Q)</f>
        <v>51.612903225806448</v>
      </c>
      <c r="R24" s="106">
        <f>_xlfn.XLOOKUP($B:$B,'Compilado 2023'!$B:$B,'Compilado 2023'!R:R)</f>
        <v>0</v>
      </c>
      <c r="S24" s="106">
        <f>_xlfn.XLOOKUP($B:$B,'Compilado 2023'!$B:$B,'Compilado 2023'!S:S)</f>
        <v>0</v>
      </c>
      <c r="T24" s="106">
        <f>_xlfn.XLOOKUP($B:$B,'Compilado 2023'!$B:$B,'Compilado 2023'!U:U)</f>
        <v>0</v>
      </c>
      <c r="U24" s="106">
        <f>_xlfn.XLOOKUP($B:$B,'Compilado 2023'!$B:$B,'Compilado 2023'!V:V)</f>
        <v>0</v>
      </c>
      <c r="V24" s="57"/>
      <c r="W24" s="106">
        <f>_xlfn.XLOOKUP($B:$B,'Compilado 2023'!$B:$B,'Compilado 2023'!X:X)</f>
        <v>0</v>
      </c>
      <c r="X24" s="106">
        <f>_xlfn.XLOOKUP($B:$B,'Compilado 2023'!$B:$B,'Compilado 2023'!Y:Y)</f>
        <v>0</v>
      </c>
      <c r="Y24" s="106">
        <f>_xlfn.XLOOKUP($B:$B,'Compilado 2023'!$B:$B,'Compilado 2023'!Z:Z)</f>
        <v>0</v>
      </c>
      <c r="Z24" s="38"/>
      <c r="AA24" s="107">
        <f>_xlfn.XLOOKUP($B:$B,'Compilado 2023'!$B:$B,'Compilado 2023'!AA:AA)</f>
        <v>0</v>
      </c>
    </row>
    <row r="25" spans="1:27" s="2" customFormat="1" x14ac:dyDescent="0.2">
      <c r="A25" s="16" t="str">
        <f t="shared" si="0"/>
        <v>domingo</v>
      </c>
      <c r="B25" s="17">
        <f t="shared" si="6"/>
        <v>45221</v>
      </c>
      <c r="C25" s="19">
        <f t="shared" si="3"/>
        <v>0</v>
      </c>
      <c r="D25" s="35">
        <f>_xlfn.XLOOKUP($B:$B,'Compilado 2023'!$B:$B,'Compilado 2023'!D:D)</f>
        <v>0</v>
      </c>
      <c r="E25" s="35">
        <f>_xlfn.XLOOKUP($B:$B,'Compilado 2023'!$B:$B,'Compilado 2023'!E:E)</f>
        <v>0</v>
      </c>
      <c r="F25" s="18">
        <f>_xlfn.XLOOKUP($B:$B,'Compilado 2023'!$B:$B,'Compilado 2023'!F:F)</f>
        <v>0</v>
      </c>
      <c r="G25" s="18">
        <f>_xlfn.XLOOKUP($B:$B,'Compilado 2023'!$B:$B,'Compilado 2023'!G:G)</f>
        <v>0</v>
      </c>
      <c r="H25" s="35">
        <f t="shared" si="4"/>
        <v>0</v>
      </c>
      <c r="I25" s="19">
        <f t="shared" ca="1" si="5"/>
        <v>51.612903225806448</v>
      </c>
      <c r="J25" s="117">
        <f t="shared" ca="1" si="1"/>
        <v>0</v>
      </c>
      <c r="K25" s="18">
        <f>_xlfn.XLOOKUP($B:$B,'Compilado 2023'!$B:$B,'Compilado 2023'!K:K)</f>
        <v>0</v>
      </c>
      <c r="L25" s="54">
        <f t="shared" si="2"/>
        <v>0</v>
      </c>
      <c r="M25" s="38"/>
      <c r="N25" s="106">
        <f>_xlfn.XLOOKUP($B:$B,'Compilado 2023'!$B:$B,'Compilado 2023'!N:N)</f>
        <v>0</v>
      </c>
      <c r="O25" s="106">
        <f>_xlfn.XLOOKUP($B:$B,'Compilado 2023'!$B:$B,'Compilado 2023'!O:O)</f>
        <v>0</v>
      </c>
      <c r="P25" s="106">
        <f>_xlfn.XLOOKUP($B:$B,'Compilado 2023'!$B:$B,'Compilado 2023'!P:P)</f>
        <v>0</v>
      </c>
      <c r="Q25" s="106">
        <f ca="1">_xlfn.XLOOKUP($B:$B,'Compilado 2023'!$B:$B,'Compilado 2023'!Q:Q)</f>
        <v>51.612903225806448</v>
      </c>
      <c r="R25" s="106">
        <f>_xlfn.XLOOKUP($B:$B,'Compilado 2023'!$B:$B,'Compilado 2023'!R:R)</f>
        <v>0</v>
      </c>
      <c r="S25" s="106">
        <f>_xlfn.XLOOKUP($B:$B,'Compilado 2023'!$B:$B,'Compilado 2023'!S:S)</f>
        <v>0</v>
      </c>
      <c r="T25" s="106">
        <f>_xlfn.XLOOKUP($B:$B,'Compilado 2023'!$B:$B,'Compilado 2023'!U:U)</f>
        <v>0</v>
      </c>
      <c r="U25" s="106">
        <f>_xlfn.XLOOKUP($B:$B,'Compilado 2023'!$B:$B,'Compilado 2023'!V:V)</f>
        <v>0</v>
      </c>
      <c r="V25" s="57"/>
      <c r="W25" s="106">
        <f>_xlfn.XLOOKUP($B:$B,'Compilado 2023'!$B:$B,'Compilado 2023'!X:X)</f>
        <v>0</v>
      </c>
      <c r="X25" s="106">
        <f>_xlfn.XLOOKUP($B:$B,'Compilado 2023'!$B:$B,'Compilado 2023'!Y:Y)</f>
        <v>0</v>
      </c>
      <c r="Y25" s="106">
        <f>_xlfn.XLOOKUP($B:$B,'Compilado 2023'!$B:$B,'Compilado 2023'!Z:Z)</f>
        <v>0</v>
      </c>
      <c r="Z25" s="38"/>
      <c r="AA25" s="107">
        <f>_xlfn.XLOOKUP($B:$B,'Compilado 2023'!$B:$B,'Compilado 2023'!AA:AA)</f>
        <v>0</v>
      </c>
    </row>
    <row r="26" spans="1:27" s="2" customFormat="1" x14ac:dyDescent="0.2">
      <c r="A26" s="16" t="str">
        <f t="shared" si="0"/>
        <v>segunda-feira</v>
      </c>
      <c r="B26" s="17">
        <f t="shared" si="6"/>
        <v>45222</v>
      </c>
      <c r="C26" s="19">
        <f t="shared" si="3"/>
        <v>0</v>
      </c>
      <c r="D26" s="35">
        <f>_xlfn.XLOOKUP($B:$B,'Compilado 2023'!$B:$B,'Compilado 2023'!D:D)</f>
        <v>0</v>
      </c>
      <c r="E26" s="35">
        <f>_xlfn.XLOOKUP($B:$B,'Compilado 2023'!$B:$B,'Compilado 2023'!E:E)</f>
        <v>0</v>
      </c>
      <c r="F26" s="18">
        <f>_xlfn.XLOOKUP($B:$B,'Compilado 2023'!$B:$B,'Compilado 2023'!F:F)</f>
        <v>0</v>
      </c>
      <c r="G26" s="18">
        <f>_xlfn.XLOOKUP($B:$B,'Compilado 2023'!$B:$B,'Compilado 2023'!G:G)</f>
        <v>0</v>
      </c>
      <c r="H26" s="35">
        <f t="shared" si="4"/>
        <v>0</v>
      </c>
      <c r="I26" s="19">
        <f t="shared" ca="1" si="5"/>
        <v>51.612903225806448</v>
      </c>
      <c r="J26" s="117">
        <f t="shared" ca="1" si="1"/>
        <v>0</v>
      </c>
      <c r="K26" s="18">
        <f>_xlfn.XLOOKUP($B:$B,'Compilado 2023'!$B:$B,'Compilado 2023'!K:K)</f>
        <v>0</v>
      </c>
      <c r="L26" s="54">
        <f t="shared" si="2"/>
        <v>0</v>
      </c>
      <c r="M26" s="38"/>
      <c r="N26" s="106">
        <f>_xlfn.XLOOKUP($B:$B,'Compilado 2023'!$B:$B,'Compilado 2023'!N:N)</f>
        <v>0</v>
      </c>
      <c r="O26" s="106">
        <f>_xlfn.XLOOKUP($B:$B,'Compilado 2023'!$B:$B,'Compilado 2023'!O:O)</f>
        <v>0</v>
      </c>
      <c r="P26" s="106">
        <f>_xlfn.XLOOKUP($B:$B,'Compilado 2023'!$B:$B,'Compilado 2023'!P:P)</f>
        <v>0</v>
      </c>
      <c r="Q26" s="106">
        <f ca="1">_xlfn.XLOOKUP($B:$B,'Compilado 2023'!$B:$B,'Compilado 2023'!Q:Q)</f>
        <v>51.612903225806448</v>
      </c>
      <c r="R26" s="106">
        <f>_xlfn.XLOOKUP($B:$B,'Compilado 2023'!$B:$B,'Compilado 2023'!R:R)</f>
        <v>0</v>
      </c>
      <c r="S26" s="106">
        <f>_xlfn.XLOOKUP($B:$B,'Compilado 2023'!$B:$B,'Compilado 2023'!S:S)</f>
        <v>0</v>
      </c>
      <c r="T26" s="106">
        <f>_xlfn.XLOOKUP($B:$B,'Compilado 2023'!$B:$B,'Compilado 2023'!U:U)</f>
        <v>0</v>
      </c>
      <c r="U26" s="106">
        <f>_xlfn.XLOOKUP($B:$B,'Compilado 2023'!$B:$B,'Compilado 2023'!V:V)</f>
        <v>0</v>
      </c>
      <c r="V26" s="57"/>
      <c r="W26" s="106">
        <f>_xlfn.XLOOKUP($B:$B,'Compilado 2023'!$B:$B,'Compilado 2023'!X:X)</f>
        <v>0</v>
      </c>
      <c r="X26" s="106">
        <f>_xlfn.XLOOKUP($B:$B,'Compilado 2023'!$B:$B,'Compilado 2023'!Y:Y)</f>
        <v>0</v>
      </c>
      <c r="Y26" s="106">
        <f>_xlfn.XLOOKUP($B:$B,'Compilado 2023'!$B:$B,'Compilado 2023'!Z:Z)</f>
        <v>0</v>
      </c>
      <c r="Z26" s="38"/>
      <c r="AA26" s="107">
        <f>_xlfn.XLOOKUP($B:$B,'Compilado 2023'!$B:$B,'Compilado 2023'!AA:AA)</f>
        <v>0</v>
      </c>
    </row>
    <row r="27" spans="1:27" x14ac:dyDescent="0.2">
      <c r="A27" s="16" t="str">
        <f t="shared" si="0"/>
        <v>terça-feira</v>
      </c>
      <c r="B27" s="17">
        <f t="shared" si="6"/>
        <v>45223</v>
      </c>
      <c r="C27" s="19">
        <f t="shared" si="3"/>
        <v>0</v>
      </c>
      <c r="D27" s="35">
        <f>_xlfn.XLOOKUP($B:$B,'Compilado 2023'!$B:$B,'Compilado 2023'!D:D)</f>
        <v>0</v>
      </c>
      <c r="E27" s="35">
        <f>_xlfn.XLOOKUP($B:$B,'Compilado 2023'!$B:$B,'Compilado 2023'!E:E)</f>
        <v>0</v>
      </c>
      <c r="F27" s="18">
        <f>_xlfn.XLOOKUP($B:$B,'Compilado 2023'!$B:$B,'Compilado 2023'!F:F)</f>
        <v>0</v>
      </c>
      <c r="G27" s="18">
        <f>_xlfn.XLOOKUP($B:$B,'Compilado 2023'!$B:$B,'Compilado 2023'!G:G)</f>
        <v>0</v>
      </c>
      <c r="H27" s="35">
        <f t="shared" si="4"/>
        <v>0</v>
      </c>
      <c r="I27" s="19">
        <f t="shared" ca="1" si="5"/>
        <v>51.612903225806448</v>
      </c>
      <c r="J27" s="117">
        <f t="shared" ca="1" si="1"/>
        <v>0</v>
      </c>
      <c r="K27" s="18">
        <f>_xlfn.XLOOKUP($B:$B,'Compilado 2023'!$B:$B,'Compilado 2023'!K:K)</f>
        <v>0</v>
      </c>
      <c r="L27" s="54">
        <f t="shared" si="2"/>
        <v>0</v>
      </c>
      <c r="M27" s="38"/>
      <c r="N27" s="106">
        <f>_xlfn.XLOOKUP($B:$B,'Compilado 2023'!$B:$B,'Compilado 2023'!N:N)</f>
        <v>0</v>
      </c>
      <c r="O27" s="106">
        <f>_xlfn.XLOOKUP($B:$B,'Compilado 2023'!$B:$B,'Compilado 2023'!O:O)</f>
        <v>0</v>
      </c>
      <c r="P27" s="106">
        <f>_xlfn.XLOOKUP($B:$B,'Compilado 2023'!$B:$B,'Compilado 2023'!P:P)</f>
        <v>0</v>
      </c>
      <c r="Q27" s="106">
        <f ca="1">_xlfn.XLOOKUP($B:$B,'Compilado 2023'!$B:$B,'Compilado 2023'!Q:Q)</f>
        <v>51.612903225806448</v>
      </c>
      <c r="R27" s="106">
        <f>_xlfn.XLOOKUP($B:$B,'Compilado 2023'!$B:$B,'Compilado 2023'!R:R)</f>
        <v>0</v>
      </c>
      <c r="S27" s="106">
        <f>_xlfn.XLOOKUP($B:$B,'Compilado 2023'!$B:$B,'Compilado 2023'!S:S)</f>
        <v>0</v>
      </c>
      <c r="T27" s="106">
        <f>_xlfn.XLOOKUP($B:$B,'Compilado 2023'!$B:$B,'Compilado 2023'!U:U)</f>
        <v>0</v>
      </c>
      <c r="U27" s="106">
        <f>_xlfn.XLOOKUP($B:$B,'Compilado 2023'!$B:$B,'Compilado 2023'!V:V)</f>
        <v>0</v>
      </c>
      <c r="V27" s="57"/>
      <c r="W27" s="106">
        <f>_xlfn.XLOOKUP($B:$B,'Compilado 2023'!$B:$B,'Compilado 2023'!X:X)</f>
        <v>0</v>
      </c>
      <c r="X27" s="106">
        <f>_xlfn.XLOOKUP($B:$B,'Compilado 2023'!$B:$B,'Compilado 2023'!Y:Y)</f>
        <v>0</v>
      </c>
      <c r="Y27" s="106">
        <f>_xlfn.XLOOKUP($B:$B,'Compilado 2023'!$B:$B,'Compilado 2023'!Z:Z)</f>
        <v>0</v>
      </c>
      <c r="Z27" s="38"/>
      <c r="AA27" s="107">
        <f>_xlfn.XLOOKUP($B:$B,'Compilado 2023'!$B:$B,'Compilado 2023'!AA:AA)</f>
        <v>0</v>
      </c>
    </row>
    <row r="28" spans="1:27" x14ac:dyDescent="0.2">
      <c r="A28" s="16" t="str">
        <f t="shared" si="0"/>
        <v>quarta-feira</v>
      </c>
      <c r="B28" s="17">
        <f t="shared" si="6"/>
        <v>45224</v>
      </c>
      <c r="C28" s="19">
        <f t="shared" si="3"/>
        <v>0</v>
      </c>
      <c r="D28" s="35">
        <f>_xlfn.XLOOKUP($B:$B,'Compilado 2023'!$B:$B,'Compilado 2023'!D:D)</f>
        <v>0</v>
      </c>
      <c r="E28" s="35">
        <f>_xlfn.XLOOKUP($B:$B,'Compilado 2023'!$B:$B,'Compilado 2023'!E:E)</f>
        <v>0</v>
      </c>
      <c r="F28" s="18">
        <f>_xlfn.XLOOKUP($B:$B,'Compilado 2023'!$B:$B,'Compilado 2023'!F:F)</f>
        <v>0</v>
      </c>
      <c r="G28" s="18">
        <f>_xlfn.XLOOKUP($B:$B,'Compilado 2023'!$B:$B,'Compilado 2023'!G:G)</f>
        <v>0</v>
      </c>
      <c r="H28" s="35">
        <f t="shared" si="4"/>
        <v>0</v>
      </c>
      <c r="I28" s="19">
        <f t="shared" ca="1" si="5"/>
        <v>51.612903225806448</v>
      </c>
      <c r="J28" s="117">
        <f t="shared" ca="1" si="1"/>
        <v>0</v>
      </c>
      <c r="K28" s="18">
        <f>_xlfn.XLOOKUP($B:$B,'Compilado 2023'!$B:$B,'Compilado 2023'!K:K)</f>
        <v>0</v>
      </c>
      <c r="L28" s="54">
        <f t="shared" si="2"/>
        <v>0</v>
      </c>
      <c r="M28" s="38"/>
      <c r="N28" s="106">
        <f>_xlfn.XLOOKUP($B:$B,'Compilado 2023'!$B:$B,'Compilado 2023'!N:N)</f>
        <v>0</v>
      </c>
      <c r="O28" s="106">
        <f>_xlfn.XLOOKUP($B:$B,'Compilado 2023'!$B:$B,'Compilado 2023'!O:O)</f>
        <v>0</v>
      </c>
      <c r="P28" s="106">
        <f>_xlfn.XLOOKUP($B:$B,'Compilado 2023'!$B:$B,'Compilado 2023'!P:P)</f>
        <v>0</v>
      </c>
      <c r="Q28" s="106">
        <f ca="1">_xlfn.XLOOKUP($B:$B,'Compilado 2023'!$B:$B,'Compilado 2023'!Q:Q)</f>
        <v>51.612903225806448</v>
      </c>
      <c r="R28" s="106">
        <f>_xlfn.XLOOKUP($B:$B,'Compilado 2023'!$B:$B,'Compilado 2023'!R:R)</f>
        <v>0</v>
      </c>
      <c r="S28" s="106">
        <f>_xlfn.XLOOKUP($B:$B,'Compilado 2023'!$B:$B,'Compilado 2023'!S:S)</f>
        <v>0</v>
      </c>
      <c r="T28" s="106">
        <f>_xlfn.XLOOKUP($B:$B,'Compilado 2023'!$B:$B,'Compilado 2023'!U:U)</f>
        <v>0</v>
      </c>
      <c r="U28" s="106">
        <f>_xlfn.XLOOKUP($B:$B,'Compilado 2023'!$B:$B,'Compilado 2023'!V:V)</f>
        <v>0</v>
      </c>
      <c r="V28" s="57"/>
      <c r="W28" s="106">
        <f>_xlfn.XLOOKUP($B:$B,'Compilado 2023'!$B:$B,'Compilado 2023'!X:X)</f>
        <v>0</v>
      </c>
      <c r="X28" s="106">
        <f>_xlfn.XLOOKUP($B:$B,'Compilado 2023'!$B:$B,'Compilado 2023'!Y:Y)</f>
        <v>0</v>
      </c>
      <c r="Y28" s="106">
        <f>_xlfn.XLOOKUP($B:$B,'Compilado 2023'!$B:$B,'Compilado 2023'!Z:Z)</f>
        <v>0</v>
      </c>
      <c r="Z28" s="38"/>
      <c r="AA28" s="107">
        <f>_xlfn.XLOOKUP($B:$B,'Compilado 2023'!$B:$B,'Compilado 2023'!AA:AA)</f>
        <v>0</v>
      </c>
    </row>
    <row r="29" spans="1:27" s="2" customFormat="1" x14ac:dyDescent="0.2">
      <c r="A29" s="16" t="str">
        <f t="shared" si="0"/>
        <v>quinta-feira</v>
      </c>
      <c r="B29" s="17">
        <f t="shared" si="6"/>
        <v>45225</v>
      </c>
      <c r="C29" s="19">
        <f t="shared" si="3"/>
        <v>0</v>
      </c>
      <c r="D29" s="35">
        <f>_xlfn.XLOOKUP($B:$B,'Compilado 2023'!$B:$B,'Compilado 2023'!D:D)</f>
        <v>0</v>
      </c>
      <c r="E29" s="35">
        <f>_xlfn.XLOOKUP($B:$B,'Compilado 2023'!$B:$B,'Compilado 2023'!E:E)</f>
        <v>0</v>
      </c>
      <c r="F29" s="18">
        <f>_xlfn.XLOOKUP($B:$B,'Compilado 2023'!$B:$B,'Compilado 2023'!F:F)</f>
        <v>0</v>
      </c>
      <c r="G29" s="18">
        <f>_xlfn.XLOOKUP($B:$B,'Compilado 2023'!$B:$B,'Compilado 2023'!G:G)</f>
        <v>0</v>
      </c>
      <c r="H29" s="35">
        <f t="shared" si="4"/>
        <v>0</v>
      </c>
      <c r="I29" s="19">
        <f t="shared" ca="1" si="5"/>
        <v>51.612903225806448</v>
      </c>
      <c r="J29" s="117">
        <f t="shared" ca="1" si="1"/>
        <v>0</v>
      </c>
      <c r="K29" s="18">
        <f>_xlfn.XLOOKUP($B:$B,'Compilado 2023'!$B:$B,'Compilado 2023'!K:K)</f>
        <v>0</v>
      </c>
      <c r="L29" s="54">
        <f t="shared" si="2"/>
        <v>0</v>
      </c>
      <c r="M29" s="38"/>
      <c r="N29" s="106">
        <f>_xlfn.XLOOKUP($B:$B,'Compilado 2023'!$B:$B,'Compilado 2023'!N:N)</f>
        <v>0</v>
      </c>
      <c r="O29" s="106">
        <f>_xlfn.XLOOKUP($B:$B,'Compilado 2023'!$B:$B,'Compilado 2023'!O:O)</f>
        <v>0</v>
      </c>
      <c r="P29" s="106">
        <f>_xlfn.XLOOKUP($B:$B,'Compilado 2023'!$B:$B,'Compilado 2023'!P:P)</f>
        <v>0</v>
      </c>
      <c r="Q29" s="106">
        <f ca="1">_xlfn.XLOOKUP($B:$B,'Compilado 2023'!$B:$B,'Compilado 2023'!Q:Q)</f>
        <v>51.612903225806448</v>
      </c>
      <c r="R29" s="106">
        <f>_xlfn.XLOOKUP($B:$B,'Compilado 2023'!$B:$B,'Compilado 2023'!R:R)</f>
        <v>0</v>
      </c>
      <c r="S29" s="106">
        <f>_xlfn.XLOOKUP($B:$B,'Compilado 2023'!$B:$B,'Compilado 2023'!S:S)</f>
        <v>0</v>
      </c>
      <c r="T29" s="106">
        <f>_xlfn.XLOOKUP($B:$B,'Compilado 2023'!$B:$B,'Compilado 2023'!U:U)</f>
        <v>0</v>
      </c>
      <c r="U29" s="106">
        <f>_xlfn.XLOOKUP($B:$B,'Compilado 2023'!$B:$B,'Compilado 2023'!V:V)</f>
        <v>0</v>
      </c>
      <c r="V29" s="57"/>
      <c r="W29" s="106">
        <f>_xlfn.XLOOKUP($B:$B,'Compilado 2023'!$B:$B,'Compilado 2023'!X:X)</f>
        <v>0</v>
      </c>
      <c r="X29" s="106">
        <f>_xlfn.XLOOKUP($B:$B,'Compilado 2023'!$B:$B,'Compilado 2023'!Y:Y)</f>
        <v>0</v>
      </c>
      <c r="Y29" s="106">
        <f>_xlfn.XLOOKUP($B:$B,'Compilado 2023'!$B:$B,'Compilado 2023'!Z:Z)</f>
        <v>0</v>
      </c>
      <c r="Z29" s="38"/>
      <c r="AA29" s="107">
        <f>_xlfn.XLOOKUP($B:$B,'Compilado 2023'!$B:$B,'Compilado 2023'!AA:AA)</f>
        <v>0</v>
      </c>
    </row>
    <row r="30" spans="1:27" s="2" customFormat="1" x14ac:dyDescent="0.2">
      <c r="A30" s="16" t="str">
        <f t="shared" si="0"/>
        <v>sexta-feira</v>
      </c>
      <c r="B30" s="17">
        <f t="shared" si="6"/>
        <v>45226</v>
      </c>
      <c r="C30" s="19">
        <f t="shared" si="3"/>
        <v>0</v>
      </c>
      <c r="D30" s="35">
        <f>_xlfn.XLOOKUP($B:$B,'Compilado 2023'!$B:$B,'Compilado 2023'!D:D)</f>
        <v>0</v>
      </c>
      <c r="E30" s="35">
        <f>_xlfn.XLOOKUP($B:$B,'Compilado 2023'!$B:$B,'Compilado 2023'!E:E)</f>
        <v>0</v>
      </c>
      <c r="F30" s="18">
        <f>_xlfn.XLOOKUP($B:$B,'Compilado 2023'!$B:$B,'Compilado 2023'!F:F)</f>
        <v>0</v>
      </c>
      <c r="G30" s="18">
        <f>_xlfn.XLOOKUP($B:$B,'Compilado 2023'!$B:$B,'Compilado 2023'!G:G)</f>
        <v>0</v>
      </c>
      <c r="H30" s="35">
        <f t="shared" si="4"/>
        <v>0</v>
      </c>
      <c r="I30" s="19">
        <f t="shared" ca="1" si="5"/>
        <v>51.612903225806448</v>
      </c>
      <c r="J30" s="117">
        <f t="shared" ca="1" si="1"/>
        <v>0</v>
      </c>
      <c r="K30" s="18">
        <f>_xlfn.XLOOKUP($B:$B,'Compilado 2023'!$B:$B,'Compilado 2023'!K:K)</f>
        <v>0</v>
      </c>
      <c r="L30" s="54">
        <f t="shared" si="2"/>
        <v>0</v>
      </c>
      <c r="M30" s="38"/>
      <c r="N30" s="106">
        <f>_xlfn.XLOOKUP($B:$B,'Compilado 2023'!$B:$B,'Compilado 2023'!N:N)</f>
        <v>0</v>
      </c>
      <c r="O30" s="106">
        <f>_xlfn.XLOOKUP($B:$B,'Compilado 2023'!$B:$B,'Compilado 2023'!O:O)</f>
        <v>0</v>
      </c>
      <c r="P30" s="106">
        <f>_xlfn.XLOOKUP($B:$B,'Compilado 2023'!$B:$B,'Compilado 2023'!P:P)</f>
        <v>0</v>
      </c>
      <c r="Q30" s="106">
        <f ca="1">_xlfn.XLOOKUP($B:$B,'Compilado 2023'!$B:$B,'Compilado 2023'!Q:Q)</f>
        <v>51.612903225806448</v>
      </c>
      <c r="R30" s="106">
        <f>_xlfn.XLOOKUP($B:$B,'Compilado 2023'!$B:$B,'Compilado 2023'!R:R)</f>
        <v>0</v>
      </c>
      <c r="S30" s="106">
        <f>_xlfn.XLOOKUP($B:$B,'Compilado 2023'!$B:$B,'Compilado 2023'!S:S)</f>
        <v>0</v>
      </c>
      <c r="T30" s="106">
        <f>_xlfn.XLOOKUP($B:$B,'Compilado 2023'!$B:$B,'Compilado 2023'!U:U)</f>
        <v>0</v>
      </c>
      <c r="U30" s="106">
        <f>_xlfn.XLOOKUP($B:$B,'Compilado 2023'!$B:$B,'Compilado 2023'!V:V)</f>
        <v>0</v>
      </c>
      <c r="V30" s="57"/>
      <c r="W30" s="106">
        <f>_xlfn.XLOOKUP($B:$B,'Compilado 2023'!$B:$B,'Compilado 2023'!X:X)</f>
        <v>0</v>
      </c>
      <c r="X30" s="106">
        <f>_xlfn.XLOOKUP($B:$B,'Compilado 2023'!$B:$B,'Compilado 2023'!Y:Y)</f>
        <v>0</v>
      </c>
      <c r="Y30" s="106">
        <f>_xlfn.XLOOKUP($B:$B,'Compilado 2023'!$B:$B,'Compilado 2023'!Z:Z)</f>
        <v>0</v>
      </c>
      <c r="Z30" s="38"/>
      <c r="AA30" s="107">
        <f>_xlfn.XLOOKUP($B:$B,'Compilado 2023'!$B:$B,'Compilado 2023'!AA:AA)</f>
        <v>0</v>
      </c>
    </row>
    <row r="31" spans="1:27" s="2" customFormat="1" x14ac:dyDescent="0.2">
      <c r="A31" s="16" t="str">
        <f t="shared" si="0"/>
        <v>sábado</v>
      </c>
      <c r="B31" s="17">
        <f t="shared" si="6"/>
        <v>45227</v>
      </c>
      <c r="C31" s="19">
        <f t="shared" si="3"/>
        <v>0</v>
      </c>
      <c r="D31" s="35">
        <f>_xlfn.XLOOKUP($B:$B,'Compilado 2023'!$B:$B,'Compilado 2023'!D:D)</f>
        <v>0</v>
      </c>
      <c r="E31" s="35">
        <f>_xlfn.XLOOKUP($B:$B,'Compilado 2023'!$B:$B,'Compilado 2023'!E:E)</f>
        <v>0</v>
      </c>
      <c r="F31" s="18">
        <f>_xlfn.XLOOKUP($B:$B,'Compilado 2023'!$B:$B,'Compilado 2023'!F:F)</f>
        <v>0</v>
      </c>
      <c r="G31" s="18">
        <f>_xlfn.XLOOKUP($B:$B,'Compilado 2023'!$B:$B,'Compilado 2023'!G:G)</f>
        <v>0</v>
      </c>
      <c r="H31" s="35">
        <f t="shared" si="4"/>
        <v>0</v>
      </c>
      <c r="I31" s="19">
        <f t="shared" ca="1" si="5"/>
        <v>51.612903225806448</v>
      </c>
      <c r="J31" s="117">
        <f t="shared" ca="1" si="1"/>
        <v>0</v>
      </c>
      <c r="K31" s="18">
        <f>_xlfn.XLOOKUP($B:$B,'Compilado 2023'!$B:$B,'Compilado 2023'!K:K)</f>
        <v>0</v>
      </c>
      <c r="L31" s="54">
        <f t="shared" si="2"/>
        <v>0</v>
      </c>
      <c r="M31" s="38"/>
      <c r="N31" s="106">
        <f>_xlfn.XLOOKUP($B:$B,'Compilado 2023'!$B:$B,'Compilado 2023'!N:N)</f>
        <v>0</v>
      </c>
      <c r="O31" s="106">
        <f>_xlfn.XLOOKUP($B:$B,'Compilado 2023'!$B:$B,'Compilado 2023'!O:O)</f>
        <v>0</v>
      </c>
      <c r="P31" s="106">
        <f>_xlfn.XLOOKUP($B:$B,'Compilado 2023'!$B:$B,'Compilado 2023'!P:P)</f>
        <v>0</v>
      </c>
      <c r="Q31" s="106">
        <f ca="1">_xlfn.XLOOKUP($B:$B,'Compilado 2023'!$B:$B,'Compilado 2023'!Q:Q)</f>
        <v>51.612903225806448</v>
      </c>
      <c r="R31" s="106">
        <f>_xlfn.XLOOKUP($B:$B,'Compilado 2023'!$B:$B,'Compilado 2023'!R:R)</f>
        <v>0</v>
      </c>
      <c r="S31" s="106">
        <f>_xlfn.XLOOKUP($B:$B,'Compilado 2023'!$B:$B,'Compilado 2023'!S:S)</f>
        <v>0</v>
      </c>
      <c r="T31" s="106">
        <f>_xlfn.XLOOKUP($B:$B,'Compilado 2023'!$B:$B,'Compilado 2023'!U:U)</f>
        <v>0</v>
      </c>
      <c r="U31" s="106">
        <f>_xlfn.XLOOKUP($B:$B,'Compilado 2023'!$B:$B,'Compilado 2023'!V:V)</f>
        <v>0</v>
      </c>
      <c r="V31" s="57"/>
      <c r="W31" s="106">
        <f>_xlfn.XLOOKUP($B:$B,'Compilado 2023'!$B:$B,'Compilado 2023'!X:X)</f>
        <v>0</v>
      </c>
      <c r="X31" s="106">
        <f>_xlfn.XLOOKUP($B:$B,'Compilado 2023'!$B:$B,'Compilado 2023'!Y:Y)</f>
        <v>0</v>
      </c>
      <c r="Y31" s="106">
        <f>_xlfn.XLOOKUP($B:$B,'Compilado 2023'!$B:$B,'Compilado 2023'!Z:Z)</f>
        <v>0</v>
      </c>
      <c r="Z31" s="38"/>
      <c r="AA31" s="107">
        <f>_xlfn.XLOOKUP($B:$B,'Compilado 2023'!$B:$B,'Compilado 2023'!AA:AA)</f>
        <v>0</v>
      </c>
    </row>
    <row r="32" spans="1:27" s="2" customFormat="1" x14ac:dyDescent="0.2">
      <c r="A32" s="16" t="str">
        <f t="shared" si="0"/>
        <v>domingo</v>
      </c>
      <c r="B32" s="17">
        <f t="shared" si="6"/>
        <v>45228</v>
      </c>
      <c r="C32" s="19">
        <f t="shared" si="3"/>
        <v>0</v>
      </c>
      <c r="D32" s="35">
        <f>_xlfn.XLOOKUP($B:$B,'Compilado 2023'!$B:$B,'Compilado 2023'!D:D)</f>
        <v>0</v>
      </c>
      <c r="E32" s="35">
        <f>_xlfn.XLOOKUP($B:$B,'Compilado 2023'!$B:$B,'Compilado 2023'!E:E)</f>
        <v>0</v>
      </c>
      <c r="F32" s="18">
        <f>_xlfn.XLOOKUP($B:$B,'Compilado 2023'!$B:$B,'Compilado 2023'!F:F)</f>
        <v>0</v>
      </c>
      <c r="G32" s="18">
        <f>_xlfn.XLOOKUP($B:$B,'Compilado 2023'!$B:$B,'Compilado 2023'!G:G)</f>
        <v>0</v>
      </c>
      <c r="H32" s="35">
        <f t="shared" si="4"/>
        <v>0</v>
      </c>
      <c r="I32" s="19">
        <f t="shared" ca="1" si="5"/>
        <v>51.612903225806448</v>
      </c>
      <c r="J32" s="117">
        <f t="shared" ca="1" si="1"/>
        <v>0</v>
      </c>
      <c r="K32" s="18">
        <f>_xlfn.XLOOKUP($B:$B,'Compilado 2023'!$B:$B,'Compilado 2023'!K:K)</f>
        <v>0</v>
      </c>
      <c r="L32" s="54">
        <f t="shared" si="2"/>
        <v>0</v>
      </c>
      <c r="M32" s="38"/>
      <c r="N32" s="106">
        <f>_xlfn.XLOOKUP($B:$B,'Compilado 2023'!$B:$B,'Compilado 2023'!N:N)</f>
        <v>0</v>
      </c>
      <c r="O32" s="106">
        <f>_xlfn.XLOOKUP($B:$B,'Compilado 2023'!$B:$B,'Compilado 2023'!O:O)</f>
        <v>0</v>
      </c>
      <c r="P32" s="106">
        <f>_xlfn.XLOOKUP($B:$B,'Compilado 2023'!$B:$B,'Compilado 2023'!P:P)</f>
        <v>0</v>
      </c>
      <c r="Q32" s="106">
        <f ca="1">_xlfn.XLOOKUP($B:$B,'Compilado 2023'!$B:$B,'Compilado 2023'!Q:Q)</f>
        <v>51.612903225806448</v>
      </c>
      <c r="R32" s="106">
        <f>_xlfn.XLOOKUP($B:$B,'Compilado 2023'!$B:$B,'Compilado 2023'!R:R)</f>
        <v>0</v>
      </c>
      <c r="S32" s="106">
        <f>_xlfn.XLOOKUP($B:$B,'Compilado 2023'!$B:$B,'Compilado 2023'!S:S)</f>
        <v>0</v>
      </c>
      <c r="T32" s="106">
        <f>_xlfn.XLOOKUP($B:$B,'Compilado 2023'!$B:$B,'Compilado 2023'!U:U)</f>
        <v>0</v>
      </c>
      <c r="U32" s="106">
        <f>_xlfn.XLOOKUP($B:$B,'Compilado 2023'!$B:$B,'Compilado 2023'!V:V)</f>
        <v>0</v>
      </c>
      <c r="V32" s="57"/>
      <c r="W32" s="106">
        <f>_xlfn.XLOOKUP($B:$B,'Compilado 2023'!$B:$B,'Compilado 2023'!X:X)</f>
        <v>0</v>
      </c>
      <c r="X32" s="106">
        <f>_xlfn.XLOOKUP($B:$B,'Compilado 2023'!$B:$B,'Compilado 2023'!Y:Y)</f>
        <v>0</v>
      </c>
      <c r="Y32" s="106">
        <f>_xlfn.XLOOKUP($B:$B,'Compilado 2023'!$B:$B,'Compilado 2023'!Z:Z)</f>
        <v>0</v>
      </c>
      <c r="Z32" s="38"/>
      <c r="AA32" s="107">
        <f>_xlfn.XLOOKUP($B:$B,'Compilado 2023'!$B:$B,'Compilado 2023'!AA:AA)</f>
        <v>0</v>
      </c>
    </row>
    <row r="33" spans="1:27" s="2" customFormat="1" x14ac:dyDescent="0.2">
      <c r="A33" s="16" t="str">
        <f t="shared" si="0"/>
        <v>segunda-feira</v>
      </c>
      <c r="B33" s="17">
        <f t="shared" si="6"/>
        <v>45229</v>
      </c>
      <c r="C33" s="19">
        <f t="shared" si="3"/>
        <v>0</v>
      </c>
      <c r="D33" s="35">
        <f>_xlfn.XLOOKUP($B:$B,'Compilado 2023'!$B:$B,'Compilado 2023'!D:D)</f>
        <v>0</v>
      </c>
      <c r="E33" s="35">
        <f>_xlfn.XLOOKUP($B:$B,'Compilado 2023'!$B:$B,'Compilado 2023'!E:E)</f>
        <v>0</v>
      </c>
      <c r="F33" s="18">
        <f>_xlfn.XLOOKUP($B:$B,'Compilado 2023'!$B:$B,'Compilado 2023'!F:F)</f>
        <v>0</v>
      </c>
      <c r="G33" s="18">
        <f>_xlfn.XLOOKUP($B:$B,'Compilado 2023'!$B:$B,'Compilado 2023'!G:G)</f>
        <v>0</v>
      </c>
      <c r="H33" s="35">
        <f t="shared" si="4"/>
        <v>0</v>
      </c>
      <c r="I33" s="19">
        <f t="shared" ca="1" si="5"/>
        <v>51.612903225806448</v>
      </c>
      <c r="J33" s="117">
        <f t="shared" ca="1" si="1"/>
        <v>0</v>
      </c>
      <c r="K33" s="18">
        <f>_xlfn.XLOOKUP($B:$B,'Compilado 2023'!$B:$B,'Compilado 2023'!K:K)</f>
        <v>0</v>
      </c>
      <c r="L33" s="54">
        <f t="shared" si="2"/>
        <v>0</v>
      </c>
      <c r="M33" s="38"/>
      <c r="N33" s="106">
        <f>_xlfn.XLOOKUP($B:$B,'Compilado 2023'!$B:$B,'Compilado 2023'!N:N)</f>
        <v>0</v>
      </c>
      <c r="O33" s="106">
        <f>_xlfn.XLOOKUP($B:$B,'Compilado 2023'!$B:$B,'Compilado 2023'!O:O)</f>
        <v>0</v>
      </c>
      <c r="P33" s="106">
        <f>_xlfn.XLOOKUP($B:$B,'Compilado 2023'!$B:$B,'Compilado 2023'!P:P)</f>
        <v>0</v>
      </c>
      <c r="Q33" s="106">
        <f ca="1">_xlfn.XLOOKUP($B:$B,'Compilado 2023'!$B:$B,'Compilado 2023'!Q:Q)</f>
        <v>51.612903225806448</v>
      </c>
      <c r="R33" s="106">
        <f>_xlfn.XLOOKUP($B:$B,'Compilado 2023'!$B:$B,'Compilado 2023'!R:R)</f>
        <v>0</v>
      </c>
      <c r="S33" s="106">
        <f>_xlfn.XLOOKUP($B:$B,'Compilado 2023'!$B:$B,'Compilado 2023'!S:S)</f>
        <v>0</v>
      </c>
      <c r="T33" s="106">
        <f>_xlfn.XLOOKUP($B:$B,'Compilado 2023'!$B:$B,'Compilado 2023'!U:U)</f>
        <v>0</v>
      </c>
      <c r="U33" s="106">
        <f>_xlfn.XLOOKUP($B:$B,'Compilado 2023'!$B:$B,'Compilado 2023'!V:V)</f>
        <v>0</v>
      </c>
      <c r="V33" s="57"/>
      <c r="W33" s="106">
        <f>_xlfn.XLOOKUP($B:$B,'Compilado 2023'!$B:$B,'Compilado 2023'!X:X)</f>
        <v>0</v>
      </c>
      <c r="X33" s="106">
        <f>_xlfn.XLOOKUP($B:$B,'Compilado 2023'!$B:$B,'Compilado 2023'!Y:Y)</f>
        <v>0</v>
      </c>
      <c r="Y33" s="106">
        <f>_xlfn.XLOOKUP($B:$B,'Compilado 2023'!$B:$B,'Compilado 2023'!Z:Z)</f>
        <v>0</v>
      </c>
      <c r="Z33" s="38"/>
      <c r="AA33" s="107">
        <f>_xlfn.XLOOKUP($B:$B,'Compilado 2023'!$B:$B,'Compilado 2023'!AA:AA)</f>
        <v>0</v>
      </c>
    </row>
    <row r="34" spans="1:27" x14ac:dyDescent="0.2">
      <c r="A34" s="16" t="str">
        <f t="shared" si="0"/>
        <v>terça-feira</v>
      </c>
      <c r="B34" s="17">
        <f t="shared" si="6"/>
        <v>45230</v>
      </c>
      <c r="C34" s="19">
        <f t="shared" si="3"/>
        <v>0</v>
      </c>
      <c r="D34" s="35">
        <f>_xlfn.XLOOKUP($B:$B,'Compilado 2023'!$B:$B,'Compilado 2023'!D:D)</f>
        <v>0</v>
      </c>
      <c r="E34" s="35">
        <f>_xlfn.XLOOKUP($B:$B,'Compilado 2023'!$B:$B,'Compilado 2023'!E:E)</f>
        <v>0</v>
      </c>
      <c r="F34" s="18">
        <f>_xlfn.XLOOKUP($B:$B,'Compilado 2023'!$B:$B,'Compilado 2023'!F:F)</f>
        <v>0</v>
      </c>
      <c r="G34" s="18">
        <f>_xlfn.XLOOKUP($B:$B,'Compilado 2023'!$B:$B,'Compilado 2023'!G:G)</f>
        <v>0</v>
      </c>
      <c r="H34" s="35">
        <f t="shared" si="4"/>
        <v>0</v>
      </c>
      <c r="I34" s="19">
        <f t="shared" ca="1" si="5"/>
        <v>51.612903225806448</v>
      </c>
      <c r="J34" s="117">
        <f t="shared" ca="1" si="1"/>
        <v>0</v>
      </c>
      <c r="K34" s="18">
        <f>_xlfn.XLOOKUP($B:$B,'Compilado 2023'!$B:$B,'Compilado 2023'!K:K)</f>
        <v>0</v>
      </c>
      <c r="L34" s="54">
        <f t="shared" si="2"/>
        <v>0</v>
      </c>
      <c r="M34" s="38"/>
      <c r="N34" s="106">
        <f>_xlfn.XLOOKUP($B:$B,'Compilado 2023'!$B:$B,'Compilado 2023'!N:N)</f>
        <v>0</v>
      </c>
      <c r="O34" s="106">
        <f>_xlfn.XLOOKUP($B:$B,'Compilado 2023'!$B:$B,'Compilado 2023'!O:O)</f>
        <v>0</v>
      </c>
      <c r="P34" s="106">
        <f>_xlfn.XLOOKUP($B:$B,'Compilado 2023'!$B:$B,'Compilado 2023'!P:P)</f>
        <v>0</v>
      </c>
      <c r="Q34" s="106">
        <f ca="1">_xlfn.XLOOKUP($B:$B,'Compilado 2023'!$B:$B,'Compilado 2023'!Q:Q)</f>
        <v>51.612903225806448</v>
      </c>
      <c r="R34" s="106">
        <f>_xlfn.XLOOKUP($B:$B,'Compilado 2023'!$B:$B,'Compilado 2023'!R:R)</f>
        <v>0</v>
      </c>
      <c r="S34" s="106">
        <f>_xlfn.XLOOKUP($B:$B,'Compilado 2023'!$B:$B,'Compilado 2023'!S:S)</f>
        <v>0</v>
      </c>
      <c r="T34" s="106">
        <f>_xlfn.XLOOKUP($B:$B,'Compilado 2023'!$B:$B,'Compilado 2023'!U:U)</f>
        <v>0</v>
      </c>
      <c r="U34" s="106">
        <f>_xlfn.XLOOKUP($B:$B,'Compilado 2023'!$B:$B,'Compilado 2023'!V:V)</f>
        <v>0</v>
      </c>
      <c r="V34" s="57"/>
      <c r="W34" s="106">
        <f>_xlfn.XLOOKUP($B:$B,'Compilado 2023'!$B:$B,'Compilado 2023'!X:X)</f>
        <v>0</v>
      </c>
      <c r="X34" s="106">
        <f>_xlfn.XLOOKUP($B:$B,'Compilado 2023'!$B:$B,'Compilado 2023'!Y:Y)</f>
        <v>0</v>
      </c>
      <c r="Y34" s="106">
        <f>_xlfn.XLOOKUP($B:$B,'Compilado 2023'!$B:$B,'Compilado 2023'!Z:Z)</f>
        <v>0</v>
      </c>
      <c r="Z34" s="38"/>
      <c r="AA34" s="107">
        <f>_xlfn.XLOOKUP($B:$B,'Compilado 2023'!$B:$B,'Compilado 2023'!AA:AA)</f>
        <v>0</v>
      </c>
    </row>
    <row r="35" spans="1:27" s="61" customFormat="1" ht="12" x14ac:dyDescent="0.2">
      <c r="A35" s="90" t="s">
        <v>186</v>
      </c>
      <c r="B35" s="91">
        <f>COUNTA(B4:B33)</f>
        <v>30</v>
      </c>
      <c r="C35" s="92">
        <f>SUM(C4:C34)</f>
        <v>0</v>
      </c>
      <c r="D35" s="92">
        <f>SUM(D4:D34)</f>
        <v>0</v>
      </c>
      <c r="E35" s="92">
        <f>SUM(E4:E34)</f>
        <v>0</v>
      </c>
      <c r="F35" s="93">
        <f>SUM(F4:F34)</f>
        <v>0</v>
      </c>
      <c r="G35" s="93">
        <f>SUM(G4:G34)</f>
        <v>0</v>
      </c>
      <c r="H35" s="92" t="e">
        <f>C35/F35</f>
        <v>#DIV/0!</v>
      </c>
      <c r="I35" s="92">
        <f ca="1">SUM(I4:I34)</f>
        <v>1599.9999999999989</v>
      </c>
      <c r="J35" s="123">
        <f ca="1">C35/I35</f>
        <v>0</v>
      </c>
      <c r="K35" s="93">
        <f>SUM(K4:K34)</f>
        <v>0</v>
      </c>
      <c r="L35" s="94">
        <f>IFERROR(F35/K35,0)</f>
        <v>0</v>
      </c>
      <c r="M35" s="95"/>
      <c r="N35" s="92">
        <f t="shared" ref="N35:U35" si="7">SUM(N4:N34)</f>
        <v>0</v>
      </c>
      <c r="O35" s="92">
        <f t="shared" si="7"/>
        <v>0</v>
      </c>
      <c r="P35" s="92">
        <f t="shared" si="7"/>
        <v>0</v>
      </c>
      <c r="Q35" s="92">
        <f t="shared" ca="1" si="7"/>
        <v>1599.9999999999989</v>
      </c>
      <c r="R35" s="92">
        <f t="shared" si="7"/>
        <v>0</v>
      </c>
      <c r="S35" s="92">
        <f t="shared" si="7"/>
        <v>0</v>
      </c>
      <c r="T35" s="92">
        <f t="shared" si="7"/>
        <v>0</v>
      </c>
      <c r="U35" s="92">
        <f t="shared" si="7"/>
        <v>0</v>
      </c>
      <c r="V35" s="97">
        <f t="shared" ref="V35:Y35" si="8">SUM(V4:V33)</f>
        <v>0</v>
      </c>
      <c r="W35" s="96">
        <f t="shared" si="8"/>
        <v>0</v>
      </c>
      <c r="X35" s="92">
        <f t="shared" si="8"/>
        <v>0</v>
      </c>
      <c r="Y35" s="92">
        <f t="shared" si="8"/>
        <v>0</v>
      </c>
      <c r="Z35" s="95"/>
      <c r="AA35" s="98"/>
    </row>
    <row r="36" spans="1:27" ht="6.75" customHeight="1" x14ac:dyDescent="0.2">
      <c r="M36" s="21"/>
    </row>
    <row r="37" spans="1:27" s="34" customFormat="1" ht="15.75" x14ac:dyDescent="0.3">
      <c r="A37" s="99" t="str">
        <f>JUN!A38</f>
        <v>Média Junho 2023</v>
      </c>
      <c r="B37" s="100"/>
      <c r="C37" s="101">
        <f>SET!C38</f>
        <v>0</v>
      </c>
      <c r="D37" s="101">
        <f>SET!D38</f>
        <v>0</v>
      </c>
      <c r="E37" s="101">
        <f>SET!E38</f>
        <v>0</v>
      </c>
      <c r="F37" s="102">
        <f>SET!F38</f>
        <v>0</v>
      </c>
      <c r="G37" s="102">
        <f>SET!G38</f>
        <v>0</v>
      </c>
      <c r="H37" s="103" t="e">
        <f>SET!H38</f>
        <v>#DIV/0!</v>
      </c>
      <c r="I37" s="101">
        <f ca="1">SET!I38</f>
        <v>53.333333333333321</v>
      </c>
      <c r="J37" s="119">
        <f ca="1">SET!J38</f>
        <v>0</v>
      </c>
      <c r="K37" s="104">
        <f>SET!K38</f>
        <v>0</v>
      </c>
      <c r="L37" s="105">
        <f>SET!L38</f>
        <v>0</v>
      </c>
      <c r="M37" s="21"/>
      <c r="N37"/>
      <c r="O37"/>
      <c r="P37"/>
      <c r="Q37"/>
      <c r="R37"/>
      <c r="S37"/>
      <c r="T37"/>
      <c r="U37"/>
      <c r="V37"/>
      <c r="W37"/>
      <c r="X37"/>
      <c r="Y37"/>
      <c r="Z37"/>
      <c r="AA37"/>
    </row>
    <row r="38" spans="1:27" s="34" customFormat="1" ht="15.75" x14ac:dyDescent="0.3">
      <c r="A38" s="99" t="str">
        <f>_xlfn.CONCAT("Média ",B2)</f>
        <v>Média Outubro 2023</v>
      </c>
      <c r="B38" s="100"/>
      <c r="C38" s="101">
        <f>AVERAGE(C4:C34)</f>
        <v>0</v>
      </c>
      <c r="D38" s="101">
        <f>AVERAGE(D5:D34)</f>
        <v>0</v>
      </c>
      <c r="E38" s="101">
        <f>AVERAGE(E5:E34)</f>
        <v>0</v>
      </c>
      <c r="F38" s="102">
        <f>AVERAGE(F5:F34)</f>
        <v>0</v>
      </c>
      <c r="G38" s="102">
        <f>AVERAGE(G5:G34)</f>
        <v>0</v>
      </c>
      <c r="H38" s="103" t="e">
        <f>H35</f>
        <v>#DIV/0!</v>
      </c>
      <c r="I38" s="101">
        <f ca="1">AVERAGE(I5:I34)</f>
        <v>51.61290322580642</v>
      </c>
      <c r="J38" s="119">
        <f ca="1">IFERROR(C38/I38,0)</f>
        <v>0</v>
      </c>
      <c r="K38" s="104">
        <f>AVERAGE(K5:K34)</f>
        <v>0</v>
      </c>
      <c r="L38" s="105">
        <f>IFERROR(F38/K38,0)</f>
        <v>0</v>
      </c>
      <c r="M38" s="21"/>
      <c r="N38"/>
      <c r="O38"/>
      <c r="P38"/>
      <c r="Q38"/>
      <c r="R38"/>
      <c r="S38"/>
      <c r="T38"/>
      <c r="U38"/>
      <c r="V38"/>
      <c r="W38"/>
      <c r="X38"/>
      <c r="Y38"/>
      <c r="Z38"/>
      <c r="AA38"/>
    </row>
    <row r="39" spans="1:27" ht="15.75" customHeight="1" x14ac:dyDescent="0.2">
      <c r="M39" s="21"/>
    </row>
    <row r="40" spans="1:27" ht="15.75" customHeight="1" x14ac:dyDescent="0.2">
      <c r="M40" s="21"/>
    </row>
    <row r="41" spans="1:27" ht="14.25" x14ac:dyDescent="0.2">
      <c r="B41" s="223" t="s">
        <v>188</v>
      </c>
      <c r="C41" s="223"/>
      <c r="D41" s="223"/>
      <c r="E41" s="76"/>
      <c r="F41" s="76"/>
      <c r="G41" s="76"/>
      <c r="H41" s="76"/>
      <c r="I41" s="76"/>
      <c r="J41" s="76"/>
      <c r="K41" s="76"/>
      <c r="L41" s="76"/>
      <c r="M41" s="21"/>
    </row>
    <row r="42" spans="1:27" ht="15.75" customHeight="1" x14ac:dyDescent="0.2"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21"/>
    </row>
    <row r="43" spans="1:27" ht="15" thickBot="1" x14ac:dyDescent="0.25">
      <c r="B43" s="77" t="s">
        <v>153</v>
      </c>
      <c r="C43" s="78" t="s">
        <v>75</v>
      </c>
      <c r="D43" s="78" t="s">
        <v>154</v>
      </c>
      <c r="E43" s="78" t="s">
        <v>77</v>
      </c>
      <c r="F43" s="78" t="s">
        <v>78</v>
      </c>
      <c r="G43" s="78" t="s">
        <v>79</v>
      </c>
      <c r="H43" s="78" t="s">
        <v>80</v>
      </c>
      <c r="I43" s="78" t="s">
        <v>81</v>
      </c>
      <c r="J43" s="78" t="s">
        <v>82</v>
      </c>
      <c r="K43" s="78" t="s">
        <v>40</v>
      </c>
      <c r="L43" s="78" t="s">
        <v>83</v>
      </c>
      <c r="M43" s="21"/>
      <c r="N43" s="78" t="s">
        <v>85</v>
      </c>
      <c r="O43" s="78" t="s">
        <v>155</v>
      </c>
      <c r="P43" s="78" t="s">
        <v>87</v>
      </c>
      <c r="Q43" s="78" t="s">
        <v>88</v>
      </c>
      <c r="R43" s="78" t="s">
        <v>89</v>
      </c>
      <c r="S43" s="78" t="s">
        <v>90</v>
      </c>
      <c r="T43" s="78" t="s">
        <v>91</v>
      </c>
      <c r="U43" s="78" t="s">
        <v>92</v>
      </c>
    </row>
    <row r="44" spans="1:27" s="20" customFormat="1" ht="14.25" x14ac:dyDescent="0.2">
      <c r="B44" s="79" t="str">
        <f>_xlfn.CONCAT(_xlfn.XLOOKUP(O1,Referencia!B1:B13,Referencia!C1:C13),"/",P1)</f>
        <v>OUT/2023</v>
      </c>
      <c r="C44" s="80">
        <f>C35</f>
        <v>0</v>
      </c>
      <c r="D44" s="80">
        <f t="shared" ref="D44:L44" si="9">D35</f>
        <v>0</v>
      </c>
      <c r="E44" s="80">
        <f t="shared" si="9"/>
        <v>0</v>
      </c>
      <c r="F44" s="81">
        <f t="shared" si="9"/>
        <v>0</v>
      </c>
      <c r="G44" s="81">
        <f t="shared" si="9"/>
        <v>0</v>
      </c>
      <c r="H44" s="80" t="e">
        <f t="shared" si="9"/>
        <v>#DIV/0!</v>
      </c>
      <c r="I44" s="80">
        <f t="shared" ca="1" si="9"/>
        <v>1599.9999999999989</v>
      </c>
      <c r="J44" s="118">
        <f t="shared" ca="1" si="9"/>
        <v>0</v>
      </c>
      <c r="K44" s="81">
        <f t="shared" si="9"/>
        <v>0</v>
      </c>
      <c r="L44" s="82">
        <f t="shared" si="9"/>
        <v>0</v>
      </c>
      <c r="M44" s="21"/>
      <c r="N44" s="134">
        <f>N35</f>
        <v>0</v>
      </c>
      <c r="O44" s="134">
        <f t="shared" ref="O44:U44" si="10">O35</f>
        <v>0</v>
      </c>
      <c r="P44" s="134">
        <f t="shared" si="10"/>
        <v>0</v>
      </c>
      <c r="Q44" s="134">
        <f t="shared" ca="1" si="10"/>
        <v>1599.9999999999989</v>
      </c>
      <c r="R44" s="134">
        <f t="shared" si="10"/>
        <v>0</v>
      </c>
      <c r="S44" s="134">
        <f t="shared" si="10"/>
        <v>0</v>
      </c>
      <c r="T44" s="134">
        <f t="shared" si="10"/>
        <v>0</v>
      </c>
      <c r="U44" s="134">
        <f t="shared" si="10"/>
        <v>0</v>
      </c>
      <c r="V44"/>
      <c r="W44"/>
      <c r="X44"/>
      <c r="Y44"/>
      <c r="Z44"/>
      <c r="AA44"/>
    </row>
    <row r="45" spans="1:27" s="20" customFormat="1" ht="14.25" x14ac:dyDescent="0.2">
      <c r="B45" s="138" t="str">
        <f>_xlfn.CONCAT(_xlfn.XLOOKUP(O1,Referencia!B1:B13,Referencia!C1:C13),"/",(P1-1))</f>
        <v>OUT/2022</v>
      </c>
      <c r="C45" s="134">
        <f>SUM(C64:C94)</f>
        <v>1390420.7999999998</v>
      </c>
      <c r="D45" s="134">
        <f>SUM(D64:D94)</f>
        <v>1390142.1</v>
      </c>
      <c r="E45" s="134">
        <f>SUM(E64:E94)</f>
        <v>278.70000000000005</v>
      </c>
      <c r="F45" s="135">
        <f>SUM(F64:F94)</f>
        <v>4727</v>
      </c>
      <c r="G45" s="135">
        <f>SUM(G64:G94)</f>
        <v>6367</v>
      </c>
      <c r="H45" s="134">
        <f>C45/F45</f>
        <v>294.14444679500735</v>
      </c>
      <c r="I45" s="134">
        <f ca="1">SUM(I64:I94)</f>
        <v>22764.959999999999</v>
      </c>
      <c r="J45" s="136">
        <f ca="1">C45/I45</f>
        <v>61.077234486684794</v>
      </c>
      <c r="K45" s="135">
        <f>SUM(K64:K94)</f>
        <v>118368</v>
      </c>
      <c r="L45" s="137">
        <f>F45/K45</f>
        <v>3.9934779670181129E-2</v>
      </c>
      <c r="M45" s="207"/>
      <c r="N45" s="134">
        <f>SUM(N64:N94)</f>
        <v>11261.499999999998</v>
      </c>
      <c r="O45" s="134">
        <f t="shared" ref="O45:V45" si="11">SUM(O64:O94)</f>
        <v>9903.4600000000009</v>
      </c>
      <c r="P45" s="134">
        <f t="shared" si="11"/>
        <v>0</v>
      </c>
      <c r="Q45" s="134">
        <f t="shared" ca="1" si="11"/>
        <v>1599.9999999999989</v>
      </c>
      <c r="R45" s="134">
        <f t="shared" si="11"/>
        <v>0</v>
      </c>
      <c r="S45" s="134">
        <f t="shared" si="11"/>
        <v>0</v>
      </c>
      <c r="T45" s="134">
        <f t="shared" si="11"/>
        <v>0</v>
      </c>
      <c r="U45" s="134">
        <f t="shared" si="11"/>
        <v>0</v>
      </c>
      <c r="V45" s="134">
        <f t="shared" si="11"/>
        <v>0</v>
      </c>
      <c r="W45"/>
      <c r="X45"/>
      <c r="Y45"/>
      <c r="Z45"/>
      <c r="AA45"/>
    </row>
    <row r="46" spans="1:27" s="20" customFormat="1" ht="14.25" x14ac:dyDescent="0.2">
      <c r="B46" s="83"/>
      <c r="C46" s="87">
        <f>C44-C45</f>
        <v>-1390420.7999999998</v>
      </c>
      <c r="D46" s="87">
        <f t="shared" ref="D46:L46" si="12">D44-D45</f>
        <v>-1390142.1</v>
      </c>
      <c r="E46" s="87">
        <f t="shared" si="12"/>
        <v>-278.70000000000005</v>
      </c>
      <c r="F46" s="88">
        <f t="shared" si="12"/>
        <v>-4727</v>
      </c>
      <c r="G46" s="88">
        <f t="shared" si="12"/>
        <v>-6367</v>
      </c>
      <c r="H46" s="87" t="e">
        <f t="shared" si="12"/>
        <v>#DIV/0!</v>
      </c>
      <c r="I46" s="87">
        <f t="shared" ca="1" si="12"/>
        <v>-21164.959999999999</v>
      </c>
      <c r="J46" s="125">
        <f t="shared" ca="1" si="12"/>
        <v>-61.077234486684794</v>
      </c>
      <c r="K46" s="88">
        <f t="shared" si="12"/>
        <v>-118368</v>
      </c>
      <c r="L46" s="89">
        <f t="shared" si="12"/>
        <v>-3.9934779670181129E-2</v>
      </c>
      <c r="M46" s="21"/>
      <c r="N46"/>
      <c r="O46"/>
      <c r="P46"/>
      <c r="Q46"/>
      <c r="R46"/>
      <c r="S46"/>
      <c r="T46"/>
      <c r="U46"/>
      <c r="V46"/>
      <c r="W46"/>
      <c r="X46"/>
      <c r="Y46"/>
      <c r="Z46"/>
      <c r="AA46"/>
    </row>
    <row r="47" spans="1:27" ht="14.25" x14ac:dyDescent="0.2">
      <c r="B47" s="84"/>
      <c r="C47" s="85">
        <f>IFERROR(1-(C45/C44),0)</f>
        <v>0</v>
      </c>
      <c r="D47" s="85">
        <f t="shared" ref="D47:L47" si="13">IFERROR(1-(D45/D44),0)</f>
        <v>0</v>
      </c>
      <c r="E47" s="85">
        <f t="shared" si="13"/>
        <v>0</v>
      </c>
      <c r="F47" s="85">
        <f t="shared" si="13"/>
        <v>0</v>
      </c>
      <c r="G47" s="85">
        <f t="shared" si="13"/>
        <v>0</v>
      </c>
      <c r="H47" s="85">
        <f t="shared" si="13"/>
        <v>0</v>
      </c>
      <c r="I47" s="85">
        <f t="shared" ca="1" si="13"/>
        <v>-13.22810000000001</v>
      </c>
      <c r="J47" s="85">
        <f t="shared" ca="1" si="13"/>
        <v>0</v>
      </c>
      <c r="K47" s="85">
        <f t="shared" si="13"/>
        <v>0</v>
      </c>
      <c r="L47" s="85">
        <f t="shared" si="13"/>
        <v>0</v>
      </c>
      <c r="M47" s="21"/>
    </row>
    <row r="48" spans="1:27" ht="15.75" customHeight="1" x14ac:dyDescent="0.2"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</row>
    <row r="49" spans="1:27" ht="14.25" x14ac:dyDescent="0.2">
      <c r="B49" s="223" t="s">
        <v>189</v>
      </c>
      <c r="C49" s="223"/>
      <c r="D49" s="223"/>
      <c r="E49" s="84"/>
      <c r="F49" s="84"/>
      <c r="G49" s="84"/>
      <c r="H49" s="84"/>
      <c r="I49" s="84"/>
      <c r="J49" s="84"/>
      <c r="K49" s="84"/>
      <c r="L49" s="84"/>
      <c r="M49" s="21"/>
    </row>
    <row r="50" spans="1:27" ht="15" thickBot="1" x14ac:dyDescent="0.25">
      <c r="B50" s="77" t="s">
        <v>153</v>
      </c>
      <c r="C50" s="78" t="s">
        <v>75</v>
      </c>
      <c r="D50" s="78" t="s">
        <v>154</v>
      </c>
      <c r="E50" s="78" t="s">
        <v>77</v>
      </c>
      <c r="F50" s="78" t="s">
        <v>78</v>
      </c>
      <c r="G50" s="78" t="s">
        <v>79</v>
      </c>
      <c r="H50" s="78" t="s">
        <v>80</v>
      </c>
      <c r="I50" s="78" t="s">
        <v>81</v>
      </c>
      <c r="J50" s="78" t="s">
        <v>82</v>
      </c>
      <c r="K50" s="78" t="s">
        <v>40</v>
      </c>
      <c r="L50" s="78" t="s">
        <v>83</v>
      </c>
      <c r="M50" s="21"/>
      <c r="N50" s="78" t="s">
        <v>85</v>
      </c>
      <c r="O50" s="78" t="s">
        <v>155</v>
      </c>
      <c r="P50" s="78" t="s">
        <v>87</v>
      </c>
      <c r="Q50" s="78" t="s">
        <v>88</v>
      </c>
      <c r="R50" s="78" t="s">
        <v>89</v>
      </c>
      <c r="S50" s="78" t="s">
        <v>90</v>
      </c>
      <c r="T50" s="78" t="s">
        <v>91</v>
      </c>
      <c r="U50" s="78" t="s">
        <v>92</v>
      </c>
    </row>
    <row r="51" spans="1:27" ht="14.25" x14ac:dyDescent="0.2">
      <c r="B51" s="79" t="str">
        <f>B44</f>
        <v>OUT/2023</v>
      </c>
      <c r="C51" s="80">
        <f>C44</f>
        <v>0</v>
      </c>
      <c r="D51" s="80">
        <f t="shared" ref="D51:U51" si="14">D44</f>
        <v>0</v>
      </c>
      <c r="E51" s="80">
        <f t="shared" si="14"/>
        <v>0</v>
      </c>
      <c r="F51" s="81">
        <f t="shared" si="14"/>
        <v>0</v>
      </c>
      <c r="G51" s="81">
        <f t="shared" si="14"/>
        <v>0</v>
      </c>
      <c r="H51" s="80" t="e">
        <f t="shared" si="14"/>
        <v>#DIV/0!</v>
      </c>
      <c r="I51" s="80">
        <f t="shared" ca="1" si="14"/>
        <v>1599.9999999999989</v>
      </c>
      <c r="J51" s="118">
        <f t="shared" ca="1" si="14"/>
        <v>0</v>
      </c>
      <c r="K51" s="81">
        <f t="shared" si="14"/>
        <v>0</v>
      </c>
      <c r="L51" s="82">
        <f t="shared" si="14"/>
        <v>0</v>
      </c>
      <c r="M51" s="21"/>
      <c r="N51" s="80">
        <f t="shared" si="14"/>
        <v>0</v>
      </c>
      <c r="O51" s="80">
        <f t="shared" si="14"/>
        <v>0</v>
      </c>
      <c r="P51" s="80">
        <f t="shared" si="14"/>
        <v>0</v>
      </c>
      <c r="Q51" s="80">
        <f t="shared" ca="1" si="14"/>
        <v>1599.9999999999989</v>
      </c>
      <c r="R51" s="80">
        <f t="shared" si="14"/>
        <v>0</v>
      </c>
      <c r="S51" s="80">
        <f t="shared" si="14"/>
        <v>0</v>
      </c>
      <c r="T51" s="80">
        <f t="shared" si="14"/>
        <v>0</v>
      </c>
      <c r="U51" s="80">
        <f t="shared" si="14"/>
        <v>0</v>
      </c>
    </row>
    <row r="52" spans="1:27" ht="14.25" x14ac:dyDescent="0.2">
      <c r="B52" s="138" t="str">
        <f>SET!B51</f>
        <v>SET/2023</v>
      </c>
      <c r="C52" s="134">
        <f>SET!C51</f>
        <v>0</v>
      </c>
      <c r="D52" s="134">
        <f>SET!D51</f>
        <v>0</v>
      </c>
      <c r="E52" s="134">
        <f>SET!E51</f>
        <v>0</v>
      </c>
      <c r="F52" s="135">
        <f>SET!F51</f>
        <v>0</v>
      </c>
      <c r="G52" s="135">
        <f>SET!G51</f>
        <v>0</v>
      </c>
      <c r="H52" s="134" t="e">
        <f>SET!H51</f>
        <v>#DIV/0!</v>
      </c>
      <c r="I52" s="134">
        <f ca="1">SET!I51</f>
        <v>1599.9999999999995</v>
      </c>
      <c r="J52" s="136">
        <f ca="1">SET!J51</f>
        <v>0</v>
      </c>
      <c r="K52" s="135">
        <f>SET!K51</f>
        <v>0</v>
      </c>
      <c r="L52" s="137">
        <f>SET!L51</f>
        <v>0</v>
      </c>
      <c r="M52" s="21"/>
      <c r="N52" s="134">
        <f>SET!N51</f>
        <v>0</v>
      </c>
      <c r="O52" s="134">
        <f>SET!O51</f>
        <v>0</v>
      </c>
      <c r="P52" s="134">
        <f>SET!P51</f>
        <v>0</v>
      </c>
      <c r="Q52" s="134">
        <f ca="1">SET!Q51</f>
        <v>1599.9999999999995</v>
      </c>
      <c r="R52" s="134">
        <f>SET!R51</f>
        <v>0</v>
      </c>
      <c r="S52" s="134">
        <f>SET!S51</f>
        <v>0</v>
      </c>
      <c r="T52" s="134">
        <f>SET!T51</f>
        <v>0</v>
      </c>
      <c r="U52" s="134">
        <f>SET!U51</f>
        <v>0</v>
      </c>
    </row>
    <row r="53" spans="1:27" ht="14.25" x14ac:dyDescent="0.2">
      <c r="B53" s="83"/>
      <c r="C53" s="87">
        <f t="shared" ref="C53:L53" si="15">C51-C52</f>
        <v>0</v>
      </c>
      <c r="D53" s="87">
        <f t="shared" si="15"/>
        <v>0</v>
      </c>
      <c r="E53" s="87">
        <f t="shared" si="15"/>
        <v>0</v>
      </c>
      <c r="F53" s="88">
        <f t="shared" si="15"/>
        <v>0</v>
      </c>
      <c r="G53" s="88">
        <f t="shared" si="15"/>
        <v>0</v>
      </c>
      <c r="H53" s="87" t="e">
        <f t="shared" si="15"/>
        <v>#DIV/0!</v>
      </c>
      <c r="I53" s="87">
        <f t="shared" ca="1" si="15"/>
        <v>0</v>
      </c>
      <c r="J53" s="125">
        <f t="shared" ca="1" si="15"/>
        <v>0</v>
      </c>
      <c r="K53" s="88">
        <f t="shared" si="15"/>
        <v>0</v>
      </c>
      <c r="L53" s="89">
        <f t="shared" si="15"/>
        <v>0</v>
      </c>
      <c r="M53" s="21"/>
    </row>
    <row r="54" spans="1:27" ht="14.25" x14ac:dyDescent="0.2">
      <c r="B54" s="84"/>
      <c r="C54" s="85">
        <f>IFERROR(1-(C52/C51),0)</f>
        <v>0</v>
      </c>
      <c r="D54" s="85">
        <f t="shared" ref="D54:L54" si="16">IFERROR(1-(D52/D51),0)</f>
        <v>0</v>
      </c>
      <c r="E54" s="85">
        <f t="shared" si="16"/>
        <v>0</v>
      </c>
      <c r="F54" s="85">
        <f t="shared" si="16"/>
        <v>0</v>
      </c>
      <c r="G54" s="85">
        <f t="shared" si="16"/>
        <v>0</v>
      </c>
      <c r="H54" s="85">
        <f t="shared" si="16"/>
        <v>0</v>
      </c>
      <c r="I54" s="85">
        <f t="shared" ca="1" si="16"/>
        <v>-4.4408920985006262E-16</v>
      </c>
      <c r="J54" s="85">
        <f t="shared" ca="1" si="16"/>
        <v>0</v>
      </c>
      <c r="K54" s="85">
        <f t="shared" si="16"/>
        <v>0</v>
      </c>
      <c r="L54" s="85">
        <f t="shared" si="16"/>
        <v>0</v>
      </c>
      <c r="M54" s="21"/>
    </row>
    <row r="56" spans="1:27" ht="15.75" customHeight="1" x14ac:dyDescent="0.2">
      <c r="B56" s="84"/>
      <c r="C56" s="84"/>
      <c r="D56" s="84"/>
      <c r="E56" s="84"/>
      <c r="F56" s="84"/>
      <c r="G56" s="84"/>
      <c r="H56" s="84"/>
      <c r="I56" s="84"/>
      <c r="J56" s="84"/>
      <c r="K56" s="84"/>
    </row>
    <row r="57" spans="1:27" x14ac:dyDescent="0.2">
      <c r="B57" s="223" t="s">
        <v>191</v>
      </c>
      <c r="C57" s="223"/>
      <c r="D57" s="223"/>
      <c r="E57" s="84"/>
      <c r="F57" s="84"/>
      <c r="G57" s="84"/>
      <c r="H57" s="84"/>
      <c r="I57" s="84"/>
      <c r="J57" s="84"/>
      <c r="K57" s="84"/>
      <c r="L57" s="84"/>
      <c r="M57" s="150"/>
    </row>
    <row r="58" spans="1:27" ht="13.5" thickBot="1" x14ac:dyDescent="0.25">
      <c r="B58" s="77" t="s">
        <v>153</v>
      </c>
      <c r="C58" s="78" t="s">
        <v>75</v>
      </c>
      <c r="D58" s="78" t="s">
        <v>154</v>
      </c>
      <c r="E58" s="78" t="s">
        <v>77</v>
      </c>
      <c r="F58" s="78" t="s">
        <v>78</v>
      </c>
      <c r="G58" s="78" t="s">
        <v>79</v>
      </c>
      <c r="H58" s="78" t="s">
        <v>80</v>
      </c>
      <c r="I58" s="78" t="s">
        <v>81</v>
      </c>
      <c r="J58" s="78" t="s">
        <v>82</v>
      </c>
      <c r="K58" s="78" t="s">
        <v>40</v>
      </c>
      <c r="L58" s="78" t="s">
        <v>83</v>
      </c>
      <c r="M58" s="150"/>
      <c r="N58" s="78" t="s">
        <v>85</v>
      </c>
      <c r="O58" s="78" t="s">
        <v>155</v>
      </c>
      <c r="P58" s="78" t="s">
        <v>87</v>
      </c>
      <c r="Q58" s="78" t="s">
        <v>88</v>
      </c>
      <c r="R58" s="78" t="s">
        <v>89</v>
      </c>
      <c r="S58" s="78" t="s">
        <v>90</v>
      </c>
      <c r="T58" s="78" t="s">
        <v>91</v>
      </c>
      <c r="U58" s="78" t="s">
        <v>92</v>
      </c>
    </row>
    <row r="59" spans="1:27" x14ac:dyDescent="0.2">
      <c r="B59" s="79" t="str">
        <f>B52</f>
        <v>SET/2023</v>
      </c>
      <c r="C59" s="80">
        <f>C44</f>
        <v>0</v>
      </c>
      <c r="D59" s="80">
        <f t="shared" ref="D59:L59" si="17">D51</f>
        <v>0</v>
      </c>
      <c r="E59" s="80">
        <f t="shared" si="17"/>
        <v>0</v>
      </c>
      <c r="F59" s="81">
        <f t="shared" si="17"/>
        <v>0</v>
      </c>
      <c r="G59" s="81">
        <f t="shared" si="17"/>
        <v>0</v>
      </c>
      <c r="H59" s="80" t="e">
        <f t="shared" si="17"/>
        <v>#DIV/0!</v>
      </c>
      <c r="I59" s="80">
        <f t="shared" ca="1" si="17"/>
        <v>1599.9999999999989</v>
      </c>
      <c r="J59" s="118">
        <f t="shared" ca="1" si="17"/>
        <v>0</v>
      </c>
      <c r="K59" s="81">
        <f t="shared" si="17"/>
        <v>0</v>
      </c>
      <c r="L59" s="82">
        <f t="shared" si="17"/>
        <v>0</v>
      </c>
      <c r="M59" s="150"/>
      <c r="N59" s="80">
        <f t="shared" ref="N59:U59" si="18">N51</f>
        <v>0</v>
      </c>
      <c r="O59" s="80">
        <f t="shared" si="18"/>
        <v>0</v>
      </c>
      <c r="P59" s="80">
        <f t="shared" si="18"/>
        <v>0</v>
      </c>
      <c r="Q59" s="80">
        <f t="shared" ca="1" si="18"/>
        <v>1599.9999999999989</v>
      </c>
      <c r="R59" s="80">
        <f t="shared" si="18"/>
        <v>0</v>
      </c>
      <c r="S59" s="80">
        <f t="shared" si="18"/>
        <v>0</v>
      </c>
      <c r="T59" s="80">
        <f t="shared" si="18"/>
        <v>0</v>
      </c>
      <c r="U59" s="80">
        <f t="shared" si="18"/>
        <v>0</v>
      </c>
    </row>
    <row r="60" spans="1:27" ht="14.25" x14ac:dyDescent="0.2">
      <c r="A60" s="128">
        <f ca="1">TODAY()</f>
        <v>45834</v>
      </c>
      <c r="B60" s="138" t="str">
        <f>B45</f>
        <v>OUT/2022</v>
      </c>
      <c r="C60" s="134">
        <f ca="1">SUMIF($A$64:$A$93,"Realizado",C64:C93)</f>
        <v>1390420.7999999998</v>
      </c>
      <c r="D60" s="134">
        <f ca="1">SUMIF($A$64:$A$93,"Realizado",D64:D93)</f>
        <v>1390142.1</v>
      </c>
      <c r="E60" s="134">
        <f ca="1">SUMIF($A$64:$A$93,"Realizado",E64:E93)</f>
        <v>278.70000000000005</v>
      </c>
      <c r="F60" s="135">
        <f ca="1">SUMIF($A$64:$A$93,"Realizado",F64:F93)</f>
        <v>4727</v>
      </c>
      <c r="G60" s="135">
        <f ca="1">SUMIF($A$64:$A$93,"Realizado",G64:G93)</f>
        <v>6367</v>
      </c>
      <c r="H60" s="134">
        <f ca="1">C60/F60</f>
        <v>294.14444679500735</v>
      </c>
      <c r="I60" s="134">
        <f ca="1">SUMIF($A$64:$A$93,"Realizado",I64:I93)</f>
        <v>22713.347096774192</v>
      </c>
      <c r="J60" s="136">
        <f ca="1">C60/I60</f>
        <v>61.2160239561289</v>
      </c>
      <c r="K60" s="135">
        <f>SUM(K64:K88)</f>
        <v>101929</v>
      </c>
      <c r="L60" s="137">
        <f ca="1">F60/K60</f>
        <v>4.6375418183245198E-2</v>
      </c>
      <c r="M60" s="21"/>
      <c r="N60" s="134">
        <f t="shared" ref="N60:S60" si="19">SUM(N64:N88)</f>
        <v>9332.0299999999988</v>
      </c>
      <c r="O60" s="134">
        <f t="shared" si="19"/>
        <v>8246.57</v>
      </c>
      <c r="P60" s="134">
        <f t="shared" si="19"/>
        <v>0</v>
      </c>
      <c r="Q60" s="134">
        <f t="shared" si="19"/>
        <v>1290.3225806451608</v>
      </c>
      <c r="R60" s="134">
        <f t="shared" si="19"/>
        <v>0</v>
      </c>
      <c r="S60" s="134">
        <f t="shared" si="19"/>
        <v>0</v>
      </c>
      <c r="T60" s="134">
        <f>JUN!T59</f>
        <v>0</v>
      </c>
      <c r="U60" s="134">
        <f>JUN!U59</f>
        <v>0</v>
      </c>
    </row>
    <row r="61" spans="1:27" x14ac:dyDescent="0.2">
      <c r="B61" s="83"/>
      <c r="C61" s="87">
        <f t="shared" ref="C61:L61" ca="1" si="20">C59-C60</f>
        <v>-1390420.7999999998</v>
      </c>
      <c r="D61" s="87">
        <f t="shared" ca="1" si="20"/>
        <v>-1390142.1</v>
      </c>
      <c r="E61" s="87">
        <f t="shared" ca="1" si="20"/>
        <v>-278.70000000000005</v>
      </c>
      <c r="F61" s="88">
        <f t="shared" ca="1" si="20"/>
        <v>-4727</v>
      </c>
      <c r="G61" s="88">
        <f t="shared" ca="1" si="20"/>
        <v>-6367</v>
      </c>
      <c r="H61" s="87" t="e">
        <f t="shared" ca="1" si="20"/>
        <v>#DIV/0!</v>
      </c>
      <c r="I61" s="87">
        <f t="shared" ca="1" si="20"/>
        <v>-21113.347096774192</v>
      </c>
      <c r="J61" s="125">
        <f t="shared" ca="1" si="20"/>
        <v>-61.2160239561289</v>
      </c>
      <c r="K61" s="88">
        <f t="shared" si="20"/>
        <v>-101929</v>
      </c>
      <c r="L61" s="89">
        <f t="shared" ca="1" si="20"/>
        <v>-4.6375418183245198E-2</v>
      </c>
      <c r="M61" s="150"/>
    </row>
    <row r="62" spans="1:27" x14ac:dyDescent="0.2">
      <c r="B62" s="84"/>
      <c r="C62" s="85">
        <f ca="1">IFERROR(1-(C60/C59),0)</f>
        <v>0</v>
      </c>
      <c r="D62" s="85">
        <f t="shared" ref="D62:L62" ca="1" si="21">IFERROR(1-(D60/D59),0)</f>
        <v>0</v>
      </c>
      <c r="E62" s="85">
        <f t="shared" ca="1" si="21"/>
        <v>0</v>
      </c>
      <c r="F62" s="85">
        <f t="shared" ca="1" si="21"/>
        <v>0</v>
      </c>
      <c r="G62" s="85">
        <f t="shared" ca="1" si="21"/>
        <v>0</v>
      </c>
      <c r="H62" s="85">
        <f t="shared" ca="1" si="21"/>
        <v>0</v>
      </c>
      <c r="I62" s="85">
        <f t="shared" ca="1" si="21"/>
        <v>-13.19584193548388</v>
      </c>
      <c r="J62" s="85">
        <f t="shared" ca="1" si="21"/>
        <v>0</v>
      </c>
      <c r="K62" s="85">
        <f t="shared" si="21"/>
        <v>0</v>
      </c>
      <c r="L62" s="85">
        <f t="shared" ca="1" si="21"/>
        <v>0</v>
      </c>
      <c r="M62" s="150"/>
    </row>
    <row r="63" spans="1:27" x14ac:dyDescent="0.2">
      <c r="A63" s="180">
        <f ca="1">TODAY()</f>
        <v>45834</v>
      </c>
      <c r="B63" s="201"/>
    </row>
    <row r="64" spans="1:27" hidden="1" x14ac:dyDescent="0.2">
      <c r="A64" s="17" t="str">
        <f t="shared" ref="A64:A68" ca="1" si="22">IF($A$63&lt;=AA64,"Previsto","Realizado")</f>
        <v>Realizado</v>
      </c>
      <c r="B64" s="17">
        <v>44835</v>
      </c>
      <c r="C64" s="19">
        <f t="shared" ref="C64:C94" si="23">D64+E64</f>
        <v>27208.94</v>
      </c>
      <c r="D64" s="35">
        <f>_xlfn.XLOOKUP($B:$B,'Compilado 2023'!$B:$B,'Compilado 2023'!D:D)</f>
        <v>27208.94</v>
      </c>
      <c r="E64" s="35">
        <f>_xlfn.XLOOKUP($B:$B,'Compilado 2023'!$B:$B,'Compilado 2023'!E:E)</f>
        <v>0</v>
      </c>
      <c r="F64" s="18">
        <f>_xlfn.XLOOKUP($B:$B,'Compilado 2023'!$B:$B,'Compilado 2023'!F:F)</f>
        <v>103</v>
      </c>
      <c r="G64" s="18">
        <f>_xlfn.XLOOKUP($B:$B,'Compilado 2023'!$B:$B,'Compilado 2023'!G:G)</f>
        <v>133</v>
      </c>
      <c r="H64" s="35">
        <f t="shared" ref="H64:H94" si="24">IFERROR(C64/F64,0)</f>
        <v>264.16446601941749</v>
      </c>
      <c r="I64" s="19">
        <f t="shared" ref="I64:I94" si="25">SUM(N64:U64)</f>
        <v>680.47290322580648</v>
      </c>
      <c r="J64" s="122">
        <f t="shared" ref="J64:J94" si="26">IF(I64&gt;0,C64/I64,0)</f>
        <v>39.985339417653563</v>
      </c>
      <c r="K64" s="18">
        <f>_xlfn.XLOOKUP($B:$B,'Compilado 2023'!$B:$B,'Compilado 2023'!K:K)</f>
        <v>3090</v>
      </c>
      <c r="L64" s="54">
        <f t="shared" ref="L64:L94" si="27">IFERROR(F64/K64,0)</f>
        <v>3.3333333333333333E-2</v>
      </c>
      <c r="M64" s="149"/>
      <c r="N64" s="106">
        <f>_xlfn.XLOOKUP($B:$B,'Compilado 2023'!$B:$B,'Compilado 2023'!N:N)</f>
        <v>329.44</v>
      </c>
      <c r="O64" s="106">
        <f>_xlfn.XLOOKUP($B:$B,'Compilado 2023'!$B:$B,'Compilado 2023'!O:O)</f>
        <v>299.42</v>
      </c>
      <c r="P64" s="106">
        <f>_xlfn.XLOOKUP($B:$B,'Compilado 2023'!$B:$B,'Compilado 2023'!P:P)</f>
        <v>0</v>
      </c>
      <c r="Q64" s="106">
        <f>_xlfn.XLOOKUP($B:$B,'Compilado 2023'!$B:$B,'Compilado 2023'!Q:Q)</f>
        <v>51.612903225806448</v>
      </c>
      <c r="R64" s="106">
        <f>_xlfn.XLOOKUP($B:$B,'Compilado 2023'!$B:$B,'Compilado 2023'!R:R)</f>
        <v>0</v>
      </c>
      <c r="S64" s="106">
        <f>_xlfn.XLOOKUP($B:$B,'Compilado 2023'!$B:$B,'Compilado 2023'!T:T)</f>
        <v>0</v>
      </c>
      <c r="T64" s="106">
        <f>_xlfn.XLOOKUP($B:$B,'Compilado 2023'!$B:$B,'Compilado 2023'!U:U)</f>
        <v>0</v>
      </c>
      <c r="U64" s="106">
        <f>_xlfn.XLOOKUP($B:$B,'Compilado 2023'!$B:$B,'Compilado 2023'!V:V)</f>
        <v>0</v>
      </c>
      <c r="V64" s="57"/>
      <c r="W64" s="106">
        <f>_xlfn.XLOOKUP($B:$B,'Compilado 2023'!$B:$B,'Compilado 2023'!X:X)</f>
        <v>0</v>
      </c>
      <c r="X64" s="106">
        <f>_xlfn.XLOOKUP($B:$B,'Compilado 2023'!$B:$B,'Compilado 2023'!Y:Y)</f>
        <v>0</v>
      </c>
      <c r="Y64" s="106">
        <f>_xlfn.XLOOKUP($B:$B,'Compilado 2023'!$B:$B,'Compilado 2023'!Z:Z)</f>
        <v>0</v>
      </c>
      <c r="AA64" s="208">
        <v>45108</v>
      </c>
    </row>
    <row r="65" spans="1:27" hidden="1" x14ac:dyDescent="0.2">
      <c r="A65" s="17" t="str">
        <f t="shared" ca="1" si="22"/>
        <v>Realizado</v>
      </c>
      <c r="B65" s="17">
        <v>44836</v>
      </c>
      <c r="C65" s="19">
        <f t="shared" si="23"/>
        <v>19267.509999999998</v>
      </c>
      <c r="D65" s="35">
        <f>_xlfn.XLOOKUP($B:$B,'Compilado 2023'!$B:$B,'Compilado 2023'!D:D)</f>
        <v>19267.509999999998</v>
      </c>
      <c r="E65" s="35">
        <f>_xlfn.XLOOKUP($B:$B,'Compilado 2023'!$B:$B,'Compilado 2023'!E:E)</f>
        <v>0</v>
      </c>
      <c r="F65" s="18">
        <f>_xlfn.XLOOKUP($B:$B,'Compilado 2023'!$B:$B,'Compilado 2023'!F:F)</f>
        <v>78</v>
      </c>
      <c r="G65" s="18">
        <f>_xlfn.XLOOKUP($B:$B,'Compilado 2023'!$B:$B,'Compilado 2023'!G:G)</f>
        <v>98</v>
      </c>
      <c r="H65" s="35">
        <f t="shared" si="24"/>
        <v>247.01935897435897</v>
      </c>
      <c r="I65" s="19">
        <f t="shared" si="25"/>
        <v>618.26290322580644</v>
      </c>
      <c r="J65" s="122">
        <f t="shared" si="26"/>
        <v>31.16394320194718</v>
      </c>
      <c r="K65" s="18">
        <f>_xlfn.XLOOKUP($B:$B,'Compilado 2023'!$B:$B,'Compilado 2023'!K:K)</f>
        <v>2075</v>
      </c>
      <c r="L65" s="54">
        <f t="shared" si="27"/>
        <v>3.7590361445783135E-2</v>
      </c>
      <c r="M65" s="149"/>
      <c r="N65" s="106">
        <f>_xlfn.XLOOKUP($B:$B,'Compilado 2023'!$B:$B,'Compilado 2023'!N:N)</f>
        <v>313</v>
      </c>
      <c r="O65" s="106">
        <f>_xlfn.XLOOKUP($B:$B,'Compilado 2023'!$B:$B,'Compilado 2023'!O:O)</f>
        <v>253.65</v>
      </c>
      <c r="P65" s="106">
        <f>_xlfn.XLOOKUP($B:$B,'Compilado 2023'!$B:$B,'Compilado 2023'!P:P)</f>
        <v>0</v>
      </c>
      <c r="Q65" s="106">
        <f>_xlfn.XLOOKUP($B:$B,'Compilado 2023'!$B:$B,'Compilado 2023'!Q:Q)</f>
        <v>51.612903225806448</v>
      </c>
      <c r="R65" s="106">
        <f>_xlfn.XLOOKUP($B:$B,'Compilado 2023'!$B:$B,'Compilado 2023'!R:R)</f>
        <v>0</v>
      </c>
      <c r="S65" s="106">
        <f>_xlfn.XLOOKUP($B:$B,'Compilado 2023'!$B:$B,'Compilado 2023'!T:T)</f>
        <v>0</v>
      </c>
      <c r="T65" s="106">
        <f>_xlfn.XLOOKUP($B:$B,'Compilado 2023'!$B:$B,'Compilado 2023'!U:U)</f>
        <v>0</v>
      </c>
      <c r="U65" s="106">
        <f>_xlfn.XLOOKUP($B:$B,'Compilado 2023'!$B:$B,'Compilado 2023'!V:V)</f>
        <v>0</v>
      </c>
      <c r="V65" s="57"/>
      <c r="W65" s="106">
        <f>_xlfn.XLOOKUP($B:$B,'Compilado 2023'!$B:$B,'Compilado 2023'!X:X)</f>
        <v>0</v>
      </c>
      <c r="X65" s="106">
        <f>_xlfn.XLOOKUP($B:$B,'Compilado 2023'!$B:$B,'Compilado 2023'!Y:Y)</f>
        <v>0</v>
      </c>
      <c r="Y65" s="106">
        <f>_xlfn.XLOOKUP($B:$B,'Compilado 2023'!$B:$B,'Compilado 2023'!Z:Z)</f>
        <v>0</v>
      </c>
      <c r="AA65" s="208">
        <v>45109</v>
      </c>
    </row>
    <row r="66" spans="1:27" hidden="1" x14ac:dyDescent="0.2">
      <c r="A66" s="17" t="str">
        <f t="shared" ca="1" si="22"/>
        <v>Realizado</v>
      </c>
      <c r="B66" s="17">
        <v>44837</v>
      </c>
      <c r="C66" s="19">
        <f t="shared" si="23"/>
        <v>53382.78</v>
      </c>
      <c r="D66" s="35">
        <f>_xlfn.XLOOKUP($B:$B,'Compilado 2023'!$B:$B,'Compilado 2023'!D:D)</f>
        <v>53382.78</v>
      </c>
      <c r="E66" s="35">
        <f>_xlfn.XLOOKUP($B:$B,'Compilado 2023'!$B:$B,'Compilado 2023'!E:E)</f>
        <v>0</v>
      </c>
      <c r="F66" s="18">
        <f>_xlfn.XLOOKUP($B:$B,'Compilado 2023'!$B:$B,'Compilado 2023'!F:F)</f>
        <v>165</v>
      </c>
      <c r="G66" s="18">
        <f>_xlfn.XLOOKUP($B:$B,'Compilado 2023'!$B:$B,'Compilado 2023'!G:G)</f>
        <v>218</v>
      </c>
      <c r="H66" s="35">
        <f t="shared" si="24"/>
        <v>323.53199999999998</v>
      </c>
      <c r="I66" s="19">
        <f t="shared" si="25"/>
        <v>797.44290322580639</v>
      </c>
      <c r="J66" s="122">
        <f t="shared" si="26"/>
        <v>66.942447896967451</v>
      </c>
      <c r="K66" s="18">
        <f>_xlfn.XLOOKUP($B:$B,'Compilado 2023'!$B:$B,'Compilado 2023'!K:K)</f>
        <v>4155</v>
      </c>
      <c r="L66" s="54">
        <f t="shared" si="27"/>
        <v>3.9711191335740074E-2</v>
      </c>
      <c r="M66" s="149"/>
      <c r="N66" s="106">
        <f>_xlfn.XLOOKUP($B:$B,'Compilado 2023'!$B:$B,'Compilado 2023'!N:N)</f>
        <v>527.64</v>
      </c>
      <c r="O66" s="106">
        <f>_xlfn.XLOOKUP($B:$B,'Compilado 2023'!$B:$B,'Compilado 2023'!O:O)</f>
        <v>218.19</v>
      </c>
      <c r="P66" s="106">
        <f>_xlfn.XLOOKUP($B:$B,'Compilado 2023'!$B:$B,'Compilado 2023'!P:P)</f>
        <v>0</v>
      </c>
      <c r="Q66" s="106">
        <f>_xlfn.XLOOKUP($B:$B,'Compilado 2023'!$B:$B,'Compilado 2023'!Q:Q)</f>
        <v>51.612903225806448</v>
      </c>
      <c r="R66" s="106">
        <f>_xlfn.XLOOKUP($B:$B,'Compilado 2023'!$B:$B,'Compilado 2023'!R:R)</f>
        <v>0</v>
      </c>
      <c r="S66" s="106">
        <f>_xlfn.XLOOKUP($B:$B,'Compilado 2023'!$B:$B,'Compilado 2023'!T:T)</f>
        <v>0</v>
      </c>
      <c r="T66" s="106">
        <f>_xlfn.XLOOKUP($B:$B,'Compilado 2023'!$B:$B,'Compilado 2023'!U:U)</f>
        <v>0</v>
      </c>
      <c r="U66" s="106">
        <f>_xlfn.XLOOKUP($B:$B,'Compilado 2023'!$B:$B,'Compilado 2023'!V:V)</f>
        <v>0</v>
      </c>
      <c r="V66" s="57"/>
      <c r="W66" s="106">
        <f>_xlfn.XLOOKUP($B:$B,'Compilado 2023'!$B:$B,'Compilado 2023'!X:X)</f>
        <v>0</v>
      </c>
      <c r="X66" s="106">
        <f>_xlfn.XLOOKUP($B:$B,'Compilado 2023'!$B:$B,'Compilado 2023'!Y:Y)</f>
        <v>0</v>
      </c>
      <c r="Y66" s="106">
        <f>_xlfn.XLOOKUP($B:$B,'Compilado 2023'!$B:$B,'Compilado 2023'!Z:Z)</f>
        <v>0</v>
      </c>
      <c r="AA66" s="208">
        <v>45110</v>
      </c>
    </row>
    <row r="67" spans="1:27" hidden="1" x14ac:dyDescent="0.2">
      <c r="A67" s="17" t="str">
        <f t="shared" ca="1" si="22"/>
        <v>Realizado</v>
      </c>
      <c r="B67" s="17">
        <v>44838</v>
      </c>
      <c r="C67" s="19">
        <f t="shared" si="23"/>
        <v>53991.78</v>
      </c>
      <c r="D67" s="35">
        <f>_xlfn.XLOOKUP($B:$B,'Compilado 2023'!$B:$B,'Compilado 2023'!D:D)</f>
        <v>53991.78</v>
      </c>
      <c r="E67" s="35">
        <f>_xlfn.XLOOKUP($B:$B,'Compilado 2023'!$B:$B,'Compilado 2023'!E:E)</f>
        <v>0</v>
      </c>
      <c r="F67" s="18">
        <f>_xlfn.XLOOKUP($B:$B,'Compilado 2023'!$B:$B,'Compilado 2023'!F:F)</f>
        <v>165</v>
      </c>
      <c r="G67" s="18">
        <f>_xlfn.XLOOKUP($B:$B,'Compilado 2023'!$B:$B,'Compilado 2023'!G:G)</f>
        <v>233</v>
      </c>
      <c r="H67" s="35">
        <f t="shared" si="24"/>
        <v>327.22290909090907</v>
      </c>
      <c r="I67" s="19">
        <f t="shared" si="25"/>
        <v>757.93290322580651</v>
      </c>
      <c r="J67" s="122">
        <f t="shared" si="26"/>
        <v>71.235566855862629</v>
      </c>
      <c r="K67" s="18">
        <f>_xlfn.XLOOKUP($B:$B,'Compilado 2023'!$B:$B,'Compilado 2023'!K:K)</f>
        <v>4277</v>
      </c>
      <c r="L67" s="54">
        <f t="shared" si="27"/>
        <v>3.8578442833761981E-2</v>
      </c>
      <c r="M67" s="149"/>
      <c r="N67" s="106">
        <f>_xlfn.XLOOKUP($B:$B,'Compilado 2023'!$B:$B,'Compilado 2023'!N:N)</f>
        <v>486.85</v>
      </c>
      <c r="O67" s="106">
        <f>_xlfn.XLOOKUP($B:$B,'Compilado 2023'!$B:$B,'Compilado 2023'!O:O)</f>
        <v>219.47</v>
      </c>
      <c r="P67" s="106">
        <f>_xlfn.XLOOKUP($B:$B,'Compilado 2023'!$B:$B,'Compilado 2023'!P:P)</f>
        <v>0</v>
      </c>
      <c r="Q67" s="106">
        <f>_xlfn.XLOOKUP($B:$B,'Compilado 2023'!$B:$B,'Compilado 2023'!Q:Q)</f>
        <v>51.612903225806448</v>
      </c>
      <c r="R67" s="106">
        <f>_xlfn.XLOOKUP($B:$B,'Compilado 2023'!$B:$B,'Compilado 2023'!R:R)</f>
        <v>0</v>
      </c>
      <c r="S67" s="106">
        <f>_xlfn.XLOOKUP($B:$B,'Compilado 2023'!$B:$B,'Compilado 2023'!T:T)</f>
        <v>0</v>
      </c>
      <c r="T67" s="106">
        <f>_xlfn.XLOOKUP($B:$B,'Compilado 2023'!$B:$B,'Compilado 2023'!U:U)</f>
        <v>0</v>
      </c>
      <c r="U67" s="106">
        <f>_xlfn.XLOOKUP($B:$B,'Compilado 2023'!$B:$B,'Compilado 2023'!V:V)</f>
        <v>0</v>
      </c>
      <c r="V67" s="57"/>
      <c r="W67" s="106">
        <f>_xlfn.XLOOKUP($B:$B,'Compilado 2023'!$B:$B,'Compilado 2023'!X:X)</f>
        <v>0</v>
      </c>
      <c r="X67" s="106">
        <f>_xlfn.XLOOKUP($B:$B,'Compilado 2023'!$B:$B,'Compilado 2023'!Y:Y)</f>
        <v>0</v>
      </c>
      <c r="Y67" s="106">
        <f>_xlfn.XLOOKUP($B:$B,'Compilado 2023'!$B:$B,'Compilado 2023'!Z:Z)</f>
        <v>0</v>
      </c>
      <c r="AA67" s="208">
        <v>45111</v>
      </c>
    </row>
    <row r="68" spans="1:27" hidden="1" x14ac:dyDescent="0.2">
      <c r="A68" s="17" t="str">
        <f t="shared" ca="1" si="22"/>
        <v>Realizado</v>
      </c>
      <c r="B68" s="17">
        <v>44839</v>
      </c>
      <c r="C68" s="19">
        <f t="shared" si="23"/>
        <v>63410.69</v>
      </c>
      <c r="D68" s="35">
        <f>_xlfn.XLOOKUP($B:$B,'Compilado 2023'!$B:$B,'Compilado 2023'!D:D)</f>
        <v>63410.69</v>
      </c>
      <c r="E68" s="35">
        <f>_xlfn.XLOOKUP($B:$B,'Compilado 2023'!$B:$B,'Compilado 2023'!E:E)</f>
        <v>0</v>
      </c>
      <c r="F68" s="18">
        <f>_xlfn.XLOOKUP($B:$B,'Compilado 2023'!$B:$B,'Compilado 2023'!F:F)</f>
        <v>211</v>
      </c>
      <c r="G68" s="18">
        <f>_xlfn.XLOOKUP($B:$B,'Compilado 2023'!$B:$B,'Compilado 2023'!G:G)</f>
        <v>286</v>
      </c>
      <c r="H68" s="35">
        <f t="shared" si="24"/>
        <v>300.5245971563981</v>
      </c>
      <c r="I68" s="19">
        <f t="shared" si="25"/>
        <v>806.84290322580648</v>
      </c>
      <c r="J68" s="122">
        <f t="shared" si="26"/>
        <v>78.591123187029652</v>
      </c>
      <c r="K68" s="18">
        <f>_xlfn.XLOOKUP($B:$B,'Compilado 2023'!$B:$B,'Compilado 2023'!K:K)</f>
        <v>5214</v>
      </c>
      <c r="L68" s="54">
        <f t="shared" si="27"/>
        <v>4.046797084771768E-2</v>
      </c>
      <c r="M68" s="149"/>
      <c r="N68" s="106">
        <f>_xlfn.XLOOKUP($B:$B,'Compilado 2023'!$B:$B,'Compilado 2023'!N:N)</f>
        <v>471.43</v>
      </c>
      <c r="O68" s="106">
        <f>_xlfn.XLOOKUP($B:$B,'Compilado 2023'!$B:$B,'Compilado 2023'!O:O)</f>
        <v>283.8</v>
      </c>
      <c r="P68" s="106">
        <f>_xlfn.XLOOKUP($B:$B,'Compilado 2023'!$B:$B,'Compilado 2023'!P:P)</f>
        <v>0</v>
      </c>
      <c r="Q68" s="106">
        <f>_xlfn.XLOOKUP($B:$B,'Compilado 2023'!$B:$B,'Compilado 2023'!Q:Q)</f>
        <v>51.612903225806448</v>
      </c>
      <c r="R68" s="106">
        <f>_xlfn.XLOOKUP($B:$B,'Compilado 2023'!$B:$B,'Compilado 2023'!R:R)</f>
        <v>0</v>
      </c>
      <c r="S68" s="106">
        <f>_xlfn.XLOOKUP($B:$B,'Compilado 2023'!$B:$B,'Compilado 2023'!T:T)</f>
        <v>0</v>
      </c>
      <c r="T68" s="106">
        <f>_xlfn.XLOOKUP($B:$B,'Compilado 2023'!$B:$B,'Compilado 2023'!U:U)</f>
        <v>0</v>
      </c>
      <c r="U68" s="106">
        <f>_xlfn.XLOOKUP($B:$B,'Compilado 2023'!$B:$B,'Compilado 2023'!V:V)</f>
        <v>0</v>
      </c>
      <c r="V68" s="57"/>
      <c r="W68" s="106">
        <f>_xlfn.XLOOKUP($B:$B,'Compilado 2023'!$B:$B,'Compilado 2023'!X:X)</f>
        <v>0</v>
      </c>
      <c r="X68" s="106">
        <f>_xlfn.XLOOKUP($B:$B,'Compilado 2023'!$B:$B,'Compilado 2023'!Y:Y)</f>
        <v>0</v>
      </c>
      <c r="Y68" s="106">
        <f>_xlfn.XLOOKUP($B:$B,'Compilado 2023'!$B:$B,'Compilado 2023'!Z:Z)</f>
        <v>0</v>
      </c>
      <c r="AA68" s="208">
        <v>45112</v>
      </c>
    </row>
    <row r="69" spans="1:27" hidden="1" x14ac:dyDescent="0.2">
      <c r="A69" s="17" t="str">
        <f ca="1">IF($A$63&lt;=AA69,"Previsto","Realizado")</f>
        <v>Realizado</v>
      </c>
      <c r="B69" s="17">
        <v>44840</v>
      </c>
      <c r="C69" s="19">
        <f t="shared" si="23"/>
        <v>70591.55</v>
      </c>
      <c r="D69" s="35">
        <f>_xlfn.XLOOKUP($B:$B,'Compilado 2023'!$B:$B,'Compilado 2023'!D:D)</f>
        <v>70591.55</v>
      </c>
      <c r="E69" s="35">
        <f>_xlfn.XLOOKUP($B:$B,'Compilado 2023'!$B:$B,'Compilado 2023'!E:E)</f>
        <v>0</v>
      </c>
      <c r="F69" s="18">
        <f>_xlfn.XLOOKUP($B:$B,'Compilado 2023'!$B:$B,'Compilado 2023'!F:F)</f>
        <v>205</v>
      </c>
      <c r="G69" s="18">
        <f>_xlfn.XLOOKUP($B:$B,'Compilado 2023'!$B:$B,'Compilado 2023'!G:G)</f>
        <v>335</v>
      </c>
      <c r="H69" s="35">
        <f t="shared" si="24"/>
        <v>344.34902439024393</v>
      </c>
      <c r="I69" s="19">
        <f t="shared" si="25"/>
        <v>820.83290322580649</v>
      </c>
      <c r="J69" s="122">
        <f t="shared" si="26"/>
        <v>85.999902931011846</v>
      </c>
      <c r="K69" s="18">
        <f>_xlfn.XLOOKUP($B:$B,'Compilado 2023'!$B:$B,'Compilado 2023'!K:K)</f>
        <v>4908</v>
      </c>
      <c r="L69" s="54">
        <f t="shared" si="27"/>
        <v>4.1768541157294212E-2</v>
      </c>
      <c r="M69" s="149"/>
      <c r="N69" s="106">
        <f>_xlfn.XLOOKUP($B:$B,'Compilado 2023'!$B:$B,'Compilado 2023'!N:N)</f>
        <v>440.09</v>
      </c>
      <c r="O69" s="106">
        <f>_xlfn.XLOOKUP($B:$B,'Compilado 2023'!$B:$B,'Compilado 2023'!O:O)</f>
        <v>329.13</v>
      </c>
      <c r="P69" s="106">
        <f>_xlfn.XLOOKUP($B:$B,'Compilado 2023'!$B:$B,'Compilado 2023'!P:P)</f>
        <v>0</v>
      </c>
      <c r="Q69" s="106">
        <f>_xlfn.XLOOKUP($B:$B,'Compilado 2023'!$B:$B,'Compilado 2023'!Q:Q)</f>
        <v>51.612903225806448</v>
      </c>
      <c r="R69" s="106">
        <f>_xlfn.XLOOKUP($B:$B,'Compilado 2023'!$B:$B,'Compilado 2023'!R:R)</f>
        <v>0</v>
      </c>
      <c r="S69" s="106">
        <f>_xlfn.XLOOKUP($B:$B,'Compilado 2023'!$B:$B,'Compilado 2023'!T:T)</f>
        <v>0</v>
      </c>
      <c r="T69" s="106">
        <f>_xlfn.XLOOKUP($B:$B,'Compilado 2023'!$B:$B,'Compilado 2023'!U:U)</f>
        <v>0</v>
      </c>
      <c r="U69" s="106">
        <f>_xlfn.XLOOKUP($B:$B,'Compilado 2023'!$B:$B,'Compilado 2023'!V:V)</f>
        <v>0</v>
      </c>
      <c r="V69" s="57"/>
      <c r="W69" s="106">
        <f>_xlfn.XLOOKUP($B:$B,'Compilado 2023'!$B:$B,'Compilado 2023'!X:X)</f>
        <v>0</v>
      </c>
      <c r="X69" s="106">
        <f>_xlfn.XLOOKUP($B:$B,'Compilado 2023'!$B:$B,'Compilado 2023'!Y:Y)</f>
        <v>0</v>
      </c>
      <c r="Y69" s="106">
        <f>_xlfn.XLOOKUP($B:$B,'Compilado 2023'!$B:$B,'Compilado 2023'!Z:Z)</f>
        <v>0</v>
      </c>
      <c r="AA69" s="208">
        <v>45113</v>
      </c>
    </row>
    <row r="70" spans="1:27" hidden="1" x14ac:dyDescent="0.2">
      <c r="A70" s="17" t="str">
        <f t="shared" ref="A70:A94" ca="1" si="28">IF($A$63&lt;=AA70,"Previsto","Realizado")</f>
        <v>Realizado</v>
      </c>
      <c r="B70" s="17">
        <v>44841</v>
      </c>
      <c r="C70" s="19">
        <f t="shared" si="23"/>
        <v>56426.45</v>
      </c>
      <c r="D70" s="35">
        <f>_xlfn.XLOOKUP($B:$B,'Compilado 2023'!$B:$B,'Compilado 2023'!D:D)</f>
        <v>56390.74</v>
      </c>
      <c r="E70" s="35">
        <f>_xlfn.XLOOKUP($B:$B,'Compilado 2023'!$B:$B,'Compilado 2023'!E:E)</f>
        <v>35.71</v>
      </c>
      <c r="F70" s="18">
        <f>_xlfn.XLOOKUP($B:$B,'Compilado 2023'!$B:$B,'Compilado 2023'!F:F)</f>
        <v>194</v>
      </c>
      <c r="G70" s="18">
        <f>_xlfn.XLOOKUP($B:$B,'Compilado 2023'!$B:$B,'Compilado 2023'!G:G)</f>
        <v>269</v>
      </c>
      <c r="H70" s="35">
        <f t="shared" si="24"/>
        <v>290.85798969072164</v>
      </c>
      <c r="I70" s="19">
        <f t="shared" si="25"/>
        <v>775.74290322580646</v>
      </c>
      <c r="J70" s="122">
        <f t="shared" si="26"/>
        <v>72.738596467153442</v>
      </c>
      <c r="K70" s="18">
        <f>_xlfn.XLOOKUP($B:$B,'Compilado 2023'!$B:$B,'Compilado 2023'!K:K)</f>
        <v>4596</v>
      </c>
      <c r="L70" s="54">
        <f t="shared" si="27"/>
        <v>4.2210617928633593E-2</v>
      </c>
      <c r="M70" s="149"/>
      <c r="N70" s="106">
        <f>_xlfn.XLOOKUP($B:$B,'Compilado 2023'!$B:$B,'Compilado 2023'!N:N)</f>
        <v>394.12</v>
      </c>
      <c r="O70" s="106">
        <f>_xlfn.XLOOKUP($B:$B,'Compilado 2023'!$B:$B,'Compilado 2023'!O:O)</f>
        <v>330.01</v>
      </c>
      <c r="P70" s="106">
        <f>_xlfn.XLOOKUP($B:$B,'Compilado 2023'!$B:$B,'Compilado 2023'!P:P)</f>
        <v>0</v>
      </c>
      <c r="Q70" s="106">
        <f>_xlfn.XLOOKUP($B:$B,'Compilado 2023'!$B:$B,'Compilado 2023'!Q:Q)</f>
        <v>51.612903225806448</v>
      </c>
      <c r="R70" s="106">
        <f>_xlfn.XLOOKUP($B:$B,'Compilado 2023'!$B:$B,'Compilado 2023'!R:R)</f>
        <v>0</v>
      </c>
      <c r="S70" s="106">
        <f>_xlfn.XLOOKUP($B:$B,'Compilado 2023'!$B:$B,'Compilado 2023'!T:T)</f>
        <v>0</v>
      </c>
      <c r="T70" s="106">
        <f>_xlfn.XLOOKUP($B:$B,'Compilado 2023'!$B:$B,'Compilado 2023'!U:U)</f>
        <v>0</v>
      </c>
      <c r="U70" s="106">
        <f>_xlfn.XLOOKUP($B:$B,'Compilado 2023'!$B:$B,'Compilado 2023'!V:V)</f>
        <v>0</v>
      </c>
      <c r="V70" s="57"/>
      <c r="W70" s="106">
        <f>_xlfn.XLOOKUP($B:$B,'Compilado 2023'!$B:$B,'Compilado 2023'!X:X)</f>
        <v>0</v>
      </c>
      <c r="X70" s="106">
        <f>_xlfn.XLOOKUP($B:$B,'Compilado 2023'!$B:$B,'Compilado 2023'!Y:Y)</f>
        <v>0</v>
      </c>
      <c r="Y70" s="106">
        <f>_xlfn.XLOOKUP($B:$B,'Compilado 2023'!$B:$B,'Compilado 2023'!Z:Z)</f>
        <v>0</v>
      </c>
      <c r="AA70" s="208">
        <v>45114</v>
      </c>
    </row>
    <row r="71" spans="1:27" hidden="1" x14ac:dyDescent="0.2">
      <c r="A71" s="17" t="str">
        <f t="shared" ca="1" si="28"/>
        <v>Realizado</v>
      </c>
      <c r="B71" s="17">
        <v>44842</v>
      </c>
      <c r="C71" s="19">
        <f t="shared" si="23"/>
        <v>34045.519999999997</v>
      </c>
      <c r="D71" s="35">
        <f>_xlfn.XLOOKUP($B:$B,'Compilado 2023'!$B:$B,'Compilado 2023'!D:D)</f>
        <v>34045.519999999997</v>
      </c>
      <c r="E71" s="35">
        <f>_xlfn.XLOOKUP($B:$B,'Compilado 2023'!$B:$B,'Compilado 2023'!E:E)</f>
        <v>0</v>
      </c>
      <c r="F71" s="18">
        <f>_xlfn.XLOOKUP($B:$B,'Compilado 2023'!$B:$B,'Compilado 2023'!F:F)</f>
        <v>122</v>
      </c>
      <c r="G71" s="18">
        <f>_xlfn.XLOOKUP($B:$B,'Compilado 2023'!$B:$B,'Compilado 2023'!G:G)</f>
        <v>153</v>
      </c>
      <c r="H71" s="35">
        <f t="shared" si="24"/>
        <v>279.06163934426229</v>
      </c>
      <c r="I71" s="19">
        <f t="shared" si="25"/>
        <v>659.05290322580652</v>
      </c>
      <c r="J71" s="122">
        <f t="shared" si="26"/>
        <v>51.65825054917515</v>
      </c>
      <c r="K71" s="18">
        <f>_xlfn.XLOOKUP($B:$B,'Compilado 2023'!$B:$B,'Compilado 2023'!K:K)</f>
        <v>3382</v>
      </c>
      <c r="L71" s="54">
        <f t="shared" si="27"/>
        <v>3.6073329390892965E-2</v>
      </c>
      <c r="M71" s="149"/>
      <c r="N71" s="106">
        <f>_xlfn.XLOOKUP($B:$B,'Compilado 2023'!$B:$B,'Compilado 2023'!N:N)</f>
        <v>280.68</v>
      </c>
      <c r="O71" s="106">
        <f>_xlfn.XLOOKUP($B:$B,'Compilado 2023'!$B:$B,'Compilado 2023'!O:O)</f>
        <v>326.76</v>
      </c>
      <c r="P71" s="106">
        <f>_xlfn.XLOOKUP($B:$B,'Compilado 2023'!$B:$B,'Compilado 2023'!P:P)</f>
        <v>0</v>
      </c>
      <c r="Q71" s="106">
        <f>_xlfn.XLOOKUP($B:$B,'Compilado 2023'!$B:$B,'Compilado 2023'!Q:Q)</f>
        <v>51.612903225806448</v>
      </c>
      <c r="R71" s="106">
        <f>_xlfn.XLOOKUP($B:$B,'Compilado 2023'!$B:$B,'Compilado 2023'!R:R)</f>
        <v>0</v>
      </c>
      <c r="S71" s="106">
        <f>_xlfn.XLOOKUP($B:$B,'Compilado 2023'!$B:$B,'Compilado 2023'!T:T)</f>
        <v>0</v>
      </c>
      <c r="T71" s="106">
        <f>_xlfn.XLOOKUP($B:$B,'Compilado 2023'!$B:$B,'Compilado 2023'!U:U)</f>
        <v>0</v>
      </c>
      <c r="U71" s="106">
        <f>_xlfn.XLOOKUP($B:$B,'Compilado 2023'!$B:$B,'Compilado 2023'!V:V)</f>
        <v>0</v>
      </c>
      <c r="V71" s="57"/>
      <c r="W71" s="106">
        <f>_xlfn.XLOOKUP($B:$B,'Compilado 2023'!$B:$B,'Compilado 2023'!X:X)</f>
        <v>0</v>
      </c>
      <c r="X71" s="106">
        <f>_xlfn.XLOOKUP($B:$B,'Compilado 2023'!$B:$B,'Compilado 2023'!Y:Y)</f>
        <v>0</v>
      </c>
      <c r="Y71" s="106">
        <f>_xlfn.XLOOKUP($B:$B,'Compilado 2023'!$B:$B,'Compilado 2023'!Z:Z)</f>
        <v>0</v>
      </c>
      <c r="AA71" s="208">
        <v>45115</v>
      </c>
    </row>
    <row r="72" spans="1:27" hidden="1" x14ac:dyDescent="0.2">
      <c r="A72" s="17" t="str">
        <f t="shared" ca="1" si="28"/>
        <v>Realizado</v>
      </c>
      <c r="B72" s="17">
        <v>44843</v>
      </c>
      <c r="C72" s="19">
        <f t="shared" si="23"/>
        <v>31413.88</v>
      </c>
      <c r="D72" s="35">
        <f>_xlfn.XLOOKUP($B:$B,'Compilado 2023'!$B:$B,'Compilado 2023'!D:D)</f>
        <v>31413.88</v>
      </c>
      <c r="E72" s="35">
        <f>_xlfn.XLOOKUP($B:$B,'Compilado 2023'!$B:$B,'Compilado 2023'!E:E)</f>
        <v>0</v>
      </c>
      <c r="F72" s="18">
        <f>_xlfn.XLOOKUP($B:$B,'Compilado 2023'!$B:$B,'Compilado 2023'!F:F)</f>
        <v>102</v>
      </c>
      <c r="G72" s="18">
        <f>_xlfn.XLOOKUP($B:$B,'Compilado 2023'!$B:$B,'Compilado 2023'!G:G)</f>
        <v>147</v>
      </c>
      <c r="H72" s="35">
        <f t="shared" si="24"/>
        <v>307.97921568627453</v>
      </c>
      <c r="I72" s="19">
        <f t="shared" si="25"/>
        <v>699.17290322580641</v>
      </c>
      <c r="J72" s="122">
        <f t="shared" si="26"/>
        <v>44.930059295868489</v>
      </c>
      <c r="K72" s="18">
        <f>_xlfn.XLOOKUP($B:$B,'Compilado 2023'!$B:$B,'Compilado 2023'!K:K)</f>
        <v>2970</v>
      </c>
      <c r="L72" s="54">
        <f t="shared" si="27"/>
        <v>3.4343434343434343E-2</v>
      </c>
      <c r="M72" s="149"/>
      <c r="N72" s="106">
        <f>_xlfn.XLOOKUP($B:$B,'Compilado 2023'!$B:$B,'Compilado 2023'!N:N)</f>
        <v>277.17</v>
      </c>
      <c r="O72" s="106">
        <f>_xlfn.XLOOKUP($B:$B,'Compilado 2023'!$B:$B,'Compilado 2023'!O:O)</f>
        <v>370.39</v>
      </c>
      <c r="P72" s="106">
        <f>_xlfn.XLOOKUP($B:$B,'Compilado 2023'!$B:$B,'Compilado 2023'!P:P)</f>
        <v>0</v>
      </c>
      <c r="Q72" s="106">
        <f>_xlfn.XLOOKUP($B:$B,'Compilado 2023'!$B:$B,'Compilado 2023'!Q:Q)</f>
        <v>51.612903225806448</v>
      </c>
      <c r="R72" s="106">
        <f>_xlfn.XLOOKUP($B:$B,'Compilado 2023'!$B:$B,'Compilado 2023'!R:R)</f>
        <v>0</v>
      </c>
      <c r="S72" s="106">
        <f>_xlfn.XLOOKUP($B:$B,'Compilado 2023'!$B:$B,'Compilado 2023'!T:T)</f>
        <v>0</v>
      </c>
      <c r="T72" s="106">
        <f>_xlfn.XLOOKUP($B:$B,'Compilado 2023'!$B:$B,'Compilado 2023'!U:U)</f>
        <v>0</v>
      </c>
      <c r="U72" s="106">
        <f>_xlfn.XLOOKUP($B:$B,'Compilado 2023'!$B:$B,'Compilado 2023'!V:V)</f>
        <v>0</v>
      </c>
      <c r="V72" s="57"/>
      <c r="W72" s="106">
        <f>_xlfn.XLOOKUP($B:$B,'Compilado 2023'!$B:$B,'Compilado 2023'!X:X)</f>
        <v>0</v>
      </c>
      <c r="X72" s="106">
        <f>_xlfn.XLOOKUP($B:$B,'Compilado 2023'!$B:$B,'Compilado 2023'!Y:Y)</f>
        <v>0</v>
      </c>
      <c r="Y72" s="106">
        <f>_xlfn.XLOOKUP($B:$B,'Compilado 2023'!$B:$B,'Compilado 2023'!Z:Z)</f>
        <v>0</v>
      </c>
      <c r="AA72" s="208">
        <v>45116</v>
      </c>
    </row>
    <row r="73" spans="1:27" hidden="1" x14ac:dyDescent="0.2">
      <c r="A73" s="17" t="str">
        <f t="shared" ca="1" si="28"/>
        <v>Realizado</v>
      </c>
      <c r="B73" s="17">
        <v>44844</v>
      </c>
      <c r="C73" s="19">
        <f t="shared" si="23"/>
        <v>83088.41</v>
      </c>
      <c r="D73" s="35">
        <f>_xlfn.XLOOKUP($B:$B,'Compilado 2023'!$B:$B,'Compilado 2023'!D:D)</f>
        <v>83088.41</v>
      </c>
      <c r="E73" s="35">
        <f>_xlfn.XLOOKUP($B:$B,'Compilado 2023'!$B:$B,'Compilado 2023'!E:E)</f>
        <v>0</v>
      </c>
      <c r="F73" s="18">
        <f>_xlfn.XLOOKUP($B:$B,'Compilado 2023'!$B:$B,'Compilado 2023'!F:F)</f>
        <v>246</v>
      </c>
      <c r="G73" s="18">
        <f>_xlfn.XLOOKUP($B:$B,'Compilado 2023'!$B:$B,'Compilado 2023'!G:G)</f>
        <v>405</v>
      </c>
      <c r="H73" s="35">
        <f t="shared" si="24"/>
        <v>337.75776422764227</v>
      </c>
      <c r="I73" s="19">
        <f t="shared" si="25"/>
        <v>899.15290322580643</v>
      </c>
      <c r="J73" s="122">
        <f t="shared" si="26"/>
        <v>92.407431152044907</v>
      </c>
      <c r="K73" s="18">
        <f>_xlfn.XLOOKUP($B:$B,'Compilado 2023'!$B:$B,'Compilado 2023'!K:K)</f>
        <v>4708</v>
      </c>
      <c r="L73" s="54">
        <f t="shared" si="27"/>
        <v>5.2251486830926085E-2</v>
      </c>
      <c r="M73" s="149"/>
      <c r="N73" s="106">
        <f>_xlfn.XLOOKUP($B:$B,'Compilado 2023'!$B:$B,'Compilado 2023'!N:N)</f>
        <v>497.09</v>
      </c>
      <c r="O73" s="106">
        <f>_xlfn.XLOOKUP($B:$B,'Compilado 2023'!$B:$B,'Compilado 2023'!O:O)</f>
        <v>350.45</v>
      </c>
      <c r="P73" s="106">
        <f>_xlfn.XLOOKUP($B:$B,'Compilado 2023'!$B:$B,'Compilado 2023'!P:P)</f>
        <v>0</v>
      </c>
      <c r="Q73" s="106">
        <f>_xlfn.XLOOKUP($B:$B,'Compilado 2023'!$B:$B,'Compilado 2023'!Q:Q)</f>
        <v>51.612903225806448</v>
      </c>
      <c r="R73" s="106">
        <f>_xlfn.XLOOKUP($B:$B,'Compilado 2023'!$B:$B,'Compilado 2023'!R:R)</f>
        <v>0</v>
      </c>
      <c r="S73" s="106">
        <f>_xlfn.XLOOKUP($B:$B,'Compilado 2023'!$B:$B,'Compilado 2023'!T:T)</f>
        <v>0</v>
      </c>
      <c r="T73" s="106">
        <f>_xlfn.XLOOKUP($B:$B,'Compilado 2023'!$B:$B,'Compilado 2023'!U:U)</f>
        <v>0</v>
      </c>
      <c r="U73" s="106">
        <f>_xlfn.XLOOKUP($B:$B,'Compilado 2023'!$B:$B,'Compilado 2023'!V:V)</f>
        <v>0</v>
      </c>
      <c r="V73" s="57"/>
      <c r="W73" s="106">
        <f>_xlfn.XLOOKUP($B:$B,'Compilado 2023'!$B:$B,'Compilado 2023'!X:X)</f>
        <v>0</v>
      </c>
      <c r="X73" s="106">
        <f>_xlfn.XLOOKUP($B:$B,'Compilado 2023'!$B:$B,'Compilado 2023'!Y:Y)</f>
        <v>0</v>
      </c>
      <c r="Y73" s="106">
        <f>_xlfn.XLOOKUP($B:$B,'Compilado 2023'!$B:$B,'Compilado 2023'!Z:Z)</f>
        <v>0</v>
      </c>
      <c r="AA73" s="208">
        <v>45117</v>
      </c>
    </row>
    <row r="74" spans="1:27" hidden="1" x14ac:dyDescent="0.2">
      <c r="A74" s="17" t="str">
        <f t="shared" ca="1" si="28"/>
        <v>Realizado</v>
      </c>
      <c r="B74" s="17">
        <v>44845</v>
      </c>
      <c r="C74" s="19">
        <f t="shared" si="23"/>
        <v>54145.53</v>
      </c>
      <c r="D74" s="35">
        <f>_xlfn.XLOOKUP($B:$B,'Compilado 2023'!$B:$B,'Compilado 2023'!D:D)</f>
        <v>54098.21</v>
      </c>
      <c r="E74" s="35">
        <f>_xlfn.XLOOKUP($B:$B,'Compilado 2023'!$B:$B,'Compilado 2023'!E:E)</f>
        <v>47.32</v>
      </c>
      <c r="F74" s="18">
        <f>_xlfn.XLOOKUP($B:$B,'Compilado 2023'!$B:$B,'Compilado 2023'!F:F)</f>
        <v>183</v>
      </c>
      <c r="G74" s="18">
        <f>_xlfn.XLOOKUP($B:$B,'Compilado 2023'!$B:$B,'Compilado 2023'!G:G)</f>
        <v>272</v>
      </c>
      <c r="H74" s="35">
        <f t="shared" si="24"/>
        <v>295.87721311475411</v>
      </c>
      <c r="I74" s="19">
        <f t="shared" si="25"/>
        <v>696.06290322580651</v>
      </c>
      <c r="J74" s="122">
        <f t="shared" si="26"/>
        <v>77.788271360347011</v>
      </c>
      <c r="K74" s="18">
        <f>_xlfn.XLOOKUP($B:$B,'Compilado 2023'!$B:$B,'Compilado 2023'!K:K)</f>
        <v>4798</v>
      </c>
      <c r="L74" s="54">
        <f t="shared" si="27"/>
        <v>3.8140892038349312E-2</v>
      </c>
      <c r="M74" s="149"/>
      <c r="N74" s="106">
        <f>_xlfn.XLOOKUP($B:$B,'Compilado 2023'!$B:$B,'Compilado 2023'!N:N)</f>
        <v>373.43</v>
      </c>
      <c r="O74" s="106">
        <f>_xlfn.XLOOKUP($B:$B,'Compilado 2023'!$B:$B,'Compilado 2023'!O:O)</f>
        <v>271.02</v>
      </c>
      <c r="P74" s="106">
        <f>_xlfn.XLOOKUP($B:$B,'Compilado 2023'!$B:$B,'Compilado 2023'!P:P)</f>
        <v>0</v>
      </c>
      <c r="Q74" s="106">
        <f>_xlfn.XLOOKUP($B:$B,'Compilado 2023'!$B:$B,'Compilado 2023'!Q:Q)</f>
        <v>51.612903225806448</v>
      </c>
      <c r="R74" s="106">
        <f>_xlfn.XLOOKUP($B:$B,'Compilado 2023'!$B:$B,'Compilado 2023'!R:R)</f>
        <v>0</v>
      </c>
      <c r="S74" s="106">
        <f>_xlfn.XLOOKUP($B:$B,'Compilado 2023'!$B:$B,'Compilado 2023'!T:T)</f>
        <v>0</v>
      </c>
      <c r="T74" s="106">
        <f>_xlfn.XLOOKUP($B:$B,'Compilado 2023'!$B:$B,'Compilado 2023'!U:U)</f>
        <v>0</v>
      </c>
      <c r="U74" s="106">
        <f>_xlfn.XLOOKUP($B:$B,'Compilado 2023'!$B:$B,'Compilado 2023'!V:V)</f>
        <v>0</v>
      </c>
      <c r="V74" s="57"/>
      <c r="W74" s="106">
        <f>_xlfn.XLOOKUP($B:$B,'Compilado 2023'!$B:$B,'Compilado 2023'!X:X)</f>
        <v>0</v>
      </c>
      <c r="X74" s="106">
        <f>_xlfn.XLOOKUP($B:$B,'Compilado 2023'!$B:$B,'Compilado 2023'!Y:Y)</f>
        <v>0</v>
      </c>
      <c r="Y74" s="106">
        <f>_xlfn.XLOOKUP($B:$B,'Compilado 2023'!$B:$B,'Compilado 2023'!Z:Z)</f>
        <v>0</v>
      </c>
      <c r="AA74" s="208">
        <v>45118</v>
      </c>
    </row>
    <row r="75" spans="1:27" hidden="1" x14ac:dyDescent="0.2">
      <c r="A75" s="17" t="str">
        <f t="shared" ca="1" si="28"/>
        <v>Realizado</v>
      </c>
      <c r="B75" s="17">
        <v>44846</v>
      </c>
      <c r="C75" s="19">
        <f t="shared" si="23"/>
        <v>28637.71</v>
      </c>
      <c r="D75" s="35">
        <f>_xlfn.XLOOKUP($B:$B,'Compilado 2023'!$B:$B,'Compilado 2023'!D:D)</f>
        <v>28614.12</v>
      </c>
      <c r="E75" s="35">
        <f>_xlfn.XLOOKUP($B:$B,'Compilado 2023'!$B:$B,'Compilado 2023'!E:E)</f>
        <v>23.59</v>
      </c>
      <c r="F75" s="18">
        <f>_xlfn.XLOOKUP($B:$B,'Compilado 2023'!$B:$B,'Compilado 2023'!F:F)</f>
        <v>109</v>
      </c>
      <c r="G75" s="18">
        <f>_xlfn.XLOOKUP($B:$B,'Compilado 2023'!$B:$B,'Compilado 2023'!G:G)</f>
        <v>130</v>
      </c>
      <c r="H75" s="35">
        <f t="shared" si="24"/>
        <v>262.73128440366969</v>
      </c>
      <c r="I75" s="19">
        <f t="shared" si="25"/>
        <v>610.39290322580644</v>
      </c>
      <c r="J75" s="122">
        <f t="shared" si="26"/>
        <v>46.916846261900055</v>
      </c>
      <c r="K75" s="18">
        <f>_xlfn.XLOOKUP($B:$B,'Compilado 2023'!$B:$B,'Compilado 2023'!K:K)</f>
        <v>3119</v>
      </c>
      <c r="L75" s="54">
        <f t="shared" si="27"/>
        <v>3.494709842898365E-2</v>
      </c>
      <c r="M75" s="149"/>
      <c r="N75" s="106">
        <f>_xlfn.XLOOKUP($B:$B,'Compilado 2023'!$B:$B,'Compilado 2023'!N:N)</f>
        <v>292.45999999999998</v>
      </c>
      <c r="O75" s="106">
        <f>_xlfn.XLOOKUP($B:$B,'Compilado 2023'!$B:$B,'Compilado 2023'!O:O)</f>
        <v>266.32</v>
      </c>
      <c r="P75" s="106">
        <f>_xlfn.XLOOKUP($B:$B,'Compilado 2023'!$B:$B,'Compilado 2023'!P:P)</f>
        <v>0</v>
      </c>
      <c r="Q75" s="106">
        <f>_xlfn.XLOOKUP($B:$B,'Compilado 2023'!$B:$B,'Compilado 2023'!Q:Q)</f>
        <v>51.612903225806448</v>
      </c>
      <c r="R75" s="106">
        <f>_xlfn.XLOOKUP($B:$B,'Compilado 2023'!$B:$B,'Compilado 2023'!R:R)</f>
        <v>0</v>
      </c>
      <c r="S75" s="106">
        <f>_xlfn.XLOOKUP($B:$B,'Compilado 2023'!$B:$B,'Compilado 2023'!T:T)</f>
        <v>0</v>
      </c>
      <c r="T75" s="106">
        <f>_xlfn.XLOOKUP($B:$B,'Compilado 2023'!$B:$B,'Compilado 2023'!U:U)</f>
        <v>0</v>
      </c>
      <c r="U75" s="106">
        <f>_xlfn.XLOOKUP($B:$B,'Compilado 2023'!$B:$B,'Compilado 2023'!V:V)</f>
        <v>0</v>
      </c>
      <c r="V75" s="57"/>
      <c r="W75" s="106">
        <f>_xlfn.XLOOKUP($B:$B,'Compilado 2023'!$B:$B,'Compilado 2023'!X:X)</f>
        <v>0</v>
      </c>
      <c r="X75" s="106">
        <f>_xlfn.XLOOKUP($B:$B,'Compilado 2023'!$B:$B,'Compilado 2023'!Y:Y)</f>
        <v>0</v>
      </c>
      <c r="Y75" s="106">
        <f>_xlfn.XLOOKUP($B:$B,'Compilado 2023'!$B:$B,'Compilado 2023'!Z:Z)</f>
        <v>0</v>
      </c>
      <c r="AA75" s="208">
        <v>45119</v>
      </c>
    </row>
    <row r="76" spans="1:27" hidden="1" x14ac:dyDescent="0.2">
      <c r="A76" s="17" t="str">
        <f t="shared" ca="1" si="28"/>
        <v>Realizado</v>
      </c>
      <c r="B76" s="17">
        <v>44847</v>
      </c>
      <c r="C76" s="19">
        <f t="shared" si="23"/>
        <v>75178.97</v>
      </c>
      <c r="D76" s="35">
        <f>_xlfn.XLOOKUP($B:$B,'Compilado 2023'!$B:$B,'Compilado 2023'!D:D)</f>
        <v>75178.97</v>
      </c>
      <c r="E76" s="35">
        <f>_xlfn.XLOOKUP($B:$B,'Compilado 2023'!$B:$B,'Compilado 2023'!E:E)</f>
        <v>0</v>
      </c>
      <c r="F76" s="18">
        <f>_xlfn.XLOOKUP($B:$B,'Compilado 2023'!$B:$B,'Compilado 2023'!F:F)</f>
        <v>229</v>
      </c>
      <c r="G76" s="18">
        <f>_xlfn.XLOOKUP($B:$B,'Compilado 2023'!$B:$B,'Compilado 2023'!G:G)</f>
        <v>356</v>
      </c>
      <c r="H76" s="35">
        <f t="shared" si="24"/>
        <v>328.29244541484718</v>
      </c>
      <c r="I76" s="19">
        <f t="shared" si="25"/>
        <v>667.6829032258064</v>
      </c>
      <c r="J76" s="122">
        <f t="shared" si="26"/>
        <v>112.59681749642603</v>
      </c>
      <c r="K76" s="18">
        <f>_xlfn.XLOOKUP($B:$B,'Compilado 2023'!$B:$B,'Compilado 2023'!K:K)</f>
        <v>4885</v>
      </c>
      <c r="L76" s="54">
        <f t="shared" si="27"/>
        <v>4.6878198567041965E-2</v>
      </c>
      <c r="M76" s="149"/>
      <c r="N76" s="106">
        <f>_xlfn.XLOOKUP($B:$B,'Compilado 2023'!$B:$B,'Compilado 2023'!N:N)</f>
        <v>342.11</v>
      </c>
      <c r="O76" s="106">
        <f>_xlfn.XLOOKUP($B:$B,'Compilado 2023'!$B:$B,'Compilado 2023'!O:O)</f>
        <v>273.95999999999998</v>
      </c>
      <c r="P76" s="106">
        <f>_xlfn.XLOOKUP($B:$B,'Compilado 2023'!$B:$B,'Compilado 2023'!P:P)</f>
        <v>0</v>
      </c>
      <c r="Q76" s="106">
        <f>_xlfn.XLOOKUP($B:$B,'Compilado 2023'!$B:$B,'Compilado 2023'!Q:Q)</f>
        <v>51.612903225806448</v>
      </c>
      <c r="R76" s="106">
        <f>_xlfn.XLOOKUP($B:$B,'Compilado 2023'!$B:$B,'Compilado 2023'!R:R)</f>
        <v>0</v>
      </c>
      <c r="S76" s="106">
        <f>_xlfn.XLOOKUP($B:$B,'Compilado 2023'!$B:$B,'Compilado 2023'!T:T)</f>
        <v>0</v>
      </c>
      <c r="T76" s="106">
        <f>_xlfn.XLOOKUP($B:$B,'Compilado 2023'!$B:$B,'Compilado 2023'!U:U)</f>
        <v>0</v>
      </c>
      <c r="U76" s="106">
        <f>_xlfn.XLOOKUP($B:$B,'Compilado 2023'!$B:$B,'Compilado 2023'!V:V)</f>
        <v>0</v>
      </c>
      <c r="V76" s="57"/>
      <c r="W76" s="106">
        <f>_xlfn.XLOOKUP($B:$B,'Compilado 2023'!$B:$B,'Compilado 2023'!X:X)</f>
        <v>0</v>
      </c>
      <c r="X76" s="106">
        <f>_xlfn.XLOOKUP($B:$B,'Compilado 2023'!$B:$B,'Compilado 2023'!Y:Y)</f>
        <v>0</v>
      </c>
      <c r="Y76" s="106">
        <f>_xlfn.XLOOKUP($B:$B,'Compilado 2023'!$B:$B,'Compilado 2023'!Z:Z)</f>
        <v>0</v>
      </c>
      <c r="AA76" s="208">
        <v>45120</v>
      </c>
    </row>
    <row r="77" spans="1:27" hidden="1" x14ac:dyDescent="0.2">
      <c r="A77" s="17" t="str">
        <f t="shared" ca="1" si="28"/>
        <v>Realizado</v>
      </c>
      <c r="B77" s="17">
        <v>44848</v>
      </c>
      <c r="C77" s="19">
        <f t="shared" si="23"/>
        <v>69021.100000000006</v>
      </c>
      <c r="D77" s="35">
        <f>_xlfn.XLOOKUP($B:$B,'Compilado 2023'!$B:$B,'Compilado 2023'!D:D)</f>
        <v>69021.100000000006</v>
      </c>
      <c r="E77" s="35">
        <f>_xlfn.XLOOKUP($B:$B,'Compilado 2023'!$B:$B,'Compilado 2023'!E:E)</f>
        <v>0</v>
      </c>
      <c r="F77" s="18">
        <f>_xlfn.XLOOKUP($B:$B,'Compilado 2023'!$B:$B,'Compilado 2023'!F:F)</f>
        <v>211</v>
      </c>
      <c r="G77" s="18">
        <f>_xlfn.XLOOKUP($B:$B,'Compilado 2023'!$B:$B,'Compilado 2023'!G:G)</f>
        <v>277</v>
      </c>
      <c r="H77" s="35">
        <f t="shared" si="24"/>
        <v>327.11421800947869</v>
      </c>
      <c r="I77" s="19">
        <f t="shared" si="25"/>
        <v>752.6829032258064</v>
      </c>
      <c r="J77" s="122">
        <f t="shared" si="26"/>
        <v>91.700103329294748</v>
      </c>
      <c r="K77" s="18">
        <f>_xlfn.XLOOKUP($B:$B,'Compilado 2023'!$B:$B,'Compilado 2023'!K:K)</f>
        <v>4811</v>
      </c>
      <c r="L77" s="54">
        <f t="shared" si="27"/>
        <v>4.3857825815838705E-2</v>
      </c>
      <c r="M77" s="149"/>
      <c r="N77" s="106">
        <f>_xlfn.XLOOKUP($B:$B,'Compilado 2023'!$B:$B,'Compilado 2023'!N:N)</f>
        <v>374.51</v>
      </c>
      <c r="O77" s="106">
        <f>_xlfn.XLOOKUP($B:$B,'Compilado 2023'!$B:$B,'Compilado 2023'!O:O)</f>
        <v>326.56</v>
      </c>
      <c r="P77" s="106">
        <f>_xlfn.XLOOKUP($B:$B,'Compilado 2023'!$B:$B,'Compilado 2023'!P:P)</f>
        <v>0</v>
      </c>
      <c r="Q77" s="106">
        <f>_xlfn.XLOOKUP($B:$B,'Compilado 2023'!$B:$B,'Compilado 2023'!Q:Q)</f>
        <v>51.612903225806448</v>
      </c>
      <c r="R77" s="106">
        <f>_xlfn.XLOOKUP($B:$B,'Compilado 2023'!$B:$B,'Compilado 2023'!R:R)</f>
        <v>0</v>
      </c>
      <c r="S77" s="106">
        <f>_xlfn.XLOOKUP($B:$B,'Compilado 2023'!$B:$B,'Compilado 2023'!T:T)</f>
        <v>0</v>
      </c>
      <c r="T77" s="106">
        <f>_xlfn.XLOOKUP($B:$B,'Compilado 2023'!$B:$B,'Compilado 2023'!U:U)</f>
        <v>0</v>
      </c>
      <c r="U77" s="106">
        <f>_xlfn.XLOOKUP($B:$B,'Compilado 2023'!$B:$B,'Compilado 2023'!V:V)</f>
        <v>0</v>
      </c>
      <c r="V77" s="57"/>
      <c r="W77" s="106">
        <f>_xlfn.XLOOKUP($B:$B,'Compilado 2023'!$B:$B,'Compilado 2023'!X:X)</f>
        <v>0</v>
      </c>
      <c r="X77" s="106">
        <f>_xlfn.XLOOKUP($B:$B,'Compilado 2023'!$B:$B,'Compilado 2023'!Y:Y)</f>
        <v>0</v>
      </c>
      <c r="Y77" s="106">
        <f>_xlfn.XLOOKUP($B:$B,'Compilado 2023'!$B:$B,'Compilado 2023'!Z:Z)</f>
        <v>0</v>
      </c>
      <c r="AA77" s="208">
        <v>45121</v>
      </c>
    </row>
    <row r="78" spans="1:27" hidden="1" x14ac:dyDescent="0.2">
      <c r="A78" s="17" t="str">
        <f t="shared" ca="1" si="28"/>
        <v>Realizado</v>
      </c>
      <c r="B78" s="17">
        <v>44849</v>
      </c>
      <c r="C78" s="19">
        <f t="shared" si="23"/>
        <v>32945.99</v>
      </c>
      <c r="D78" s="35">
        <f>_xlfn.XLOOKUP($B:$B,'Compilado 2023'!$B:$B,'Compilado 2023'!D:D)</f>
        <v>32945.99</v>
      </c>
      <c r="E78" s="35">
        <f>_xlfn.XLOOKUP($B:$B,'Compilado 2023'!$B:$B,'Compilado 2023'!E:E)</f>
        <v>0</v>
      </c>
      <c r="F78" s="18">
        <f>_xlfn.XLOOKUP($B:$B,'Compilado 2023'!$B:$B,'Compilado 2023'!F:F)</f>
        <v>116</v>
      </c>
      <c r="G78" s="18">
        <f>_xlfn.XLOOKUP($B:$B,'Compilado 2023'!$B:$B,'Compilado 2023'!G:G)</f>
        <v>142</v>
      </c>
      <c r="H78" s="35">
        <f t="shared" si="24"/>
        <v>284.01715517241377</v>
      </c>
      <c r="I78" s="19">
        <f t="shared" si="25"/>
        <v>763.92290322580641</v>
      </c>
      <c r="J78" s="122">
        <f t="shared" si="26"/>
        <v>43.127375630288647</v>
      </c>
      <c r="K78" s="18">
        <f>_xlfn.XLOOKUP($B:$B,'Compilado 2023'!$B:$B,'Compilado 2023'!K:K)</f>
        <v>3633</v>
      </c>
      <c r="L78" s="54">
        <f t="shared" si="27"/>
        <v>3.1929534819708227E-2</v>
      </c>
      <c r="M78" s="149"/>
      <c r="N78" s="106">
        <f>_xlfn.XLOOKUP($B:$B,'Compilado 2023'!$B:$B,'Compilado 2023'!N:N)</f>
        <v>309.14</v>
      </c>
      <c r="O78" s="106">
        <f>_xlfn.XLOOKUP($B:$B,'Compilado 2023'!$B:$B,'Compilado 2023'!O:O)</f>
        <v>403.17</v>
      </c>
      <c r="P78" s="106">
        <f>_xlfn.XLOOKUP($B:$B,'Compilado 2023'!$B:$B,'Compilado 2023'!P:P)</f>
        <v>0</v>
      </c>
      <c r="Q78" s="106">
        <f>_xlfn.XLOOKUP($B:$B,'Compilado 2023'!$B:$B,'Compilado 2023'!Q:Q)</f>
        <v>51.612903225806448</v>
      </c>
      <c r="R78" s="106">
        <f>_xlfn.XLOOKUP($B:$B,'Compilado 2023'!$B:$B,'Compilado 2023'!R:R)</f>
        <v>0</v>
      </c>
      <c r="S78" s="106">
        <f>_xlfn.XLOOKUP($B:$B,'Compilado 2023'!$B:$B,'Compilado 2023'!T:T)</f>
        <v>0</v>
      </c>
      <c r="T78" s="106">
        <f>_xlfn.XLOOKUP($B:$B,'Compilado 2023'!$B:$B,'Compilado 2023'!U:U)</f>
        <v>0</v>
      </c>
      <c r="U78" s="106">
        <f>_xlfn.XLOOKUP($B:$B,'Compilado 2023'!$B:$B,'Compilado 2023'!V:V)</f>
        <v>0</v>
      </c>
      <c r="V78" s="57"/>
      <c r="W78" s="106">
        <f>_xlfn.XLOOKUP($B:$B,'Compilado 2023'!$B:$B,'Compilado 2023'!X:X)</f>
        <v>0</v>
      </c>
      <c r="X78" s="106">
        <f>_xlfn.XLOOKUP($B:$B,'Compilado 2023'!$B:$B,'Compilado 2023'!Y:Y)</f>
        <v>0</v>
      </c>
      <c r="Y78" s="106">
        <f>_xlfn.XLOOKUP($B:$B,'Compilado 2023'!$B:$B,'Compilado 2023'!Z:Z)</f>
        <v>0</v>
      </c>
      <c r="AA78" s="208">
        <v>45122</v>
      </c>
    </row>
    <row r="79" spans="1:27" hidden="1" x14ac:dyDescent="0.2">
      <c r="A79" s="17" t="str">
        <f t="shared" ca="1" si="28"/>
        <v>Realizado</v>
      </c>
      <c r="B79" s="17">
        <v>44850</v>
      </c>
      <c r="C79" s="19">
        <f t="shared" si="23"/>
        <v>33301.060000000005</v>
      </c>
      <c r="D79" s="35">
        <f>_xlfn.XLOOKUP($B:$B,'Compilado 2023'!$B:$B,'Compilado 2023'!D:D)</f>
        <v>33275.550000000003</v>
      </c>
      <c r="E79" s="35">
        <f>_xlfn.XLOOKUP($B:$B,'Compilado 2023'!$B:$B,'Compilado 2023'!E:E)</f>
        <v>25.51</v>
      </c>
      <c r="F79" s="18">
        <f>_xlfn.XLOOKUP($B:$B,'Compilado 2023'!$B:$B,'Compilado 2023'!F:F)</f>
        <v>100</v>
      </c>
      <c r="G79" s="18">
        <f>_xlfn.XLOOKUP($B:$B,'Compilado 2023'!$B:$B,'Compilado 2023'!G:G)</f>
        <v>157</v>
      </c>
      <c r="H79" s="35">
        <f t="shared" si="24"/>
        <v>333.01060000000007</v>
      </c>
      <c r="I79" s="19">
        <f t="shared" si="25"/>
        <v>826.5729032258065</v>
      </c>
      <c r="J79" s="122">
        <f t="shared" si="26"/>
        <v>40.288109941710353</v>
      </c>
      <c r="K79" s="18">
        <f>_xlfn.XLOOKUP($B:$B,'Compilado 2023'!$B:$B,'Compilado 2023'!K:K)</f>
        <v>2865</v>
      </c>
      <c r="L79" s="54">
        <f t="shared" si="27"/>
        <v>3.4904013961605584E-2</v>
      </c>
      <c r="M79" s="149"/>
      <c r="N79" s="106">
        <f>_xlfn.XLOOKUP($B:$B,'Compilado 2023'!$B:$B,'Compilado 2023'!N:N)</f>
        <v>322.10000000000002</v>
      </c>
      <c r="O79" s="106">
        <f>_xlfn.XLOOKUP($B:$B,'Compilado 2023'!$B:$B,'Compilado 2023'!O:O)</f>
        <v>452.86</v>
      </c>
      <c r="P79" s="106">
        <f>_xlfn.XLOOKUP($B:$B,'Compilado 2023'!$B:$B,'Compilado 2023'!P:P)</f>
        <v>0</v>
      </c>
      <c r="Q79" s="106">
        <f>_xlfn.XLOOKUP($B:$B,'Compilado 2023'!$B:$B,'Compilado 2023'!Q:Q)</f>
        <v>51.612903225806448</v>
      </c>
      <c r="R79" s="106">
        <f>_xlfn.XLOOKUP($B:$B,'Compilado 2023'!$B:$B,'Compilado 2023'!R:R)</f>
        <v>0</v>
      </c>
      <c r="S79" s="106">
        <f>_xlfn.XLOOKUP($B:$B,'Compilado 2023'!$B:$B,'Compilado 2023'!T:T)</f>
        <v>0</v>
      </c>
      <c r="T79" s="106">
        <f>_xlfn.XLOOKUP($B:$B,'Compilado 2023'!$B:$B,'Compilado 2023'!U:U)</f>
        <v>0</v>
      </c>
      <c r="U79" s="106">
        <f>_xlfn.XLOOKUP($B:$B,'Compilado 2023'!$B:$B,'Compilado 2023'!V:V)</f>
        <v>0</v>
      </c>
      <c r="V79" s="57"/>
      <c r="W79" s="106">
        <f>_xlfn.XLOOKUP($B:$B,'Compilado 2023'!$B:$B,'Compilado 2023'!X:X)</f>
        <v>0</v>
      </c>
      <c r="X79" s="106">
        <f>_xlfn.XLOOKUP($B:$B,'Compilado 2023'!$B:$B,'Compilado 2023'!Y:Y)</f>
        <v>0</v>
      </c>
      <c r="Y79" s="106">
        <f>_xlfn.XLOOKUP($B:$B,'Compilado 2023'!$B:$B,'Compilado 2023'!Z:Z)</f>
        <v>0</v>
      </c>
      <c r="AA79" s="208">
        <v>45123</v>
      </c>
    </row>
    <row r="80" spans="1:27" hidden="1" x14ac:dyDescent="0.2">
      <c r="A80" s="17" t="str">
        <f t="shared" ca="1" si="28"/>
        <v>Realizado</v>
      </c>
      <c r="B80" s="17">
        <v>44851</v>
      </c>
      <c r="C80" s="19">
        <f t="shared" si="23"/>
        <v>54198.73</v>
      </c>
      <c r="D80" s="35">
        <f>_xlfn.XLOOKUP($B:$B,'Compilado 2023'!$B:$B,'Compilado 2023'!D:D)</f>
        <v>54198.73</v>
      </c>
      <c r="E80" s="35">
        <f>_xlfn.XLOOKUP($B:$B,'Compilado 2023'!$B:$B,'Compilado 2023'!E:E)</f>
        <v>0</v>
      </c>
      <c r="F80" s="18">
        <f>_xlfn.XLOOKUP($B:$B,'Compilado 2023'!$B:$B,'Compilado 2023'!F:F)</f>
        <v>208</v>
      </c>
      <c r="G80" s="18">
        <f>_xlfn.XLOOKUP($B:$B,'Compilado 2023'!$B:$B,'Compilado 2023'!G:G)</f>
        <v>256</v>
      </c>
      <c r="H80" s="35">
        <f t="shared" si="24"/>
        <v>260.57081730769232</v>
      </c>
      <c r="I80" s="19">
        <f t="shared" si="25"/>
        <v>966.71290322580637</v>
      </c>
      <c r="J80" s="122">
        <f t="shared" si="26"/>
        <v>56.064970084856903</v>
      </c>
      <c r="K80" s="18">
        <f>_xlfn.XLOOKUP($B:$B,'Compilado 2023'!$B:$B,'Compilado 2023'!K:K)</f>
        <v>5160</v>
      </c>
      <c r="L80" s="54">
        <f t="shared" si="27"/>
        <v>4.0310077519379844E-2</v>
      </c>
      <c r="M80" s="149"/>
      <c r="N80" s="106">
        <f>_xlfn.XLOOKUP($B:$B,'Compilado 2023'!$B:$B,'Compilado 2023'!N:N)</f>
        <v>463.59</v>
      </c>
      <c r="O80" s="106">
        <f>_xlfn.XLOOKUP($B:$B,'Compilado 2023'!$B:$B,'Compilado 2023'!O:O)</f>
        <v>451.51</v>
      </c>
      <c r="P80" s="106">
        <f>_xlfn.XLOOKUP($B:$B,'Compilado 2023'!$B:$B,'Compilado 2023'!P:P)</f>
        <v>0</v>
      </c>
      <c r="Q80" s="106">
        <f>_xlfn.XLOOKUP($B:$B,'Compilado 2023'!$B:$B,'Compilado 2023'!Q:Q)</f>
        <v>51.612903225806448</v>
      </c>
      <c r="R80" s="106">
        <f>_xlfn.XLOOKUP($B:$B,'Compilado 2023'!$B:$B,'Compilado 2023'!R:R)</f>
        <v>0</v>
      </c>
      <c r="S80" s="106">
        <f>_xlfn.XLOOKUP($B:$B,'Compilado 2023'!$B:$B,'Compilado 2023'!T:T)</f>
        <v>0</v>
      </c>
      <c r="T80" s="106">
        <f>_xlfn.XLOOKUP($B:$B,'Compilado 2023'!$B:$B,'Compilado 2023'!U:U)</f>
        <v>0</v>
      </c>
      <c r="U80" s="106">
        <f>_xlfn.XLOOKUP($B:$B,'Compilado 2023'!$B:$B,'Compilado 2023'!V:V)</f>
        <v>0</v>
      </c>
      <c r="V80" s="57"/>
      <c r="W80" s="106">
        <f>_xlfn.XLOOKUP($B:$B,'Compilado 2023'!$B:$B,'Compilado 2023'!X:X)</f>
        <v>0</v>
      </c>
      <c r="X80" s="106">
        <f>_xlfn.XLOOKUP($B:$B,'Compilado 2023'!$B:$B,'Compilado 2023'!Y:Y)</f>
        <v>0</v>
      </c>
      <c r="Y80" s="106">
        <f>_xlfn.XLOOKUP($B:$B,'Compilado 2023'!$B:$B,'Compilado 2023'!Z:Z)</f>
        <v>0</v>
      </c>
      <c r="AA80" s="208">
        <v>45124</v>
      </c>
    </row>
    <row r="81" spans="1:27" hidden="1" x14ac:dyDescent="0.2">
      <c r="A81" s="17" t="str">
        <f t="shared" ca="1" si="28"/>
        <v>Realizado</v>
      </c>
      <c r="B81" s="17">
        <v>44852</v>
      </c>
      <c r="C81" s="19">
        <f t="shared" si="23"/>
        <v>53864.959999999999</v>
      </c>
      <c r="D81" s="35">
        <f>_xlfn.XLOOKUP($B:$B,'Compilado 2023'!$B:$B,'Compilado 2023'!D:D)</f>
        <v>53839.25</v>
      </c>
      <c r="E81" s="35">
        <f>_xlfn.XLOOKUP($B:$B,'Compilado 2023'!$B:$B,'Compilado 2023'!E:E)</f>
        <v>25.71</v>
      </c>
      <c r="F81" s="18">
        <f>_xlfn.XLOOKUP($B:$B,'Compilado 2023'!$B:$B,'Compilado 2023'!F:F)</f>
        <v>186</v>
      </c>
      <c r="G81" s="18">
        <f>_xlfn.XLOOKUP($B:$B,'Compilado 2023'!$B:$B,'Compilado 2023'!G:G)</f>
        <v>242</v>
      </c>
      <c r="H81" s="35">
        <f t="shared" si="24"/>
        <v>289.59655913978492</v>
      </c>
      <c r="I81" s="19">
        <f t="shared" si="25"/>
        <v>848.09290322580648</v>
      </c>
      <c r="J81" s="122">
        <f t="shared" si="26"/>
        <v>63.513041784831849</v>
      </c>
      <c r="K81" s="18">
        <f>_xlfn.XLOOKUP($B:$B,'Compilado 2023'!$B:$B,'Compilado 2023'!K:K)</f>
        <v>4615</v>
      </c>
      <c r="L81" s="54">
        <f t="shared" si="27"/>
        <v>4.0303358613217766E-2</v>
      </c>
      <c r="M81" s="149"/>
      <c r="N81" s="106">
        <f>_xlfn.XLOOKUP($B:$B,'Compilado 2023'!$B:$B,'Compilado 2023'!N:N)</f>
        <v>377.88</v>
      </c>
      <c r="O81" s="106">
        <f>_xlfn.XLOOKUP($B:$B,'Compilado 2023'!$B:$B,'Compilado 2023'!O:O)</f>
        <v>418.6</v>
      </c>
      <c r="P81" s="106">
        <f>_xlfn.XLOOKUP($B:$B,'Compilado 2023'!$B:$B,'Compilado 2023'!P:P)</f>
        <v>0</v>
      </c>
      <c r="Q81" s="106">
        <f>_xlfn.XLOOKUP($B:$B,'Compilado 2023'!$B:$B,'Compilado 2023'!Q:Q)</f>
        <v>51.612903225806448</v>
      </c>
      <c r="R81" s="106">
        <f>_xlfn.XLOOKUP($B:$B,'Compilado 2023'!$B:$B,'Compilado 2023'!R:R)</f>
        <v>0</v>
      </c>
      <c r="S81" s="106">
        <f>_xlfn.XLOOKUP($B:$B,'Compilado 2023'!$B:$B,'Compilado 2023'!T:T)</f>
        <v>0</v>
      </c>
      <c r="T81" s="106">
        <f>_xlfn.XLOOKUP($B:$B,'Compilado 2023'!$B:$B,'Compilado 2023'!U:U)</f>
        <v>0</v>
      </c>
      <c r="U81" s="106">
        <f>_xlfn.XLOOKUP($B:$B,'Compilado 2023'!$B:$B,'Compilado 2023'!V:V)</f>
        <v>0</v>
      </c>
      <c r="V81" s="57"/>
      <c r="W81" s="106">
        <f>_xlfn.XLOOKUP($B:$B,'Compilado 2023'!$B:$B,'Compilado 2023'!X:X)</f>
        <v>0</v>
      </c>
      <c r="X81" s="106">
        <f>_xlfn.XLOOKUP($B:$B,'Compilado 2023'!$B:$B,'Compilado 2023'!Y:Y)</f>
        <v>0</v>
      </c>
      <c r="Y81" s="106">
        <f>_xlfn.XLOOKUP($B:$B,'Compilado 2023'!$B:$B,'Compilado 2023'!Z:Z)</f>
        <v>0</v>
      </c>
      <c r="AA81" s="208">
        <v>45125</v>
      </c>
    </row>
    <row r="82" spans="1:27" hidden="1" x14ac:dyDescent="0.2">
      <c r="A82" s="17" t="str">
        <f t="shared" ca="1" si="28"/>
        <v>Realizado</v>
      </c>
      <c r="B82" s="17">
        <v>44853</v>
      </c>
      <c r="C82" s="19">
        <f t="shared" si="23"/>
        <v>54580.46</v>
      </c>
      <c r="D82" s="35">
        <f>_xlfn.XLOOKUP($B:$B,'Compilado 2023'!$B:$B,'Compilado 2023'!D:D)</f>
        <v>54580.46</v>
      </c>
      <c r="E82" s="35">
        <f>_xlfn.XLOOKUP($B:$B,'Compilado 2023'!$B:$B,'Compilado 2023'!E:E)</f>
        <v>0</v>
      </c>
      <c r="F82" s="18">
        <f>_xlfn.XLOOKUP($B:$B,'Compilado 2023'!$B:$B,'Compilado 2023'!F:F)</f>
        <v>203</v>
      </c>
      <c r="G82" s="18">
        <f>_xlfn.XLOOKUP($B:$B,'Compilado 2023'!$B:$B,'Compilado 2023'!G:G)</f>
        <v>241</v>
      </c>
      <c r="H82" s="35">
        <f t="shared" si="24"/>
        <v>268.86926108374382</v>
      </c>
      <c r="I82" s="19">
        <f t="shared" si="25"/>
        <v>848.42290322580641</v>
      </c>
      <c r="J82" s="122">
        <f t="shared" si="26"/>
        <v>64.331667370692728</v>
      </c>
      <c r="K82" s="18">
        <f>_xlfn.XLOOKUP($B:$B,'Compilado 2023'!$B:$B,'Compilado 2023'!K:K)</f>
        <v>4507</v>
      </c>
      <c r="L82" s="54">
        <f t="shared" si="27"/>
        <v>4.5041047259818064E-2</v>
      </c>
      <c r="M82" s="149"/>
      <c r="N82" s="106">
        <f>_xlfn.XLOOKUP($B:$B,'Compilado 2023'!$B:$B,'Compilado 2023'!N:N)</f>
        <v>367.31</v>
      </c>
      <c r="O82" s="106">
        <f>_xlfn.XLOOKUP($B:$B,'Compilado 2023'!$B:$B,'Compilado 2023'!O:O)</f>
        <v>429.5</v>
      </c>
      <c r="P82" s="106">
        <f>_xlfn.XLOOKUP($B:$B,'Compilado 2023'!$B:$B,'Compilado 2023'!P:P)</f>
        <v>0</v>
      </c>
      <c r="Q82" s="106">
        <f>_xlfn.XLOOKUP($B:$B,'Compilado 2023'!$B:$B,'Compilado 2023'!Q:Q)</f>
        <v>51.612903225806448</v>
      </c>
      <c r="R82" s="106">
        <f>_xlfn.XLOOKUP($B:$B,'Compilado 2023'!$B:$B,'Compilado 2023'!R:R)</f>
        <v>0</v>
      </c>
      <c r="S82" s="106">
        <f>_xlfn.XLOOKUP($B:$B,'Compilado 2023'!$B:$B,'Compilado 2023'!T:T)</f>
        <v>0</v>
      </c>
      <c r="T82" s="106">
        <f>_xlfn.XLOOKUP($B:$B,'Compilado 2023'!$B:$B,'Compilado 2023'!U:U)</f>
        <v>0</v>
      </c>
      <c r="U82" s="106">
        <f>_xlfn.XLOOKUP($B:$B,'Compilado 2023'!$B:$B,'Compilado 2023'!V:V)</f>
        <v>0</v>
      </c>
      <c r="V82" s="57"/>
      <c r="W82" s="106">
        <f>_xlfn.XLOOKUP($B:$B,'Compilado 2023'!$B:$B,'Compilado 2023'!X:X)</f>
        <v>0</v>
      </c>
      <c r="X82" s="106">
        <f>_xlfn.XLOOKUP($B:$B,'Compilado 2023'!$B:$B,'Compilado 2023'!Y:Y)</f>
        <v>0</v>
      </c>
      <c r="Y82" s="106">
        <f>_xlfn.XLOOKUP($B:$B,'Compilado 2023'!$B:$B,'Compilado 2023'!Z:Z)</f>
        <v>0</v>
      </c>
      <c r="AA82" s="208">
        <v>45126</v>
      </c>
    </row>
    <row r="83" spans="1:27" hidden="1" x14ac:dyDescent="0.2">
      <c r="A83" s="17" t="str">
        <f t="shared" ca="1" si="28"/>
        <v>Realizado</v>
      </c>
      <c r="B83" s="17">
        <v>44854</v>
      </c>
      <c r="C83" s="19">
        <f t="shared" si="23"/>
        <v>52917.62</v>
      </c>
      <c r="D83" s="35">
        <f>_xlfn.XLOOKUP($B:$B,'Compilado 2023'!$B:$B,'Compilado 2023'!D:D)</f>
        <v>52917.62</v>
      </c>
      <c r="E83" s="35">
        <f>_xlfn.XLOOKUP($B:$B,'Compilado 2023'!$B:$B,'Compilado 2023'!E:E)</f>
        <v>0</v>
      </c>
      <c r="F83" s="18">
        <f>_xlfn.XLOOKUP($B:$B,'Compilado 2023'!$B:$B,'Compilado 2023'!F:F)</f>
        <v>197</v>
      </c>
      <c r="G83" s="18">
        <f>_xlfn.XLOOKUP($B:$B,'Compilado 2023'!$B:$B,'Compilado 2023'!G:G)</f>
        <v>244</v>
      </c>
      <c r="H83" s="35">
        <f t="shared" si="24"/>
        <v>268.61736040609139</v>
      </c>
      <c r="I83" s="19">
        <f t="shared" si="25"/>
        <v>789.40290322580643</v>
      </c>
      <c r="J83" s="122">
        <f t="shared" si="26"/>
        <v>67.034995417116008</v>
      </c>
      <c r="K83" s="18">
        <f>_xlfn.XLOOKUP($B:$B,'Compilado 2023'!$B:$B,'Compilado 2023'!K:K)</f>
        <v>4547</v>
      </c>
      <c r="L83" s="54">
        <f t="shared" si="27"/>
        <v>4.3325269408401146E-2</v>
      </c>
      <c r="M83" s="149"/>
      <c r="N83" s="106">
        <f>_xlfn.XLOOKUP($B:$B,'Compilado 2023'!$B:$B,'Compilado 2023'!N:N)</f>
        <v>329.96</v>
      </c>
      <c r="O83" s="106">
        <f>_xlfn.XLOOKUP($B:$B,'Compilado 2023'!$B:$B,'Compilado 2023'!O:O)</f>
        <v>407.83</v>
      </c>
      <c r="P83" s="106">
        <f>_xlfn.XLOOKUP($B:$B,'Compilado 2023'!$B:$B,'Compilado 2023'!P:P)</f>
        <v>0</v>
      </c>
      <c r="Q83" s="106">
        <f>_xlfn.XLOOKUP($B:$B,'Compilado 2023'!$B:$B,'Compilado 2023'!Q:Q)</f>
        <v>51.612903225806448</v>
      </c>
      <c r="R83" s="106">
        <f>_xlfn.XLOOKUP($B:$B,'Compilado 2023'!$B:$B,'Compilado 2023'!R:R)</f>
        <v>0</v>
      </c>
      <c r="S83" s="106">
        <f>_xlfn.XLOOKUP($B:$B,'Compilado 2023'!$B:$B,'Compilado 2023'!T:T)</f>
        <v>0</v>
      </c>
      <c r="T83" s="106">
        <f>_xlfn.XLOOKUP($B:$B,'Compilado 2023'!$B:$B,'Compilado 2023'!U:U)</f>
        <v>0</v>
      </c>
      <c r="U83" s="106">
        <f>_xlfn.XLOOKUP($B:$B,'Compilado 2023'!$B:$B,'Compilado 2023'!V:V)</f>
        <v>0</v>
      </c>
      <c r="V83" s="57"/>
      <c r="W83" s="106">
        <f>_xlfn.XLOOKUP($B:$B,'Compilado 2023'!$B:$B,'Compilado 2023'!X:X)</f>
        <v>0</v>
      </c>
      <c r="X83" s="106">
        <f>_xlfn.XLOOKUP($B:$B,'Compilado 2023'!$B:$B,'Compilado 2023'!Y:Y)</f>
        <v>0</v>
      </c>
      <c r="Y83" s="106">
        <f>_xlfn.XLOOKUP($B:$B,'Compilado 2023'!$B:$B,'Compilado 2023'!Z:Z)</f>
        <v>0</v>
      </c>
      <c r="AA83" s="208">
        <v>45127</v>
      </c>
    </row>
    <row r="84" spans="1:27" hidden="1" x14ac:dyDescent="0.2">
      <c r="A84" s="17" t="str">
        <f t="shared" ca="1" si="28"/>
        <v>Realizado</v>
      </c>
      <c r="B84" s="17">
        <v>44855</v>
      </c>
      <c r="C84" s="19">
        <f t="shared" si="23"/>
        <v>60429.95</v>
      </c>
      <c r="D84" s="35">
        <f>_xlfn.XLOOKUP($B:$B,'Compilado 2023'!$B:$B,'Compilado 2023'!D:D)</f>
        <v>60429.95</v>
      </c>
      <c r="E84" s="35">
        <f>_xlfn.XLOOKUP($B:$B,'Compilado 2023'!$B:$B,'Compilado 2023'!E:E)</f>
        <v>0</v>
      </c>
      <c r="F84" s="18">
        <f>_xlfn.XLOOKUP($B:$B,'Compilado 2023'!$B:$B,'Compilado 2023'!F:F)</f>
        <v>207</v>
      </c>
      <c r="G84" s="18">
        <f>_xlfn.XLOOKUP($B:$B,'Compilado 2023'!$B:$B,'Compilado 2023'!G:G)</f>
        <v>273</v>
      </c>
      <c r="H84" s="35">
        <f t="shared" si="24"/>
        <v>291.93212560386473</v>
      </c>
      <c r="I84" s="19">
        <f t="shared" si="25"/>
        <v>753.09290322580648</v>
      </c>
      <c r="J84" s="122">
        <f t="shared" si="26"/>
        <v>80.242357538032394</v>
      </c>
      <c r="K84" s="18">
        <f>_xlfn.XLOOKUP($B:$B,'Compilado 2023'!$B:$B,'Compilado 2023'!K:K)</f>
        <v>4350</v>
      </c>
      <c r="L84" s="54">
        <f t="shared" si="27"/>
        <v>4.7586206896551721E-2</v>
      </c>
      <c r="M84" s="149"/>
      <c r="N84" s="106">
        <f>_xlfn.XLOOKUP($B:$B,'Compilado 2023'!$B:$B,'Compilado 2023'!N:N)</f>
        <v>341.91</v>
      </c>
      <c r="O84" s="106">
        <f>_xlfn.XLOOKUP($B:$B,'Compilado 2023'!$B:$B,'Compilado 2023'!O:O)</f>
        <v>359.57</v>
      </c>
      <c r="P84" s="106">
        <f>_xlfn.XLOOKUP($B:$B,'Compilado 2023'!$B:$B,'Compilado 2023'!P:P)</f>
        <v>0</v>
      </c>
      <c r="Q84" s="106">
        <f>_xlfn.XLOOKUP($B:$B,'Compilado 2023'!$B:$B,'Compilado 2023'!Q:Q)</f>
        <v>51.612903225806448</v>
      </c>
      <c r="R84" s="106">
        <f>_xlfn.XLOOKUP($B:$B,'Compilado 2023'!$B:$B,'Compilado 2023'!R:R)</f>
        <v>0</v>
      </c>
      <c r="S84" s="106">
        <f>_xlfn.XLOOKUP($B:$B,'Compilado 2023'!$B:$B,'Compilado 2023'!T:T)</f>
        <v>0</v>
      </c>
      <c r="T84" s="106">
        <f>_xlfn.XLOOKUP($B:$B,'Compilado 2023'!$B:$B,'Compilado 2023'!U:U)</f>
        <v>0</v>
      </c>
      <c r="U84" s="106">
        <f>_xlfn.XLOOKUP($B:$B,'Compilado 2023'!$B:$B,'Compilado 2023'!V:V)</f>
        <v>0</v>
      </c>
      <c r="V84" s="57"/>
      <c r="W84" s="106">
        <f>_xlfn.XLOOKUP($B:$B,'Compilado 2023'!$B:$B,'Compilado 2023'!X:X)</f>
        <v>0</v>
      </c>
      <c r="X84" s="106">
        <f>_xlfn.XLOOKUP($B:$B,'Compilado 2023'!$B:$B,'Compilado 2023'!Y:Y)</f>
        <v>0</v>
      </c>
      <c r="Y84" s="106">
        <f>_xlfn.XLOOKUP($B:$B,'Compilado 2023'!$B:$B,'Compilado 2023'!Z:Z)</f>
        <v>0</v>
      </c>
      <c r="AA84" s="208">
        <v>45128</v>
      </c>
    </row>
    <row r="85" spans="1:27" hidden="1" x14ac:dyDescent="0.2">
      <c r="A85" s="17" t="str">
        <f t="shared" ca="1" si="28"/>
        <v>Realizado</v>
      </c>
      <c r="B85" s="17">
        <v>44856</v>
      </c>
      <c r="C85" s="19">
        <f t="shared" si="23"/>
        <v>44015.68</v>
      </c>
      <c r="D85" s="35">
        <f>_xlfn.XLOOKUP($B:$B,'Compilado 2023'!$B:$B,'Compilado 2023'!D:D)</f>
        <v>44015.68</v>
      </c>
      <c r="E85" s="35">
        <f>_xlfn.XLOOKUP($B:$B,'Compilado 2023'!$B:$B,'Compilado 2023'!E:E)</f>
        <v>0</v>
      </c>
      <c r="F85" s="18">
        <f>_xlfn.XLOOKUP($B:$B,'Compilado 2023'!$B:$B,'Compilado 2023'!F:F)</f>
        <v>169</v>
      </c>
      <c r="G85" s="18">
        <f>_xlfn.XLOOKUP($B:$B,'Compilado 2023'!$B:$B,'Compilado 2023'!G:G)</f>
        <v>225</v>
      </c>
      <c r="H85" s="35">
        <f t="shared" si="24"/>
        <v>260.44781065088756</v>
      </c>
      <c r="I85" s="19">
        <f t="shared" si="25"/>
        <v>794.22290322580648</v>
      </c>
      <c r="J85" s="122">
        <f t="shared" si="26"/>
        <v>55.419806985200786</v>
      </c>
      <c r="K85" s="18">
        <f>_xlfn.XLOOKUP($B:$B,'Compilado 2023'!$B:$B,'Compilado 2023'!K:K)</f>
        <v>3592</v>
      </c>
      <c r="L85" s="54">
        <f t="shared" si="27"/>
        <v>4.7048997772828505E-2</v>
      </c>
      <c r="M85" s="149"/>
      <c r="N85" s="106">
        <f>_xlfn.XLOOKUP($B:$B,'Compilado 2023'!$B:$B,'Compilado 2023'!N:N)</f>
        <v>356.1</v>
      </c>
      <c r="O85" s="106">
        <f>_xlfn.XLOOKUP($B:$B,'Compilado 2023'!$B:$B,'Compilado 2023'!O:O)</f>
        <v>386.51</v>
      </c>
      <c r="P85" s="106">
        <f>_xlfn.XLOOKUP($B:$B,'Compilado 2023'!$B:$B,'Compilado 2023'!P:P)</f>
        <v>0</v>
      </c>
      <c r="Q85" s="106">
        <f>_xlfn.XLOOKUP($B:$B,'Compilado 2023'!$B:$B,'Compilado 2023'!Q:Q)</f>
        <v>51.612903225806448</v>
      </c>
      <c r="R85" s="106">
        <f>_xlfn.XLOOKUP($B:$B,'Compilado 2023'!$B:$B,'Compilado 2023'!R:R)</f>
        <v>0</v>
      </c>
      <c r="S85" s="106">
        <f>_xlfn.XLOOKUP($B:$B,'Compilado 2023'!$B:$B,'Compilado 2023'!T:T)</f>
        <v>0</v>
      </c>
      <c r="T85" s="106">
        <f>_xlfn.XLOOKUP($B:$B,'Compilado 2023'!$B:$B,'Compilado 2023'!U:U)</f>
        <v>0</v>
      </c>
      <c r="U85" s="106">
        <f>_xlfn.XLOOKUP($B:$B,'Compilado 2023'!$B:$B,'Compilado 2023'!V:V)</f>
        <v>0</v>
      </c>
      <c r="V85" s="57"/>
      <c r="W85" s="106">
        <f>_xlfn.XLOOKUP($B:$B,'Compilado 2023'!$B:$B,'Compilado 2023'!X:X)</f>
        <v>0</v>
      </c>
      <c r="X85" s="106">
        <f>_xlfn.XLOOKUP($B:$B,'Compilado 2023'!$B:$B,'Compilado 2023'!Y:Y)</f>
        <v>0</v>
      </c>
      <c r="Y85" s="106">
        <f>_xlfn.XLOOKUP($B:$B,'Compilado 2023'!$B:$B,'Compilado 2023'!Z:Z)</f>
        <v>0</v>
      </c>
      <c r="AA85" s="208">
        <v>45129</v>
      </c>
    </row>
    <row r="86" spans="1:27" hidden="1" x14ac:dyDescent="0.2">
      <c r="A86" s="17" t="str">
        <f t="shared" ca="1" si="28"/>
        <v>Realizado</v>
      </c>
      <c r="B86" s="17">
        <v>44857</v>
      </c>
      <c r="C86" s="19">
        <f t="shared" si="23"/>
        <v>24770.07</v>
      </c>
      <c r="D86" s="35">
        <f>_xlfn.XLOOKUP($B:$B,'Compilado 2023'!$B:$B,'Compilado 2023'!D:D)</f>
        <v>24770.07</v>
      </c>
      <c r="E86" s="35">
        <f>_xlfn.XLOOKUP($B:$B,'Compilado 2023'!$B:$B,'Compilado 2023'!E:E)</f>
        <v>0</v>
      </c>
      <c r="F86" s="18">
        <f>_xlfn.XLOOKUP($B:$B,'Compilado 2023'!$B:$B,'Compilado 2023'!F:F)</f>
        <v>112</v>
      </c>
      <c r="G86" s="18">
        <f>_xlfn.XLOOKUP($B:$B,'Compilado 2023'!$B:$B,'Compilado 2023'!G:G)</f>
        <v>142</v>
      </c>
      <c r="H86" s="35">
        <f t="shared" si="24"/>
        <v>221.16133928571429</v>
      </c>
      <c r="I86" s="19">
        <f t="shared" si="25"/>
        <v>707.81290322580651</v>
      </c>
      <c r="J86" s="122">
        <f t="shared" si="26"/>
        <v>34.995222448068105</v>
      </c>
      <c r="K86" s="18">
        <f>_xlfn.XLOOKUP($B:$B,'Compilado 2023'!$B:$B,'Compilado 2023'!K:K)</f>
        <v>2965</v>
      </c>
      <c r="L86" s="54">
        <f t="shared" si="27"/>
        <v>3.7774030354131537E-2</v>
      </c>
      <c r="M86" s="149"/>
      <c r="N86" s="106">
        <f>_xlfn.XLOOKUP($B:$B,'Compilado 2023'!$B:$B,'Compilado 2023'!N:N)</f>
        <v>319.83</v>
      </c>
      <c r="O86" s="106">
        <f>_xlfn.XLOOKUP($B:$B,'Compilado 2023'!$B:$B,'Compilado 2023'!O:O)</f>
        <v>336.37</v>
      </c>
      <c r="P86" s="106">
        <f>_xlfn.XLOOKUP($B:$B,'Compilado 2023'!$B:$B,'Compilado 2023'!P:P)</f>
        <v>0</v>
      </c>
      <c r="Q86" s="106">
        <f>_xlfn.XLOOKUP($B:$B,'Compilado 2023'!$B:$B,'Compilado 2023'!Q:Q)</f>
        <v>51.612903225806448</v>
      </c>
      <c r="R86" s="106">
        <f>_xlfn.XLOOKUP($B:$B,'Compilado 2023'!$B:$B,'Compilado 2023'!R:R)</f>
        <v>0</v>
      </c>
      <c r="S86" s="106">
        <f>_xlfn.XLOOKUP($B:$B,'Compilado 2023'!$B:$B,'Compilado 2023'!T:T)</f>
        <v>0</v>
      </c>
      <c r="T86" s="106">
        <f>_xlfn.XLOOKUP($B:$B,'Compilado 2023'!$B:$B,'Compilado 2023'!U:U)</f>
        <v>0</v>
      </c>
      <c r="U86" s="106">
        <f>_xlfn.XLOOKUP($B:$B,'Compilado 2023'!$B:$B,'Compilado 2023'!V:V)</f>
        <v>0</v>
      </c>
      <c r="V86" s="57"/>
      <c r="W86" s="106">
        <f>_xlfn.XLOOKUP($B:$B,'Compilado 2023'!$B:$B,'Compilado 2023'!X:X)</f>
        <v>0</v>
      </c>
      <c r="X86" s="106">
        <f>_xlfn.XLOOKUP($B:$B,'Compilado 2023'!$B:$B,'Compilado 2023'!Y:Y)</f>
        <v>0</v>
      </c>
      <c r="Y86" s="106">
        <f>_xlfn.XLOOKUP($B:$B,'Compilado 2023'!$B:$B,'Compilado 2023'!Z:Z)</f>
        <v>0</v>
      </c>
      <c r="AA86" s="208">
        <v>45130</v>
      </c>
    </row>
    <row r="87" spans="1:27" hidden="1" x14ac:dyDescent="0.2">
      <c r="A87" s="17" t="str">
        <f t="shared" ca="1" si="28"/>
        <v>Realizado</v>
      </c>
      <c r="B87" s="17">
        <v>44858</v>
      </c>
      <c r="C87" s="19">
        <f t="shared" si="23"/>
        <v>43638.159999999996</v>
      </c>
      <c r="D87" s="35">
        <f>_xlfn.XLOOKUP($B:$B,'Compilado 2023'!$B:$B,'Compilado 2023'!D:D)</f>
        <v>43539.53</v>
      </c>
      <c r="E87" s="35">
        <f>_xlfn.XLOOKUP($B:$B,'Compilado 2023'!$B:$B,'Compilado 2023'!E:E)</f>
        <v>98.63</v>
      </c>
      <c r="F87" s="18">
        <f>_xlfn.XLOOKUP($B:$B,'Compilado 2023'!$B:$B,'Compilado 2023'!F:F)</f>
        <v>151</v>
      </c>
      <c r="G87" s="18">
        <f>_xlfn.XLOOKUP($B:$B,'Compilado 2023'!$B:$B,'Compilado 2023'!G:G)</f>
        <v>181</v>
      </c>
      <c r="H87" s="35">
        <f t="shared" si="24"/>
        <v>288.99443708609272</v>
      </c>
      <c r="I87" s="19">
        <f t="shared" si="25"/>
        <v>634.66290322580642</v>
      </c>
      <c r="J87" s="122">
        <f t="shared" si="26"/>
        <v>68.758012762680721</v>
      </c>
      <c r="K87" s="18">
        <f>_xlfn.XLOOKUP($B:$B,'Compilado 2023'!$B:$B,'Compilado 2023'!K:K)</f>
        <v>4493</v>
      </c>
      <c r="L87" s="54">
        <f t="shared" si="27"/>
        <v>3.3607834409080793E-2</v>
      </c>
      <c r="M87" s="149"/>
      <c r="N87" s="106">
        <f>_xlfn.XLOOKUP($B:$B,'Compilado 2023'!$B:$B,'Compilado 2023'!N:N)</f>
        <v>341.56</v>
      </c>
      <c r="O87" s="106">
        <f>_xlfn.XLOOKUP($B:$B,'Compilado 2023'!$B:$B,'Compilado 2023'!O:O)</f>
        <v>241.49</v>
      </c>
      <c r="P87" s="106">
        <f>_xlfn.XLOOKUP($B:$B,'Compilado 2023'!$B:$B,'Compilado 2023'!P:P)</f>
        <v>0</v>
      </c>
      <c r="Q87" s="106">
        <f>_xlfn.XLOOKUP($B:$B,'Compilado 2023'!$B:$B,'Compilado 2023'!Q:Q)</f>
        <v>51.612903225806448</v>
      </c>
      <c r="R87" s="106">
        <f>_xlfn.XLOOKUP($B:$B,'Compilado 2023'!$B:$B,'Compilado 2023'!R:R)</f>
        <v>0</v>
      </c>
      <c r="S87" s="106">
        <f>_xlfn.XLOOKUP($B:$B,'Compilado 2023'!$B:$B,'Compilado 2023'!T:T)</f>
        <v>0</v>
      </c>
      <c r="T87" s="106">
        <f>_xlfn.XLOOKUP($B:$B,'Compilado 2023'!$B:$B,'Compilado 2023'!U:U)</f>
        <v>0</v>
      </c>
      <c r="U87" s="106">
        <f>_xlfn.XLOOKUP($B:$B,'Compilado 2023'!$B:$B,'Compilado 2023'!V:V)</f>
        <v>0</v>
      </c>
      <c r="V87" s="57"/>
      <c r="W87" s="106">
        <f>_xlfn.XLOOKUP($B:$B,'Compilado 2023'!$B:$B,'Compilado 2023'!X:X)</f>
        <v>0</v>
      </c>
      <c r="X87" s="106">
        <f>_xlfn.XLOOKUP($B:$B,'Compilado 2023'!$B:$B,'Compilado 2023'!Y:Y)</f>
        <v>0</v>
      </c>
      <c r="Y87" s="106">
        <f>_xlfn.XLOOKUP($B:$B,'Compilado 2023'!$B:$B,'Compilado 2023'!Z:Z)</f>
        <v>0</v>
      </c>
      <c r="AA87" s="208">
        <v>45131</v>
      </c>
    </row>
    <row r="88" spans="1:27" hidden="1" x14ac:dyDescent="0.2">
      <c r="A88" s="17" t="str">
        <f t="shared" ca="1" si="28"/>
        <v>Realizado</v>
      </c>
      <c r="B88" s="17">
        <v>44859</v>
      </c>
      <c r="C88" s="19">
        <f t="shared" si="23"/>
        <v>42354.62</v>
      </c>
      <c r="D88" s="35">
        <f>_xlfn.XLOOKUP($B:$B,'Compilado 2023'!$B:$B,'Compilado 2023'!D:D)</f>
        <v>42354.62</v>
      </c>
      <c r="E88" s="35">
        <f>_xlfn.XLOOKUP($B:$B,'Compilado 2023'!$B:$B,'Compilado 2023'!E:E)</f>
        <v>0</v>
      </c>
      <c r="F88" s="18">
        <f>_xlfn.XLOOKUP($B:$B,'Compilado 2023'!$B:$B,'Compilado 2023'!F:F)</f>
        <v>138</v>
      </c>
      <c r="G88" s="18">
        <f>_xlfn.XLOOKUP($B:$B,'Compilado 2023'!$B:$B,'Compilado 2023'!G:G)</f>
        <v>195</v>
      </c>
      <c r="H88" s="35">
        <f t="shared" si="24"/>
        <v>306.91753623188407</v>
      </c>
      <c r="I88" s="19">
        <f t="shared" si="25"/>
        <v>694.27290322580643</v>
      </c>
      <c r="J88" s="122">
        <f t="shared" si="26"/>
        <v>61.005722394187288</v>
      </c>
      <c r="K88" s="18">
        <f>_xlfn.XLOOKUP($B:$B,'Compilado 2023'!$B:$B,'Compilado 2023'!K:K)</f>
        <v>4214</v>
      </c>
      <c r="L88" s="54">
        <f t="shared" si="27"/>
        <v>3.274798291409587E-2</v>
      </c>
      <c r="M88" s="149"/>
      <c r="N88" s="106">
        <f>_xlfn.XLOOKUP($B:$B,'Compilado 2023'!$B:$B,'Compilado 2023'!N:N)</f>
        <v>402.63</v>
      </c>
      <c r="O88" s="106">
        <f>_xlfn.XLOOKUP($B:$B,'Compilado 2023'!$B:$B,'Compilado 2023'!O:O)</f>
        <v>240.03</v>
      </c>
      <c r="P88" s="106">
        <f>_xlfn.XLOOKUP($B:$B,'Compilado 2023'!$B:$B,'Compilado 2023'!P:P)</f>
        <v>0</v>
      </c>
      <c r="Q88" s="106">
        <f>_xlfn.XLOOKUP($B:$B,'Compilado 2023'!$B:$B,'Compilado 2023'!Q:Q)</f>
        <v>51.612903225806448</v>
      </c>
      <c r="R88" s="106">
        <f>_xlfn.XLOOKUP($B:$B,'Compilado 2023'!$B:$B,'Compilado 2023'!R:R)</f>
        <v>0</v>
      </c>
      <c r="S88" s="106">
        <f>_xlfn.XLOOKUP($B:$B,'Compilado 2023'!$B:$B,'Compilado 2023'!T:T)</f>
        <v>0</v>
      </c>
      <c r="T88" s="106">
        <f>_xlfn.XLOOKUP($B:$B,'Compilado 2023'!$B:$B,'Compilado 2023'!U:U)</f>
        <v>0</v>
      </c>
      <c r="U88" s="106">
        <f>_xlfn.XLOOKUP($B:$B,'Compilado 2023'!$B:$B,'Compilado 2023'!V:V)</f>
        <v>0</v>
      </c>
      <c r="V88" s="57"/>
      <c r="W88" s="106">
        <f>_xlfn.XLOOKUP($B:$B,'Compilado 2023'!$B:$B,'Compilado 2023'!X:X)</f>
        <v>0</v>
      </c>
      <c r="X88" s="106">
        <f>_xlfn.XLOOKUP($B:$B,'Compilado 2023'!$B:$B,'Compilado 2023'!Y:Y)</f>
        <v>0</v>
      </c>
      <c r="Y88" s="106">
        <f>_xlfn.XLOOKUP($B:$B,'Compilado 2023'!$B:$B,'Compilado 2023'!Z:Z)</f>
        <v>0</v>
      </c>
      <c r="AA88" s="208">
        <v>45132</v>
      </c>
    </row>
    <row r="89" spans="1:27" hidden="1" x14ac:dyDescent="0.2">
      <c r="A89" s="17" t="str">
        <f t="shared" ca="1" si="28"/>
        <v>Realizado</v>
      </c>
      <c r="B89" s="17">
        <v>44860</v>
      </c>
      <c r="C89" s="19">
        <f t="shared" si="23"/>
        <v>42003.97</v>
      </c>
      <c r="D89" s="35">
        <f>_xlfn.XLOOKUP($B:$B,'Compilado 2023'!$B:$B,'Compilado 2023'!D:D)</f>
        <v>42003.97</v>
      </c>
      <c r="E89" s="35">
        <f>_xlfn.XLOOKUP($B:$B,'Compilado 2023'!$B:$B,'Compilado 2023'!E:E)</f>
        <v>0</v>
      </c>
      <c r="F89" s="18">
        <f>_xlfn.XLOOKUP($B:$B,'Compilado 2023'!$B:$B,'Compilado 2023'!F:F)</f>
        <v>152</v>
      </c>
      <c r="G89" s="18">
        <f>_xlfn.XLOOKUP($B:$B,'Compilado 2023'!$B:$B,'Compilado 2023'!G:G)</f>
        <v>218</v>
      </c>
      <c r="H89" s="35">
        <f t="shared" si="24"/>
        <v>276.34190789473683</v>
      </c>
      <c r="I89" s="19">
        <f t="shared" si="25"/>
        <v>763.05290322580652</v>
      </c>
      <c r="J89" s="122">
        <f t="shared" si="26"/>
        <v>55.047257958692242</v>
      </c>
      <c r="K89" s="18">
        <f>_xlfn.XLOOKUP($B:$B,'Compilado 2023'!$B:$B,'Compilado 2023'!K:K)</f>
        <v>4060</v>
      </c>
      <c r="L89" s="54">
        <f t="shared" si="27"/>
        <v>3.7438423645320199E-2</v>
      </c>
      <c r="M89" s="149"/>
      <c r="N89" s="106">
        <f>_xlfn.XLOOKUP($B:$B,'Compilado 2023'!$B:$B,'Compilado 2023'!N:N)</f>
        <v>468.86</v>
      </c>
      <c r="O89" s="106">
        <f>_xlfn.XLOOKUP($B:$B,'Compilado 2023'!$B:$B,'Compilado 2023'!O:O)</f>
        <v>242.58</v>
      </c>
      <c r="P89" s="106">
        <f>_xlfn.XLOOKUP($B:$B,'Compilado 2023'!$B:$B,'Compilado 2023'!P:P)</f>
        <v>0</v>
      </c>
      <c r="Q89" s="106">
        <f>_xlfn.XLOOKUP($B:$B,'Compilado 2023'!$B:$B,'Compilado 2023'!Q:Q)</f>
        <v>51.612903225806448</v>
      </c>
      <c r="R89" s="106">
        <f>_xlfn.XLOOKUP($B:$B,'Compilado 2023'!$B:$B,'Compilado 2023'!R:R)</f>
        <v>0</v>
      </c>
      <c r="S89" s="106">
        <f>_xlfn.XLOOKUP($B:$B,'Compilado 2023'!$B:$B,'Compilado 2023'!T:T)</f>
        <v>0</v>
      </c>
      <c r="T89" s="106">
        <f>_xlfn.XLOOKUP($B:$B,'Compilado 2023'!$B:$B,'Compilado 2023'!U:U)</f>
        <v>0</v>
      </c>
      <c r="U89" s="106">
        <f>_xlfn.XLOOKUP($B:$B,'Compilado 2023'!$B:$B,'Compilado 2023'!V:V)</f>
        <v>0</v>
      </c>
      <c r="V89" s="57"/>
      <c r="W89" s="106">
        <f>_xlfn.XLOOKUP($B:$B,'Compilado 2023'!$B:$B,'Compilado 2023'!X:X)</f>
        <v>0</v>
      </c>
      <c r="X89" s="106">
        <f>_xlfn.XLOOKUP($B:$B,'Compilado 2023'!$B:$B,'Compilado 2023'!Y:Y)</f>
        <v>0</v>
      </c>
      <c r="Y89" s="106">
        <f>_xlfn.XLOOKUP($B:$B,'Compilado 2023'!$B:$B,'Compilado 2023'!Z:Z)</f>
        <v>0</v>
      </c>
      <c r="AA89" s="208">
        <v>45133</v>
      </c>
    </row>
    <row r="90" spans="1:27" hidden="1" x14ac:dyDescent="0.2">
      <c r="A90" s="17" t="str">
        <f t="shared" ca="1" si="28"/>
        <v>Realizado</v>
      </c>
      <c r="B90" s="17">
        <v>44861</v>
      </c>
      <c r="C90" s="19">
        <f t="shared" si="23"/>
        <v>41668.050000000003</v>
      </c>
      <c r="D90" s="35">
        <f>_xlfn.XLOOKUP($B:$B,'Compilado 2023'!$B:$B,'Compilado 2023'!D:D)</f>
        <v>41645.82</v>
      </c>
      <c r="E90" s="35">
        <f>_xlfn.XLOOKUP($B:$B,'Compilado 2023'!$B:$B,'Compilado 2023'!E:E)</f>
        <v>22.23</v>
      </c>
      <c r="F90" s="18">
        <f>_xlfn.XLOOKUP($B:$B,'Compilado 2023'!$B:$B,'Compilado 2023'!F:F)</f>
        <v>144</v>
      </c>
      <c r="G90" s="18">
        <f>_xlfn.XLOOKUP($B:$B,'Compilado 2023'!$B:$B,'Compilado 2023'!G:G)</f>
        <v>162</v>
      </c>
      <c r="H90" s="35">
        <f t="shared" si="24"/>
        <v>289.36145833333336</v>
      </c>
      <c r="I90" s="19">
        <f t="shared" si="25"/>
        <v>784.10290322580647</v>
      </c>
      <c r="J90" s="122">
        <f t="shared" si="26"/>
        <v>53.141047977985117</v>
      </c>
      <c r="K90" s="18">
        <f>_xlfn.XLOOKUP($B:$B,'Compilado 2023'!$B:$B,'Compilado 2023'!K:K)</f>
        <v>3857</v>
      </c>
      <c r="L90" s="54">
        <f t="shared" si="27"/>
        <v>3.733471610059632E-2</v>
      </c>
      <c r="M90" s="149"/>
      <c r="N90" s="106">
        <f>_xlfn.XLOOKUP($B:$B,'Compilado 2023'!$B:$B,'Compilado 2023'!N:N)</f>
        <v>488.88</v>
      </c>
      <c r="O90" s="106">
        <f>_xlfn.XLOOKUP($B:$B,'Compilado 2023'!$B:$B,'Compilado 2023'!O:O)</f>
        <v>243.61</v>
      </c>
      <c r="P90" s="106">
        <f>_xlfn.XLOOKUP($B:$B,'Compilado 2023'!$B:$B,'Compilado 2023'!P:P)</f>
        <v>0</v>
      </c>
      <c r="Q90" s="106">
        <f>_xlfn.XLOOKUP($B:$B,'Compilado 2023'!$B:$B,'Compilado 2023'!Q:Q)</f>
        <v>51.612903225806448</v>
      </c>
      <c r="R90" s="106">
        <f>_xlfn.XLOOKUP($B:$B,'Compilado 2023'!$B:$B,'Compilado 2023'!R:R)</f>
        <v>0</v>
      </c>
      <c r="S90" s="106">
        <f>_xlfn.XLOOKUP($B:$B,'Compilado 2023'!$B:$B,'Compilado 2023'!T:T)</f>
        <v>0</v>
      </c>
      <c r="T90" s="106">
        <f>_xlfn.XLOOKUP($B:$B,'Compilado 2023'!$B:$B,'Compilado 2023'!U:U)</f>
        <v>0</v>
      </c>
      <c r="U90" s="106">
        <f>_xlfn.XLOOKUP($B:$B,'Compilado 2023'!$B:$B,'Compilado 2023'!V:V)</f>
        <v>0</v>
      </c>
      <c r="V90" s="57"/>
      <c r="W90" s="106">
        <f>_xlfn.XLOOKUP($B:$B,'Compilado 2023'!$B:$B,'Compilado 2023'!X:X)</f>
        <v>0</v>
      </c>
      <c r="X90" s="106">
        <f>_xlfn.XLOOKUP($B:$B,'Compilado 2023'!$B:$B,'Compilado 2023'!Y:Y)</f>
        <v>0</v>
      </c>
      <c r="Y90" s="106">
        <f>_xlfn.XLOOKUP($B:$B,'Compilado 2023'!$B:$B,'Compilado 2023'!Z:Z)</f>
        <v>0</v>
      </c>
      <c r="AA90" s="208">
        <v>45134</v>
      </c>
    </row>
    <row r="91" spans="1:27" hidden="1" x14ac:dyDescent="0.2">
      <c r="A91" s="17" t="str">
        <f t="shared" ca="1" si="28"/>
        <v>Realizado</v>
      </c>
      <c r="B91" s="17">
        <v>44862</v>
      </c>
      <c r="C91" s="19">
        <f t="shared" si="23"/>
        <v>46037.66</v>
      </c>
      <c r="D91" s="35">
        <f>_xlfn.XLOOKUP($B:$B,'Compilado 2023'!$B:$B,'Compilado 2023'!D:D)</f>
        <v>46037.66</v>
      </c>
      <c r="E91" s="35">
        <f>_xlfn.XLOOKUP($B:$B,'Compilado 2023'!$B:$B,'Compilado 2023'!E:E)</f>
        <v>0</v>
      </c>
      <c r="F91" s="18">
        <f>_xlfn.XLOOKUP($B:$B,'Compilado 2023'!$B:$B,'Compilado 2023'!F:F)</f>
        <v>161</v>
      </c>
      <c r="G91" s="18">
        <f>_xlfn.XLOOKUP($B:$B,'Compilado 2023'!$B:$B,'Compilado 2023'!G:G)</f>
        <v>186</v>
      </c>
      <c r="H91" s="35">
        <f t="shared" si="24"/>
        <v>285.94819875776398</v>
      </c>
      <c r="I91" s="19">
        <f t="shared" si="25"/>
        <v>747.99290322580646</v>
      </c>
      <c r="J91" s="122">
        <f t="shared" si="26"/>
        <v>61.548257746105925</v>
      </c>
      <c r="K91" s="18">
        <f>_xlfn.XLOOKUP($B:$B,'Compilado 2023'!$B:$B,'Compilado 2023'!K:K)</f>
        <v>3824</v>
      </c>
      <c r="L91" s="54">
        <f t="shared" si="27"/>
        <v>4.2102510460251048E-2</v>
      </c>
      <c r="M91" s="149"/>
      <c r="N91" s="106">
        <f>_xlfn.XLOOKUP($B:$B,'Compilado 2023'!$B:$B,'Compilado 2023'!N:N)</f>
        <v>368.96</v>
      </c>
      <c r="O91" s="106">
        <f>_xlfn.XLOOKUP($B:$B,'Compilado 2023'!$B:$B,'Compilado 2023'!O:O)</f>
        <v>327.42</v>
      </c>
      <c r="P91" s="106">
        <f>_xlfn.XLOOKUP($B:$B,'Compilado 2023'!$B:$B,'Compilado 2023'!P:P)</f>
        <v>0</v>
      </c>
      <c r="Q91" s="106">
        <f>_xlfn.XLOOKUP($B:$B,'Compilado 2023'!$B:$B,'Compilado 2023'!Q:Q)</f>
        <v>51.612903225806448</v>
      </c>
      <c r="R91" s="106">
        <f>_xlfn.XLOOKUP($B:$B,'Compilado 2023'!$B:$B,'Compilado 2023'!R:R)</f>
        <v>0</v>
      </c>
      <c r="S91" s="106">
        <f>_xlfn.XLOOKUP($B:$B,'Compilado 2023'!$B:$B,'Compilado 2023'!T:T)</f>
        <v>0</v>
      </c>
      <c r="T91" s="106">
        <f>_xlfn.XLOOKUP($B:$B,'Compilado 2023'!$B:$B,'Compilado 2023'!U:U)</f>
        <v>0</v>
      </c>
      <c r="U91" s="106">
        <f>_xlfn.XLOOKUP($B:$B,'Compilado 2023'!$B:$B,'Compilado 2023'!V:V)</f>
        <v>0</v>
      </c>
      <c r="V91" s="57"/>
      <c r="W91" s="106">
        <f>_xlfn.XLOOKUP($B:$B,'Compilado 2023'!$B:$B,'Compilado 2023'!X:X)</f>
        <v>0</v>
      </c>
      <c r="X91" s="106">
        <f>_xlfn.XLOOKUP($B:$B,'Compilado 2023'!$B:$B,'Compilado 2023'!Y:Y)</f>
        <v>0</v>
      </c>
      <c r="Y91" s="106">
        <f>_xlfn.XLOOKUP($B:$B,'Compilado 2023'!$B:$B,'Compilado 2023'!Z:Z)</f>
        <v>0</v>
      </c>
      <c r="AA91" s="208">
        <v>45135</v>
      </c>
    </row>
    <row r="92" spans="1:27" hidden="1" x14ac:dyDescent="0.2">
      <c r="A92" s="17" t="str">
        <f t="shared" ca="1" si="28"/>
        <v>Realizado</v>
      </c>
      <c r="B92" s="17">
        <v>44863</v>
      </c>
      <c r="C92" s="19">
        <f t="shared" si="23"/>
        <v>27353.200000000001</v>
      </c>
      <c r="D92" s="35">
        <f>_xlfn.XLOOKUP($B:$B,'Compilado 2023'!$B:$B,'Compilado 2023'!D:D)</f>
        <v>27353.200000000001</v>
      </c>
      <c r="E92" s="35">
        <f>_xlfn.XLOOKUP($B:$B,'Compilado 2023'!$B:$B,'Compilado 2023'!E:E)</f>
        <v>0</v>
      </c>
      <c r="F92" s="18">
        <f>_xlfn.XLOOKUP($B:$B,'Compilado 2023'!$B:$B,'Compilado 2023'!F:F)</f>
        <v>101</v>
      </c>
      <c r="G92" s="18">
        <f>_xlfn.XLOOKUP($B:$B,'Compilado 2023'!$B:$B,'Compilado 2023'!G:G)</f>
        <v>124</v>
      </c>
      <c r="H92" s="35">
        <f t="shared" si="24"/>
        <v>270.82376237623765</v>
      </c>
      <c r="I92" s="19">
        <f t="shared" si="25"/>
        <v>776.3229032258065</v>
      </c>
      <c r="J92" s="122">
        <f t="shared" si="26"/>
        <v>35.234307639695984</v>
      </c>
      <c r="K92" s="18">
        <f>_xlfn.XLOOKUP($B:$B,'Compilado 2023'!$B:$B,'Compilado 2023'!K:K)</f>
        <v>2802</v>
      </c>
      <c r="L92" s="54">
        <f t="shared" si="27"/>
        <v>3.6045681655960025E-2</v>
      </c>
      <c r="M92" s="149"/>
      <c r="N92" s="106">
        <f>_xlfn.XLOOKUP($B:$B,'Compilado 2023'!$B:$B,'Compilado 2023'!N:N)</f>
        <v>325.94</v>
      </c>
      <c r="O92" s="106">
        <f>_xlfn.XLOOKUP($B:$B,'Compilado 2023'!$B:$B,'Compilado 2023'!O:O)</f>
        <v>398.77</v>
      </c>
      <c r="P92" s="106">
        <f>_xlfn.XLOOKUP($B:$B,'Compilado 2023'!$B:$B,'Compilado 2023'!P:P)</f>
        <v>0</v>
      </c>
      <c r="Q92" s="106">
        <f>_xlfn.XLOOKUP($B:$B,'Compilado 2023'!$B:$B,'Compilado 2023'!Q:Q)</f>
        <v>51.612903225806448</v>
      </c>
      <c r="R92" s="106">
        <f>_xlfn.XLOOKUP($B:$B,'Compilado 2023'!$B:$B,'Compilado 2023'!R:R)</f>
        <v>0</v>
      </c>
      <c r="S92" s="106">
        <f>_xlfn.XLOOKUP($B:$B,'Compilado 2023'!$B:$B,'Compilado 2023'!T:T)</f>
        <v>0</v>
      </c>
      <c r="T92" s="106">
        <f>_xlfn.XLOOKUP($B:$B,'Compilado 2023'!$B:$B,'Compilado 2023'!U:U)</f>
        <v>0</v>
      </c>
      <c r="U92" s="106">
        <f>_xlfn.XLOOKUP($B:$B,'Compilado 2023'!$B:$B,'Compilado 2023'!V:V)</f>
        <v>0</v>
      </c>
      <c r="V92" s="57"/>
      <c r="W92" s="106">
        <f>_xlfn.XLOOKUP($B:$B,'Compilado 2023'!$B:$B,'Compilado 2023'!X:X)</f>
        <v>0</v>
      </c>
      <c r="X92" s="106">
        <f>_xlfn.XLOOKUP($B:$B,'Compilado 2023'!$B:$B,'Compilado 2023'!Y:Y)</f>
        <v>0</v>
      </c>
      <c r="Y92" s="106">
        <f>_xlfn.XLOOKUP($B:$B,'Compilado 2023'!$B:$B,'Compilado 2023'!Z:Z)</f>
        <v>0</v>
      </c>
      <c r="AA92" s="208">
        <v>45136</v>
      </c>
    </row>
    <row r="93" spans="1:27" hidden="1" x14ac:dyDescent="0.2">
      <c r="A93" s="17" t="str">
        <f t="shared" ca="1" si="28"/>
        <v>Realizado</v>
      </c>
      <c r="B93" s="17">
        <v>44864</v>
      </c>
      <c r="C93" s="19">
        <f t="shared" si="23"/>
        <v>16529.8</v>
      </c>
      <c r="D93" s="35">
        <f>_xlfn.XLOOKUP($B:$B,'Compilado 2023'!$B:$B,'Compilado 2023'!D:D)</f>
        <v>16529.8</v>
      </c>
      <c r="E93" s="35">
        <f>_xlfn.XLOOKUP($B:$B,'Compilado 2023'!$B:$B,'Compilado 2023'!E:E)</f>
        <v>0</v>
      </c>
      <c r="F93" s="18">
        <f>_xlfn.XLOOKUP($B:$B,'Compilado 2023'!$B:$B,'Compilado 2023'!F:F)</f>
        <v>59</v>
      </c>
      <c r="G93" s="18">
        <f>_xlfn.XLOOKUP($B:$B,'Compilado 2023'!$B:$B,'Compilado 2023'!G:G)</f>
        <v>67</v>
      </c>
      <c r="H93" s="35">
        <f t="shared" si="24"/>
        <v>280.16610169491526</v>
      </c>
      <c r="I93" s="19">
        <f t="shared" si="25"/>
        <v>772.95290322580638</v>
      </c>
      <c r="J93" s="122">
        <f t="shared" si="26"/>
        <v>21.385261548297816</v>
      </c>
      <c r="K93" s="18">
        <f>_xlfn.XLOOKUP($B:$B,'Compilado 2023'!$B:$B,'Compilado 2023'!K:K)</f>
        <v>1896</v>
      </c>
      <c r="L93" s="54">
        <f t="shared" si="27"/>
        <v>3.1118143459915613E-2</v>
      </c>
      <c r="M93" s="149"/>
      <c r="N93" s="106">
        <f>_xlfn.XLOOKUP($B:$B,'Compilado 2023'!$B:$B,'Compilado 2023'!N:N)</f>
        <v>276.83</v>
      </c>
      <c r="O93" s="106">
        <f>_xlfn.XLOOKUP($B:$B,'Compilado 2023'!$B:$B,'Compilado 2023'!O:O)</f>
        <v>444.51</v>
      </c>
      <c r="P93" s="106">
        <f>_xlfn.XLOOKUP($B:$B,'Compilado 2023'!$B:$B,'Compilado 2023'!P:P)</f>
        <v>0</v>
      </c>
      <c r="Q93" s="106">
        <f>_xlfn.XLOOKUP($B:$B,'Compilado 2023'!$B:$B,'Compilado 2023'!Q:Q)</f>
        <v>51.612903225806448</v>
      </c>
      <c r="R93" s="106">
        <f>_xlfn.XLOOKUP($B:$B,'Compilado 2023'!$B:$B,'Compilado 2023'!R:R)</f>
        <v>0</v>
      </c>
      <c r="S93" s="106">
        <f>_xlfn.XLOOKUP($B:$B,'Compilado 2023'!$B:$B,'Compilado 2023'!T:T)</f>
        <v>0</v>
      </c>
      <c r="T93" s="106">
        <f>_xlfn.XLOOKUP($B:$B,'Compilado 2023'!$B:$B,'Compilado 2023'!U:U)</f>
        <v>0</v>
      </c>
      <c r="U93" s="106">
        <f>_xlfn.XLOOKUP($B:$B,'Compilado 2023'!$B:$B,'Compilado 2023'!V:V)</f>
        <v>0</v>
      </c>
      <c r="V93" s="57"/>
      <c r="W93" s="106">
        <f>_xlfn.XLOOKUP($B:$B,'Compilado 2023'!$B:$B,'Compilado 2023'!X:X)</f>
        <v>0</v>
      </c>
      <c r="X93" s="106">
        <f>_xlfn.XLOOKUP($B:$B,'Compilado 2023'!$B:$B,'Compilado 2023'!Y:Y)</f>
        <v>0</v>
      </c>
      <c r="Y93" s="106">
        <f>_xlfn.XLOOKUP($B:$B,'Compilado 2023'!$B:$B,'Compilado 2023'!Z:Z)</f>
        <v>0</v>
      </c>
      <c r="AA93" s="208">
        <v>45137</v>
      </c>
    </row>
    <row r="94" spans="1:27" hidden="1" x14ac:dyDescent="0.2">
      <c r="A94" s="17" t="str">
        <f t="shared" ca="1" si="28"/>
        <v>Realizado</v>
      </c>
      <c r="B94" s="17">
        <v>45230</v>
      </c>
      <c r="C94" s="19">
        <f t="shared" si="23"/>
        <v>0</v>
      </c>
      <c r="D94" s="35">
        <f>_xlfn.XLOOKUP($B:$B,'Compilado 2023'!$B:$B,'Compilado 2023'!D:D)</f>
        <v>0</v>
      </c>
      <c r="E94" s="35">
        <f>_xlfn.XLOOKUP($B:$B,'Compilado 2023'!$B:$B,'Compilado 2023'!E:E)</f>
        <v>0</v>
      </c>
      <c r="F94" s="18">
        <f>_xlfn.XLOOKUP($B:$B,'Compilado 2023'!$B:$B,'Compilado 2023'!F:F)</f>
        <v>0</v>
      </c>
      <c r="G94" s="18">
        <f>_xlfn.XLOOKUP($B:$B,'Compilado 2023'!$B:$B,'Compilado 2023'!G:G)</f>
        <v>0</v>
      </c>
      <c r="H94" s="35">
        <f t="shared" si="24"/>
        <v>0</v>
      </c>
      <c r="I94" s="19">
        <f t="shared" ca="1" si="25"/>
        <v>51.612903225806448</v>
      </c>
      <c r="J94" s="122">
        <f t="shared" ca="1" si="26"/>
        <v>0</v>
      </c>
      <c r="K94" s="18">
        <f>_xlfn.XLOOKUP($B:$B,'Compilado 2023'!$B:$B,'Compilado 2023'!K:K)</f>
        <v>0</v>
      </c>
      <c r="L94" s="54">
        <f t="shared" si="27"/>
        <v>0</v>
      </c>
      <c r="M94" s="149"/>
      <c r="N94" s="106">
        <f>_xlfn.XLOOKUP($B:$B,'Compilado 2023'!$B:$B,'Compilado 2023'!N:N)</f>
        <v>0</v>
      </c>
      <c r="O94" s="106">
        <f>_xlfn.XLOOKUP($B:$B,'Compilado 2023'!$B:$B,'Compilado 2023'!O:O)</f>
        <v>0</v>
      </c>
      <c r="P94" s="106">
        <f>_xlfn.XLOOKUP($B:$B,'Compilado 2023'!$B:$B,'Compilado 2023'!P:P)</f>
        <v>0</v>
      </c>
      <c r="Q94" s="106">
        <f ca="1">_xlfn.XLOOKUP($B:$B,'Compilado 2023'!$B:$B,'Compilado 2023'!Q:Q)</f>
        <v>51.612903225806448</v>
      </c>
      <c r="R94" s="106">
        <f>_xlfn.XLOOKUP($B:$B,'Compilado 2023'!$B:$B,'Compilado 2023'!R:R)</f>
        <v>0</v>
      </c>
      <c r="S94" s="106">
        <f>_xlfn.XLOOKUP($B:$B,'Compilado 2023'!$B:$B,'Compilado 2023'!T:T)</f>
        <v>0</v>
      </c>
      <c r="T94" s="106">
        <f>_xlfn.XLOOKUP($B:$B,'Compilado 2023'!$B:$B,'Compilado 2023'!U:U)</f>
        <v>0</v>
      </c>
      <c r="U94" s="106">
        <f>_xlfn.XLOOKUP($B:$B,'Compilado 2023'!$B:$B,'Compilado 2023'!V:V)</f>
        <v>0</v>
      </c>
      <c r="V94" s="57"/>
      <c r="W94" s="106">
        <f>_xlfn.XLOOKUP($B:$B,'Compilado 2023'!$B:$B,'Compilado 2023'!X:X)</f>
        <v>0</v>
      </c>
      <c r="X94" s="106">
        <f>_xlfn.XLOOKUP($B:$B,'Compilado 2023'!$B:$B,'Compilado 2023'!Y:Y)</f>
        <v>0</v>
      </c>
      <c r="Y94" s="106">
        <f>_xlfn.XLOOKUP($B:$B,'Compilado 2023'!$B:$B,'Compilado 2023'!Z:Z)</f>
        <v>0</v>
      </c>
      <c r="AA94" s="208">
        <v>45138</v>
      </c>
    </row>
  </sheetData>
  <mergeCells count="3">
    <mergeCell ref="B41:D41"/>
    <mergeCell ref="B49:D49"/>
    <mergeCell ref="B57:D57"/>
  </mergeCells>
  <conditionalFormatting sqref="A64:A94">
    <cfRule type="cellIs" dxfId="72" priority="23" operator="equal">
      <formula>"Realizado"</formula>
    </cfRule>
    <cfRule type="cellIs" dxfId="71" priority="24" operator="equal">
      <formula>TODAY()</formula>
    </cfRule>
    <cfRule type="cellIs" dxfId="70" priority="25" operator="equal">
      <formula>"Realizado"</formula>
    </cfRule>
  </conditionalFormatting>
  <conditionalFormatting sqref="A63:B94">
    <cfRule type="cellIs" dxfId="69" priority="26" operator="equal">
      <formula>TODAY()</formula>
    </cfRule>
  </conditionalFormatting>
  <conditionalFormatting sqref="B4:H34">
    <cfRule type="cellIs" dxfId="68" priority="57" operator="equal">
      <formula>TODAY()</formula>
    </cfRule>
  </conditionalFormatting>
  <conditionalFormatting sqref="C65:D93">
    <cfRule type="cellIs" dxfId="67" priority="21" operator="equal">
      <formula>$A$1</formula>
    </cfRule>
    <cfRule type="cellIs" dxfId="66" priority="22" operator="equal">
      <formula>TODAY()</formula>
    </cfRule>
  </conditionalFormatting>
  <conditionalFormatting sqref="C64:H94">
    <cfRule type="cellIs" dxfId="65" priority="1" operator="equal">
      <formula>TODAY()</formula>
    </cfRule>
  </conditionalFormatting>
  <conditionalFormatting sqref="C94:H94">
    <cfRule type="cellIs" dxfId="64" priority="18" operator="equal">
      <formula>$A$1</formula>
    </cfRule>
  </conditionalFormatting>
  <conditionalFormatting sqref="C46:L46">
    <cfRule type="cellIs" dxfId="63" priority="55" operator="lessThan">
      <formula>0</formula>
    </cfRule>
  </conditionalFormatting>
  <conditionalFormatting sqref="C47:L47">
    <cfRule type="cellIs" dxfId="62" priority="36" operator="lessThan">
      <formula>0</formula>
    </cfRule>
  </conditionalFormatting>
  <conditionalFormatting sqref="C53:L53">
    <cfRule type="cellIs" dxfId="61" priority="53" operator="lessThan">
      <formula>0</formula>
    </cfRule>
  </conditionalFormatting>
  <conditionalFormatting sqref="C54:L54">
    <cfRule type="cellIs" dxfId="60" priority="37" operator="lessThan">
      <formula>0</formula>
    </cfRule>
  </conditionalFormatting>
  <conditionalFormatting sqref="C61:L61">
    <cfRule type="cellIs" dxfId="59" priority="41" operator="lessThan">
      <formula>0</formula>
    </cfRule>
  </conditionalFormatting>
  <conditionalFormatting sqref="C62:L62">
    <cfRule type="cellIs" dxfId="58" priority="38" operator="lessThan">
      <formula>0</formula>
    </cfRule>
  </conditionalFormatting>
  <conditionalFormatting sqref="N4:Q34">
    <cfRule type="cellIs" dxfId="57" priority="72" operator="equal">
      <formula>TODAY()</formula>
    </cfRule>
  </conditionalFormatting>
  <conditionalFormatting sqref="N64:U94">
    <cfRule type="cellIs" dxfId="56" priority="5" operator="equal">
      <formula>TODAY()</formula>
    </cfRule>
  </conditionalFormatting>
  <conditionalFormatting sqref="R4 R5:S34">
    <cfRule type="cellIs" dxfId="55" priority="71" operator="equal">
      <formula>TODAY()</formula>
    </cfRule>
  </conditionalFormatting>
  <conditionalFormatting sqref="S4:U34">
    <cfRule type="cellIs" dxfId="54" priority="62" operator="equal">
      <formula>TODAY()</formula>
    </cfRule>
  </conditionalFormatting>
  <conditionalFormatting sqref="W4:Y34">
    <cfRule type="cellIs" dxfId="53" priority="60" operator="equal">
      <formula>TODAY()</formula>
    </cfRule>
  </conditionalFormatting>
  <conditionalFormatting sqref="W64:Y94">
    <cfRule type="cellIs" dxfId="52" priority="3" operator="equal">
      <formula>TODAY()</formula>
    </cfRule>
  </conditionalFormatting>
  <conditionalFormatting sqref="AA4:AA34">
    <cfRule type="cellIs" dxfId="51" priority="65" operator="equal">
      <formula>TODAY()</formula>
    </cfRule>
  </conditionalFormatting>
  <conditionalFormatting sqref="AA64:AA94">
    <cfRule type="cellIs" dxfId="50" priority="19" operator="equal">
      <formula>TODAY()</formula>
    </cfRule>
  </conditionalFormatting>
  <printOptions horizontalCentered="1" gridLines="1"/>
  <pageMargins left="0.7" right="0.7" top="0.75" bottom="0.75" header="0" footer="0"/>
  <pageSetup paperSize="9" fitToWidth="0" pageOrder="overThenDown" orientation="landscape" cellComments="atEnd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BB54-4246-44EF-BD33-E2A70AA721CF}">
  <sheetPr codeName="Planilha15">
    <outlinePr summaryBelow="0" summaryRight="0"/>
    <pageSetUpPr fitToPage="1"/>
  </sheetPr>
  <dimension ref="A1:AG94"/>
  <sheetViews>
    <sheetView showGridLines="0" topLeftCell="J1" workbookViewId="0">
      <pane ySplit="3" topLeftCell="A48" activePane="bottomLeft" state="frozen"/>
      <selection activeCell="C64" sqref="C64:AA94"/>
      <selection pane="bottomLeft" activeCell="C64" sqref="C64:AA94"/>
    </sheetView>
  </sheetViews>
  <sheetFormatPr defaultColWidth="0" defaultRowHeight="12.75" x14ac:dyDescent="0.2"/>
  <cols>
    <col min="1" max="1" width="14" customWidth="1"/>
    <col min="2" max="2" width="11.7109375" customWidth="1"/>
    <col min="3" max="3" width="18.7109375" customWidth="1"/>
    <col min="4" max="4" width="16" bestFit="1" customWidth="1"/>
    <col min="5" max="5" width="11.7109375" customWidth="1"/>
    <col min="6" max="6" width="8.42578125" bestFit="1" customWidth="1"/>
    <col min="7" max="7" width="8.85546875" bestFit="1" customWidth="1"/>
    <col min="8" max="8" width="15.140625" customWidth="1"/>
    <col min="9" max="9" width="15.28515625" customWidth="1"/>
    <col min="10" max="10" width="12.28515625" bestFit="1" customWidth="1"/>
    <col min="11" max="11" width="12" customWidth="1"/>
    <col min="12" max="12" width="9.5703125" bestFit="1" customWidth="1"/>
    <col min="13" max="13" width="0.42578125" customWidth="1"/>
    <col min="14" max="14" width="12.5703125" bestFit="1" customWidth="1"/>
    <col min="15" max="15" width="11.5703125" bestFit="1" customWidth="1"/>
    <col min="16" max="16" width="10.42578125" bestFit="1" customWidth="1"/>
    <col min="17" max="17" width="11.5703125" bestFit="1" customWidth="1"/>
    <col min="18" max="18" width="10.140625" bestFit="1" customWidth="1"/>
    <col min="19" max="19" width="10.140625" customWidth="1"/>
    <col min="20" max="20" width="7.7109375" bestFit="1" customWidth="1"/>
    <col min="21" max="21" width="10.42578125" bestFit="1" customWidth="1"/>
    <col min="22" max="22" width="1.140625" customWidth="1"/>
    <col min="23" max="25" width="10.42578125" bestFit="1" customWidth="1"/>
    <col min="26" max="26" width="0.7109375" customWidth="1"/>
    <col min="27" max="27" width="36" customWidth="1"/>
    <col min="28" max="33" width="0" hidden="1" customWidth="1"/>
    <col min="34" max="16384" width="12.5703125" hidden="1"/>
  </cols>
  <sheetData>
    <row r="1" spans="1:27" s="8" customFormat="1" ht="59.25" x14ac:dyDescent="0.75">
      <c r="A1" s="6"/>
      <c r="B1" s="6"/>
      <c r="C1" s="7" t="s">
        <v>69</v>
      </c>
      <c r="D1" s="6"/>
      <c r="E1" s="6"/>
      <c r="F1" s="6"/>
      <c r="G1" s="6"/>
      <c r="H1" s="6"/>
      <c r="I1" s="6"/>
      <c r="J1" s="6"/>
      <c r="K1" s="6"/>
      <c r="L1" s="6"/>
      <c r="M1" s="75" t="s">
        <v>184</v>
      </c>
      <c r="N1" s="49">
        <f ca="1">TODAY()</f>
        <v>45834</v>
      </c>
      <c r="O1" s="50">
        <f>MONTH(B4)</f>
        <v>11</v>
      </c>
      <c r="P1" s="50">
        <f>YEAR(B4)</f>
        <v>2023</v>
      </c>
      <c r="Q1" s="49"/>
      <c r="R1" s="49"/>
      <c r="S1" s="49"/>
      <c r="T1" s="49"/>
      <c r="U1" s="36"/>
      <c r="V1" s="75" t="s">
        <v>185</v>
      </c>
      <c r="W1" s="36"/>
      <c r="X1" s="36"/>
      <c r="Y1" s="36"/>
      <c r="Z1" s="36"/>
      <c r="AA1" s="51" t="s">
        <v>73</v>
      </c>
    </row>
    <row r="2" spans="1:27" s="10" customFormat="1" ht="24" thickBot="1" x14ac:dyDescent="0.25">
      <c r="A2" s="43"/>
      <c r="B2" s="11" t="str">
        <f>_xlfn.CONCAT(_xlfn.XLOOKUP(O1,Referencia!$B$1:$B$13,Referencia!$A$1:$A$13)," ",P1)</f>
        <v>Novembro 2023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</row>
    <row r="3" spans="1:27" s="9" customFormat="1" ht="16.5" x14ac:dyDescent="0.35">
      <c r="A3" s="15" t="s">
        <v>74</v>
      </c>
      <c r="B3" s="13" t="s">
        <v>20</v>
      </c>
      <c r="C3" s="13" t="s">
        <v>75</v>
      </c>
      <c r="D3" s="13" t="s">
        <v>76</v>
      </c>
      <c r="E3" s="13" t="s">
        <v>77</v>
      </c>
      <c r="F3" s="13" t="s">
        <v>78</v>
      </c>
      <c r="G3" s="13" t="s">
        <v>79</v>
      </c>
      <c r="H3" s="13" t="s">
        <v>80</v>
      </c>
      <c r="I3" s="13" t="s">
        <v>81</v>
      </c>
      <c r="J3" s="13" t="s">
        <v>82</v>
      </c>
      <c r="K3" s="13" t="s">
        <v>40</v>
      </c>
      <c r="L3" s="13" t="s">
        <v>83</v>
      </c>
      <c r="M3" s="37"/>
      <c r="N3" s="13" t="s">
        <v>85</v>
      </c>
      <c r="O3" s="13" t="s">
        <v>155</v>
      </c>
      <c r="P3" s="13" t="s">
        <v>87</v>
      </c>
      <c r="Q3" s="13" t="s">
        <v>88</v>
      </c>
      <c r="R3" s="13" t="s">
        <v>89</v>
      </c>
      <c r="S3" s="13" t="s">
        <v>90</v>
      </c>
      <c r="T3" s="13" t="s">
        <v>91</v>
      </c>
      <c r="U3" s="13" t="s">
        <v>92</v>
      </c>
      <c r="V3" s="56"/>
      <c r="W3" s="13" t="s">
        <v>88</v>
      </c>
      <c r="X3" s="13" t="s">
        <v>91</v>
      </c>
      <c r="Y3" s="13" t="s">
        <v>92</v>
      </c>
      <c r="Z3" s="37"/>
      <c r="AA3" s="14" t="s">
        <v>73</v>
      </c>
    </row>
    <row r="4" spans="1:27" s="2" customFormat="1" x14ac:dyDescent="0.2">
      <c r="A4" s="16" t="str">
        <f t="shared" ref="A4:A33" si="0">TEXT(B4,"DDDD")</f>
        <v>quarta-feira</v>
      </c>
      <c r="B4" s="17">
        <v>45231</v>
      </c>
      <c r="C4" s="19">
        <f>D4+E4</f>
        <v>0</v>
      </c>
      <c r="D4" s="35">
        <f>_xlfn.XLOOKUP($B:$B,'Compilado 2023'!$B:$B,'Compilado 2023'!D:D)</f>
        <v>0</v>
      </c>
      <c r="E4" s="35">
        <f>_xlfn.XLOOKUP($B:$B,'Compilado 2023'!$B:$B,'Compilado 2023'!E:E)</f>
        <v>0</v>
      </c>
      <c r="F4" s="18">
        <f>_xlfn.XLOOKUP($B:$B,'Compilado 2023'!$B:$B,'Compilado 2023'!F:F)</f>
        <v>0</v>
      </c>
      <c r="G4" s="18">
        <f>_xlfn.XLOOKUP($B:$B,'Compilado 2023'!$B:$B,'Compilado 2023'!G:G)</f>
        <v>0</v>
      </c>
      <c r="H4" s="35">
        <f>IFERROR(C4/F4,0)</f>
        <v>0</v>
      </c>
      <c r="I4" s="19">
        <f ca="1">SUM(N4:U4)</f>
        <v>53.333333333333336</v>
      </c>
      <c r="J4" s="117">
        <f t="shared" ref="J4:J33" ca="1" si="1">IF(I4&gt;0,C4/I4,0)</f>
        <v>0</v>
      </c>
      <c r="K4" s="18">
        <f>_xlfn.XLOOKUP($B:$B,'Compilado 2023'!$B:$B,'Compilado 2023'!K:K)</f>
        <v>0</v>
      </c>
      <c r="L4" s="54">
        <f t="shared" ref="L4:L33" si="2">IFERROR(F4/K4,0)</f>
        <v>0</v>
      </c>
      <c r="M4" s="38"/>
      <c r="N4" s="106">
        <f>_xlfn.XLOOKUP($B:$B,'Compilado 2023'!$B:$B,'Compilado 2023'!N:N)</f>
        <v>0</v>
      </c>
      <c r="O4" s="106">
        <f>_xlfn.XLOOKUP($B:$B,'Compilado 2023'!$B:$B,'Compilado 2023'!O:O)</f>
        <v>0</v>
      </c>
      <c r="P4" s="106">
        <f>_xlfn.XLOOKUP($B:$B,'Compilado 2023'!$B:$B,'Compilado 2023'!P:P)</f>
        <v>0</v>
      </c>
      <c r="Q4" s="106">
        <f ca="1">_xlfn.XLOOKUP($B:$B,'Compilado 2023'!$B:$B,'Compilado 2023'!Q:Q)</f>
        <v>53.333333333333336</v>
      </c>
      <c r="R4" s="106">
        <f>_xlfn.XLOOKUP($B:$B,'Compilado 2023'!$B:$B,'Compilado 2023'!R:R)</f>
        <v>0</v>
      </c>
      <c r="S4" s="106">
        <f>_xlfn.XLOOKUP($B:$B,'Compilado 2023'!$B:$B,'Compilado 2023'!S:S)</f>
        <v>0</v>
      </c>
      <c r="T4" s="106">
        <f>_xlfn.XLOOKUP($B:$B,'Compilado 2023'!$B:$B,'Compilado 2023'!U:U)</f>
        <v>0</v>
      </c>
      <c r="U4" s="106">
        <f>_xlfn.XLOOKUP($B:$B,'Compilado 2023'!$B:$B,'Compilado 2023'!V:V)</f>
        <v>0</v>
      </c>
      <c r="V4" s="57"/>
      <c r="W4" s="106">
        <f>_xlfn.XLOOKUP($B:$B,'Compilado 2023'!$B:$B,'Compilado 2023'!X:X)</f>
        <v>0</v>
      </c>
      <c r="X4" s="106">
        <f>_xlfn.XLOOKUP($B:$B,'Compilado 2023'!$B:$B,'Compilado 2023'!Y:Y)</f>
        <v>0</v>
      </c>
      <c r="Y4" s="106">
        <f>_xlfn.XLOOKUP($B:$B,'Compilado 2023'!$B:$B,'Compilado 2023'!Z:Z)</f>
        <v>0</v>
      </c>
      <c r="Z4" s="38"/>
      <c r="AA4" s="107">
        <f>_xlfn.XLOOKUP($B:$B,'Compilado 2023'!$B:$B,'Compilado 2023'!AA:AA)</f>
        <v>0</v>
      </c>
    </row>
    <row r="5" spans="1:27" s="2" customFormat="1" x14ac:dyDescent="0.2">
      <c r="A5" s="16" t="str">
        <f t="shared" si="0"/>
        <v>quinta-feira</v>
      </c>
      <c r="B5" s="17">
        <f>B4+1</f>
        <v>45232</v>
      </c>
      <c r="C5" s="19">
        <f t="shared" ref="C5:C33" si="3">D5+E5</f>
        <v>0</v>
      </c>
      <c r="D5" s="35">
        <f>_xlfn.XLOOKUP($B:$B,'Compilado 2023'!$B:$B,'Compilado 2023'!D:D)</f>
        <v>0</v>
      </c>
      <c r="E5" s="35">
        <f>_xlfn.XLOOKUP($B:$B,'Compilado 2023'!$B:$B,'Compilado 2023'!E:E)</f>
        <v>0</v>
      </c>
      <c r="F5" s="18">
        <f>_xlfn.XLOOKUP($B:$B,'Compilado 2023'!$B:$B,'Compilado 2023'!F:F)</f>
        <v>0</v>
      </c>
      <c r="G5" s="18">
        <f>_xlfn.XLOOKUP($B:$B,'Compilado 2023'!$B:$B,'Compilado 2023'!G:G)</f>
        <v>0</v>
      </c>
      <c r="H5" s="35">
        <f t="shared" ref="H5:H33" si="4">IFERROR(C5/F5,0)</f>
        <v>0</v>
      </c>
      <c r="I5" s="19">
        <f t="shared" ref="I5:I33" ca="1" si="5">SUM(N5:U5)</f>
        <v>53.333333333333336</v>
      </c>
      <c r="J5" s="117">
        <f t="shared" ca="1" si="1"/>
        <v>0</v>
      </c>
      <c r="K5" s="18">
        <f>_xlfn.XLOOKUP($B:$B,'Compilado 2023'!$B:$B,'Compilado 2023'!K:K)</f>
        <v>0</v>
      </c>
      <c r="L5" s="54">
        <f t="shared" si="2"/>
        <v>0</v>
      </c>
      <c r="M5" s="38"/>
      <c r="N5" s="106">
        <f>_xlfn.XLOOKUP($B:$B,'Compilado 2023'!$B:$B,'Compilado 2023'!N:N)</f>
        <v>0</v>
      </c>
      <c r="O5" s="106">
        <f>_xlfn.XLOOKUP($B:$B,'Compilado 2023'!$B:$B,'Compilado 2023'!O:O)</f>
        <v>0</v>
      </c>
      <c r="P5" s="106">
        <f>_xlfn.XLOOKUP($B:$B,'Compilado 2023'!$B:$B,'Compilado 2023'!P:P)</f>
        <v>0</v>
      </c>
      <c r="Q5" s="106">
        <f ca="1">_xlfn.XLOOKUP($B:$B,'Compilado 2023'!$B:$B,'Compilado 2023'!Q:Q)</f>
        <v>53.333333333333336</v>
      </c>
      <c r="R5" s="106">
        <f>_xlfn.XLOOKUP($B:$B,'Compilado 2023'!$B:$B,'Compilado 2023'!R:R)</f>
        <v>0</v>
      </c>
      <c r="S5" s="106">
        <f>_xlfn.XLOOKUP($B:$B,'Compilado 2023'!$B:$B,'Compilado 2023'!S:S)</f>
        <v>0</v>
      </c>
      <c r="T5" s="106">
        <f>_xlfn.XLOOKUP($B:$B,'Compilado 2023'!$B:$B,'Compilado 2023'!U:U)</f>
        <v>0</v>
      </c>
      <c r="U5" s="106">
        <f>_xlfn.XLOOKUP($B:$B,'Compilado 2023'!$B:$B,'Compilado 2023'!V:V)</f>
        <v>0</v>
      </c>
      <c r="V5" s="57"/>
      <c r="W5" s="106">
        <f>_xlfn.XLOOKUP($B:$B,'Compilado 2023'!$B:$B,'Compilado 2023'!X:X)</f>
        <v>0</v>
      </c>
      <c r="X5" s="106">
        <f>_xlfn.XLOOKUP($B:$B,'Compilado 2023'!$B:$B,'Compilado 2023'!Y:Y)</f>
        <v>0</v>
      </c>
      <c r="Y5" s="106">
        <f>_xlfn.XLOOKUP($B:$B,'Compilado 2023'!$B:$B,'Compilado 2023'!Z:Z)</f>
        <v>0</v>
      </c>
      <c r="Z5" s="38"/>
      <c r="AA5" s="107">
        <f>_xlfn.XLOOKUP($B:$B,'Compilado 2023'!$B:$B,'Compilado 2023'!AA:AA)</f>
        <v>0</v>
      </c>
    </row>
    <row r="6" spans="1:27" x14ac:dyDescent="0.2">
      <c r="A6" s="16" t="str">
        <f t="shared" si="0"/>
        <v>sexta-feira</v>
      </c>
      <c r="B6" s="17">
        <f t="shared" ref="B6:B33" si="6">B5+1</f>
        <v>45233</v>
      </c>
      <c r="C6" s="19">
        <f t="shared" si="3"/>
        <v>0</v>
      </c>
      <c r="D6" s="35">
        <f>_xlfn.XLOOKUP($B:$B,'Compilado 2023'!$B:$B,'Compilado 2023'!D:D)</f>
        <v>0</v>
      </c>
      <c r="E6" s="35">
        <f>_xlfn.XLOOKUP($B:$B,'Compilado 2023'!$B:$B,'Compilado 2023'!E:E)</f>
        <v>0</v>
      </c>
      <c r="F6" s="18">
        <f>_xlfn.XLOOKUP($B:$B,'Compilado 2023'!$B:$B,'Compilado 2023'!F:F)</f>
        <v>0</v>
      </c>
      <c r="G6" s="18">
        <f>_xlfn.XLOOKUP($B:$B,'Compilado 2023'!$B:$B,'Compilado 2023'!G:G)</f>
        <v>0</v>
      </c>
      <c r="H6" s="35">
        <f t="shared" si="4"/>
        <v>0</v>
      </c>
      <c r="I6" s="19">
        <f t="shared" ca="1" si="5"/>
        <v>53.333333333333336</v>
      </c>
      <c r="J6" s="117">
        <f t="shared" ca="1" si="1"/>
        <v>0</v>
      </c>
      <c r="K6" s="18">
        <f>_xlfn.XLOOKUP($B:$B,'Compilado 2023'!$B:$B,'Compilado 2023'!K:K)</f>
        <v>0</v>
      </c>
      <c r="L6" s="54">
        <f t="shared" si="2"/>
        <v>0</v>
      </c>
      <c r="M6" s="38"/>
      <c r="N6" s="106">
        <f>_xlfn.XLOOKUP($B:$B,'Compilado 2023'!$B:$B,'Compilado 2023'!N:N)</f>
        <v>0</v>
      </c>
      <c r="O6" s="106">
        <f>_xlfn.XLOOKUP($B:$B,'Compilado 2023'!$B:$B,'Compilado 2023'!O:O)</f>
        <v>0</v>
      </c>
      <c r="P6" s="106">
        <f>_xlfn.XLOOKUP($B:$B,'Compilado 2023'!$B:$B,'Compilado 2023'!P:P)</f>
        <v>0</v>
      </c>
      <c r="Q6" s="106">
        <f ca="1">_xlfn.XLOOKUP($B:$B,'Compilado 2023'!$B:$B,'Compilado 2023'!Q:Q)</f>
        <v>53.333333333333336</v>
      </c>
      <c r="R6" s="106">
        <f>_xlfn.XLOOKUP($B:$B,'Compilado 2023'!$B:$B,'Compilado 2023'!R:R)</f>
        <v>0</v>
      </c>
      <c r="S6" s="106">
        <f>_xlfn.XLOOKUP($B:$B,'Compilado 2023'!$B:$B,'Compilado 2023'!S:S)</f>
        <v>0</v>
      </c>
      <c r="T6" s="106">
        <f>_xlfn.XLOOKUP($B:$B,'Compilado 2023'!$B:$B,'Compilado 2023'!U:U)</f>
        <v>0</v>
      </c>
      <c r="U6" s="106">
        <f>_xlfn.XLOOKUP($B:$B,'Compilado 2023'!$B:$B,'Compilado 2023'!V:V)</f>
        <v>0</v>
      </c>
      <c r="V6" s="57"/>
      <c r="W6" s="106">
        <f>_xlfn.XLOOKUP($B:$B,'Compilado 2023'!$B:$B,'Compilado 2023'!X:X)</f>
        <v>0</v>
      </c>
      <c r="X6" s="106">
        <f>_xlfn.XLOOKUP($B:$B,'Compilado 2023'!$B:$B,'Compilado 2023'!Y:Y)</f>
        <v>0</v>
      </c>
      <c r="Y6" s="106">
        <f>_xlfn.XLOOKUP($B:$B,'Compilado 2023'!$B:$B,'Compilado 2023'!Z:Z)</f>
        <v>0</v>
      </c>
      <c r="Z6" s="38"/>
      <c r="AA6" s="107">
        <f>_xlfn.XLOOKUP($B:$B,'Compilado 2023'!$B:$B,'Compilado 2023'!AA:AA)</f>
        <v>0</v>
      </c>
    </row>
    <row r="7" spans="1:27" x14ac:dyDescent="0.2">
      <c r="A7" s="16" t="str">
        <f t="shared" si="0"/>
        <v>sábado</v>
      </c>
      <c r="B7" s="17">
        <f t="shared" si="6"/>
        <v>45234</v>
      </c>
      <c r="C7" s="19">
        <f t="shared" si="3"/>
        <v>0</v>
      </c>
      <c r="D7" s="35">
        <f>_xlfn.XLOOKUP($B:$B,'Compilado 2023'!$B:$B,'Compilado 2023'!D:D)</f>
        <v>0</v>
      </c>
      <c r="E7" s="35">
        <f>_xlfn.XLOOKUP($B:$B,'Compilado 2023'!$B:$B,'Compilado 2023'!E:E)</f>
        <v>0</v>
      </c>
      <c r="F7" s="18">
        <f>_xlfn.XLOOKUP($B:$B,'Compilado 2023'!$B:$B,'Compilado 2023'!F:F)</f>
        <v>0</v>
      </c>
      <c r="G7" s="18">
        <f>_xlfn.XLOOKUP($B:$B,'Compilado 2023'!$B:$B,'Compilado 2023'!G:G)</f>
        <v>0</v>
      </c>
      <c r="H7" s="35">
        <f t="shared" si="4"/>
        <v>0</v>
      </c>
      <c r="I7" s="19">
        <f t="shared" ca="1" si="5"/>
        <v>53.333333333333336</v>
      </c>
      <c r="J7" s="117">
        <f t="shared" ca="1" si="1"/>
        <v>0</v>
      </c>
      <c r="K7" s="18">
        <f>_xlfn.XLOOKUP($B:$B,'Compilado 2023'!$B:$B,'Compilado 2023'!K:K)</f>
        <v>0</v>
      </c>
      <c r="L7" s="54">
        <f t="shared" si="2"/>
        <v>0</v>
      </c>
      <c r="M7" s="38"/>
      <c r="N7" s="106">
        <f>_xlfn.XLOOKUP($B:$B,'Compilado 2023'!$B:$B,'Compilado 2023'!N:N)</f>
        <v>0</v>
      </c>
      <c r="O7" s="106">
        <f>_xlfn.XLOOKUP($B:$B,'Compilado 2023'!$B:$B,'Compilado 2023'!O:O)</f>
        <v>0</v>
      </c>
      <c r="P7" s="106">
        <f>_xlfn.XLOOKUP($B:$B,'Compilado 2023'!$B:$B,'Compilado 2023'!P:P)</f>
        <v>0</v>
      </c>
      <c r="Q7" s="106">
        <f ca="1">_xlfn.XLOOKUP($B:$B,'Compilado 2023'!$B:$B,'Compilado 2023'!Q:Q)</f>
        <v>53.333333333333336</v>
      </c>
      <c r="R7" s="106">
        <f>_xlfn.XLOOKUP($B:$B,'Compilado 2023'!$B:$B,'Compilado 2023'!R:R)</f>
        <v>0</v>
      </c>
      <c r="S7" s="106">
        <f>_xlfn.XLOOKUP($B:$B,'Compilado 2023'!$B:$B,'Compilado 2023'!S:S)</f>
        <v>0</v>
      </c>
      <c r="T7" s="106">
        <f>_xlfn.XLOOKUP($B:$B,'Compilado 2023'!$B:$B,'Compilado 2023'!U:U)</f>
        <v>0</v>
      </c>
      <c r="U7" s="106">
        <f>_xlfn.XLOOKUP($B:$B,'Compilado 2023'!$B:$B,'Compilado 2023'!V:V)</f>
        <v>0</v>
      </c>
      <c r="V7" s="57"/>
      <c r="W7" s="106">
        <f>_xlfn.XLOOKUP($B:$B,'Compilado 2023'!$B:$B,'Compilado 2023'!X:X)</f>
        <v>0</v>
      </c>
      <c r="X7" s="106">
        <f>_xlfn.XLOOKUP($B:$B,'Compilado 2023'!$B:$B,'Compilado 2023'!Y:Y)</f>
        <v>0</v>
      </c>
      <c r="Y7" s="106">
        <f>_xlfn.XLOOKUP($B:$B,'Compilado 2023'!$B:$B,'Compilado 2023'!Z:Z)</f>
        <v>0</v>
      </c>
      <c r="Z7" s="38"/>
      <c r="AA7" s="107">
        <f>_xlfn.XLOOKUP($B:$B,'Compilado 2023'!$B:$B,'Compilado 2023'!AA:AA)</f>
        <v>0</v>
      </c>
    </row>
    <row r="8" spans="1:27" s="2" customFormat="1" x14ac:dyDescent="0.2">
      <c r="A8" s="16" t="str">
        <f t="shared" si="0"/>
        <v>domingo</v>
      </c>
      <c r="B8" s="17">
        <f t="shared" si="6"/>
        <v>45235</v>
      </c>
      <c r="C8" s="19">
        <f t="shared" si="3"/>
        <v>0</v>
      </c>
      <c r="D8" s="35">
        <f>_xlfn.XLOOKUP($B:$B,'Compilado 2023'!$B:$B,'Compilado 2023'!D:D)</f>
        <v>0</v>
      </c>
      <c r="E8" s="35">
        <f>_xlfn.XLOOKUP($B:$B,'Compilado 2023'!$B:$B,'Compilado 2023'!E:E)</f>
        <v>0</v>
      </c>
      <c r="F8" s="18">
        <f>_xlfn.XLOOKUP($B:$B,'Compilado 2023'!$B:$B,'Compilado 2023'!F:F)</f>
        <v>0</v>
      </c>
      <c r="G8" s="18">
        <f>_xlfn.XLOOKUP($B:$B,'Compilado 2023'!$B:$B,'Compilado 2023'!G:G)</f>
        <v>0</v>
      </c>
      <c r="H8" s="35">
        <f t="shared" si="4"/>
        <v>0</v>
      </c>
      <c r="I8" s="19">
        <f t="shared" ca="1" si="5"/>
        <v>53.333333333333336</v>
      </c>
      <c r="J8" s="117">
        <f t="shared" ca="1" si="1"/>
        <v>0</v>
      </c>
      <c r="K8" s="18">
        <f>_xlfn.XLOOKUP($B:$B,'Compilado 2023'!$B:$B,'Compilado 2023'!K:K)</f>
        <v>0</v>
      </c>
      <c r="L8" s="54">
        <f t="shared" si="2"/>
        <v>0</v>
      </c>
      <c r="M8" s="38"/>
      <c r="N8" s="106">
        <f>_xlfn.XLOOKUP($B:$B,'Compilado 2023'!$B:$B,'Compilado 2023'!N:N)</f>
        <v>0</v>
      </c>
      <c r="O8" s="106">
        <f>_xlfn.XLOOKUP($B:$B,'Compilado 2023'!$B:$B,'Compilado 2023'!O:O)</f>
        <v>0</v>
      </c>
      <c r="P8" s="106">
        <f>_xlfn.XLOOKUP($B:$B,'Compilado 2023'!$B:$B,'Compilado 2023'!P:P)</f>
        <v>0</v>
      </c>
      <c r="Q8" s="106">
        <f ca="1">_xlfn.XLOOKUP($B:$B,'Compilado 2023'!$B:$B,'Compilado 2023'!Q:Q)</f>
        <v>53.333333333333336</v>
      </c>
      <c r="R8" s="106">
        <f>_xlfn.XLOOKUP($B:$B,'Compilado 2023'!$B:$B,'Compilado 2023'!R:R)</f>
        <v>0</v>
      </c>
      <c r="S8" s="106">
        <f>_xlfn.XLOOKUP($B:$B,'Compilado 2023'!$B:$B,'Compilado 2023'!S:S)</f>
        <v>0</v>
      </c>
      <c r="T8" s="106">
        <f>_xlfn.XLOOKUP($B:$B,'Compilado 2023'!$B:$B,'Compilado 2023'!U:U)</f>
        <v>0</v>
      </c>
      <c r="U8" s="106">
        <f>_xlfn.XLOOKUP($B:$B,'Compilado 2023'!$B:$B,'Compilado 2023'!V:V)</f>
        <v>0</v>
      </c>
      <c r="V8" s="57"/>
      <c r="W8" s="106">
        <f>_xlfn.XLOOKUP($B:$B,'Compilado 2023'!$B:$B,'Compilado 2023'!X:X)</f>
        <v>0</v>
      </c>
      <c r="X8" s="106">
        <f>_xlfn.XLOOKUP($B:$B,'Compilado 2023'!$B:$B,'Compilado 2023'!Y:Y)</f>
        <v>0</v>
      </c>
      <c r="Y8" s="106">
        <f>_xlfn.XLOOKUP($B:$B,'Compilado 2023'!$B:$B,'Compilado 2023'!Z:Z)</f>
        <v>0</v>
      </c>
      <c r="Z8" s="38"/>
      <c r="AA8" s="107">
        <f>_xlfn.XLOOKUP($B:$B,'Compilado 2023'!$B:$B,'Compilado 2023'!AA:AA)</f>
        <v>0</v>
      </c>
    </row>
    <row r="9" spans="1:27" s="2" customFormat="1" x14ac:dyDescent="0.2">
      <c r="A9" s="16" t="str">
        <f t="shared" si="0"/>
        <v>segunda-feira</v>
      </c>
      <c r="B9" s="17">
        <f t="shared" si="6"/>
        <v>45236</v>
      </c>
      <c r="C9" s="19">
        <f t="shared" si="3"/>
        <v>0</v>
      </c>
      <c r="D9" s="35">
        <f>_xlfn.XLOOKUP($B:$B,'Compilado 2023'!$B:$B,'Compilado 2023'!D:D)</f>
        <v>0</v>
      </c>
      <c r="E9" s="35">
        <f>_xlfn.XLOOKUP($B:$B,'Compilado 2023'!$B:$B,'Compilado 2023'!E:E)</f>
        <v>0</v>
      </c>
      <c r="F9" s="18">
        <f>_xlfn.XLOOKUP($B:$B,'Compilado 2023'!$B:$B,'Compilado 2023'!F:F)</f>
        <v>0</v>
      </c>
      <c r="G9" s="18">
        <f>_xlfn.XLOOKUP($B:$B,'Compilado 2023'!$B:$B,'Compilado 2023'!G:G)</f>
        <v>0</v>
      </c>
      <c r="H9" s="35">
        <f t="shared" si="4"/>
        <v>0</v>
      </c>
      <c r="I9" s="19">
        <f t="shared" ca="1" si="5"/>
        <v>53.333333333333336</v>
      </c>
      <c r="J9" s="117">
        <f t="shared" ca="1" si="1"/>
        <v>0</v>
      </c>
      <c r="K9" s="18">
        <f>_xlfn.XLOOKUP($B:$B,'Compilado 2023'!$B:$B,'Compilado 2023'!K:K)</f>
        <v>0</v>
      </c>
      <c r="L9" s="54">
        <f t="shared" si="2"/>
        <v>0</v>
      </c>
      <c r="M9" s="38"/>
      <c r="N9" s="106">
        <f>_xlfn.XLOOKUP($B:$B,'Compilado 2023'!$B:$B,'Compilado 2023'!N:N)</f>
        <v>0</v>
      </c>
      <c r="O9" s="106">
        <f>_xlfn.XLOOKUP($B:$B,'Compilado 2023'!$B:$B,'Compilado 2023'!O:O)</f>
        <v>0</v>
      </c>
      <c r="P9" s="106">
        <f>_xlfn.XLOOKUP($B:$B,'Compilado 2023'!$B:$B,'Compilado 2023'!P:P)</f>
        <v>0</v>
      </c>
      <c r="Q9" s="106">
        <f ca="1">_xlfn.XLOOKUP($B:$B,'Compilado 2023'!$B:$B,'Compilado 2023'!Q:Q)</f>
        <v>53.333333333333336</v>
      </c>
      <c r="R9" s="106">
        <f>_xlfn.XLOOKUP($B:$B,'Compilado 2023'!$B:$B,'Compilado 2023'!R:R)</f>
        <v>0</v>
      </c>
      <c r="S9" s="106">
        <f>_xlfn.XLOOKUP($B:$B,'Compilado 2023'!$B:$B,'Compilado 2023'!S:S)</f>
        <v>0</v>
      </c>
      <c r="T9" s="106">
        <f>_xlfn.XLOOKUP($B:$B,'Compilado 2023'!$B:$B,'Compilado 2023'!U:U)</f>
        <v>0</v>
      </c>
      <c r="U9" s="106">
        <f>_xlfn.XLOOKUP($B:$B,'Compilado 2023'!$B:$B,'Compilado 2023'!V:V)</f>
        <v>0</v>
      </c>
      <c r="V9" s="57"/>
      <c r="W9" s="106">
        <f>_xlfn.XLOOKUP($B:$B,'Compilado 2023'!$B:$B,'Compilado 2023'!X:X)</f>
        <v>0</v>
      </c>
      <c r="X9" s="106">
        <f>_xlfn.XLOOKUP($B:$B,'Compilado 2023'!$B:$B,'Compilado 2023'!Y:Y)</f>
        <v>0</v>
      </c>
      <c r="Y9" s="106">
        <f>_xlfn.XLOOKUP($B:$B,'Compilado 2023'!$B:$B,'Compilado 2023'!Z:Z)</f>
        <v>0</v>
      </c>
      <c r="Z9" s="38"/>
      <c r="AA9" s="107">
        <f>_xlfn.XLOOKUP($B:$B,'Compilado 2023'!$B:$B,'Compilado 2023'!AA:AA)</f>
        <v>0</v>
      </c>
    </row>
    <row r="10" spans="1:27" s="2" customFormat="1" x14ac:dyDescent="0.2">
      <c r="A10" s="16" t="str">
        <f t="shared" si="0"/>
        <v>terça-feira</v>
      </c>
      <c r="B10" s="17">
        <f t="shared" si="6"/>
        <v>45237</v>
      </c>
      <c r="C10" s="19">
        <f t="shared" si="3"/>
        <v>0</v>
      </c>
      <c r="D10" s="35">
        <f>_xlfn.XLOOKUP($B:$B,'Compilado 2023'!$B:$B,'Compilado 2023'!D:D)</f>
        <v>0</v>
      </c>
      <c r="E10" s="35">
        <f>_xlfn.XLOOKUP($B:$B,'Compilado 2023'!$B:$B,'Compilado 2023'!E:E)</f>
        <v>0</v>
      </c>
      <c r="F10" s="18">
        <f>_xlfn.XLOOKUP($B:$B,'Compilado 2023'!$B:$B,'Compilado 2023'!F:F)</f>
        <v>0</v>
      </c>
      <c r="G10" s="18">
        <f>_xlfn.XLOOKUP($B:$B,'Compilado 2023'!$B:$B,'Compilado 2023'!G:G)</f>
        <v>0</v>
      </c>
      <c r="H10" s="35">
        <f t="shared" si="4"/>
        <v>0</v>
      </c>
      <c r="I10" s="19">
        <f t="shared" ca="1" si="5"/>
        <v>53.333333333333336</v>
      </c>
      <c r="J10" s="117">
        <f t="shared" ca="1" si="1"/>
        <v>0</v>
      </c>
      <c r="K10" s="18">
        <f>_xlfn.XLOOKUP($B:$B,'Compilado 2023'!$B:$B,'Compilado 2023'!K:K)</f>
        <v>0</v>
      </c>
      <c r="L10" s="54">
        <f t="shared" si="2"/>
        <v>0</v>
      </c>
      <c r="M10" s="38"/>
      <c r="N10" s="106">
        <f>_xlfn.XLOOKUP($B:$B,'Compilado 2023'!$B:$B,'Compilado 2023'!N:N)</f>
        <v>0</v>
      </c>
      <c r="O10" s="106">
        <f>_xlfn.XLOOKUP($B:$B,'Compilado 2023'!$B:$B,'Compilado 2023'!O:O)</f>
        <v>0</v>
      </c>
      <c r="P10" s="106">
        <f>_xlfn.XLOOKUP($B:$B,'Compilado 2023'!$B:$B,'Compilado 2023'!P:P)</f>
        <v>0</v>
      </c>
      <c r="Q10" s="106">
        <f ca="1">_xlfn.XLOOKUP($B:$B,'Compilado 2023'!$B:$B,'Compilado 2023'!Q:Q)</f>
        <v>53.333333333333336</v>
      </c>
      <c r="R10" s="106">
        <f>_xlfn.XLOOKUP($B:$B,'Compilado 2023'!$B:$B,'Compilado 2023'!R:R)</f>
        <v>0</v>
      </c>
      <c r="S10" s="106">
        <f>_xlfn.XLOOKUP($B:$B,'Compilado 2023'!$B:$B,'Compilado 2023'!S:S)</f>
        <v>0</v>
      </c>
      <c r="T10" s="106">
        <f>_xlfn.XLOOKUP($B:$B,'Compilado 2023'!$B:$B,'Compilado 2023'!U:U)</f>
        <v>0</v>
      </c>
      <c r="U10" s="106">
        <f>_xlfn.XLOOKUP($B:$B,'Compilado 2023'!$B:$B,'Compilado 2023'!V:V)</f>
        <v>0</v>
      </c>
      <c r="V10" s="57"/>
      <c r="W10" s="106">
        <f>_xlfn.XLOOKUP($B:$B,'Compilado 2023'!$B:$B,'Compilado 2023'!X:X)</f>
        <v>0</v>
      </c>
      <c r="X10" s="106">
        <f>_xlfn.XLOOKUP($B:$B,'Compilado 2023'!$B:$B,'Compilado 2023'!Y:Y)</f>
        <v>0</v>
      </c>
      <c r="Y10" s="106">
        <f>_xlfn.XLOOKUP($B:$B,'Compilado 2023'!$B:$B,'Compilado 2023'!Z:Z)</f>
        <v>0</v>
      </c>
      <c r="Z10" s="38"/>
      <c r="AA10" s="107">
        <f>_xlfn.XLOOKUP($B:$B,'Compilado 2023'!$B:$B,'Compilado 2023'!AA:AA)</f>
        <v>0</v>
      </c>
    </row>
    <row r="11" spans="1:27" s="2" customFormat="1" x14ac:dyDescent="0.2">
      <c r="A11" s="16" t="str">
        <f t="shared" si="0"/>
        <v>quarta-feira</v>
      </c>
      <c r="B11" s="17">
        <f t="shared" si="6"/>
        <v>45238</v>
      </c>
      <c r="C11" s="19">
        <f t="shared" si="3"/>
        <v>0</v>
      </c>
      <c r="D11" s="35">
        <f>_xlfn.XLOOKUP($B:$B,'Compilado 2023'!$B:$B,'Compilado 2023'!D:D)</f>
        <v>0</v>
      </c>
      <c r="E11" s="35">
        <f>_xlfn.XLOOKUP($B:$B,'Compilado 2023'!$B:$B,'Compilado 2023'!E:E)</f>
        <v>0</v>
      </c>
      <c r="F11" s="18">
        <f>_xlfn.XLOOKUP($B:$B,'Compilado 2023'!$B:$B,'Compilado 2023'!F:F)</f>
        <v>0</v>
      </c>
      <c r="G11" s="18">
        <f>_xlfn.XLOOKUP($B:$B,'Compilado 2023'!$B:$B,'Compilado 2023'!G:G)</f>
        <v>0</v>
      </c>
      <c r="H11" s="35">
        <f t="shared" si="4"/>
        <v>0</v>
      </c>
      <c r="I11" s="19">
        <f t="shared" ca="1" si="5"/>
        <v>53.333333333333336</v>
      </c>
      <c r="J11" s="117">
        <f t="shared" ca="1" si="1"/>
        <v>0</v>
      </c>
      <c r="K11" s="18">
        <f>_xlfn.XLOOKUP($B:$B,'Compilado 2023'!$B:$B,'Compilado 2023'!K:K)</f>
        <v>0</v>
      </c>
      <c r="L11" s="54">
        <f t="shared" si="2"/>
        <v>0</v>
      </c>
      <c r="M11" s="38"/>
      <c r="N11" s="106">
        <f>_xlfn.XLOOKUP($B:$B,'Compilado 2023'!$B:$B,'Compilado 2023'!N:N)</f>
        <v>0</v>
      </c>
      <c r="O11" s="106">
        <f>_xlfn.XLOOKUP($B:$B,'Compilado 2023'!$B:$B,'Compilado 2023'!O:O)</f>
        <v>0</v>
      </c>
      <c r="P11" s="106">
        <f>_xlfn.XLOOKUP($B:$B,'Compilado 2023'!$B:$B,'Compilado 2023'!P:P)</f>
        <v>0</v>
      </c>
      <c r="Q11" s="106">
        <f ca="1">_xlfn.XLOOKUP($B:$B,'Compilado 2023'!$B:$B,'Compilado 2023'!Q:Q)</f>
        <v>53.333333333333336</v>
      </c>
      <c r="R11" s="106">
        <f>_xlfn.XLOOKUP($B:$B,'Compilado 2023'!$B:$B,'Compilado 2023'!R:R)</f>
        <v>0</v>
      </c>
      <c r="S11" s="106">
        <f>_xlfn.XLOOKUP($B:$B,'Compilado 2023'!$B:$B,'Compilado 2023'!S:S)</f>
        <v>0</v>
      </c>
      <c r="T11" s="106">
        <f>_xlfn.XLOOKUP($B:$B,'Compilado 2023'!$B:$B,'Compilado 2023'!U:U)</f>
        <v>0</v>
      </c>
      <c r="U11" s="106">
        <f>_xlfn.XLOOKUP($B:$B,'Compilado 2023'!$B:$B,'Compilado 2023'!V:V)</f>
        <v>0</v>
      </c>
      <c r="V11" s="57"/>
      <c r="W11" s="106">
        <f>_xlfn.XLOOKUP($B:$B,'Compilado 2023'!$B:$B,'Compilado 2023'!X:X)</f>
        <v>0</v>
      </c>
      <c r="X11" s="106">
        <f>_xlfn.XLOOKUP($B:$B,'Compilado 2023'!$B:$B,'Compilado 2023'!Y:Y)</f>
        <v>0</v>
      </c>
      <c r="Y11" s="106">
        <f>_xlfn.XLOOKUP($B:$B,'Compilado 2023'!$B:$B,'Compilado 2023'!Z:Z)</f>
        <v>0</v>
      </c>
      <c r="Z11" s="38"/>
      <c r="AA11" s="107">
        <f>_xlfn.XLOOKUP($B:$B,'Compilado 2023'!$B:$B,'Compilado 2023'!AA:AA)</f>
        <v>0</v>
      </c>
    </row>
    <row r="12" spans="1:27" s="2" customFormat="1" x14ac:dyDescent="0.2">
      <c r="A12" s="16" t="str">
        <f t="shared" si="0"/>
        <v>quinta-feira</v>
      </c>
      <c r="B12" s="17">
        <f t="shared" si="6"/>
        <v>45239</v>
      </c>
      <c r="C12" s="19">
        <f t="shared" si="3"/>
        <v>0</v>
      </c>
      <c r="D12" s="35">
        <f>_xlfn.XLOOKUP($B:$B,'Compilado 2023'!$B:$B,'Compilado 2023'!D:D)</f>
        <v>0</v>
      </c>
      <c r="E12" s="35">
        <f>_xlfn.XLOOKUP($B:$B,'Compilado 2023'!$B:$B,'Compilado 2023'!E:E)</f>
        <v>0</v>
      </c>
      <c r="F12" s="18">
        <f>_xlfn.XLOOKUP($B:$B,'Compilado 2023'!$B:$B,'Compilado 2023'!F:F)</f>
        <v>0</v>
      </c>
      <c r="G12" s="18">
        <f>_xlfn.XLOOKUP($B:$B,'Compilado 2023'!$B:$B,'Compilado 2023'!G:G)</f>
        <v>0</v>
      </c>
      <c r="H12" s="35">
        <f t="shared" si="4"/>
        <v>0</v>
      </c>
      <c r="I12" s="19">
        <f t="shared" ca="1" si="5"/>
        <v>53.333333333333336</v>
      </c>
      <c r="J12" s="117">
        <f t="shared" ca="1" si="1"/>
        <v>0</v>
      </c>
      <c r="K12" s="18">
        <f>_xlfn.XLOOKUP($B:$B,'Compilado 2023'!$B:$B,'Compilado 2023'!K:K)</f>
        <v>0</v>
      </c>
      <c r="L12" s="54">
        <f t="shared" si="2"/>
        <v>0</v>
      </c>
      <c r="M12" s="38"/>
      <c r="N12" s="106">
        <f>_xlfn.XLOOKUP($B:$B,'Compilado 2023'!$B:$B,'Compilado 2023'!N:N)</f>
        <v>0</v>
      </c>
      <c r="O12" s="106">
        <f>_xlfn.XLOOKUP($B:$B,'Compilado 2023'!$B:$B,'Compilado 2023'!O:O)</f>
        <v>0</v>
      </c>
      <c r="P12" s="106">
        <f>_xlfn.XLOOKUP($B:$B,'Compilado 2023'!$B:$B,'Compilado 2023'!P:P)</f>
        <v>0</v>
      </c>
      <c r="Q12" s="106">
        <f ca="1">_xlfn.XLOOKUP($B:$B,'Compilado 2023'!$B:$B,'Compilado 2023'!Q:Q)</f>
        <v>53.333333333333336</v>
      </c>
      <c r="R12" s="106">
        <f>_xlfn.XLOOKUP($B:$B,'Compilado 2023'!$B:$B,'Compilado 2023'!R:R)</f>
        <v>0</v>
      </c>
      <c r="S12" s="106">
        <f>_xlfn.XLOOKUP($B:$B,'Compilado 2023'!$B:$B,'Compilado 2023'!S:S)</f>
        <v>0</v>
      </c>
      <c r="T12" s="106">
        <f>_xlfn.XLOOKUP($B:$B,'Compilado 2023'!$B:$B,'Compilado 2023'!U:U)</f>
        <v>0</v>
      </c>
      <c r="U12" s="106">
        <f>_xlfn.XLOOKUP($B:$B,'Compilado 2023'!$B:$B,'Compilado 2023'!V:V)</f>
        <v>0</v>
      </c>
      <c r="V12" s="57"/>
      <c r="W12" s="106">
        <f>_xlfn.XLOOKUP($B:$B,'Compilado 2023'!$B:$B,'Compilado 2023'!X:X)</f>
        <v>0</v>
      </c>
      <c r="X12" s="106">
        <f>_xlfn.XLOOKUP($B:$B,'Compilado 2023'!$B:$B,'Compilado 2023'!Y:Y)</f>
        <v>0</v>
      </c>
      <c r="Y12" s="106">
        <f>_xlfn.XLOOKUP($B:$B,'Compilado 2023'!$B:$B,'Compilado 2023'!Z:Z)</f>
        <v>0</v>
      </c>
      <c r="Z12" s="38"/>
      <c r="AA12" s="107">
        <f>_xlfn.XLOOKUP($B:$B,'Compilado 2023'!$B:$B,'Compilado 2023'!AA:AA)</f>
        <v>0</v>
      </c>
    </row>
    <row r="13" spans="1:27" x14ac:dyDescent="0.2">
      <c r="A13" s="16" t="str">
        <f t="shared" si="0"/>
        <v>sexta-feira</v>
      </c>
      <c r="B13" s="17">
        <f t="shared" si="6"/>
        <v>45240</v>
      </c>
      <c r="C13" s="19">
        <f t="shared" si="3"/>
        <v>0</v>
      </c>
      <c r="D13" s="35">
        <f>_xlfn.XLOOKUP($B:$B,'Compilado 2023'!$B:$B,'Compilado 2023'!D:D)</f>
        <v>0</v>
      </c>
      <c r="E13" s="35">
        <f>_xlfn.XLOOKUP($B:$B,'Compilado 2023'!$B:$B,'Compilado 2023'!E:E)</f>
        <v>0</v>
      </c>
      <c r="F13" s="18">
        <f>_xlfn.XLOOKUP($B:$B,'Compilado 2023'!$B:$B,'Compilado 2023'!F:F)</f>
        <v>0</v>
      </c>
      <c r="G13" s="18">
        <f>_xlfn.XLOOKUP($B:$B,'Compilado 2023'!$B:$B,'Compilado 2023'!G:G)</f>
        <v>0</v>
      </c>
      <c r="H13" s="35">
        <f t="shared" si="4"/>
        <v>0</v>
      </c>
      <c r="I13" s="19">
        <f t="shared" ca="1" si="5"/>
        <v>53.333333333333336</v>
      </c>
      <c r="J13" s="117">
        <f t="shared" ca="1" si="1"/>
        <v>0</v>
      </c>
      <c r="K13" s="18">
        <f>_xlfn.XLOOKUP($B:$B,'Compilado 2023'!$B:$B,'Compilado 2023'!K:K)</f>
        <v>0</v>
      </c>
      <c r="L13" s="54">
        <f t="shared" si="2"/>
        <v>0</v>
      </c>
      <c r="M13" s="38"/>
      <c r="N13" s="106">
        <f>_xlfn.XLOOKUP($B:$B,'Compilado 2023'!$B:$B,'Compilado 2023'!N:N)</f>
        <v>0</v>
      </c>
      <c r="O13" s="106">
        <f>_xlfn.XLOOKUP($B:$B,'Compilado 2023'!$B:$B,'Compilado 2023'!O:O)</f>
        <v>0</v>
      </c>
      <c r="P13" s="106">
        <f>_xlfn.XLOOKUP($B:$B,'Compilado 2023'!$B:$B,'Compilado 2023'!P:P)</f>
        <v>0</v>
      </c>
      <c r="Q13" s="106">
        <f ca="1">_xlfn.XLOOKUP($B:$B,'Compilado 2023'!$B:$B,'Compilado 2023'!Q:Q)</f>
        <v>53.333333333333336</v>
      </c>
      <c r="R13" s="106">
        <f>_xlfn.XLOOKUP($B:$B,'Compilado 2023'!$B:$B,'Compilado 2023'!R:R)</f>
        <v>0</v>
      </c>
      <c r="S13" s="106">
        <f>_xlfn.XLOOKUP($B:$B,'Compilado 2023'!$B:$B,'Compilado 2023'!S:S)</f>
        <v>0</v>
      </c>
      <c r="T13" s="106">
        <f>_xlfn.XLOOKUP($B:$B,'Compilado 2023'!$B:$B,'Compilado 2023'!U:U)</f>
        <v>0</v>
      </c>
      <c r="U13" s="106">
        <f>_xlfn.XLOOKUP($B:$B,'Compilado 2023'!$B:$B,'Compilado 2023'!V:V)</f>
        <v>0</v>
      </c>
      <c r="V13" s="57"/>
      <c r="W13" s="106">
        <f>_xlfn.XLOOKUP($B:$B,'Compilado 2023'!$B:$B,'Compilado 2023'!X:X)</f>
        <v>0</v>
      </c>
      <c r="X13" s="106">
        <f>_xlfn.XLOOKUP($B:$B,'Compilado 2023'!$B:$B,'Compilado 2023'!Y:Y)</f>
        <v>0</v>
      </c>
      <c r="Y13" s="106">
        <f>_xlfn.XLOOKUP($B:$B,'Compilado 2023'!$B:$B,'Compilado 2023'!Z:Z)</f>
        <v>0</v>
      </c>
      <c r="Z13" s="38"/>
      <c r="AA13" s="107">
        <f>_xlfn.XLOOKUP($B:$B,'Compilado 2023'!$B:$B,'Compilado 2023'!AA:AA)</f>
        <v>0</v>
      </c>
    </row>
    <row r="14" spans="1:27" x14ac:dyDescent="0.2">
      <c r="A14" s="16" t="str">
        <f t="shared" si="0"/>
        <v>sábado</v>
      </c>
      <c r="B14" s="17">
        <f t="shared" si="6"/>
        <v>45241</v>
      </c>
      <c r="C14" s="19">
        <f t="shared" si="3"/>
        <v>0</v>
      </c>
      <c r="D14" s="35">
        <f>_xlfn.XLOOKUP($B:$B,'Compilado 2023'!$B:$B,'Compilado 2023'!D:D)</f>
        <v>0</v>
      </c>
      <c r="E14" s="35">
        <f>_xlfn.XLOOKUP($B:$B,'Compilado 2023'!$B:$B,'Compilado 2023'!E:E)</f>
        <v>0</v>
      </c>
      <c r="F14" s="18">
        <f>_xlfn.XLOOKUP($B:$B,'Compilado 2023'!$B:$B,'Compilado 2023'!F:F)</f>
        <v>0</v>
      </c>
      <c r="G14" s="18">
        <f>_xlfn.XLOOKUP($B:$B,'Compilado 2023'!$B:$B,'Compilado 2023'!G:G)</f>
        <v>0</v>
      </c>
      <c r="H14" s="35">
        <f t="shared" si="4"/>
        <v>0</v>
      </c>
      <c r="I14" s="19">
        <f t="shared" ca="1" si="5"/>
        <v>53.333333333333336</v>
      </c>
      <c r="J14" s="117">
        <f t="shared" ca="1" si="1"/>
        <v>0</v>
      </c>
      <c r="K14" s="18">
        <f>_xlfn.XLOOKUP($B:$B,'Compilado 2023'!$B:$B,'Compilado 2023'!K:K)</f>
        <v>0</v>
      </c>
      <c r="L14" s="54">
        <f t="shared" si="2"/>
        <v>0</v>
      </c>
      <c r="M14" s="38"/>
      <c r="N14" s="106">
        <f>_xlfn.XLOOKUP($B:$B,'Compilado 2023'!$B:$B,'Compilado 2023'!N:N)</f>
        <v>0</v>
      </c>
      <c r="O14" s="106">
        <f>_xlfn.XLOOKUP($B:$B,'Compilado 2023'!$B:$B,'Compilado 2023'!O:O)</f>
        <v>0</v>
      </c>
      <c r="P14" s="106">
        <f>_xlfn.XLOOKUP($B:$B,'Compilado 2023'!$B:$B,'Compilado 2023'!P:P)</f>
        <v>0</v>
      </c>
      <c r="Q14" s="106">
        <f ca="1">_xlfn.XLOOKUP($B:$B,'Compilado 2023'!$B:$B,'Compilado 2023'!Q:Q)</f>
        <v>53.333333333333336</v>
      </c>
      <c r="R14" s="106">
        <f>_xlfn.XLOOKUP($B:$B,'Compilado 2023'!$B:$B,'Compilado 2023'!R:R)</f>
        <v>0</v>
      </c>
      <c r="S14" s="106">
        <f>_xlfn.XLOOKUP($B:$B,'Compilado 2023'!$B:$B,'Compilado 2023'!S:S)</f>
        <v>0</v>
      </c>
      <c r="T14" s="106">
        <f>_xlfn.XLOOKUP($B:$B,'Compilado 2023'!$B:$B,'Compilado 2023'!U:U)</f>
        <v>0</v>
      </c>
      <c r="U14" s="106">
        <f>_xlfn.XLOOKUP($B:$B,'Compilado 2023'!$B:$B,'Compilado 2023'!V:V)</f>
        <v>0</v>
      </c>
      <c r="V14" s="57"/>
      <c r="W14" s="106">
        <f>_xlfn.XLOOKUP($B:$B,'Compilado 2023'!$B:$B,'Compilado 2023'!X:X)</f>
        <v>0</v>
      </c>
      <c r="X14" s="106">
        <f>_xlfn.XLOOKUP($B:$B,'Compilado 2023'!$B:$B,'Compilado 2023'!Y:Y)</f>
        <v>0</v>
      </c>
      <c r="Y14" s="106">
        <f>_xlfn.XLOOKUP($B:$B,'Compilado 2023'!$B:$B,'Compilado 2023'!Z:Z)</f>
        <v>0</v>
      </c>
      <c r="Z14" s="38"/>
      <c r="AA14" s="107">
        <f>_xlfn.XLOOKUP($B:$B,'Compilado 2023'!$B:$B,'Compilado 2023'!AA:AA)</f>
        <v>0</v>
      </c>
    </row>
    <row r="15" spans="1:27" s="2" customFormat="1" x14ac:dyDescent="0.2">
      <c r="A15" s="16" t="str">
        <f t="shared" si="0"/>
        <v>domingo</v>
      </c>
      <c r="B15" s="17">
        <f t="shared" si="6"/>
        <v>45242</v>
      </c>
      <c r="C15" s="19">
        <f t="shared" si="3"/>
        <v>0</v>
      </c>
      <c r="D15" s="35">
        <f>_xlfn.XLOOKUP($B:$B,'Compilado 2023'!$B:$B,'Compilado 2023'!D:D)</f>
        <v>0</v>
      </c>
      <c r="E15" s="35">
        <f>_xlfn.XLOOKUP($B:$B,'Compilado 2023'!$B:$B,'Compilado 2023'!E:E)</f>
        <v>0</v>
      </c>
      <c r="F15" s="18">
        <f>_xlfn.XLOOKUP($B:$B,'Compilado 2023'!$B:$B,'Compilado 2023'!F:F)</f>
        <v>0</v>
      </c>
      <c r="G15" s="18">
        <f>_xlfn.XLOOKUP($B:$B,'Compilado 2023'!$B:$B,'Compilado 2023'!G:G)</f>
        <v>0</v>
      </c>
      <c r="H15" s="35">
        <f t="shared" si="4"/>
        <v>0</v>
      </c>
      <c r="I15" s="19">
        <f t="shared" ca="1" si="5"/>
        <v>53.333333333333336</v>
      </c>
      <c r="J15" s="117">
        <f t="shared" ca="1" si="1"/>
        <v>0</v>
      </c>
      <c r="K15" s="18">
        <f>_xlfn.XLOOKUP($B:$B,'Compilado 2023'!$B:$B,'Compilado 2023'!K:K)</f>
        <v>0</v>
      </c>
      <c r="L15" s="54">
        <f t="shared" si="2"/>
        <v>0</v>
      </c>
      <c r="M15" s="38"/>
      <c r="N15" s="106">
        <f>_xlfn.XLOOKUP($B:$B,'Compilado 2023'!$B:$B,'Compilado 2023'!N:N)</f>
        <v>0</v>
      </c>
      <c r="O15" s="106">
        <f>_xlfn.XLOOKUP($B:$B,'Compilado 2023'!$B:$B,'Compilado 2023'!O:O)</f>
        <v>0</v>
      </c>
      <c r="P15" s="106">
        <f>_xlfn.XLOOKUP($B:$B,'Compilado 2023'!$B:$B,'Compilado 2023'!P:P)</f>
        <v>0</v>
      </c>
      <c r="Q15" s="106">
        <f ca="1">_xlfn.XLOOKUP($B:$B,'Compilado 2023'!$B:$B,'Compilado 2023'!Q:Q)</f>
        <v>53.333333333333336</v>
      </c>
      <c r="R15" s="106">
        <f>_xlfn.XLOOKUP($B:$B,'Compilado 2023'!$B:$B,'Compilado 2023'!R:R)</f>
        <v>0</v>
      </c>
      <c r="S15" s="106">
        <f>_xlfn.XLOOKUP($B:$B,'Compilado 2023'!$B:$B,'Compilado 2023'!S:S)</f>
        <v>0</v>
      </c>
      <c r="T15" s="106">
        <f>_xlfn.XLOOKUP($B:$B,'Compilado 2023'!$B:$B,'Compilado 2023'!U:U)</f>
        <v>0</v>
      </c>
      <c r="U15" s="106">
        <f>_xlfn.XLOOKUP($B:$B,'Compilado 2023'!$B:$B,'Compilado 2023'!V:V)</f>
        <v>0</v>
      </c>
      <c r="V15" s="57"/>
      <c r="W15" s="106">
        <f>_xlfn.XLOOKUP($B:$B,'Compilado 2023'!$B:$B,'Compilado 2023'!X:X)</f>
        <v>0</v>
      </c>
      <c r="X15" s="106">
        <f>_xlfn.XLOOKUP($B:$B,'Compilado 2023'!$B:$B,'Compilado 2023'!Y:Y)</f>
        <v>0</v>
      </c>
      <c r="Y15" s="106">
        <f>_xlfn.XLOOKUP($B:$B,'Compilado 2023'!$B:$B,'Compilado 2023'!Z:Z)</f>
        <v>0</v>
      </c>
      <c r="Z15" s="38"/>
      <c r="AA15" s="107">
        <f>_xlfn.XLOOKUP($B:$B,'Compilado 2023'!$B:$B,'Compilado 2023'!AA:AA)</f>
        <v>0</v>
      </c>
    </row>
    <row r="16" spans="1:27" s="2" customFormat="1" x14ac:dyDescent="0.2">
      <c r="A16" s="16" t="str">
        <f t="shared" si="0"/>
        <v>segunda-feira</v>
      </c>
      <c r="B16" s="17">
        <f t="shared" si="6"/>
        <v>45243</v>
      </c>
      <c r="C16" s="19">
        <f t="shared" si="3"/>
        <v>0</v>
      </c>
      <c r="D16" s="35">
        <f>_xlfn.XLOOKUP($B:$B,'Compilado 2023'!$B:$B,'Compilado 2023'!D:D)</f>
        <v>0</v>
      </c>
      <c r="E16" s="35">
        <f>_xlfn.XLOOKUP($B:$B,'Compilado 2023'!$B:$B,'Compilado 2023'!E:E)</f>
        <v>0</v>
      </c>
      <c r="F16" s="18">
        <f>_xlfn.XLOOKUP($B:$B,'Compilado 2023'!$B:$B,'Compilado 2023'!F:F)</f>
        <v>0</v>
      </c>
      <c r="G16" s="18">
        <f>_xlfn.XLOOKUP($B:$B,'Compilado 2023'!$B:$B,'Compilado 2023'!G:G)</f>
        <v>0</v>
      </c>
      <c r="H16" s="35">
        <f t="shared" si="4"/>
        <v>0</v>
      </c>
      <c r="I16" s="19">
        <f t="shared" ca="1" si="5"/>
        <v>53.333333333333336</v>
      </c>
      <c r="J16" s="117">
        <f t="shared" ca="1" si="1"/>
        <v>0</v>
      </c>
      <c r="K16" s="18">
        <f>_xlfn.XLOOKUP($B:$B,'Compilado 2023'!$B:$B,'Compilado 2023'!K:K)</f>
        <v>0</v>
      </c>
      <c r="L16" s="54">
        <f t="shared" si="2"/>
        <v>0</v>
      </c>
      <c r="M16" s="38"/>
      <c r="N16" s="106">
        <f>_xlfn.XLOOKUP($B:$B,'Compilado 2023'!$B:$B,'Compilado 2023'!N:N)</f>
        <v>0</v>
      </c>
      <c r="O16" s="106">
        <f>_xlfn.XLOOKUP($B:$B,'Compilado 2023'!$B:$B,'Compilado 2023'!O:O)</f>
        <v>0</v>
      </c>
      <c r="P16" s="106">
        <f>_xlfn.XLOOKUP($B:$B,'Compilado 2023'!$B:$B,'Compilado 2023'!P:P)</f>
        <v>0</v>
      </c>
      <c r="Q16" s="106">
        <f ca="1">_xlfn.XLOOKUP($B:$B,'Compilado 2023'!$B:$B,'Compilado 2023'!Q:Q)</f>
        <v>53.333333333333336</v>
      </c>
      <c r="R16" s="106">
        <f>_xlfn.XLOOKUP($B:$B,'Compilado 2023'!$B:$B,'Compilado 2023'!R:R)</f>
        <v>0</v>
      </c>
      <c r="S16" s="106">
        <f>_xlfn.XLOOKUP($B:$B,'Compilado 2023'!$B:$B,'Compilado 2023'!S:S)</f>
        <v>0</v>
      </c>
      <c r="T16" s="106">
        <f>_xlfn.XLOOKUP($B:$B,'Compilado 2023'!$B:$B,'Compilado 2023'!U:U)</f>
        <v>0</v>
      </c>
      <c r="U16" s="106">
        <f>_xlfn.XLOOKUP($B:$B,'Compilado 2023'!$B:$B,'Compilado 2023'!V:V)</f>
        <v>0</v>
      </c>
      <c r="V16" s="57"/>
      <c r="W16" s="106">
        <f>_xlfn.XLOOKUP($B:$B,'Compilado 2023'!$B:$B,'Compilado 2023'!X:X)</f>
        <v>0</v>
      </c>
      <c r="X16" s="106">
        <f>_xlfn.XLOOKUP($B:$B,'Compilado 2023'!$B:$B,'Compilado 2023'!Y:Y)</f>
        <v>0</v>
      </c>
      <c r="Y16" s="106">
        <f>_xlfn.XLOOKUP($B:$B,'Compilado 2023'!$B:$B,'Compilado 2023'!Z:Z)</f>
        <v>0</v>
      </c>
      <c r="Z16" s="38"/>
      <c r="AA16" s="107">
        <f>_xlfn.XLOOKUP($B:$B,'Compilado 2023'!$B:$B,'Compilado 2023'!AA:AA)</f>
        <v>0</v>
      </c>
    </row>
    <row r="17" spans="1:27" s="2" customFormat="1" x14ac:dyDescent="0.2">
      <c r="A17" s="16" t="str">
        <f t="shared" si="0"/>
        <v>terça-feira</v>
      </c>
      <c r="B17" s="17">
        <f t="shared" si="6"/>
        <v>45244</v>
      </c>
      <c r="C17" s="19">
        <f t="shared" si="3"/>
        <v>0</v>
      </c>
      <c r="D17" s="35">
        <f>_xlfn.XLOOKUP($B:$B,'Compilado 2023'!$B:$B,'Compilado 2023'!D:D)</f>
        <v>0</v>
      </c>
      <c r="E17" s="35">
        <f>_xlfn.XLOOKUP($B:$B,'Compilado 2023'!$B:$B,'Compilado 2023'!E:E)</f>
        <v>0</v>
      </c>
      <c r="F17" s="18">
        <f>_xlfn.XLOOKUP($B:$B,'Compilado 2023'!$B:$B,'Compilado 2023'!F:F)</f>
        <v>0</v>
      </c>
      <c r="G17" s="18">
        <f>_xlfn.XLOOKUP($B:$B,'Compilado 2023'!$B:$B,'Compilado 2023'!G:G)</f>
        <v>0</v>
      </c>
      <c r="H17" s="35">
        <f t="shared" si="4"/>
        <v>0</v>
      </c>
      <c r="I17" s="19">
        <f t="shared" ca="1" si="5"/>
        <v>53.333333333333336</v>
      </c>
      <c r="J17" s="117">
        <f t="shared" ca="1" si="1"/>
        <v>0</v>
      </c>
      <c r="K17" s="18">
        <f>_xlfn.XLOOKUP($B:$B,'Compilado 2023'!$B:$B,'Compilado 2023'!K:K)</f>
        <v>0</v>
      </c>
      <c r="L17" s="54">
        <f t="shared" si="2"/>
        <v>0</v>
      </c>
      <c r="M17" s="38"/>
      <c r="N17" s="106">
        <f>_xlfn.XLOOKUP($B:$B,'Compilado 2023'!$B:$B,'Compilado 2023'!N:N)</f>
        <v>0</v>
      </c>
      <c r="O17" s="106">
        <f>_xlfn.XLOOKUP($B:$B,'Compilado 2023'!$B:$B,'Compilado 2023'!O:O)</f>
        <v>0</v>
      </c>
      <c r="P17" s="106">
        <f>_xlfn.XLOOKUP($B:$B,'Compilado 2023'!$B:$B,'Compilado 2023'!P:P)</f>
        <v>0</v>
      </c>
      <c r="Q17" s="106">
        <f ca="1">_xlfn.XLOOKUP($B:$B,'Compilado 2023'!$B:$B,'Compilado 2023'!Q:Q)</f>
        <v>53.333333333333336</v>
      </c>
      <c r="R17" s="106">
        <f>_xlfn.XLOOKUP($B:$B,'Compilado 2023'!$B:$B,'Compilado 2023'!R:R)</f>
        <v>0</v>
      </c>
      <c r="S17" s="106">
        <f>_xlfn.XLOOKUP($B:$B,'Compilado 2023'!$B:$B,'Compilado 2023'!S:S)</f>
        <v>0</v>
      </c>
      <c r="T17" s="106">
        <f>_xlfn.XLOOKUP($B:$B,'Compilado 2023'!$B:$B,'Compilado 2023'!U:U)</f>
        <v>0</v>
      </c>
      <c r="U17" s="106">
        <f>_xlfn.XLOOKUP($B:$B,'Compilado 2023'!$B:$B,'Compilado 2023'!V:V)</f>
        <v>0</v>
      </c>
      <c r="V17" s="57"/>
      <c r="W17" s="106">
        <f>_xlfn.XLOOKUP($B:$B,'Compilado 2023'!$B:$B,'Compilado 2023'!X:X)</f>
        <v>0</v>
      </c>
      <c r="X17" s="106">
        <f>_xlfn.XLOOKUP($B:$B,'Compilado 2023'!$B:$B,'Compilado 2023'!Y:Y)</f>
        <v>0</v>
      </c>
      <c r="Y17" s="106">
        <f>_xlfn.XLOOKUP($B:$B,'Compilado 2023'!$B:$B,'Compilado 2023'!Z:Z)</f>
        <v>0</v>
      </c>
      <c r="Z17" s="38"/>
      <c r="AA17" s="107">
        <f>_xlfn.XLOOKUP($B:$B,'Compilado 2023'!$B:$B,'Compilado 2023'!AA:AA)</f>
        <v>0</v>
      </c>
    </row>
    <row r="18" spans="1:27" s="2" customFormat="1" x14ac:dyDescent="0.2">
      <c r="A18" s="16" t="str">
        <f t="shared" si="0"/>
        <v>quarta-feira</v>
      </c>
      <c r="B18" s="17">
        <f t="shared" si="6"/>
        <v>45245</v>
      </c>
      <c r="C18" s="19">
        <f t="shared" si="3"/>
        <v>0</v>
      </c>
      <c r="D18" s="35">
        <f>_xlfn.XLOOKUP($B:$B,'Compilado 2023'!$B:$B,'Compilado 2023'!D:D)</f>
        <v>0</v>
      </c>
      <c r="E18" s="35">
        <f>_xlfn.XLOOKUP($B:$B,'Compilado 2023'!$B:$B,'Compilado 2023'!E:E)</f>
        <v>0</v>
      </c>
      <c r="F18" s="18">
        <f>_xlfn.XLOOKUP($B:$B,'Compilado 2023'!$B:$B,'Compilado 2023'!F:F)</f>
        <v>0</v>
      </c>
      <c r="G18" s="18">
        <f>_xlfn.XLOOKUP($B:$B,'Compilado 2023'!$B:$B,'Compilado 2023'!G:G)</f>
        <v>0</v>
      </c>
      <c r="H18" s="35">
        <f t="shared" si="4"/>
        <v>0</v>
      </c>
      <c r="I18" s="19">
        <f t="shared" ca="1" si="5"/>
        <v>53.333333333333336</v>
      </c>
      <c r="J18" s="117">
        <f t="shared" ca="1" si="1"/>
        <v>0</v>
      </c>
      <c r="K18" s="18">
        <f>_xlfn.XLOOKUP($B:$B,'Compilado 2023'!$B:$B,'Compilado 2023'!K:K)</f>
        <v>0</v>
      </c>
      <c r="L18" s="54">
        <f t="shared" si="2"/>
        <v>0</v>
      </c>
      <c r="M18" s="38"/>
      <c r="N18" s="106">
        <f>_xlfn.XLOOKUP($B:$B,'Compilado 2023'!$B:$B,'Compilado 2023'!N:N)</f>
        <v>0</v>
      </c>
      <c r="O18" s="106">
        <f>_xlfn.XLOOKUP($B:$B,'Compilado 2023'!$B:$B,'Compilado 2023'!O:O)</f>
        <v>0</v>
      </c>
      <c r="P18" s="106">
        <f>_xlfn.XLOOKUP($B:$B,'Compilado 2023'!$B:$B,'Compilado 2023'!P:P)</f>
        <v>0</v>
      </c>
      <c r="Q18" s="106">
        <f ca="1">_xlfn.XLOOKUP($B:$B,'Compilado 2023'!$B:$B,'Compilado 2023'!Q:Q)</f>
        <v>53.333333333333336</v>
      </c>
      <c r="R18" s="106">
        <f>_xlfn.XLOOKUP($B:$B,'Compilado 2023'!$B:$B,'Compilado 2023'!R:R)</f>
        <v>0</v>
      </c>
      <c r="S18" s="106">
        <f>_xlfn.XLOOKUP($B:$B,'Compilado 2023'!$B:$B,'Compilado 2023'!S:S)</f>
        <v>0</v>
      </c>
      <c r="T18" s="106">
        <f>_xlfn.XLOOKUP($B:$B,'Compilado 2023'!$B:$B,'Compilado 2023'!U:U)</f>
        <v>0</v>
      </c>
      <c r="U18" s="106">
        <f>_xlfn.XLOOKUP($B:$B,'Compilado 2023'!$B:$B,'Compilado 2023'!V:V)</f>
        <v>0</v>
      </c>
      <c r="V18" s="57"/>
      <c r="W18" s="106">
        <f>_xlfn.XLOOKUP($B:$B,'Compilado 2023'!$B:$B,'Compilado 2023'!X:X)</f>
        <v>0</v>
      </c>
      <c r="X18" s="106">
        <f>_xlfn.XLOOKUP($B:$B,'Compilado 2023'!$B:$B,'Compilado 2023'!Y:Y)</f>
        <v>0</v>
      </c>
      <c r="Y18" s="106">
        <f>_xlfn.XLOOKUP($B:$B,'Compilado 2023'!$B:$B,'Compilado 2023'!Z:Z)</f>
        <v>0</v>
      </c>
      <c r="Z18" s="38"/>
      <c r="AA18" s="107">
        <f>_xlfn.XLOOKUP($B:$B,'Compilado 2023'!$B:$B,'Compilado 2023'!AA:AA)</f>
        <v>0</v>
      </c>
    </row>
    <row r="19" spans="1:27" s="2" customFormat="1" x14ac:dyDescent="0.2">
      <c r="A19" s="16" t="str">
        <f t="shared" si="0"/>
        <v>quinta-feira</v>
      </c>
      <c r="B19" s="17">
        <f t="shared" si="6"/>
        <v>45246</v>
      </c>
      <c r="C19" s="19">
        <f t="shared" si="3"/>
        <v>0</v>
      </c>
      <c r="D19" s="35">
        <f>_xlfn.XLOOKUP($B:$B,'Compilado 2023'!$B:$B,'Compilado 2023'!D:D)</f>
        <v>0</v>
      </c>
      <c r="E19" s="35">
        <f>_xlfn.XLOOKUP($B:$B,'Compilado 2023'!$B:$B,'Compilado 2023'!E:E)</f>
        <v>0</v>
      </c>
      <c r="F19" s="18">
        <f>_xlfn.XLOOKUP($B:$B,'Compilado 2023'!$B:$B,'Compilado 2023'!F:F)</f>
        <v>0</v>
      </c>
      <c r="G19" s="18">
        <f>_xlfn.XLOOKUP($B:$B,'Compilado 2023'!$B:$B,'Compilado 2023'!G:G)</f>
        <v>0</v>
      </c>
      <c r="H19" s="35">
        <f t="shared" si="4"/>
        <v>0</v>
      </c>
      <c r="I19" s="19">
        <f t="shared" ca="1" si="5"/>
        <v>53.333333333333336</v>
      </c>
      <c r="J19" s="117">
        <f t="shared" ca="1" si="1"/>
        <v>0</v>
      </c>
      <c r="K19" s="18">
        <f>_xlfn.XLOOKUP($B:$B,'Compilado 2023'!$B:$B,'Compilado 2023'!K:K)</f>
        <v>0</v>
      </c>
      <c r="L19" s="54">
        <f t="shared" si="2"/>
        <v>0</v>
      </c>
      <c r="M19" s="38"/>
      <c r="N19" s="106">
        <f>_xlfn.XLOOKUP($B:$B,'Compilado 2023'!$B:$B,'Compilado 2023'!N:N)</f>
        <v>0</v>
      </c>
      <c r="O19" s="106">
        <f>_xlfn.XLOOKUP($B:$B,'Compilado 2023'!$B:$B,'Compilado 2023'!O:O)</f>
        <v>0</v>
      </c>
      <c r="P19" s="106">
        <f>_xlfn.XLOOKUP($B:$B,'Compilado 2023'!$B:$B,'Compilado 2023'!P:P)</f>
        <v>0</v>
      </c>
      <c r="Q19" s="106">
        <f ca="1">_xlfn.XLOOKUP($B:$B,'Compilado 2023'!$B:$B,'Compilado 2023'!Q:Q)</f>
        <v>53.333333333333336</v>
      </c>
      <c r="R19" s="106">
        <f>_xlfn.XLOOKUP($B:$B,'Compilado 2023'!$B:$B,'Compilado 2023'!R:R)</f>
        <v>0</v>
      </c>
      <c r="S19" s="106">
        <f>_xlfn.XLOOKUP($B:$B,'Compilado 2023'!$B:$B,'Compilado 2023'!S:S)</f>
        <v>0</v>
      </c>
      <c r="T19" s="106">
        <f>_xlfn.XLOOKUP($B:$B,'Compilado 2023'!$B:$B,'Compilado 2023'!U:U)</f>
        <v>0</v>
      </c>
      <c r="U19" s="106">
        <f>_xlfn.XLOOKUP($B:$B,'Compilado 2023'!$B:$B,'Compilado 2023'!V:V)</f>
        <v>0</v>
      </c>
      <c r="V19" s="57"/>
      <c r="W19" s="106">
        <f>_xlfn.XLOOKUP($B:$B,'Compilado 2023'!$B:$B,'Compilado 2023'!X:X)</f>
        <v>0</v>
      </c>
      <c r="X19" s="106">
        <f>_xlfn.XLOOKUP($B:$B,'Compilado 2023'!$B:$B,'Compilado 2023'!Y:Y)</f>
        <v>0</v>
      </c>
      <c r="Y19" s="106">
        <f>_xlfn.XLOOKUP($B:$B,'Compilado 2023'!$B:$B,'Compilado 2023'!Z:Z)</f>
        <v>0</v>
      </c>
      <c r="Z19" s="38"/>
      <c r="AA19" s="107">
        <f>_xlfn.XLOOKUP($B:$B,'Compilado 2023'!$B:$B,'Compilado 2023'!AA:AA)</f>
        <v>0</v>
      </c>
    </row>
    <row r="20" spans="1:27" x14ac:dyDescent="0.2">
      <c r="A20" s="16" t="str">
        <f t="shared" si="0"/>
        <v>sexta-feira</v>
      </c>
      <c r="B20" s="17">
        <f t="shared" si="6"/>
        <v>45247</v>
      </c>
      <c r="C20" s="19">
        <f t="shared" si="3"/>
        <v>0</v>
      </c>
      <c r="D20" s="35">
        <f>_xlfn.XLOOKUP($B:$B,'Compilado 2023'!$B:$B,'Compilado 2023'!D:D)</f>
        <v>0</v>
      </c>
      <c r="E20" s="35">
        <f>_xlfn.XLOOKUP($B:$B,'Compilado 2023'!$B:$B,'Compilado 2023'!E:E)</f>
        <v>0</v>
      </c>
      <c r="F20" s="18">
        <f>_xlfn.XLOOKUP($B:$B,'Compilado 2023'!$B:$B,'Compilado 2023'!F:F)</f>
        <v>0</v>
      </c>
      <c r="G20" s="18">
        <f>_xlfn.XLOOKUP($B:$B,'Compilado 2023'!$B:$B,'Compilado 2023'!G:G)</f>
        <v>0</v>
      </c>
      <c r="H20" s="35">
        <f t="shared" si="4"/>
        <v>0</v>
      </c>
      <c r="I20" s="19">
        <f t="shared" ca="1" si="5"/>
        <v>53.333333333333336</v>
      </c>
      <c r="J20" s="117">
        <f t="shared" ca="1" si="1"/>
        <v>0</v>
      </c>
      <c r="K20" s="18">
        <f>_xlfn.XLOOKUP($B:$B,'Compilado 2023'!$B:$B,'Compilado 2023'!K:K)</f>
        <v>0</v>
      </c>
      <c r="L20" s="54">
        <f t="shared" si="2"/>
        <v>0</v>
      </c>
      <c r="M20" s="38"/>
      <c r="N20" s="106">
        <f>_xlfn.XLOOKUP($B:$B,'Compilado 2023'!$B:$B,'Compilado 2023'!N:N)</f>
        <v>0</v>
      </c>
      <c r="O20" s="106">
        <f>_xlfn.XLOOKUP($B:$B,'Compilado 2023'!$B:$B,'Compilado 2023'!O:O)</f>
        <v>0</v>
      </c>
      <c r="P20" s="106">
        <f>_xlfn.XLOOKUP($B:$B,'Compilado 2023'!$B:$B,'Compilado 2023'!P:P)</f>
        <v>0</v>
      </c>
      <c r="Q20" s="106">
        <f ca="1">_xlfn.XLOOKUP($B:$B,'Compilado 2023'!$B:$B,'Compilado 2023'!Q:Q)</f>
        <v>53.333333333333336</v>
      </c>
      <c r="R20" s="106">
        <f>_xlfn.XLOOKUP($B:$B,'Compilado 2023'!$B:$B,'Compilado 2023'!R:R)</f>
        <v>0</v>
      </c>
      <c r="S20" s="106">
        <f>_xlfn.XLOOKUP($B:$B,'Compilado 2023'!$B:$B,'Compilado 2023'!S:S)</f>
        <v>0</v>
      </c>
      <c r="T20" s="106">
        <f>_xlfn.XLOOKUP($B:$B,'Compilado 2023'!$B:$B,'Compilado 2023'!U:U)</f>
        <v>0</v>
      </c>
      <c r="U20" s="106">
        <f>_xlfn.XLOOKUP($B:$B,'Compilado 2023'!$B:$B,'Compilado 2023'!V:V)</f>
        <v>0</v>
      </c>
      <c r="V20" s="57"/>
      <c r="W20" s="106">
        <f>_xlfn.XLOOKUP($B:$B,'Compilado 2023'!$B:$B,'Compilado 2023'!X:X)</f>
        <v>0</v>
      </c>
      <c r="X20" s="106">
        <f>_xlfn.XLOOKUP($B:$B,'Compilado 2023'!$B:$B,'Compilado 2023'!Y:Y)</f>
        <v>0</v>
      </c>
      <c r="Y20" s="106">
        <f>_xlfn.XLOOKUP($B:$B,'Compilado 2023'!$B:$B,'Compilado 2023'!Z:Z)</f>
        <v>0</v>
      </c>
      <c r="Z20" s="38"/>
      <c r="AA20" s="107">
        <f>_xlfn.XLOOKUP($B:$B,'Compilado 2023'!$B:$B,'Compilado 2023'!AA:AA)</f>
        <v>0</v>
      </c>
    </row>
    <row r="21" spans="1:27" x14ac:dyDescent="0.2">
      <c r="A21" s="16" t="str">
        <f t="shared" si="0"/>
        <v>sábado</v>
      </c>
      <c r="B21" s="17">
        <f t="shared" si="6"/>
        <v>45248</v>
      </c>
      <c r="C21" s="19">
        <f t="shared" si="3"/>
        <v>0</v>
      </c>
      <c r="D21" s="35">
        <f>_xlfn.XLOOKUP($B:$B,'Compilado 2023'!$B:$B,'Compilado 2023'!D:D)</f>
        <v>0</v>
      </c>
      <c r="E21" s="35">
        <f>_xlfn.XLOOKUP($B:$B,'Compilado 2023'!$B:$B,'Compilado 2023'!E:E)</f>
        <v>0</v>
      </c>
      <c r="F21" s="18">
        <f>_xlfn.XLOOKUP($B:$B,'Compilado 2023'!$B:$B,'Compilado 2023'!F:F)</f>
        <v>0</v>
      </c>
      <c r="G21" s="18">
        <f>_xlfn.XLOOKUP($B:$B,'Compilado 2023'!$B:$B,'Compilado 2023'!G:G)</f>
        <v>0</v>
      </c>
      <c r="H21" s="35">
        <f t="shared" si="4"/>
        <v>0</v>
      </c>
      <c r="I21" s="19">
        <f t="shared" ca="1" si="5"/>
        <v>53.333333333333336</v>
      </c>
      <c r="J21" s="117">
        <f t="shared" ca="1" si="1"/>
        <v>0</v>
      </c>
      <c r="K21" s="18">
        <f>_xlfn.XLOOKUP($B:$B,'Compilado 2023'!$B:$B,'Compilado 2023'!K:K)</f>
        <v>0</v>
      </c>
      <c r="L21" s="54">
        <f t="shared" si="2"/>
        <v>0</v>
      </c>
      <c r="M21" s="38"/>
      <c r="N21" s="106">
        <f>_xlfn.XLOOKUP($B:$B,'Compilado 2023'!$B:$B,'Compilado 2023'!N:N)</f>
        <v>0</v>
      </c>
      <c r="O21" s="106">
        <f>_xlfn.XLOOKUP($B:$B,'Compilado 2023'!$B:$B,'Compilado 2023'!O:O)</f>
        <v>0</v>
      </c>
      <c r="P21" s="106">
        <f>_xlfn.XLOOKUP($B:$B,'Compilado 2023'!$B:$B,'Compilado 2023'!P:P)</f>
        <v>0</v>
      </c>
      <c r="Q21" s="106">
        <f ca="1">_xlfn.XLOOKUP($B:$B,'Compilado 2023'!$B:$B,'Compilado 2023'!Q:Q)</f>
        <v>53.333333333333336</v>
      </c>
      <c r="R21" s="106">
        <f>_xlfn.XLOOKUP($B:$B,'Compilado 2023'!$B:$B,'Compilado 2023'!R:R)</f>
        <v>0</v>
      </c>
      <c r="S21" s="106">
        <f>_xlfn.XLOOKUP($B:$B,'Compilado 2023'!$B:$B,'Compilado 2023'!S:S)</f>
        <v>0</v>
      </c>
      <c r="T21" s="106">
        <f>_xlfn.XLOOKUP($B:$B,'Compilado 2023'!$B:$B,'Compilado 2023'!U:U)</f>
        <v>0</v>
      </c>
      <c r="U21" s="106">
        <f>_xlfn.XLOOKUP($B:$B,'Compilado 2023'!$B:$B,'Compilado 2023'!V:V)</f>
        <v>0</v>
      </c>
      <c r="V21" s="57"/>
      <c r="W21" s="106">
        <f>_xlfn.XLOOKUP($B:$B,'Compilado 2023'!$B:$B,'Compilado 2023'!X:X)</f>
        <v>0</v>
      </c>
      <c r="X21" s="106">
        <f>_xlfn.XLOOKUP($B:$B,'Compilado 2023'!$B:$B,'Compilado 2023'!Y:Y)</f>
        <v>0</v>
      </c>
      <c r="Y21" s="106">
        <f>_xlfn.XLOOKUP($B:$B,'Compilado 2023'!$B:$B,'Compilado 2023'!Z:Z)</f>
        <v>0</v>
      </c>
      <c r="Z21" s="38"/>
      <c r="AA21" s="107">
        <f>_xlfn.XLOOKUP($B:$B,'Compilado 2023'!$B:$B,'Compilado 2023'!AA:AA)</f>
        <v>0</v>
      </c>
    </row>
    <row r="22" spans="1:27" s="2" customFormat="1" x14ac:dyDescent="0.2">
      <c r="A22" s="16" t="str">
        <f t="shared" si="0"/>
        <v>domingo</v>
      </c>
      <c r="B22" s="17">
        <f t="shared" si="6"/>
        <v>45249</v>
      </c>
      <c r="C22" s="19">
        <f t="shared" si="3"/>
        <v>0</v>
      </c>
      <c r="D22" s="35">
        <f>_xlfn.XLOOKUP($B:$B,'Compilado 2023'!$B:$B,'Compilado 2023'!D:D)</f>
        <v>0</v>
      </c>
      <c r="E22" s="35">
        <f>_xlfn.XLOOKUP($B:$B,'Compilado 2023'!$B:$B,'Compilado 2023'!E:E)</f>
        <v>0</v>
      </c>
      <c r="F22" s="18">
        <f>_xlfn.XLOOKUP($B:$B,'Compilado 2023'!$B:$B,'Compilado 2023'!F:F)</f>
        <v>0</v>
      </c>
      <c r="G22" s="18">
        <f>_xlfn.XLOOKUP($B:$B,'Compilado 2023'!$B:$B,'Compilado 2023'!G:G)</f>
        <v>0</v>
      </c>
      <c r="H22" s="35">
        <f t="shared" si="4"/>
        <v>0</v>
      </c>
      <c r="I22" s="19">
        <f t="shared" ca="1" si="5"/>
        <v>53.333333333333336</v>
      </c>
      <c r="J22" s="117">
        <f t="shared" ca="1" si="1"/>
        <v>0</v>
      </c>
      <c r="K22" s="18">
        <f>_xlfn.XLOOKUP($B:$B,'Compilado 2023'!$B:$B,'Compilado 2023'!K:K)</f>
        <v>0</v>
      </c>
      <c r="L22" s="54">
        <f t="shared" si="2"/>
        <v>0</v>
      </c>
      <c r="M22" s="38"/>
      <c r="N22" s="106">
        <f>_xlfn.XLOOKUP($B:$B,'Compilado 2023'!$B:$B,'Compilado 2023'!N:N)</f>
        <v>0</v>
      </c>
      <c r="O22" s="106">
        <f>_xlfn.XLOOKUP($B:$B,'Compilado 2023'!$B:$B,'Compilado 2023'!O:O)</f>
        <v>0</v>
      </c>
      <c r="P22" s="106">
        <f>_xlfn.XLOOKUP($B:$B,'Compilado 2023'!$B:$B,'Compilado 2023'!P:P)</f>
        <v>0</v>
      </c>
      <c r="Q22" s="106">
        <f ca="1">_xlfn.XLOOKUP($B:$B,'Compilado 2023'!$B:$B,'Compilado 2023'!Q:Q)</f>
        <v>53.333333333333336</v>
      </c>
      <c r="R22" s="106">
        <f>_xlfn.XLOOKUP($B:$B,'Compilado 2023'!$B:$B,'Compilado 2023'!R:R)</f>
        <v>0</v>
      </c>
      <c r="S22" s="106">
        <f>_xlfn.XLOOKUP($B:$B,'Compilado 2023'!$B:$B,'Compilado 2023'!S:S)</f>
        <v>0</v>
      </c>
      <c r="T22" s="106">
        <f>_xlfn.XLOOKUP($B:$B,'Compilado 2023'!$B:$B,'Compilado 2023'!U:U)</f>
        <v>0</v>
      </c>
      <c r="U22" s="106">
        <f>_xlfn.XLOOKUP($B:$B,'Compilado 2023'!$B:$B,'Compilado 2023'!V:V)</f>
        <v>0</v>
      </c>
      <c r="V22" s="57"/>
      <c r="W22" s="106">
        <f>_xlfn.XLOOKUP($B:$B,'Compilado 2023'!$B:$B,'Compilado 2023'!X:X)</f>
        <v>0</v>
      </c>
      <c r="X22" s="106">
        <f>_xlfn.XLOOKUP($B:$B,'Compilado 2023'!$B:$B,'Compilado 2023'!Y:Y)</f>
        <v>0</v>
      </c>
      <c r="Y22" s="106">
        <f>_xlfn.XLOOKUP($B:$B,'Compilado 2023'!$B:$B,'Compilado 2023'!Z:Z)</f>
        <v>0</v>
      </c>
      <c r="Z22" s="38"/>
      <c r="AA22" s="107">
        <f>_xlfn.XLOOKUP($B:$B,'Compilado 2023'!$B:$B,'Compilado 2023'!AA:AA)</f>
        <v>0</v>
      </c>
    </row>
    <row r="23" spans="1:27" s="2" customFormat="1" x14ac:dyDescent="0.2">
      <c r="A23" s="16" t="str">
        <f t="shared" si="0"/>
        <v>segunda-feira</v>
      </c>
      <c r="B23" s="17">
        <f t="shared" si="6"/>
        <v>45250</v>
      </c>
      <c r="C23" s="19">
        <f t="shared" si="3"/>
        <v>0</v>
      </c>
      <c r="D23" s="35">
        <f>_xlfn.XLOOKUP($B:$B,'Compilado 2023'!$B:$B,'Compilado 2023'!D:D)</f>
        <v>0</v>
      </c>
      <c r="E23" s="35">
        <f>_xlfn.XLOOKUP($B:$B,'Compilado 2023'!$B:$B,'Compilado 2023'!E:E)</f>
        <v>0</v>
      </c>
      <c r="F23" s="18">
        <f>_xlfn.XLOOKUP($B:$B,'Compilado 2023'!$B:$B,'Compilado 2023'!F:F)</f>
        <v>0</v>
      </c>
      <c r="G23" s="18">
        <f>_xlfn.XLOOKUP($B:$B,'Compilado 2023'!$B:$B,'Compilado 2023'!G:G)</f>
        <v>0</v>
      </c>
      <c r="H23" s="35">
        <f t="shared" si="4"/>
        <v>0</v>
      </c>
      <c r="I23" s="19">
        <f t="shared" ca="1" si="5"/>
        <v>53.333333333333336</v>
      </c>
      <c r="J23" s="117">
        <f t="shared" ca="1" si="1"/>
        <v>0</v>
      </c>
      <c r="K23" s="18">
        <f>_xlfn.XLOOKUP($B:$B,'Compilado 2023'!$B:$B,'Compilado 2023'!K:K)</f>
        <v>0</v>
      </c>
      <c r="L23" s="54">
        <f t="shared" si="2"/>
        <v>0</v>
      </c>
      <c r="M23" s="38"/>
      <c r="N23" s="106">
        <f>_xlfn.XLOOKUP($B:$B,'Compilado 2023'!$B:$B,'Compilado 2023'!N:N)</f>
        <v>0</v>
      </c>
      <c r="O23" s="106">
        <f>_xlfn.XLOOKUP($B:$B,'Compilado 2023'!$B:$B,'Compilado 2023'!O:O)</f>
        <v>0</v>
      </c>
      <c r="P23" s="106">
        <f>_xlfn.XLOOKUP($B:$B,'Compilado 2023'!$B:$B,'Compilado 2023'!P:P)</f>
        <v>0</v>
      </c>
      <c r="Q23" s="106">
        <f ca="1">_xlfn.XLOOKUP($B:$B,'Compilado 2023'!$B:$B,'Compilado 2023'!Q:Q)</f>
        <v>53.333333333333336</v>
      </c>
      <c r="R23" s="106">
        <f>_xlfn.XLOOKUP($B:$B,'Compilado 2023'!$B:$B,'Compilado 2023'!R:R)</f>
        <v>0</v>
      </c>
      <c r="S23" s="106">
        <f>_xlfn.XLOOKUP($B:$B,'Compilado 2023'!$B:$B,'Compilado 2023'!S:S)</f>
        <v>0</v>
      </c>
      <c r="T23" s="106">
        <f>_xlfn.XLOOKUP($B:$B,'Compilado 2023'!$B:$B,'Compilado 2023'!U:U)</f>
        <v>0</v>
      </c>
      <c r="U23" s="106">
        <f>_xlfn.XLOOKUP($B:$B,'Compilado 2023'!$B:$B,'Compilado 2023'!V:V)</f>
        <v>0</v>
      </c>
      <c r="V23" s="57"/>
      <c r="W23" s="106">
        <f>_xlfn.XLOOKUP($B:$B,'Compilado 2023'!$B:$B,'Compilado 2023'!X:X)</f>
        <v>0</v>
      </c>
      <c r="X23" s="106">
        <f>_xlfn.XLOOKUP($B:$B,'Compilado 2023'!$B:$B,'Compilado 2023'!Y:Y)</f>
        <v>0</v>
      </c>
      <c r="Y23" s="106">
        <f>_xlfn.XLOOKUP($B:$B,'Compilado 2023'!$B:$B,'Compilado 2023'!Z:Z)</f>
        <v>0</v>
      </c>
      <c r="Z23" s="38"/>
      <c r="AA23" s="107">
        <f>_xlfn.XLOOKUP($B:$B,'Compilado 2023'!$B:$B,'Compilado 2023'!AA:AA)</f>
        <v>0</v>
      </c>
    </row>
    <row r="24" spans="1:27" s="2" customFormat="1" x14ac:dyDescent="0.2">
      <c r="A24" s="16" t="str">
        <f t="shared" si="0"/>
        <v>terça-feira</v>
      </c>
      <c r="B24" s="17">
        <f t="shared" si="6"/>
        <v>45251</v>
      </c>
      <c r="C24" s="19">
        <f t="shared" si="3"/>
        <v>0</v>
      </c>
      <c r="D24" s="35">
        <f>_xlfn.XLOOKUP($B:$B,'Compilado 2023'!$B:$B,'Compilado 2023'!D:D)</f>
        <v>0</v>
      </c>
      <c r="E24" s="35">
        <f>_xlfn.XLOOKUP($B:$B,'Compilado 2023'!$B:$B,'Compilado 2023'!E:E)</f>
        <v>0</v>
      </c>
      <c r="F24" s="18">
        <f>_xlfn.XLOOKUP($B:$B,'Compilado 2023'!$B:$B,'Compilado 2023'!F:F)</f>
        <v>0</v>
      </c>
      <c r="G24" s="18">
        <f>_xlfn.XLOOKUP($B:$B,'Compilado 2023'!$B:$B,'Compilado 2023'!G:G)</f>
        <v>0</v>
      </c>
      <c r="H24" s="35">
        <f t="shared" si="4"/>
        <v>0</v>
      </c>
      <c r="I24" s="19">
        <f t="shared" ca="1" si="5"/>
        <v>53.333333333333336</v>
      </c>
      <c r="J24" s="117">
        <f t="shared" ca="1" si="1"/>
        <v>0</v>
      </c>
      <c r="K24" s="18">
        <f>_xlfn.XLOOKUP($B:$B,'Compilado 2023'!$B:$B,'Compilado 2023'!K:K)</f>
        <v>0</v>
      </c>
      <c r="L24" s="54">
        <f t="shared" si="2"/>
        <v>0</v>
      </c>
      <c r="M24" s="38"/>
      <c r="N24" s="106">
        <f>_xlfn.XLOOKUP($B:$B,'Compilado 2023'!$B:$B,'Compilado 2023'!N:N)</f>
        <v>0</v>
      </c>
      <c r="O24" s="106">
        <f>_xlfn.XLOOKUP($B:$B,'Compilado 2023'!$B:$B,'Compilado 2023'!O:O)</f>
        <v>0</v>
      </c>
      <c r="P24" s="106">
        <f>_xlfn.XLOOKUP($B:$B,'Compilado 2023'!$B:$B,'Compilado 2023'!P:P)</f>
        <v>0</v>
      </c>
      <c r="Q24" s="106">
        <f ca="1">_xlfn.XLOOKUP($B:$B,'Compilado 2023'!$B:$B,'Compilado 2023'!Q:Q)</f>
        <v>53.333333333333336</v>
      </c>
      <c r="R24" s="106">
        <f>_xlfn.XLOOKUP($B:$B,'Compilado 2023'!$B:$B,'Compilado 2023'!R:R)</f>
        <v>0</v>
      </c>
      <c r="S24" s="106">
        <f>_xlfn.XLOOKUP($B:$B,'Compilado 2023'!$B:$B,'Compilado 2023'!S:S)</f>
        <v>0</v>
      </c>
      <c r="T24" s="106">
        <f>_xlfn.XLOOKUP($B:$B,'Compilado 2023'!$B:$B,'Compilado 2023'!U:U)</f>
        <v>0</v>
      </c>
      <c r="U24" s="106">
        <f>_xlfn.XLOOKUP($B:$B,'Compilado 2023'!$B:$B,'Compilado 2023'!V:V)</f>
        <v>0</v>
      </c>
      <c r="V24" s="57"/>
      <c r="W24" s="106">
        <f>_xlfn.XLOOKUP($B:$B,'Compilado 2023'!$B:$B,'Compilado 2023'!X:X)</f>
        <v>0</v>
      </c>
      <c r="X24" s="106">
        <f>_xlfn.XLOOKUP($B:$B,'Compilado 2023'!$B:$B,'Compilado 2023'!Y:Y)</f>
        <v>0</v>
      </c>
      <c r="Y24" s="106">
        <f>_xlfn.XLOOKUP($B:$B,'Compilado 2023'!$B:$B,'Compilado 2023'!Z:Z)</f>
        <v>0</v>
      </c>
      <c r="Z24" s="38"/>
      <c r="AA24" s="107">
        <f>_xlfn.XLOOKUP($B:$B,'Compilado 2023'!$B:$B,'Compilado 2023'!AA:AA)</f>
        <v>0</v>
      </c>
    </row>
    <row r="25" spans="1:27" s="2" customFormat="1" x14ac:dyDescent="0.2">
      <c r="A25" s="16" t="str">
        <f t="shared" si="0"/>
        <v>quarta-feira</v>
      </c>
      <c r="B25" s="17">
        <f t="shared" si="6"/>
        <v>45252</v>
      </c>
      <c r="C25" s="19">
        <f t="shared" si="3"/>
        <v>0</v>
      </c>
      <c r="D25" s="35">
        <f>_xlfn.XLOOKUP($B:$B,'Compilado 2023'!$B:$B,'Compilado 2023'!D:D)</f>
        <v>0</v>
      </c>
      <c r="E25" s="35">
        <f>_xlfn.XLOOKUP($B:$B,'Compilado 2023'!$B:$B,'Compilado 2023'!E:E)</f>
        <v>0</v>
      </c>
      <c r="F25" s="18">
        <f>_xlfn.XLOOKUP($B:$B,'Compilado 2023'!$B:$B,'Compilado 2023'!F:F)</f>
        <v>0</v>
      </c>
      <c r="G25" s="18">
        <f>_xlfn.XLOOKUP($B:$B,'Compilado 2023'!$B:$B,'Compilado 2023'!G:G)</f>
        <v>0</v>
      </c>
      <c r="H25" s="35">
        <f t="shared" si="4"/>
        <v>0</v>
      </c>
      <c r="I25" s="19">
        <f t="shared" ca="1" si="5"/>
        <v>53.333333333333336</v>
      </c>
      <c r="J25" s="117">
        <f t="shared" ca="1" si="1"/>
        <v>0</v>
      </c>
      <c r="K25" s="18">
        <f>_xlfn.XLOOKUP($B:$B,'Compilado 2023'!$B:$B,'Compilado 2023'!K:K)</f>
        <v>0</v>
      </c>
      <c r="L25" s="54">
        <f t="shared" si="2"/>
        <v>0</v>
      </c>
      <c r="M25" s="38"/>
      <c r="N25" s="106">
        <f>_xlfn.XLOOKUP($B:$B,'Compilado 2023'!$B:$B,'Compilado 2023'!N:N)</f>
        <v>0</v>
      </c>
      <c r="O25" s="106">
        <f>_xlfn.XLOOKUP($B:$B,'Compilado 2023'!$B:$B,'Compilado 2023'!O:O)</f>
        <v>0</v>
      </c>
      <c r="P25" s="106">
        <f>_xlfn.XLOOKUP($B:$B,'Compilado 2023'!$B:$B,'Compilado 2023'!P:P)</f>
        <v>0</v>
      </c>
      <c r="Q25" s="106">
        <f ca="1">_xlfn.XLOOKUP($B:$B,'Compilado 2023'!$B:$B,'Compilado 2023'!Q:Q)</f>
        <v>53.333333333333336</v>
      </c>
      <c r="R25" s="106">
        <f>_xlfn.XLOOKUP($B:$B,'Compilado 2023'!$B:$B,'Compilado 2023'!R:R)</f>
        <v>0</v>
      </c>
      <c r="S25" s="106">
        <f>_xlfn.XLOOKUP($B:$B,'Compilado 2023'!$B:$B,'Compilado 2023'!S:S)</f>
        <v>0</v>
      </c>
      <c r="T25" s="106">
        <f>_xlfn.XLOOKUP($B:$B,'Compilado 2023'!$B:$B,'Compilado 2023'!U:U)</f>
        <v>0</v>
      </c>
      <c r="U25" s="106">
        <f>_xlfn.XLOOKUP($B:$B,'Compilado 2023'!$B:$B,'Compilado 2023'!V:V)</f>
        <v>0</v>
      </c>
      <c r="V25" s="57"/>
      <c r="W25" s="106">
        <f>_xlfn.XLOOKUP($B:$B,'Compilado 2023'!$B:$B,'Compilado 2023'!X:X)</f>
        <v>0</v>
      </c>
      <c r="X25" s="106">
        <f>_xlfn.XLOOKUP($B:$B,'Compilado 2023'!$B:$B,'Compilado 2023'!Y:Y)</f>
        <v>0</v>
      </c>
      <c r="Y25" s="106">
        <f>_xlfn.XLOOKUP($B:$B,'Compilado 2023'!$B:$B,'Compilado 2023'!Z:Z)</f>
        <v>0</v>
      </c>
      <c r="Z25" s="38"/>
      <c r="AA25" s="107">
        <f>_xlfn.XLOOKUP($B:$B,'Compilado 2023'!$B:$B,'Compilado 2023'!AA:AA)</f>
        <v>0</v>
      </c>
    </row>
    <row r="26" spans="1:27" s="2" customFormat="1" x14ac:dyDescent="0.2">
      <c r="A26" s="16" t="str">
        <f t="shared" si="0"/>
        <v>quinta-feira</v>
      </c>
      <c r="B26" s="17">
        <f t="shared" si="6"/>
        <v>45253</v>
      </c>
      <c r="C26" s="19">
        <f t="shared" si="3"/>
        <v>0</v>
      </c>
      <c r="D26" s="35">
        <f>_xlfn.XLOOKUP($B:$B,'Compilado 2023'!$B:$B,'Compilado 2023'!D:D)</f>
        <v>0</v>
      </c>
      <c r="E26" s="35">
        <f>_xlfn.XLOOKUP($B:$B,'Compilado 2023'!$B:$B,'Compilado 2023'!E:E)</f>
        <v>0</v>
      </c>
      <c r="F26" s="18">
        <f>_xlfn.XLOOKUP($B:$B,'Compilado 2023'!$B:$B,'Compilado 2023'!F:F)</f>
        <v>0</v>
      </c>
      <c r="G26" s="18">
        <f>_xlfn.XLOOKUP($B:$B,'Compilado 2023'!$B:$B,'Compilado 2023'!G:G)</f>
        <v>0</v>
      </c>
      <c r="H26" s="35">
        <f t="shared" si="4"/>
        <v>0</v>
      </c>
      <c r="I26" s="19">
        <f t="shared" ca="1" si="5"/>
        <v>53.333333333333336</v>
      </c>
      <c r="J26" s="117">
        <f t="shared" ca="1" si="1"/>
        <v>0</v>
      </c>
      <c r="K26" s="18">
        <f>_xlfn.XLOOKUP($B:$B,'Compilado 2023'!$B:$B,'Compilado 2023'!K:K)</f>
        <v>0</v>
      </c>
      <c r="L26" s="54">
        <f t="shared" si="2"/>
        <v>0</v>
      </c>
      <c r="M26" s="38"/>
      <c r="N26" s="106">
        <f>_xlfn.XLOOKUP($B:$B,'Compilado 2023'!$B:$B,'Compilado 2023'!N:N)</f>
        <v>0</v>
      </c>
      <c r="O26" s="106">
        <f>_xlfn.XLOOKUP($B:$B,'Compilado 2023'!$B:$B,'Compilado 2023'!O:O)</f>
        <v>0</v>
      </c>
      <c r="P26" s="106">
        <f>_xlfn.XLOOKUP($B:$B,'Compilado 2023'!$B:$B,'Compilado 2023'!P:P)</f>
        <v>0</v>
      </c>
      <c r="Q26" s="106">
        <f ca="1">_xlfn.XLOOKUP($B:$B,'Compilado 2023'!$B:$B,'Compilado 2023'!Q:Q)</f>
        <v>53.333333333333336</v>
      </c>
      <c r="R26" s="106">
        <f>_xlfn.XLOOKUP($B:$B,'Compilado 2023'!$B:$B,'Compilado 2023'!R:R)</f>
        <v>0</v>
      </c>
      <c r="S26" s="106">
        <f>_xlfn.XLOOKUP($B:$B,'Compilado 2023'!$B:$B,'Compilado 2023'!S:S)</f>
        <v>0</v>
      </c>
      <c r="T26" s="106">
        <f>_xlfn.XLOOKUP($B:$B,'Compilado 2023'!$B:$B,'Compilado 2023'!U:U)</f>
        <v>0</v>
      </c>
      <c r="U26" s="106">
        <f>_xlfn.XLOOKUP($B:$B,'Compilado 2023'!$B:$B,'Compilado 2023'!V:V)</f>
        <v>0</v>
      </c>
      <c r="V26" s="57"/>
      <c r="W26" s="106">
        <f>_xlfn.XLOOKUP($B:$B,'Compilado 2023'!$B:$B,'Compilado 2023'!X:X)</f>
        <v>0</v>
      </c>
      <c r="X26" s="106">
        <f>_xlfn.XLOOKUP($B:$B,'Compilado 2023'!$B:$B,'Compilado 2023'!Y:Y)</f>
        <v>0</v>
      </c>
      <c r="Y26" s="106">
        <f>_xlfn.XLOOKUP($B:$B,'Compilado 2023'!$B:$B,'Compilado 2023'!Z:Z)</f>
        <v>0</v>
      </c>
      <c r="Z26" s="38"/>
      <c r="AA26" s="107">
        <f>_xlfn.XLOOKUP($B:$B,'Compilado 2023'!$B:$B,'Compilado 2023'!AA:AA)</f>
        <v>0</v>
      </c>
    </row>
    <row r="27" spans="1:27" x14ac:dyDescent="0.2">
      <c r="A27" s="16" t="str">
        <f t="shared" si="0"/>
        <v>sexta-feira</v>
      </c>
      <c r="B27" s="17">
        <f t="shared" si="6"/>
        <v>45254</v>
      </c>
      <c r="C27" s="19">
        <f t="shared" si="3"/>
        <v>0</v>
      </c>
      <c r="D27" s="35">
        <f>_xlfn.XLOOKUP($B:$B,'Compilado 2023'!$B:$B,'Compilado 2023'!D:D)</f>
        <v>0</v>
      </c>
      <c r="E27" s="35">
        <f>_xlfn.XLOOKUP($B:$B,'Compilado 2023'!$B:$B,'Compilado 2023'!E:E)</f>
        <v>0</v>
      </c>
      <c r="F27" s="18">
        <f>_xlfn.XLOOKUP($B:$B,'Compilado 2023'!$B:$B,'Compilado 2023'!F:F)</f>
        <v>0</v>
      </c>
      <c r="G27" s="18">
        <f>_xlfn.XLOOKUP($B:$B,'Compilado 2023'!$B:$B,'Compilado 2023'!G:G)</f>
        <v>0</v>
      </c>
      <c r="H27" s="35">
        <f t="shared" si="4"/>
        <v>0</v>
      </c>
      <c r="I27" s="19">
        <f t="shared" ca="1" si="5"/>
        <v>53.333333333333336</v>
      </c>
      <c r="J27" s="117">
        <f t="shared" ca="1" si="1"/>
        <v>0</v>
      </c>
      <c r="K27" s="18">
        <f>_xlfn.XLOOKUP($B:$B,'Compilado 2023'!$B:$B,'Compilado 2023'!K:K)</f>
        <v>0</v>
      </c>
      <c r="L27" s="54">
        <f t="shared" si="2"/>
        <v>0</v>
      </c>
      <c r="M27" s="38"/>
      <c r="N27" s="106">
        <f>_xlfn.XLOOKUP($B:$B,'Compilado 2023'!$B:$B,'Compilado 2023'!N:N)</f>
        <v>0</v>
      </c>
      <c r="O27" s="106">
        <f>_xlfn.XLOOKUP($B:$B,'Compilado 2023'!$B:$B,'Compilado 2023'!O:O)</f>
        <v>0</v>
      </c>
      <c r="P27" s="106">
        <f>_xlfn.XLOOKUP($B:$B,'Compilado 2023'!$B:$B,'Compilado 2023'!P:P)</f>
        <v>0</v>
      </c>
      <c r="Q27" s="106">
        <f ca="1">_xlfn.XLOOKUP($B:$B,'Compilado 2023'!$B:$B,'Compilado 2023'!Q:Q)</f>
        <v>53.333333333333336</v>
      </c>
      <c r="R27" s="106">
        <f>_xlfn.XLOOKUP($B:$B,'Compilado 2023'!$B:$B,'Compilado 2023'!R:R)</f>
        <v>0</v>
      </c>
      <c r="S27" s="106">
        <f>_xlfn.XLOOKUP($B:$B,'Compilado 2023'!$B:$B,'Compilado 2023'!S:S)</f>
        <v>0</v>
      </c>
      <c r="T27" s="106">
        <f>_xlfn.XLOOKUP($B:$B,'Compilado 2023'!$B:$B,'Compilado 2023'!U:U)</f>
        <v>0</v>
      </c>
      <c r="U27" s="106">
        <f>_xlfn.XLOOKUP($B:$B,'Compilado 2023'!$B:$B,'Compilado 2023'!V:V)</f>
        <v>0</v>
      </c>
      <c r="V27" s="57"/>
      <c r="W27" s="106">
        <f>_xlfn.XLOOKUP($B:$B,'Compilado 2023'!$B:$B,'Compilado 2023'!X:X)</f>
        <v>0</v>
      </c>
      <c r="X27" s="106">
        <f>_xlfn.XLOOKUP($B:$B,'Compilado 2023'!$B:$B,'Compilado 2023'!Y:Y)</f>
        <v>0</v>
      </c>
      <c r="Y27" s="106">
        <f>_xlfn.XLOOKUP($B:$B,'Compilado 2023'!$B:$B,'Compilado 2023'!Z:Z)</f>
        <v>0</v>
      </c>
      <c r="Z27" s="38"/>
      <c r="AA27" s="107">
        <f>_xlfn.XLOOKUP($B:$B,'Compilado 2023'!$B:$B,'Compilado 2023'!AA:AA)</f>
        <v>0</v>
      </c>
    </row>
    <row r="28" spans="1:27" x14ac:dyDescent="0.2">
      <c r="A28" s="16" t="str">
        <f t="shared" si="0"/>
        <v>sábado</v>
      </c>
      <c r="B28" s="17">
        <f t="shared" si="6"/>
        <v>45255</v>
      </c>
      <c r="C28" s="19">
        <f t="shared" si="3"/>
        <v>0</v>
      </c>
      <c r="D28" s="35">
        <f>_xlfn.XLOOKUP($B:$B,'Compilado 2023'!$B:$B,'Compilado 2023'!D:D)</f>
        <v>0</v>
      </c>
      <c r="E28" s="35">
        <f>_xlfn.XLOOKUP($B:$B,'Compilado 2023'!$B:$B,'Compilado 2023'!E:E)</f>
        <v>0</v>
      </c>
      <c r="F28" s="18">
        <f>_xlfn.XLOOKUP($B:$B,'Compilado 2023'!$B:$B,'Compilado 2023'!F:F)</f>
        <v>0</v>
      </c>
      <c r="G28" s="18">
        <f>_xlfn.XLOOKUP($B:$B,'Compilado 2023'!$B:$B,'Compilado 2023'!G:G)</f>
        <v>0</v>
      </c>
      <c r="H28" s="35">
        <f t="shared" si="4"/>
        <v>0</v>
      </c>
      <c r="I28" s="19">
        <f t="shared" ca="1" si="5"/>
        <v>53.333333333333336</v>
      </c>
      <c r="J28" s="117">
        <f t="shared" ca="1" si="1"/>
        <v>0</v>
      </c>
      <c r="K28" s="18">
        <f>_xlfn.XLOOKUP($B:$B,'Compilado 2023'!$B:$B,'Compilado 2023'!K:K)</f>
        <v>0</v>
      </c>
      <c r="L28" s="54">
        <f t="shared" si="2"/>
        <v>0</v>
      </c>
      <c r="M28" s="38"/>
      <c r="N28" s="106">
        <f>_xlfn.XLOOKUP($B:$B,'Compilado 2023'!$B:$B,'Compilado 2023'!N:N)</f>
        <v>0</v>
      </c>
      <c r="O28" s="106">
        <f>_xlfn.XLOOKUP($B:$B,'Compilado 2023'!$B:$B,'Compilado 2023'!O:O)</f>
        <v>0</v>
      </c>
      <c r="P28" s="106">
        <f>_xlfn.XLOOKUP($B:$B,'Compilado 2023'!$B:$B,'Compilado 2023'!P:P)</f>
        <v>0</v>
      </c>
      <c r="Q28" s="106">
        <f ca="1">_xlfn.XLOOKUP($B:$B,'Compilado 2023'!$B:$B,'Compilado 2023'!Q:Q)</f>
        <v>53.333333333333336</v>
      </c>
      <c r="R28" s="106">
        <f>_xlfn.XLOOKUP($B:$B,'Compilado 2023'!$B:$B,'Compilado 2023'!R:R)</f>
        <v>0</v>
      </c>
      <c r="S28" s="106">
        <f>_xlfn.XLOOKUP($B:$B,'Compilado 2023'!$B:$B,'Compilado 2023'!S:S)</f>
        <v>0</v>
      </c>
      <c r="T28" s="106">
        <f>_xlfn.XLOOKUP($B:$B,'Compilado 2023'!$B:$B,'Compilado 2023'!U:U)</f>
        <v>0</v>
      </c>
      <c r="U28" s="106">
        <f>_xlfn.XLOOKUP($B:$B,'Compilado 2023'!$B:$B,'Compilado 2023'!V:V)</f>
        <v>0</v>
      </c>
      <c r="V28" s="57"/>
      <c r="W28" s="106">
        <f>_xlfn.XLOOKUP($B:$B,'Compilado 2023'!$B:$B,'Compilado 2023'!X:X)</f>
        <v>0</v>
      </c>
      <c r="X28" s="106">
        <f>_xlfn.XLOOKUP($B:$B,'Compilado 2023'!$B:$B,'Compilado 2023'!Y:Y)</f>
        <v>0</v>
      </c>
      <c r="Y28" s="106">
        <f>_xlfn.XLOOKUP($B:$B,'Compilado 2023'!$B:$B,'Compilado 2023'!Z:Z)</f>
        <v>0</v>
      </c>
      <c r="Z28" s="38"/>
      <c r="AA28" s="107">
        <f>_xlfn.XLOOKUP($B:$B,'Compilado 2023'!$B:$B,'Compilado 2023'!AA:AA)</f>
        <v>0</v>
      </c>
    </row>
    <row r="29" spans="1:27" s="2" customFormat="1" x14ac:dyDescent="0.2">
      <c r="A29" s="16" t="str">
        <f t="shared" si="0"/>
        <v>domingo</v>
      </c>
      <c r="B29" s="17">
        <f t="shared" si="6"/>
        <v>45256</v>
      </c>
      <c r="C29" s="19">
        <f t="shared" si="3"/>
        <v>0</v>
      </c>
      <c r="D29" s="35">
        <f>_xlfn.XLOOKUP($B:$B,'Compilado 2023'!$B:$B,'Compilado 2023'!D:D)</f>
        <v>0</v>
      </c>
      <c r="E29" s="35">
        <f>_xlfn.XLOOKUP($B:$B,'Compilado 2023'!$B:$B,'Compilado 2023'!E:E)</f>
        <v>0</v>
      </c>
      <c r="F29" s="18">
        <f>_xlfn.XLOOKUP($B:$B,'Compilado 2023'!$B:$B,'Compilado 2023'!F:F)</f>
        <v>0</v>
      </c>
      <c r="G29" s="18">
        <f>_xlfn.XLOOKUP($B:$B,'Compilado 2023'!$B:$B,'Compilado 2023'!G:G)</f>
        <v>0</v>
      </c>
      <c r="H29" s="35">
        <f t="shared" si="4"/>
        <v>0</v>
      </c>
      <c r="I29" s="19">
        <f t="shared" ca="1" si="5"/>
        <v>53.333333333333336</v>
      </c>
      <c r="J29" s="117">
        <f t="shared" ca="1" si="1"/>
        <v>0</v>
      </c>
      <c r="K29" s="18">
        <f>_xlfn.XLOOKUP($B:$B,'Compilado 2023'!$B:$B,'Compilado 2023'!K:K)</f>
        <v>0</v>
      </c>
      <c r="L29" s="54">
        <f t="shared" si="2"/>
        <v>0</v>
      </c>
      <c r="M29" s="38"/>
      <c r="N29" s="106">
        <f>_xlfn.XLOOKUP($B:$B,'Compilado 2023'!$B:$B,'Compilado 2023'!N:N)</f>
        <v>0</v>
      </c>
      <c r="O29" s="106">
        <f>_xlfn.XLOOKUP($B:$B,'Compilado 2023'!$B:$B,'Compilado 2023'!O:O)</f>
        <v>0</v>
      </c>
      <c r="P29" s="106">
        <f>_xlfn.XLOOKUP($B:$B,'Compilado 2023'!$B:$B,'Compilado 2023'!P:P)</f>
        <v>0</v>
      </c>
      <c r="Q29" s="106">
        <f ca="1">_xlfn.XLOOKUP($B:$B,'Compilado 2023'!$B:$B,'Compilado 2023'!Q:Q)</f>
        <v>53.333333333333336</v>
      </c>
      <c r="R29" s="106">
        <f>_xlfn.XLOOKUP($B:$B,'Compilado 2023'!$B:$B,'Compilado 2023'!R:R)</f>
        <v>0</v>
      </c>
      <c r="S29" s="106">
        <f>_xlfn.XLOOKUP($B:$B,'Compilado 2023'!$B:$B,'Compilado 2023'!S:S)</f>
        <v>0</v>
      </c>
      <c r="T29" s="106">
        <f>_xlfn.XLOOKUP($B:$B,'Compilado 2023'!$B:$B,'Compilado 2023'!U:U)</f>
        <v>0</v>
      </c>
      <c r="U29" s="106">
        <f>_xlfn.XLOOKUP($B:$B,'Compilado 2023'!$B:$B,'Compilado 2023'!V:V)</f>
        <v>0</v>
      </c>
      <c r="V29" s="57"/>
      <c r="W29" s="106">
        <f>_xlfn.XLOOKUP($B:$B,'Compilado 2023'!$B:$B,'Compilado 2023'!X:X)</f>
        <v>0</v>
      </c>
      <c r="X29" s="106">
        <f>_xlfn.XLOOKUP($B:$B,'Compilado 2023'!$B:$B,'Compilado 2023'!Y:Y)</f>
        <v>0</v>
      </c>
      <c r="Y29" s="106">
        <f>_xlfn.XLOOKUP($B:$B,'Compilado 2023'!$B:$B,'Compilado 2023'!Z:Z)</f>
        <v>0</v>
      </c>
      <c r="Z29" s="38"/>
      <c r="AA29" s="107">
        <f>_xlfn.XLOOKUP($B:$B,'Compilado 2023'!$B:$B,'Compilado 2023'!AA:AA)</f>
        <v>0</v>
      </c>
    </row>
    <row r="30" spans="1:27" s="2" customFormat="1" x14ac:dyDescent="0.2">
      <c r="A30" s="16" t="str">
        <f t="shared" si="0"/>
        <v>segunda-feira</v>
      </c>
      <c r="B30" s="17">
        <f t="shared" si="6"/>
        <v>45257</v>
      </c>
      <c r="C30" s="19">
        <f t="shared" si="3"/>
        <v>0</v>
      </c>
      <c r="D30" s="35">
        <f>_xlfn.XLOOKUP($B:$B,'Compilado 2023'!$B:$B,'Compilado 2023'!D:D)</f>
        <v>0</v>
      </c>
      <c r="E30" s="35">
        <f>_xlfn.XLOOKUP($B:$B,'Compilado 2023'!$B:$B,'Compilado 2023'!E:E)</f>
        <v>0</v>
      </c>
      <c r="F30" s="18">
        <f>_xlfn.XLOOKUP($B:$B,'Compilado 2023'!$B:$B,'Compilado 2023'!F:F)</f>
        <v>0</v>
      </c>
      <c r="G30" s="18">
        <f>_xlfn.XLOOKUP($B:$B,'Compilado 2023'!$B:$B,'Compilado 2023'!G:G)</f>
        <v>0</v>
      </c>
      <c r="H30" s="35">
        <f t="shared" si="4"/>
        <v>0</v>
      </c>
      <c r="I30" s="19">
        <f t="shared" ca="1" si="5"/>
        <v>53.333333333333336</v>
      </c>
      <c r="J30" s="117">
        <f t="shared" ca="1" si="1"/>
        <v>0</v>
      </c>
      <c r="K30" s="18">
        <f>_xlfn.XLOOKUP($B:$B,'Compilado 2023'!$B:$B,'Compilado 2023'!K:K)</f>
        <v>0</v>
      </c>
      <c r="L30" s="54">
        <f t="shared" si="2"/>
        <v>0</v>
      </c>
      <c r="M30" s="38"/>
      <c r="N30" s="106">
        <f>_xlfn.XLOOKUP($B:$B,'Compilado 2023'!$B:$B,'Compilado 2023'!N:N)</f>
        <v>0</v>
      </c>
      <c r="O30" s="106">
        <f>_xlfn.XLOOKUP($B:$B,'Compilado 2023'!$B:$B,'Compilado 2023'!O:O)</f>
        <v>0</v>
      </c>
      <c r="P30" s="106">
        <f>_xlfn.XLOOKUP($B:$B,'Compilado 2023'!$B:$B,'Compilado 2023'!P:P)</f>
        <v>0</v>
      </c>
      <c r="Q30" s="106">
        <f ca="1">_xlfn.XLOOKUP($B:$B,'Compilado 2023'!$B:$B,'Compilado 2023'!Q:Q)</f>
        <v>53.333333333333336</v>
      </c>
      <c r="R30" s="106">
        <f>_xlfn.XLOOKUP($B:$B,'Compilado 2023'!$B:$B,'Compilado 2023'!R:R)</f>
        <v>0</v>
      </c>
      <c r="S30" s="106">
        <f>_xlfn.XLOOKUP($B:$B,'Compilado 2023'!$B:$B,'Compilado 2023'!S:S)</f>
        <v>0</v>
      </c>
      <c r="T30" s="106">
        <f>_xlfn.XLOOKUP($B:$B,'Compilado 2023'!$B:$B,'Compilado 2023'!U:U)</f>
        <v>0</v>
      </c>
      <c r="U30" s="106">
        <f>_xlfn.XLOOKUP($B:$B,'Compilado 2023'!$B:$B,'Compilado 2023'!V:V)</f>
        <v>0</v>
      </c>
      <c r="V30" s="57"/>
      <c r="W30" s="106">
        <f>_xlfn.XLOOKUP($B:$B,'Compilado 2023'!$B:$B,'Compilado 2023'!X:X)</f>
        <v>0</v>
      </c>
      <c r="X30" s="106">
        <f>_xlfn.XLOOKUP($B:$B,'Compilado 2023'!$B:$B,'Compilado 2023'!Y:Y)</f>
        <v>0</v>
      </c>
      <c r="Y30" s="106">
        <f>_xlfn.XLOOKUP($B:$B,'Compilado 2023'!$B:$B,'Compilado 2023'!Z:Z)</f>
        <v>0</v>
      </c>
      <c r="Z30" s="38"/>
      <c r="AA30" s="107">
        <f>_xlfn.XLOOKUP($B:$B,'Compilado 2023'!$B:$B,'Compilado 2023'!AA:AA)</f>
        <v>0</v>
      </c>
    </row>
    <row r="31" spans="1:27" s="2" customFormat="1" x14ac:dyDescent="0.2">
      <c r="A31" s="16" t="str">
        <f t="shared" si="0"/>
        <v>terça-feira</v>
      </c>
      <c r="B31" s="17">
        <f t="shared" si="6"/>
        <v>45258</v>
      </c>
      <c r="C31" s="19">
        <f t="shared" si="3"/>
        <v>0</v>
      </c>
      <c r="D31" s="35">
        <f>_xlfn.XLOOKUP($B:$B,'Compilado 2023'!$B:$B,'Compilado 2023'!D:D)</f>
        <v>0</v>
      </c>
      <c r="E31" s="35">
        <f>_xlfn.XLOOKUP($B:$B,'Compilado 2023'!$B:$B,'Compilado 2023'!E:E)</f>
        <v>0</v>
      </c>
      <c r="F31" s="18">
        <f>_xlfn.XLOOKUP($B:$B,'Compilado 2023'!$B:$B,'Compilado 2023'!F:F)</f>
        <v>0</v>
      </c>
      <c r="G31" s="18">
        <f>_xlfn.XLOOKUP($B:$B,'Compilado 2023'!$B:$B,'Compilado 2023'!G:G)</f>
        <v>0</v>
      </c>
      <c r="H31" s="35">
        <f t="shared" si="4"/>
        <v>0</v>
      </c>
      <c r="I31" s="19">
        <f t="shared" ca="1" si="5"/>
        <v>53.333333333333336</v>
      </c>
      <c r="J31" s="117">
        <f t="shared" ca="1" si="1"/>
        <v>0</v>
      </c>
      <c r="K31" s="18">
        <f>_xlfn.XLOOKUP($B:$B,'Compilado 2023'!$B:$B,'Compilado 2023'!K:K)</f>
        <v>0</v>
      </c>
      <c r="L31" s="54">
        <f t="shared" si="2"/>
        <v>0</v>
      </c>
      <c r="M31" s="38"/>
      <c r="N31" s="106">
        <f>_xlfn.XLOOKUP($B:$B,'Compilado 2023'!$B:$B,'Compilado 2023'!N:N)</f>
        <v>0</v>
      </c>
      <c r="O31" s="106">
        <f>_xlfn.XLOOKUP($B:$B,'Compilado 2023'!$B:$B,'Compilado 2023'!O:O)</f>
        <v>0</v>
      </c>
      <c r="P31" s="106">
        <f>_xlfn.XLOOKUP($B:$B,'Compilado 2023'!$B:$B,'Compilado 2023'!P:P)</f>
        <v>0</v>
      </c>
      <c r="Q31" s="106">
        <f ca="1">_xlfn.XLOOKUP($B:$B,'Compilado 2023'!$B:$B,'Compilado 2023'!Q:Q)</f>
        <v>53.333333333333336</v>
      </c>
      <c r="R31" s="106">
        <f>_xlfn.XLOOKUP($B:$B,'Compilado 2023'!$B:$B,'Compilado 2023'!R:R)</f>
        <v>0</v>
      </c>
      <c r="S31" s="106">
        <f>_xlfn.XLOOKUP($B:$B,'Compilado 2023'!$B:$B,'Compilado 2023'!S:S)</f>
        <v>0</v>
      </c>
      <c r="T31" s="106">
        <f>_xlfn.XLOOKUP($B:$B,'Compilado 2023'!$B:$B,'Compilado 2023'!U:U)</f>
        <v>0</v>
      </c>
      <c r="U31" s="106">
        <f>_xlfn.XLOOKUP($B:$B,'Compilado 2023'!$B:$B,'Compilado 2023'!V:V)</f>
        <v>0</v>
      </c>
      <c r="V31" s="57"/>
      <c r="W31" s="106">
        <f>_xlfn.XLOOKUP($B:$B,'Compilado 2023'!$B:$B,'Compilado 2023'!X:X)</f>
        <v>0</v>
      </c>
      <c r="X31" s="106">
        <f>_xlfn.XLOOKUP($B:$B,'Compilado 2023'!$B:$B,'Compilado 2023'!Y:Y)</f>
        <v>0</v>
      </c>
      <c r="Y31" s="106">
        <f>_xlfn.XLOOKUP($B:$B,'Compilado 2023'!$B:$B,'Compilado 2023'!Z:Z)</f>
        <v>0</v>
      </c>
      <c r="Z31" s="38"/>
      <c r="AA31" s="107">
        <f>_xlfn.XLOOKUP($B:$B,'Compilado 2023'!$B:$B,'Compilado 2023'!AA:AA)</f>
        <v>0</v>
      </c>
    </row>
    <row r="32" spans="1:27" s="2" customFormat="1" x14ac:dyDescent="0.2">
      <c r="A32" s="16" t="str">
        <f t="shared" si="0"/>
        <v>quarta-feira</v>
      </c>
      <c r="B32" s="17">
        <f t="shared" si="6"/>
        <v>45259</v>
      </c>
      <c r="C32" s="19">
        <f t="shared" si="3"/>
        <v>0</v>
      </c>
      <c r="D32" s="35">
        <f>_xlfn.XLOOKUP($B:$B,'Compilado 2023'!$B:$B,'Compilado 2023'!D:D)</f>
        <v>0</v>
      </c>
      <c r="E32" s="35">
        <f>_xlfn.XLOOKUP($B:$B,'Compilado 2023'!$B:$B,'Compilado 2023'!E:E)</f>
        <v>0</v>
      </c>
      <c r="F32" s="18">
        <f>_xlfn.XLOOKUP($B:$B,'Compilado 2023'!$B:$B,'Compilado 2023'!F:F)</f>
        <v>0</v>
      </c>
      <c r="G32" s="18">
        <f>_xlfn.XLOOKUP($B:$B,'Compilado 2023'!$B:$B,'Compilado 2023'!G:G)</f>
        <v>0</v>
      </c>
      <c r="H32" s="35">
        <f t="shared" si="4"/>
        <v>0</v>
      </c>
      <c r="I32" s="19">
        <f t="shared" ca="1" si="5"/>
        <v>53.333333333333336</v>
      </c>
      <c r="J32" s="117">
        <f t="shared" ca="1" si="1"/>
        <v>0</v>
      </c>
      <c r="K32" s="18">
        <f>_xlfn.XLOOKUP($B:$B,'Compilado 2023'!$B:$B,'Compilado 2023'!K:K)</f>
        <v>0</v>
      </c>
      <c r="L32" s="54">
        <f t="shared" si="2"/>
        <v>0</v>
      </c>
      <c r="M32" s="38"/>
      <c r="N32" s="106">
        <f>_xlfn.XLOOKUP($B:$B,'Compilado 2023'!$B:$B,'Compilado 2023'!N:N)</f>
        <v>0</v>
      </c>
      <c r="O32" s="106">
        <f>_xlfn.XLOOKUP($B:$B,'Compilado 2023'!$B:$B,'Compilado 2023'!O:O)</f>
        <v>0</v>
      </c>
      <c r="P32" s="106">
        <f>_xlfn.XLOOKUP($B:$B,'Compilado 2023'!$B:$B,'Compilado 2023'!P:P)</f>
        <v>0</v>
      </c>
      <c r="Q32" s="106">
        <f ca="1">_xlfn.XLOOKUP($B:$B,'Compilado 2023'!$B:$B,'Compilado 2023'!Q:Q)</f>
        <v>53.333333333333336</v>
      </c>
      <c r="R32" s="106">
        <f>_xlfn.XLOOKUP($B:$B,'Compilado 2023'!$B:$B,'Compilado 2023'!R:R)</f>
        <v>0</v>
      </c>
      <c r="S32" s="106">
        <f>_xlfn.XLOOKUP($B:$B,'Compilado 2023'!$B:$B,'Compilado 2023'!S:S)</f>
        <v>0</v>
      </c>
      <c r="T32" s="106">
        <f>_xlfn.XLOOKUP($B:$B,'Compilado 2023'!$B:$B,'Compilado 2023'!U:U)</f>
        <v>0</v>
      </c>
      <c r="U32" s="106">
        <f>_xlfn.XLOOKUP($B:$B,'Compilado 2023'!$B:$B,'Compilado 2023'!V:V)</f>
        <v>0</v>
      </c>
      <c r="V32" s="57"/>
      <c r="W32" s="106">
        <f>_xlfn.XLOOKUP($B:$B,'Compilado 2023'!$B:$B,'Compilado 2023'!X:X)</f>
        <v>0</v>
      </c>
      <c r="X32" s="106">
        <f>_xlfn.XLOOKUP($B:$B,'Compilado 2023'!$B:$B,'Compilado 2023'!Y:Y)</f>
        <v>0</v>
      </c>
      <c r="Y32" s="106">
        <f>_xlfn.XLOOKUP($B:$B,'Compilado 2023'!$B:$B,'Compilado 2023'!Z:Z)</f>
        <v>0</v>
      </c>
      <c r="Z32" s="38"/>
      <c r="AA32" s="107">
        <f>_xlfn.XLOOKUP($B:$B,'Compilado 2023'!$B:$B,'Compilado 2023'!AA:AA)</f>
        <v>0</v>
      </c>
    </row>
    <row r="33" spans="1:27" s="2" customFormat="1" x14ac:dyDescent="0.2">
      <c r="A33" s="16" t="str">
        <f t="shared" si="0"/>
        <v>quinta-feira</v>
      </c>
      <c r="B33" s="17">
        <f t="shared" si="6"/>
        <v>45260</v>
      </c>
      <c r="C33" s="19">
        <f t="shared" si="3"/>
        <v>0</v>
      </c>
      <c r="D33" s="35">
        <f>_xlfn.XLOOKUP($B:$B,'Compilado 2023'!$B:$B,'Compilado 2023'!D:D)</f>
        <v>0</v>
      </c>
      <c r="E33" s="35">
        <f>_xlfn.XLOOKUP($B:$B,'Compilado 2023'!$B:$B,'Compilado 2023'!E:E)</f>
        <v>0</v>
      </c>
      <c r="F33" s="18">
        <f>_xlfn.XLOOKUP($B:$B,'Compilado 2023'!$B:$B,'Compilado 2023'!F:F)</f>
        <v>0</v>
      </c>
      <c r="G33" s="18">
        <f>_xlfn.XLOOKUP($B:$B,'Compilado 2023'!$B:$B,'Compilado 2023'!G:G)</f>
        <v>0</v>
      </c>
      <c r="H33" s="35">
        <f t="shared" si="4"/>
        <v>0</v>
      </c>
      <c r="I33" s="19">
        <f t="shared" ca="1" si="5"/>
        <v>53.333333333333336</v>
      </c>
      <c r="J33" s="117">
        <f t="shared" ca="1" si="1"/>
        <v>0</v>
      </c>
      <c r="K33" s="18">
        <f>_xlfn.XLOOKUP($B:$B,'Compilado 2023'!$B:$B,'Compilado 2023'!K:K)</f>
        <v>0</v>
      </c>
      <c r="L33" s="54">
        <f t="shared" si="2"/>
        <v>0</v>
      </c>
      <c r="M33" s="38"/>
      <c r="N33" s="106">
        <f>_xlfn.XLOOKUP($B:$B,'Compilado 2023'!$B:$B,'Compilado 2023'!N:N)</f>
        <v>0</v>
      </c>
      <c r="O33" s="106">
        <f>_xlfn.XLOOKUP($B:$B,'Compilado 2023'!$B:$B,'Compilado 2023'!O:O)</f>
        <v>0</v>
      </c>
      <c r="P33" s="106">
        <f>_xlfn.XLOOKUP($B:$B,'Compilado 2023'!$B:$B,'Compilado 2023'!P:P)</f>
        <v>0</v>
      </c>
      <c r="Q33" s="106">
        <f ca="1">_xlfn.XLOOKUP($B:$B,'Compilado 2023'!$B:$B,'Compilado 2023'!Q:Q)</f>
        <v>53.333333333333336</v>
      </c>
      <c r="R33" s="106">
        <f>_xlfn.XLOOKUP($B:$B,'Compilado 2023'!$B:$B,'Compilado 2023'!R:R)</f>
        <v>0</v>
      </c>
      <c r="S33" s="106">
        <f>_xlfn.XLOOKUP($B:$B,'Compilado 2023'!$B:$B,'Compilado 2023'!S:S)</f>
        <v>0</v>
      </c>
      <c r="T33" s="106">
        <f>_xlfn.XLOOKUP($B:$B,'Compilado 2023'!$B:$B,'Compilado 2023'!U:U)</f>
        <v>0</v>
      </c>
      <c r="U33" s="106">
        <f>_xlfn.XLOOKUP($B:$B,'Compilado 2023'!$B:$B,'Compilado 2023'!V:V)</f>
        <v>0</v>
      </c>
      <c r="V33" s="57"/>
      <c r="W33" s="106">
        <f>_xlfn.XLOOKUP($B:$B,'Compilado 2023'!$B:$B,'Compilado 2023'!X:X)</f>
        <v>0</v>
      </c>
      <c r="X33" s="106">
        <f>_xlfn.XLOOKUP($B:$B,'Compilado 2023'!$B:$B,'Compilado 2023'!Y:Y)</f>
        <v>0</v>
      </c>
      <c r="Y33" s="106">
        <f>_xlfn.XLOOKUP($B:$B,'Compilado 2023'!$B:$B,'Compilado 2023'!Z:Z)</f>
        <v>0</v>
      </c>
      <c r="Z33" s="38"/>
      <c r="AA33" s="107">
        <f>_xlfn.XLOOKUP($B:$B,'Compilado 2023'!$B:$B,'Compilado 2023'!AA:AA)</f>
        <v>0</v>
      </c>
    </row>
    <row r="34" spans="1:27" x14ac:dyDescent="0.2">
      <c r="A34" s="16"/>
      <c r="B34" s="17"/>
      <c r="C34" s="19"/>
      <c r="D34" s="35"/>
      <c r="E34" s="35"/>
      <c r="F34" s="18"/>
      <c r="G34" s="18"/>
      <c r="H34" s="35"/>
      <c r="I34" s="19"/>
      <c r="J34" s="117"/>
      <c r="K34" s="18"/>
      <c r="L34" s="54"/>
      <c r="M34" s="38"/>
      <c r="N34" s="106"/>
      <c r="O34" s="106"/>
      <c r="P34" s="106"/>
      <c r="Q34" s="106"/>
      <c r="R34" s="106"/>
      <c r="S34" s="106"/>
      <c r="T34" s="106"/>
      <c r="U34" s="106"/>
      <c r="V34" s="57"/>
      <c r="W34" s="106"/>
      <c r="X34" s="106"/>
      <c r="Y34" s="106"/>
      <c r="Z34" s="38"/>
      <c r="AA34" s="107"/>
    </row>
    <row r="35" spans="1:27" s="61" customFormat="1" ht="12" x14ac:dyDescent="0.2">
      <c r="A35" s="90" t="s">
        <v>186</v>
      </c>
      <c r="B35" s="91">
        <f>COUNTA(B4:B33)</f>
        <v>30</v>
      </c>
      <c r="C35" s="92">
        <f>SUM(C4:C34)</f>
        <v>0</v>
      </c>
      <c r="D35" s="92">
        <f>SUM(D4:D34)</f>
        <v>0</v>
      </c>
      <c r="E35" s="92">
        <f>SUM(E4:E34)</f>
        <v>0</v>
      </c>
      <c r="F35" s="93">
        <f>SUM(F4:F34)</f>
        <v>0</v>
      </c>
      <c r="G35" s="93">
        <f>SUM(G4:G34)</f>
        <v>0</v>
      </c>
      <c r="H35" s="92" t="e">
        <f>C35/F35</f>
        <v>#DIV/0!</v>
      </c>
      <c r="I35" s="92">
        <f ca="1">SUM(I4:I34)</f>
        <v>1599.9999999999995</v>
      </c>
      <c r="J35" s="123">
        <f ca="1">C35/I35</f>
        <v>0</v>
      </c>
      <c r="K35" s="93">
        <f>SUM(K4:K34)</f>
        <v>0</v>
      </c>
      <c r="L35" s="94">
        <f>IFERROR(F35/K35,0)</f>
        <v>0</v>
      </c>
      <c r="M35" s="95"/>
      <c r="N35" s="92">
        <f t="shared" ref="N35:U35" si="7">SUM(N4:N34)</f>
        <v>0</v>
      </c>
      <c r="O35" s="92">
        <f t="shared" si="7"/>
        <v>0</v>
      </c>
      <c r="P35" s="92">
        <f t="shared" si="7"/>
        <v>0</v>
      </c>
      <c r="Q35" s="92">
        <f t="shared" ca="1" si="7"/>
        <v>1599.9999999999995</v>
      </c>
      <c r="R35" s="92">
        <f t="shared" si="7"/>
        <v>0</v>
      </c>
      <c r="S35" s="92">
        <f t="shared" si="7"/>
        <v>0</v>
      </c>
      <c r="T35" s="92">
        <f t="shared" si="7"/>
        <v>0</v>
      </c>
      <c r="U35" s="92">
        <f t="shared" si="7"/>
        <v>0</v>
      </c>
      <c r="V35" s="97">
        <f t="shared" ref="V35:Y35" si="8">SUM(V4:V33)</f>
        <v>0</v>
      </c>
      <c r="W35" s="96">
        <f t="shared" si="8"/>
        <v>0</v>
      </c>
      <c r="X35" s="92">
        <f t="shared" si="8"/>
        <v>0</v>
      </c>
      <c r="Y35" s="92">
        <f t="shared" si="8"/>
        <v>0</v>
      </c>
      <c r="Z35" s="95"/>
      <c r="AA35" s="98"/>
    </row>
    <row r="36" spans="1:27" ht="6.75" customHeight="1" x14ac:dyDescent="0.2">
      <c r="M36" s="21"/>
    </row>
    <row r="37" spans="1:27" s="34" customFormat="1" ht="15.75" x14ac:dyDescent="0.3">
      <c r="A37" s="99" t="str">
        <f>JUN!A38</f>
        <v>Média Junho 2023</v>
      </c>
      <c r="B37" s="100"/>
      <c r="C37" s="101">
        <f>OUT!C38</f>
        <v>0</v>
      </c>
      <c r="D37" s="101">
        <f>OUT!D38</f>
        <v>0</v>
      </c>
      <c r="E37" s="101">
        <f>OUT!E38</f>
        <v>0</v>
      </c>
      <c r="F37" s="102">
        <f>OUT!F38</f>
        <v>0</v>
      </c>
      <c r="G37" s="102">
        <f>OUT!G38</f>
        <v>0</v>
      </c>
      <c r="H37" s="103" t="e">
        <f>OUT!H38</f>
        <v>#DIV/0!</v>
      </c>
      <c r="I37" s="101">
        <f ca="1">OUT!I38</f>
        <v>51.61290322580642</v>
      </c>
      <c r="J37" s="119">
        <f ca="1">OUT!J38</f>
        <v>0</v>
      </c>
      <c r="K37" s="104">
        <f>OUT!K38</f>
        <v>0</v>
      </c>
      <c r="L37" s="105">
        <f>OUT!L38</f>
        <v>0</v>
      </c>
      <c r="M37" s="21"/>
      <c r="N37"/>
      <c r="O37"/>
      <c r="P37"/>
      <c r="Q37"/>
      <c r="R37"/>
      <c r="S37"/>
      <c r="T37"/>
      <c r="U37"/>
      <c r="V37"/>
      <c r="W37"/>
      <c r="X37"/>
      <c r="Y37"/>
      <c r="Z37"/>
      <c r="AA37"/>
    </row>
    <row r="38" spans="1:27" s="34" customFormat="1" ht="15.75" x14ac:dyDescent="0.3">
      <c r="A38" s="99" t="str">
        <f>_xlfn.CONCAT("Média ",B2)</f>
        <v>Média Novembro 2023</v>
      </c>
      <c r="B38" s="100"/>
      <c r="C38" s="101">
        <f>AVERAGE(C4:C34)</f>
        <v>0</v>
      </c>
      <c r="D38" s="101">
        <f>AVERAGE(D5:D34)</f>
        <v>0</v>
      </c>
      <c r="E38" s="101">
        <f>AVERAGE(E5:E34)</f>
        <v>0</v>
      </c>
      <c r="F38" s="102">
        <f>AVERAGE(F5:F34)</f>
        <v>0</v>
      </c>
      <c r="G38" s="102">
        <f>AVERAGE(G5:G34)</f>
        <v>0</v>
      </c>
      <c r="H38" s="103" t="e">
        <f>H35</f>
        <v>#DIV/0!</v>
      </c>
      <c r="I38" s="101">
        <f ca="1">AVERAGE(I5:I34)</f>
        <v>53.333333333333321</v>
      </c>
      <c r="J38" s="119">
        <f ca="1">IFERROR(C38/I38,0)</f>
        <v>0</v>
      </c>
      <c r="K38" s="104">
        <f>AVERAGE(K5:K34)</f>
        <v>0</v>
      </c>
      <c r="L38" s="105">
        <f>IFERROR(F38/K38,0)</f>
        <v>0</v>
      </c>
      <c r="M38" s="21"/>
      <c r="N38"/>
      <c r="O38"/>
      <c r="P38"/>
      <c r="Q38"/>
      <c r="R38"/>
      <c r="S38"/>
      <c r="T38"/>
      <c r="U38"/>
      <c r="V38"/>
      <c r="W38"/>
      <c r="X38"/>
      <c r="Y38"/>
      <c r="Z38"/>
      <c r="AA38"/>
    </row>
    <row r="39" spans="1:27" ht="15.75" customHeight="1" x14ac:dyDescent="0.2">
      <c r="M39" s="21"/>
    </row>
    <row r="40" spans="1:27" ht="15.75" customHeight="1" x14ac:dyDescent="0.2">
      <c r="M40" s="21"/>
    </row>
    <row r="41" spans="1:27" ht="14.25" x14ac:dyDescent="0.2">
      <c r="B41" s="223" t="s">
        <v>188</v>
      </c>
      <c r="C41" s="223"/>
      <c r="D41" s="223"/>
      <c r="E41" s="76"/>
      <c r="F41" s="76"/>
      <c r="G41" s="76"/>
      <c r="H41" s="76"/>
      <c r="I41" s="76"/>
      <c r="J41" s="76"/>
      <c r="K41" s="76"/>
      <c r="L41" s="76"/>
      <c r="M41" s="21"/>
    </row>
    <row r="42" spans="1:27" ht="15.75" customHeight="1" x14ac:dyDescent="0.2"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21"/>
    </row>
    <row r="43" spans="1:27" ht="15" thickBot="1" x14ac:dyDescent="0.25">
      <c r="B43" s="77" t="s">
        <v>153</v>
      </c>
      <c r="C43" s="78" t="s">
        <v>75</v>
      </c>
      <c r="D43" s="78" t="s">
        <v>154</v>
      </c>
      <c r="E43" s="78" t="s">
        <v>77</v>
      </c>
      <c r="F43" s="78" t="s">
        <v>78</v>
      </c>
      <c r="G43" s="78" t="s">
        <v>79</v>
      </c>
      <c r="H43" s="78" t="s">
        <v>80</v>
      </c>
      <c r="I43" s="78" t="s">
        <v>81</v>
      </c>
      <c r="J43" s="78" t="s">
        <v>82</v>
      </c>
      <c r="K43" s="78" t="s">
        <v>40</v>
      </c>
      <c r="L43" s="78" t="s">
        <v>83</v>
      </c>
      <c r="M43" s="21"/>
      <c r="N43" s="78" t="s">
        <v>85</v>
      </c>
      <c r="O43" s="78" t="s">
        <v>155</v>
      </c>
      <c r="P43" s="78" t="s">
        <v>87</v>
      </c>
      <c r="Q43" s="78" t="s">
        <v>88</v>
      </c>
      <c r="R43" s="78" t="s">
        <v>89</v>
      </c>
      <c r="S43" s="78" t="s">
        <v>90</v>
      </c>
      <c r="T43" s="78" t="s">
        <v>91</v>
      </c>
      <c r="U43" s="78" t="s">
        <v>92</v>
      </c>
    </row>
    <row r="44" spans="1:27" s="20" customFormat="1" ht="14.25" x14ac:dyDescent="0.2">
      <c r="B44" s="79" t="str">
        <f>_xlfn.CONCAT(_xlfn.XLOOKUP(O1,Referencia!B1:B13,Referencia!C1:C13),"/",P1)</f>
        <v>NOV/2023</v>
      </c>
      <c r="C44" s="80">
        <f>C35</f>
        <v>0</v>
      </c>
      <c r="D44" s="80">
        <f t="shared" ref="D44:L44" si="9">D35</f>
        <v>0</v>
      </c>
      <c r="E44" s="80">
        <f t="shared" si="9"/>
        <v>0</v>
      </c>
      <c r="F44" s="81">
        <f t="shared" si="9"/>
        <v>0</v>
      </c>
      <c r="G44" s="81">
        <f t="shared" si="9"/>
        <v>0</v>
      </c>
      <c r="H44" s="80" t="e">
        <f t="shared" si="9"/>
        <v>#DIV/0!</v>
      </c>
      <c r="I44" s="80">
        <f t="shared" ca="1" si="9"/>
        <v>1599.9999999999995</v>
      </c>
      <c r="J44" s="118">
        <f t="shared" ca="1" si="9"/>
        <v>0</v>
      </c>
      <c r="K44" s="81">
        <f t="shared" si="9"/>
        <v>0</v>
      </c>
      <c r="L44" s="82">
        <f t="shared" si="9"/>
        <v>0</v>
      </c>
      <c r="M44" s="21"/>
      <c r="N44" s="134">
        <f>N35</f>
        <v>0</v>
      </c>
      <c r="O44" s="134">
        <f t="shared" ref="O44:U44" si="10">O35</f>
        <v>0</v>
      </c>
      <c r="P44" s="134">
        <f t="shared" si="10"/>
        <v>0</v>
      </c>
      <c r="Q44" s="134">
        <f t="shared" ca="1" si="10"/>
        <v>1599.9999999999995</v>
      </c>
      <c r="R44" s="134">
        <f t="shared" si="10"/>
        <v>0</v>
      </c>
      <c r="S44" s="134">
        <f t="shared" si="10"/>
        <v>0</v>
      </c>
      <c r="T44" s="134">
        <f t="shared" si="10"/>
        <v>0</v>
      </c>
      <c r="U44" s="134">
        <f t="shared" si="10"/>
        <v>0</v>
      </c>
      <c r="V44"/>
      <c r="W44"/>
      <c r="X44"/>
      <c r="Y44"/>
      <c r="Z44"/>
      <c r="AA44"/>
    </row>
    <row r="45" spans="1:27" s="20" customFormat="1" ht="14.25" x14ac:dyDescent="0.2">
      <c r="B45" s="138" t="str">
        <f>_xlfn.CONCAT(_xlfn.XLOOKUP(O1,Referencia!B1:B13,Referencia!C1:C13),"/",(P1-1))</f>
        <v>NOV/2022</v>
      </c>
      <c r="C45" s="134">
        <f>SUM(C64:C94)</f>
        <v>1836530.5</v>
      </c>
      <c r="D45" s="134">
        <f>SUM(D64:D94)</f>
        <v>1836180.64</v>
      </c>
      <c r="E45" s="134">
        <f>SUM(E64:E94)</f>
        <v>349.86</v>
      </c>
      <c r="F45" s="135">
        <f>SUM(F64:F94)</f>
        <v>6556</v>
      </c>
      <c r="G45" s="135">
        <f>SUM(G64:G94)</f>
        <v>9839</v>
      </c>
      <c r="H45" s="134">
        <f>C45/F45</f>
        <v>280.12972849298353</v>
      </c>
      <c r="I45" s="134">
        <f>SUM(I64:I94)</f>
        <v>32907.310000000005</v>
      </c>
      <c r="J45" s="136">
        <f>C45/I45</f>
        <v>55.80919558602632</v>
      </c>
      <c r="K45" s="135">
        <f>SUM(K64:K94)</f>
        <v>140667</v>
      </c>
      <c r="L45" s="137">
        <f>F45/K45</f>
        <v>4.6606524629088555E-2</v>
      </c>
      <c r="M45" s="207"/>
      <c r="N45" s="134">
        <f>SUM(N64:N94)</f>
        <v>20353.57</v>
      </c>
      <c r="O45" s="134">
        <f t="shared" ref="O45:V45" si="11">SUM(O64:O94)</f>
        <v>10953.74</v>
      </c>
      <c r="P45" s="134">
        <f t="shared" si="11"/>
        <v>0</v>
      </c>
      <c r="Q45" s="134">
        <f t="shared" si="11"/>
        <v>1599.9999999999995</v>
      </c>
      <c r="R45" s="134">
        <f t="shared" si="11"/>
        <v>0</v>
      </c>
      <c r="S45" s="134">
        <f t="shared" si="11"/>
        <v>0</v>
      </c>
      <c r="T45" s="134">
        <f t="shared" si="11"/>
        <v>0</v>
      </c>
      <c r="U45" s="134">
        <f t="shared" si="11"/>
        <v>0</v>
      </c>
      <c r="V45" s="134">
        <f t="shared" si="11"/>
        <v>0</v>
      </c>
      <c r="W45"/>
      <c r="X45"/>
      <c r="Y45"/>
      <c r="Z45"/>
      <c r="AA45"/>
    </row>
    <row r="46" spans="1:27" s="20" customFormat="1" ht="14.25" x14ac:dyDescent="0.2">
      <c r="B46" s="83"/>
      <c r="C46" s="87">
        <f>C44-C45</f>
        <v>-1836530.5</v>
      </c>
      <c r="D46" s="87">
        <f t="shared" ref="D46:L46" si="12">D44-D45</f>
        <v>-1836180.64</v>
      </c>
      <c r="E46" s="87">
        <f t="shared" si="12"/>
        <v>-349.86</v>
      </c>
      <c r="F46" s="88">
        <f t="shared" si="12"/>
        <v>-6556</v>
      </c>
      <c r="G46" s="88">
        <f t="shared" si="12"/>
        <v>-9839</v>
      </c>
      <c r="H46" s="87" t="e">
        <f t="shared" si="12"/>
        <v>#DIV/0!</v>
      </c>
      <c r="I46" s="87">
        <f t="shared" ca="1" si="12"/>
        <v>-31307.310000000005</v>
      </c>
      <c r="J46" s="125">
        <f t="shared" ca="1" si="12"/>
        <v>-55.80919558602632</v>
      </c>
      <c r="K46" s="88">
        <f t="shared" si="12"/>
        <v>-140667</v>
      </c>
      <c r="L46" s="89">
        <f t="shared" si="12"/>
        <v>-4.6606524629088555E-2</v>
      </c>
      <c r="M46" s="21"/>
      <c r="N46"/>
      <c r="O46"/>
      <c r="P46"/>
      <c r="Q46"/>
      <c r="R46"/>
      <c r="S46"/>
      <c r="T46"/>
      <c r="U46"/>
      <c r="V46"/>
      <c r="W46"/>
      <c r="X46"/>
      <c r="Y46"/>
      <c r="Z46"/>
      <c r="AA46"/>
    </row>
    <row r="47" spans="1:27" ht="14.25" x14ac:dyDescent="0.2">
      <c r="B47" s="84"/>
      <c r="C47" s="85">
        <f>IFERROR(1-(C45/C44),0)</f>
        <v>0</v>
      </c>
      <c r="D47" s="85">
        <f t="shared" ref="D47:L47" si="13">IFERROR(1-(D45/D44),0)</f>
        <v>0</v>
      </c>
      <c r="E47" s="85">
        <f t="shared" si="13"/>
        <v>0</v>
      </c>
      <c r="F47" s="85">
        <f t="shared" si="13"/>
        <v>0</v>
      </c>
      <c r="G47" s="85">
        <f t="shared" si="13"/>
        <v>0</v>
      </c>
      <c r="H47" s="85">
        <f t="shared" si="13"/>
        <v>0</v>
      </c>
      <c r="I47" s="85">
        <f t="shared" ca="1" si="13"/>
        <v>-19.567068750000008</v>
      </c>
      <c r="J47" s="85">
        <f t="shared" ca="1" si="13"/>
        <v>0</v>
      </c>
      <c r="K47" s="85">
        <f t="shared" si="13"/>
        <v>0</v>
      </c>
      <c r="L47" s="85">
        <f t="shared" si="13"/>
        <v>0</v>
      </c>
      <c r="M47" s="21"/>
    </row>
    <row r="48" spans="1:27" ht="15.75" customHeight="1" x14ac:dyDescent="0.2"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</row>
    <row r="49" spans="1:27" ht="14.25" x14ac:dyDescent="0.2">
      <c r="B49" s="223" t="s">
        <v>189</v>
      </c>
      <c r="C49" s="223"/>
      <c r="D49" s="223"/>
      <c r="E49" s="84"/>
      <c r="F49" s="84"/>
      <c r="G49" s="84"/>
      <c r="H49" s="84"/>
      <c r="I49" s="84"/>
      <c r="J49" s="84"/>
      <c r="K49" s="84"/>
      <c r="L49" s="84"/>
      <c r="M49" s="21"/>
    </row>
    <row r="50" spans="1:27" ht="15" thickBot="1" x14ac:dyDescent="0.25">
      <c r="B50" s="77" t="s">
        <v>153</v>
      </c>
      <c r="C50" s="78" t="s">
        <v>75</v>
      </c>
      <c r="D50" s="78" t="s">
        <v>154</v>
      </c>
      <c r="E50" s="78" t="s">
        <v>77</v>
      </c>
      <c r="F50" s="78" t="s">
        <v>78</v>
      </c>
      <c r="G50" s="78" t="s">
        <v>79</v>
      </c>
      <c r="H50" s="78" t="s">
        <v>80</v>
      </c>
      <c r="I50" s="78" t="s">
        <v>81</v>
      </c>
      <c r="J50" s="78" t="s">
        <v>82</v>
      </c>
      <c r="K50" s="78" t="s">
        <v>40</v>
      </c>
      <c r="L50" s="78" t="s">
        <v>83</v>
      </c>
      <c r="M50" s="21"/>
      <c r="N50" s="78" t="s">
        <v>85</v>
      </c>
      <c r="O50" s="78" t="s">
        <v>155</v>
      </c>
      <c r="P50" s="78" t="s">
        <v>87</v>
      </c>
      <c r="Q50" s="78" t="s">
        <v>88</v>
      </c>
      <c r="R50" s="78" t="s">
        <v>89</v>
      </c>
      <c r="S50" s="78" t="s">
        <v>90</v>
      </c>
      <c r="T50" s="78" t="s">
        <v>91</v>
      </c>
      <c r="U50" s="78" t="s">
        <v>92</v>
      </c>
    </row>
    <row r="51" spans="1:27" ht="14.25" x14ac:dyDescent="0.2">
      <c r="B51" s="79" t="str">
        <f>B44</f>
        <v>NOV/2023</v>
      </c>
      <c r="C51" s="80">
        <f>C44</f>
        <v>0</v>
      </c>
      <c r="D51" s="80">
        <f t="shared" ref="D51:U51" si="14">D44</f>
        <v>0</v>
      </c>
      <c r="E51" s="80">
        <f t="shared" si="14"/>
        <v>0</v>
      </c>
      <c r="F51" s="81">
        <f t="shared" si="14"/>
        <v>0</v>
      </c>
      <c r="G51" s="81">
        <f t="shared" si="14"/>
        <v>0</v>
      </c>
      <c r="H51" s="80" t="e">
        <f t="shared" si="14"/>
        <v>#DIV/0!</v>
      </c>
      <c r="I51" s="80">
        <f t="shared" ca="1" si="14"/>
        <v>1599.9999999999995</v>
      </c>
      <c r="J51" s="118">
        <f t="shared" ca="1" si="14"/>
        <v>0</v>
      </c>
      <c r="K51" s="81">
        <f t="shared" si="14"/>
        <v>0</v>
      </c>
      <c r="L51" s="82">
        <f t="shared" si="14"/>
        <v>0</v>
      </c>
      <c r="M51" s="21"/>
      <c r="N51" s="80">
        <f t="shared" si="14"/>
        <v>0</v>
      </c>
      <c r="O51" s="80">
        <f t="shared" si="14"/>
        <v>0</v>
      </c>
      <c r="P51" s="80">
        <f t="shared" si="14"/>
        <v>0</v>
      </c>
      <c r="Q51" s="80">
        <f t="shared" ca="1" si="14"/>
        <v>1599.9999999999995</v>
      </c>
      <c r="R51" s="80">
        <f t="shared" si="14"/>
        <v>0</v>
      </c>
      <c r="S51" s="80">
        <f t="shared" si="14"/>
        <v>0</v>
      </c>
      <c r="T51" s="80">
        <f t="shared" si="14"/>
        <v>0</v>
      </c>
      <c r="U51" s="80">
        <f t="shared" si="14"/>
        <v>0</v>
      </c>
    </row>
    <row r="52" spans="1:27" ht="14.25" x14ac:dyDescent="0.2">
      <c r="B52" s="138" t="str">
        <f>OUT!B51</f>
        <v>OUT/2023</v>
      </c>
      <c r="C52" s="134">
        <f>OUT!C51</f>
        <v>0</v>
      </c>
      <c r="D52" s="134">
        <f>OUT!D51</f>
        <v>0</v>
      </c>
      <c r="E52" s="134">
        <f>OUT!E51</f>
        <v>0</v>
      </c>
      <c r="F52" s="135">
        <f>OUT!F51</f>
        <v>0</v>
      </c>
      <c r="G52" s="135">
        <f>OUT!G51</f>
        <v>0</v>
      </c>
      <c r="H52" s="134" t="e">
        <f>OUT!H51</f>
        <v>#DIV/0!</v>
      </c>
      <c r="I52" s="134">
        <f ca="1">OUT!I51</f>
        <v>1599.9999999999989</v>
      </c>
      <c r="J52" s="136">
        <f ca="1">OUT!J51</f>
        <v>0</v>
      </c>
      <c r="K52" s="135">
        <f>OUT!K51</f>
        <v>0</v>
      </c>
      <c r="L52" s="137">
        <f>OUT!L51</f>
        <v>0</v>
      </c>
      <c r="M52" s="21"/>
      <c r="N52" s="134">
        <f>OUT!N51</f>
        <v>0</v>
      </c>
      <c r="O52" s="134">
        <f>OUT!O51</f>
        <v>0</v>
      </c>
      <c r="P52" s="134">
        <f>OUT!P51</f>
        <v>0</v>
      </c>
      <c r="Q52" s="134">
        <f ca="1">OUT!Q51</f>
        <v>1599.9999999999989</v>
      </c>
      <c r="R52" s="134">
        <f>OUT!R51</f>
        <v>0</v>
      </c>
      <c r="S52" s="134">
        <f>OUT!S51</f>
        <v>0</v>
      </c>
      <c r="T52" s="134">
        <f>OUT!T51</f>
        <v>0</v>
      </c>
      <c r="U52" s="134">
        <f>OUT!U51</f>
        <v>0</v>
      </c>
    </row>
    <row r="53" spans="1:27" ht="14.25" x14ac:dyDescent="0.2">
      <c r="B53" s="83"/>
      <c r="C53" s="87">
        <f t="shared" ref="C53:L53" si="15">C51-C52</f>
        <v>0</v>
      </c>
      <c r="D53" s="87">
        <f t="shared" si="15"/>
        <v>0</v>
      </c>
      <c r="E53" s="87">
        <f t="shared" si="15"/>
        <v>0</v>
      </c>
      <c r="F53" s="88">
        <f t="shared" si="15"/>
        <v>0</v>
      </c>
      <c r="G53" s="88">
        <f t="shared" si="15"/>
        <v>0</v>
      </c>
      <c r="H53" s="87" t="e">
        <f t="shared" si="15"/>
        <v>#DIV/0!</v>
      </c>
      <c r="I53" s="87">
        <f t="shared" ca="1" si="15"/>
        <v>0</v>
      </c>
      <c r="J53" s="125">
        <f t="shared" ca="1" si="15"/>
        <v>0</v>
      </c>
      <c r="K53" s="88">
        <f t="shared" si="15"/>
        <v>0</v>
      </c>
      <c r="L53" s="89">
        <f t="shared" si="15"/>
        <v>0</v>
      </c>
      <c r="M53" s="21"/>
    </row>
    <row r="54" spans="1:27" ht="14.25" x14ac:dyDescent="0.2">
      <c r="B54" s="84"/>
      <c r="C54" s="85">
        <f>IFERROR(1-(C52/C51),0)</f>
        <v>0</v>
      </c>
      <c r="D54" s="85">
        <f t="shared" ref="D54:L54" si="16">IFERROR(1-(D52/D51),0)</f>
        <v>0</v>
      </c>
      <c r="E54" s="85">
        <f t="shared" si="16"/>
        <v>0</v>
      </c>
      <c r="F54" s="85">
        <f t="shared" si="16"/>
        <v>0</v>
      </c>
      <c r="G54" s="85">
        <f t="shared" si="16"/>
        <v>0</v>
      </c>
      <c r="H54" s="85">
        <f t="shared" si="16"/>
        <v>0</v>
      </c>
      <c r="I54" s="85">
        <f t="shared" ca="1" si="16"/>
        <v>4.4408920985006262E-16</v>
      </c>
      <c r="J54" s="85">
        <f t="shared" ca="1" si="16"/>
        <v>0</v>
      </c>
      <c r="K54" s="85">
        <f t="shared" si="16"/>
        <v>0</v>
      </c>
      <c r="L54" s="85">
        <f t="shared" si="16"/>
        <v>0</v>
      </c>
      <c r="M54" s="21"/>
    </row>
    <row r="56" spans="1:27" ht="15.75" customHeight="1" x14ac:dyDescent="0.2">
      <c r="B56" s="84"/>
      <c r="C56" s="84"/>
      <c r="D56" s="84"/>
      <c r="E56" s="84"/>
      <c r="F56" s="84"/>
      <c r="G56" s="84"/>
      <c r="H56" s="84"/>
      <c r="I56" s="84"/>
      <c r="J56" s="84"/>
      <c r="K56" s="84"/>
    </row>
    <row r="57" spans="1:27" x14ac:dyDescent="0.2">
      <c r="B57" s="223" t="s">
        <v>191</v>
      </c>
      <c r="C57" s="223"/>
      <c r="D57" s="223"/>
      <c r="E57" s="84"/>
      <c r="F57" s="84"/>
      <c r="G57" s="84"/>
      <c r="H57" s="84"/>
      <c r="I57" s="84"/>
      <c r="J57" s="84"/>
      <c r="K57" s="84"/>
      <c r="L57" s="84"/>
      <c r="M57" s="150"/>
    </row>
    <row r="58" spans="1:27" ht="13.5" thickBot="1" x14ac:dyDescent="0.25">
      <c r="B58" s="77" t="s">
        <v>153</v>
      </c>
      <c r="C58" s="78" t="s">
        <v>75</v>
      </c>
      <c r="D58" s="78" t="s">
        <v>154</v>
      </c>
      <c r="E58" s="78" t="s">
        <v>77</v>
      </c>
      <c r="F58" s="78" t="s">
        <v>78</v>
      </c>
      <c r="G58" s="78" t="s">
        <v>79</v>
      </c>
      <c r="H58" s="78" t="s">
        <v>80</v>
      </c>
      <c r="I58" s="78" t="s">
        <v>81</v>
      </c>
      <c r="J58" s="78" t="s">
        <v>82</v>
      </c>
      <c r="K58" s="78" t="s">
        <v>40</v>
      </c>
      <c r="L58" s="78" t="s">
        <v>83</v>
      </c>
      <c r="M58" s="150"/>
      <c r="N58" s="78" t="s">
        <v>85</v>
      </c>
      <c r="O58" s="78" t="s">
        <v>155</v>
      </c>
      <c r="P58" s="78" t="s">
        <v>87</v>
      </c>
      <c r="Q58" s="78" t="s">
        <v>88</v>
      </c>
      <c r="R58" s="78" t="s">
        <v>89</v>
      </c>
      <c r="S58" s="78" t="s">
        <v>90</v>
      </c>
      <c r="T58" s="78" t="s">
        <v>91</v>
      </c>
      <c r="U58" s="78" t="s">
        <v>92</v>
      </c>
    </row>
    <row r="59" spans="1:27" x14ac:dyDescent="0.2">
      <c r="B59" s="79" t="str">
        <f>B52</f>
        <v>OUT/2023</v>
      </c>
      <c r="C59" s="80">
        <f>C44</f>
        <v>0</v>
      </c>
      <c r="D59" s="80">
        <f t="shared" ref="D59:L59" si="17">D51</f>
        <v>0</v>
      </c>
      <c r="E59" s="80">
        <f t="shared" si="17"/>
        <v>0</v>
      </c>
      <c r="F59" s="81">
        <f t="shared" si="17"/>
        <v>0</v>
      </c>
      <c r="G59" s="81">
        <f t="shared" si="17"/>
        <v>0</v>
      </c>
      <c r="H59" s="80" t="e">
        <f t="shared" si="17"/>
        <v>#DIV/0!</v>
      </c>
      <c r="I59" s="80">
        <f t="shared" ca="1" si="17"/>
        <v>1599.9999999999995</v>
      </c>
      <c r="J59" s="118">
        <f t="shared" ca="1" si="17"/>
        <v>0</v>
      </c>
      <c r="K59" s="81">
        <f t="shared" si="17"/>
        <v>0</v>
      </c>
      <c r="L59" s="82">
        <f t="shared" si="17"/>
        <v>0</v>
      </c>
      <c r="M59" s="150"/>
      <c r="N59" s="80">
        <f t="shared" ref="N59:U59" si="18">N51</f>
        <v>0</v>
      </c>
      <c r="O59" s="80">
        <f t="shared" si="18"/>
        <v>0</v>
      </c>
      <c r="P59" s="80">
        <f t="shared" si="18"/>
        <v>0</v>
      </c>
      <c r="Q59" s="80">
        <f t="shared" ca="1" si="18"/>
        <v>1599.9999999999995</v>
      </c>
      <c r="R59" s="80">
        <f t="shared" si="18"/>
        <v>0</v>
      </c>
      <c r="S59" s="80">
        <f t="shared" si="18"/>
        <v>0</v>
      </c>
      <c r="T59" s="80">
        <f t="shared" si="18"/>
        <v>0</v>
      </c>
      <c r="U59" s="80">
        <f t="shared" si="18"/>
        <v>0</v>
      </c>
    </row>
    <row r="60" spans="1:27" ht="14.25" x14ac:dyDescent="0.2">
      <c r="A60" s="128">
        <f ca="1">TODAY()</f>
        <v>45834</v>
      </c>
      <c r="B60" s="138" t="str">
        <f>B45</f>
        <v>NOV/2022</v>
      </c>
      <c r="C60" s="134">
        <f ca="1">SUMIF($A$64:$A$93,"Realizado",C64:C93)</f>
        <v>1836530.5</v>
      </c>
      <c r="D60" s="134">
        <f ca="1">SUMIF($A$64:$A$93,"Realizado",D64:D93)</f>
        <v>1836180.64</v>
      </c>
      <c r="E60" s="134">
        <f ca="1">SUMIF($A$64:$A$93,"Realizado",E64:E93)</f>
        <v>349.86</v>
      </c>
      <c r="F60" s="135">
        <f ca="1">SUMIF($A$64:$A$93,"Realizado",F64:F93)</f>
        <v>6556</v>
      </c>
      <c r="G60" s="135">
        <f ca="1">SUMIF($A$64:$A$93,"Realizado",G64:G93)</f>
        <v>9839</v>
      </c>
      <c r="H60" s="134">
        <f ca="1">C60/F60</f>
        <v>280.12972849298353</v>
      </c>
      <c r="I60" s="134">
        <f ca="1">SUMIF($A$64:$A$93,"Realizado",I64:I93)</f>
        <v>32907.310000000005</v>
      </c>
      <c r="J60" s="136">
        <f ca="1">C60/I60</f>
        <v>55.80919558602632</v>
      </c>
      <c r="K60" s="135">
        <f>SUM(K64:K88)</f>
        <v>112777</v>
      </c>
      <c r="L60" s="137">
        <f ca="1">F60/K60</f>
        <v>5.8132420617679134E-2</v>
      </c>
      <c r="M60" s="21"/>
      <c r="N60" s="134">
        <f t="shared" ref="N60:S60" si="19">SUM(N64:N88)</f>
        <v>18569.98</v>
      </c>
      <c r="O60" s="134">
        <f t="shared" si="19"/>
        <v>8881.8000000000011</v>
      </c>
      <c r="P60" s="134">
        <f t="shared" si="19"/>
        <v>0</v>
      </c>
      <c r="Q60" s="134">
        <f t="shared" si="19"/>
        <v>1333.3333333333333</v>
      </c>
      <c r="R60" s="134">
        <f t="shared" si="19"/>
        <v>0</v>
      </c>
      <c r="S60" s="134">
        <f t="shared" si="19"/>
        <v>0</v>
      </c>
      <c r="T60" s="134">
        <f>JUN!T59</f>
        <v>0</v>
      </c>
      <c r="U60" s="134">
        <f>JUN!U59</f>
        <v>0</v>
      </c>
    </row>
    <row r="61" spans="1:27" x14ac:dyDescent="0.2">
      <c r="B61" s="83"/>
      <c r="C61" s="87">
        <f t="shared" ref="C61:L61" ca="1" si="20">C59-C60</f>
        <v>-1836530.5</v>
      </c>
      <c r="D61" s="87">
        <f t="shared" ca="1" si="20"/>
        <v>-1836180.64</v>
      </c>
      <c r="E61" s="87">
        <f t="shared" ca="1" si="20"/>
        <v>-349.86</v>
      </c>
      <c r="F61" s="88">
        <f t="shared" ca="1" si="20"/>
        <v>-6556</v>
      </c>
      <c r="G61" s="88">
        <f t="shared" ca="1" si="20"/>
        <v>-9839</v>
      </c>
      <c r="H61" s="87" t="e">
        <f t="shared" ca="1" si="20"/>
        <v>#DIV/0!</v>
      </c>
      <c r="I61" s="87">
        <f t="shared" ca="1" si="20"/>
        <v>-31307.310000000005</v>
      </c>
      <c r="J61" s="125">
        <f t="shared" ca="1" si="20"/>
        <v>-55.80919558602632</v>
      </c>
      <c r="K61" s="88">
        <f t="shared" si="20"/>
        <v>-112777</v>
      </c>
      <c r="L61" s="89">
        <f t="shared" ca="1" si="20"/>
        <v>-5.8132420617679134E-2</v>
      </c>
      <c r="M61" s="150"/>
    </row>
    <row r="62" spans="1:27" x14ac:dyDescent="0.2">
      <c r="B62" s="84"/>
      <c r="C62" s="85">
        <f ca="1">IFERROR(1-(C60/C59),0)</f>
        <v>0</v>
      </c>
      <c r="D62" s="85">
        <f t="shared" ref="D62:L62" ca="1" si="21">IFERROR(1-(D60/D59),0)</f>
        <v>0</v>
      </c>
      <c r="E62" s="85">
        <f t="shared" ca="1" si="21"/>
        <v>0</v>
      </c>
      <c r="F62" s="85">
        <f t="shared" ca="1" si="21"/>
        <v>0</v>
      </c>
      <c r="G62" s="85">
        <f t="shared" ca="1" si="21"/>
        <v>0</v>
      </c>
      <c r="H62" s="85">
        <f t="shared" ca="1" si="21"/>
        <v>0</v>
      </c>
      <c r="I62" s="85">
        <f t="shared" ca="1" si="21"/>
        <v>-19.567068750000008</v>
      </c>
      <c r="J62" s="85">
        <f t="shared" ca="1" si="21"/>
        <v>0</v>
      </c>
      <c r="K62" s="85">
        <f t="shared" si="21"/>
        <v>0</v>
      </c>
      <c r="L62" s="85">
        <f t="shared" ca="1" si="21"/>
        <v>0</v>
      </c>
      <c r="M62" s="150"/>
    </row>
    <row r="63" spans="1:27" x14ac:dyDescent="0.2">
      <c r="A63" s="180">
        <f ca="1">TODAY()</f>
        <v>45834</v>
      </c>
      <c r="B63" s="201"/>
    </row>
    <row r="64" spans="1:27" hidden="1" x14ac:dyDescent="0.2">
      <c r="A64" s="17" t="str">
        <f t="shared" ref="A64:A68" ca="1" si="22">IF($A$63&lt;=AA64,"Previsto","Realizado")</f>
        <v>Realizado</v>
      </c>
      <c r="B64" s="17">
        <v>44866</v>
      </c>
      <c r="C64" s="19">
        <f t="shared" ref="C64:C94" si="23">D64+E64</f>
        <v>52463.95</v>
      </c>
      <c r="D64" s="35">
        <f>_xlfn.XLOOKUP($B:$B,'Compilado 2023'!$B:$B,'Compilado 2023'!D:D)</f>
        <v>52463.95</v>
      </c>
      <c r="E64" s="35">
        <f>_xlfn.XLOOKUP($B:$B,'Compilado 2023'!$B:$B,'Compilado 2023'!E:E)</f>
        <v>0</v>
      </c>
      <c r="F64" s="18">
        <f>_xlfn.XLOOKUP($B:$B,'Compilado 2023'!$B:$B,'Compilado 2023'!F:F)</f>
        <v>183</v>
      </c>
      <c r="G64" s="18">
        <f>_xlfn.XLOOKUP($B:$B,'Compilado 2023'!$B:$B,'Compilado 2023'!G:G)</f>
        <v>245</v>
      </c>
      <c r="H64" s="35">
        <f t="shared" ref="H64:H94" si="24">IFERROR(C64/F64,0)</f>
        <v>286.6882513661202</v>
      </c>
      <c r="I64" s="19">
        <f t="shared" ref="I64:I94" si="25">SUM(N64:U64)</f>
        <v>910.10333333333335</v>
      </c>
      <c r="J64" s="122">
        <f t="shared" ref="J64:J94" si="26">IF(I64&gt;0,C64/I64,0)</f>
        <v>57.646146408283307</v>
      </c>
      <c r="K64" s="18">
        <f>_xlfn.XLOOKUP($B:$B,'Compilado 2023'!$B:$B,'Compilado 2023'!K:K)</f>
        <v>4309</v>
      </c>
      <c r="L64" s="54">
        <f t="shared" ref="L64:L94" si="27">IFERROR(F64/K64,0)</f>
        <v>4.2469250406126709E-2</v>
      </c>
      <c r="M64" s="149"/>
      <c r="N64" s="106">
        <f>_xlfn.XLOOKUP($B:$B,'Compilado 2023'!$B:$B,'Compilado 2023'!N:N)</f>
        <v>476.25</v>
      </c>
      <c r="O64" s="106">
        <f>_xlfn.XLOOKUP($B:$B,'Compilado 2023'!$B:$B,'Compilado 2023'!O:O)</f>
        <v>380.52</v>
      </c>
      <c r="P64" s="106">
        <f>_xlfn.XLOOKUP($B:$B,'Compilado 2023'!$B:$B,'Compilado 2023'!P:P)</f>
        <v>0</v>
      </c>
      <c r="Q64" s="106">
        <f>_xlfn.XLOOKUP($B:$B,'Compilado 2023'!$B:$B,'Compilado 2023'!Q:Q)</f>
        <v>53.333333333333336</v>
      </c>
      <c r="R64" s="106">
        <f>_xlfn.XLOOKUP($B:$B,'Compilado 2023'!$B:$B,'Compilado 2023'!R:R)</f>
        <v>0</v>
      </c>
      <c r="S64" s="106">
        <f>_xlfn.XLOOKUP($B:$B,'Compilado 2023'!$B:$B,'Compilado 2023'!T:T)</f>
        <v>0</v>
      </c>
      <c r="T64" s="106">
        <f>_xlfn.XLOOKUP($B:$B,'Compilado 2023'!$B:$B,'Compilado 2023'!U:U)</f>
        <v>0</v>
      </c>
      <c r="U64" s="106">
        <f>_xlfn.XLOOKUP($B:$B,'Compilado 2023'!$B:$B,'Compilado 2023'!V:V)</f>
        <v>0</v>
      </c>
      <c r="V64" s="57"/>
      <c r="W64" s="106">
        <f>_xlfn.XLOOKUP($B:$B,'Compilado 2023'!$B:$B,'Compilado 2023'!X:X)</f>
        <v>0</v>
      </c>
      <c r="X64" s="106">
        <f>_xlfn.XLOOKUP($B:$B,'Compilado 2023'!$B:$B,'Compilado 2023'!Y:Y)</f>
        <v>0</v>
      </c>
      <c r="Y64" s="106">
        <f>_xlfn.XLOOKUP($B:$B,'Compilado 2023'!$B:$B,'Compilado 2023'!Z:Z)</f>
        <v>0</v>
      </c>
      <c r="AA64" s="208">
        <v>45108</v>
      </c>
    </row>
    <row r="65" spans="1:27" hidden="1" x14ac:dyDescent="0.2">
      <c r="A65" s="17" t="str">
        <f t="shared" ca="1" si="22"/>
        <v>Realizado</v>
      </c>
      <c r="B65" s="17">
        <v>44867</v>
      </c>
      <c r="C65" s="19">
        <f t="shared" si="23"/>
        <v>28179.040000000001</v>
      </c>
      <c r="D65" s="35">
        <f>_xlfn.XLOOKUP($B:$B,'Compilado 2023'!$B:$B,'Compilado 2023'!D:D)</f>
        <v>28179.040000000001</v>
      </c>
      <c r="E65" s="35">
        <f>_xlfn.XLOOKUP($B:$B,'Compilado 2023'!$B:$B,'Compilado 2023'!E:E)</f>
        <v>0</v>
      </c>
      <c r="F65" s="18">
        <f>_xlfn.XLOOKUP($B:$B,'Compilado 2023'!$B:$B,'Compilado 2023'!F:F)</f>
        <v>107</v>
      </c>
      <c r="G65" s="18">
        <f>_xlfn.XLOOKUP($B:$B,'Compilado 2023'!$B:$B,'Compilado 2023'!G:G)</f>
        <v>139</v>
      </c>
      <c r="H65" s="35">
        <f t="shared" si="24"/>
        <v>263.35551401869162</v>
      </c>
      <c r="I65" s="19">
        <f t="shared" si="25"/>
        <v>916.58333333333337</v>
      </c>
      <c r="J65" s="122">
        <f t="shared" si="26"/>
        <v>30.743565778707154</v>
      </c>
      <c r="K65" s="18">
        <f>_xlfn.XLOOKUP($B:$B,'Compilado 2023'!$B:$B,'Compilado 2023'!K:K)</f>
        <v>3361</v>
      </c>
      <c r="L65" s="54">
        <f t="shared" si="27"/>
        <v>3.1835763165724486E-2</v>
      </c>
      <c r="M65" s="149"/>
      <c r="N65" s="106">
        <f>_xlfn.XLOOKUP($B:$B,'Compilado 2023'!$B:$B,'Compilado 2023'!N:N)</f>
        <v>444.97</v>
      </c>
      <c r="O65" s="106">
        <f>_xlfn.XLOOKUP($B:$B,'Compilado 2023'!$B:$B,'Compilado 2023'!O:O)</f>
        <v>418.28</v>
      </c>
      <c r="P65" s="106">
        <f>_xlfn.XLOOKUP($B:$B,'Compilado 2023'!$B:$B,'Compilado 2023'!P:P)</f>
        <v>0</v>
      </c>
      <c r="Q65" s="106">
        <f>_xlfn.XLOOKUP($B:$B,'Compilado 2023'!$B:$B,'Compilado 2023'!Q:Q)</f>
        <v>53.333333333333336</v>
      </c>
      <c r="R65" s="106">
        <f>_xlfn.XLOOKUP($B:$B,'Compilado 2023'!$B:$B,'Compilado 2023'!R:R)</f>
        <v>0</v>
      </c>
      <c r="S65" s="106">
        <f>_xlfn.XLOOKUP($B:$B,'Compilado 2023'!$B:$B,'Compilado 2023'!T:T)</f>
        <v>0</v>
      </c>
      <c r="T65" s="106">
        <f>_xlfn.XLOOKUP($B:$B,'Compilado 2023'!$B:$B,'Compilado 2023'!U:U)</f>
        <v>0</v>
      </c>
      <c r="U65" s="106">
        <f>_xlfn.XLOOKUP($B:$B,'Compilado 2023'!$B:$B,'Compilado 2023'!V:V)</f>
        <v>0</v>
      </c>
      <c r="V65" s="57"/>
      <c r="W65" s="106">
        <f>_xlfn.XLOOKUP($B:$B,'Compilado 2023'!$B:$B,'Compilado 2023'!X:X)</f>
        <v>0</v>
      </c>
      <c r="X65" s="106">
        <f>_xlfn.XLOOKUP($B:$B,'Compilado 2023'!$B:$B,'Compilado 2023'!Y:Y)</f>
        <v>0</v>
      </c>
      <c r="Y65" s="106">
        <f>_xlfn.XLOOKUP($B:$B,'Compilado 2023'!$B:$B,'Compilado 2023'!Z:Z)</f>
        <v>0</v>
      </c>
      <c r="AA65" s="208">
        <v>45109</v>
      </c>
    </row>
    <row r="66" spans="1:27" hidden="1" x14ac:dyDescent="0.2">
      <c r="A66" s="17" t="str">
        <f t="shared" ca="1" si="22"/>
        <v>Realizado</v>
      </c>
      <c r="B66" s="17">
        <v>44868</v>
      </c>
      <c r="C66" s="19">
        <f t="shared" si="23"/>
        <v>41401.97</v>
      </c>
      <c r="D66" s="35">
        <f>_xlfn.XLOOKUP($B:$B,'Compilado 2023'!$B:$B,'Compilado 2023'!D:D)</f>
        <v>41357.79</v>
      </c>
      <c r="E66" s="35">
        <f>_xlfn.XLOOKUP($B:$B,'Compilado 2023'!$B:$B,'Compilado 2023'!E:E)</f>
        <v>44.18</v>
      </c>
      <c r="F66" s="18">
        <f>_xlfn.XLOOKUP($B:$B,'Compilado 2023'!$B:$B,'Compilado 2023'!F:F)</f>
        <v>154</v>
      </c>
      <c r="G66" s="18">
        <f>_xlfn.XLOOKUP($B:$B,'Compilado 2023'!$B:$B,'Compilado 2023'!G:G)</f>
        <v>196</v>
      </c>
      <c r="H66" s="35">
        <f t="shared" si="24"/>
        <v>268.84396103896103</v>
      </c>
      <c r="I66" s="19">
        <f t="shared" si="25"/>
        <v>872.56333333333339</v>
      </c>
      <c r="J66" s="122">
        <f t="shared" si="26"/>
        <v>47.448670392598054</v>
      </c>
      <c r="K66" s="18">
        <f>_xlfn.XLOOKUP($B:$B,'Compilado 2023'!$B:$B,'Compilado 2023'!K:K)</f>
        <v>4088</v>
      </c>
      <c r="L66" s="54">
        <f t="shared" si="27"/>
        <v>3.7671232876712327E-2</v>
      </c>
      <c r="M66" s="149"/>
      <c r="N66" s="106">
        <f>_xlfn.XLOOKUP($B:$B,'Compilado 2023'!$B:$B,'Compilado 2023'!N:N)</f>
        <v>507.49</v>
      </c>
      <c r="O66" s="106">
        <f>_xlfn.XLOOKUP($B:$B,'Compilado 2023'!$B:$B,'Compilado 2023'!O:O)</f>
        <v>311.74</v>
      </c>
      <c r="P66" s="106">
        <f>_xlfn.XLOOKUP($B:$B,'Compilado 2023'!$B:$B,'Compilado 2023'!P:P)</f>
        <v>0</v>
      </c>
      <c r="Q66" s="106">
        <f>_xlfn.XLOOKUP($B:$B,'Compilado 2023'!$B:$B,'Compilado 2023'!Q:Q)</f>
        <v>53.333333333333336</v>
      </c>
      <c r="R66" s="106">
        <f>_xlfn.XLOOKUP($B:$B,'Compilado 2023'!$B:$B,'Compilado 2023'!R:R)</f>
        <v>0</v>
      </c>
      <c r="S66" s="106">
        <f>_xlfn.XLOOKUP($B:$B,'Compilado 2023'!$B:$B,'Compilado 2023'!T:T)</f>
        <v>0</v>
      </c>
      <c r="T66" s="106">
        <f>_xlfn.XLOOKUP($B:$B,'Compilado 2023'!$B:$B,'Compilado 2023'!U:U)</f>
        <v>0</v>
      </c>
      <c r="U66" s="106">
        <f>_xlfn.XLOOKUP($B:$B,'Compilado 2023'!$B:$B,'Compilado 2023'!V:V)</f>
        <v>0</v>
      </c>
      <c r="V66" s="57"/>
      <c r="W66" s="106">
        <f>_xlfn.XLOOKUP($B:$B,'Compilado 2023'!$B:$B,'Compilado 2023'!X:X)</f>
        <v>0</v>
      </c>
      <c r="X66" s="106">
        <f>_xlfn.XLOOKUP($B:$B,'Compilado 2023'!$B:$B,'Compilado 2023'!Y:Y)</f>
        <v>0</v>
      </c>
      <c r="Y66" s="106">
        <f>_xlfn.XLOOKUP($B:$B,'Compilado 2023'!$B:$B,'Compilado 2023'!Z:Z)</f>
        <v>0</v>
      </c>
      <c r="AA66" s="208">
        <v>45110</v>
      </c>
    </row>
    <row r="67" spans="1:27" hidden="1" x14ac:dyDescent="0.2">
      <c r="A67" s="17" t="str">
        <f t="shared" ca="1" si="22"/>
        <v>Realizado</v>
      </c>
      <c r="B67" s="17">
        <v>44869</v>
      </c>
      <c r="C67" s="19">
        <f t="shared" si="23"/>
        <v>49293.59</v>
      </c>
      <c r="D67" s="35">
        <f>_xlfn.XLOOKUP($B:$B,'Compilado 2023'!$B:$B,'Compilado 2023'!D:D)</f>
        <v>49293.59</v>
      </c>
      <c r="E67" s="35">
        <f>_xlfn.XLOOKUP($B:$B,'Compilado 2023'!$B:$B,'Compilado 2023'!E:E)</f>
        <v>0</v>
      </c>
      <c r="F67" s="18">
        <f>_xlfn.XLOOKUP($B:$B,'Compilado 2023'!$B:$B,'Compilado 2023'!F:F)</f>
        <v>178</v>
      </c>
      <c r="G67" s="18">
        <f>_xlfn.XLOOKUP($B:$B,'Compilado 2023'!$B:$B,'Compilado 2023'!G:G)</f>
        <v>257</v>
      </c>
      <c r="H67" s="35">
        <f t="shared" si="24"/>
        <v>276.93028089887639</v>
      </c>
      <c r="I67" s="19">
        <f t="shared" si="25"/>
        <v>824.98333333333346</v>
      </c>
      <c r="J67" s="122">
        <f t="shared" si="26"/>
        <v>59.751013151780832</v>
      </c>
      <c r="K67" s="18">
        <f>_xlfn.XLOOKUP($B:$B,'Compilado 2023'!$B:$B,'Compilado 2023'!K:K)</f>
        <v>3941</v>
      </c>
      <c r="L67" s="54">
        <f t="shared" si="27"/>
        <v>4.516620147170769E-2</v>
      </c>
      <c r="M67" s="149"/>
      <c r="N67" s="106">
        <f>_xlfn.XLOOKUP($B:$B,'Compilado 2023'!$B:$B,'Compilado 2023'!N:N)</f>
        <v>439.85</v>
      </c>
      <c r="O67" s="106">
        <f>_xlfn.XLOOKUP($B:$B,'Compilado 2023'!$B:$B,'Compilado 2023'!O:O)</f>
        <v>331.8</v>
      </c>
      <c r="P67" s="106">
        <f>_xlfn.XLOOKUP($B:$B,'Compilado 2023'!$B:$B,'Compilado 2023'!P:P)</f>
        <v>0</v>
      </c>
      <c r="Q67" s="106">
        <f>_xlfn.XLOOKUP($B:$B,'Compilado 2023'!$B:$B,'Compilado 2023'!Q:Q)</f>
        <v>53.333333333333336</v>
      </c>
      <c r="R67" s="106">
        <f>_xlfn.XLOOKUP($B:$B,'Compilado 2023'!$B:$B,'Compilado 2023'!R:R)</f>
        <v>0</v>
      </c>
      <c r="S67" s="106">
        <f>_xlfn.XLOOKUP($B:$B,'Compilado 2023'!$B:$B,'Compilado 2023'!T:T)</f>
        <v>0</v>
      </c>
      <c r="T67" s="106">
        <f>_xlfn.XLOOKUP($B:$B,'Compilado 2023'!$B:$B,'Compilado 2023'!U:U)</f>
        <v>0</v>
      </c>
      <c r="U67" s="106">
        <f>_xlfn.XLOOKUP($B:$B,'Compilado 2023'!$B:$B,'Compilado 2023'!V:V)</f>
        <v>0</v>
      </c>
      <c r="V67" s="57"/>
      <c r="W67" s="106">
        <f>_xlfn.XLOOKUP($B:$B,'Compilado 2023'!$B:$B,'Compilado 2023'!X:X)</f>
        <v>0</v>
      </c>
      <c r="X67" s="106">
        <f>_xlfn.XLOOKUP($B:$B,'Compilado 2023'!$B:$B,'Compilado 2023'!Y:Y)</f>
        <v>0</v>
      </c>
      <c r="Y67" s="106">
        <f>_xlfn.XLOOKUP($B:$B,'Compilado 2023'!$B:$B,'Compilado 2023'!Z:Z)</f>
        <v>0</v>
      </c>
      <c r="AA67" s="208">
        <v>45111</v>
      </c>
    </row>
    <row r="68" spans="1:27" hidden="1" x14ac:dyDescent="0.2">
      <c r="A68" s="17" t="str">
        <f t="shared" ca="1" si="22"/>
        <v>Realizado</v>
      </c>
      <c r="B68" s="17">
        <v>44870</v>
      </c>
      <c r="C68" s="19">
        <f t="shared" si="23"/>
        <v>32532.11</v>
      </c>
      <c r="D68" s="35">
        <f>_xlfn.XLOOKUP($B:$B,'Compilado 2023'!$B:$B,'Compilado 2023'!D:D)</f>
        <v>32532.11</v>
      </c>
      <c r="E68" s="35">
        <f>_xlfn.XLOOKUP($B:$B,'Compilado 2023'!$B:$B,'Compilado 2023'!E:E)</f>
        <v>0</v>
      </c>
      <c r="F68" s="18">
        <f>_xlfn.XLOOKUP($B:$B,'Compilado 2023'!$B:$B,'Compilado 2023'!F:F)</f>
        <v>112</v>
      </c>
      <c r="G68" s="18">
        <f>_xlfn.XLOOKUP($B:$B,'Compilado 2023'!$B:$B,'Compilado 2023'!G:G)</f>
        <v>137</v>
      </c>
      <c r="H68" s="35">
        <f t="shared" si="24"/>
        <v>290.46526785714286</v>
      </c>
      <c r="I68" s="19">
        <f t="shared" si="25"/>
        <v>821.83333333333337</v>
      </c>
      <c r="J68" s="122">
        <f t="shared" si="26"/>
        <v>39.58480227134455</v>
      </c>
      <c r="K68" s="18">
        <f>_xlfn.XLOOKUP($B:$B,'Compilado 2023'!$B:$B,'Compilado 2023'!K:K)</f>
        <v>2984</v>
      </c>
      <c r="L68" s="54">
        <f t="shared" si="27"/>
        <v>3.7533512064343161E-2</v>
      </c>
      <c r="M68" s="149"/>
      <c r="N68" s="106">
        <f>_xlfn.XLOOKUP($B:$B,'Compilado 2023'!$B:$B,'Compilado 2023'!N:N)</f>
        <v>441.25</v>
      </c>
      <c r="O68" s="106">
        <f>_xlfn.XLOOKUP($B:$B,'Compilado 2023'!$B:$B,'Compilado 2023'!O:O)</f>
        <v>327.25</v>
      </c>
      <c r="P68" s="106">
        <f>_xlfn.XLOOKUP($B:$B,'Compilado 2023'!$B:$B,'Compilado 2023'!P:P)</f>
        <v>0</v>
      </c>
      <c r="Q68" s="106">
        <f>_xlfn.XLOOKUP($B:$B,'Compilado 2023'!$B:$B,'Compilado 2023'!Q:Q)</f>
        <v>53.333333333333336</v>
      </c>
      <c r="R68" s="106">
        <f>_xlfn.XLOOKUP($B:$B,'Compilado 2023'!$B:$B,'Compilado 2023'!R:R)</f>
        <v>0</v>
      </c>
      <c r="S68" s="106">
        <f>_xlfn.XLOOKUP($B:$B,'Compilado 2023'!$B:$B,'Compilado 2023'!T:T)</f>
        <v>0</v>
      </c>
      <c r="T68" s="106">
        <f>_xlfn.XLOOKUP($B:$B,'Compilado 2023'!$B:$B,'Compilado 2023'!U:U)</f>
        <v>0</v>
      </c>
      <c r="U68" s="106">
        <f>_xlfn.XLOOKUP($B:$B,'Compilado 2023'!$B:$B,'Compilado 2023'!V:V)</f>
        <v>0</v>
      </c>
      <c r="V68" s="57"/>
      <c r="W68" s="106">
        <f>_xlfn.XLOOKUP($B:$B,'Compilado 2023'!$B:$B,'Compilado 2023'!X:X)</f>
        <v>0</v>
      </c>
      <c r="X68" s="106">
        <f>_xlfn.XLOOKUP($B:$B,'Compilado 2023'!$B:$B,'Compilado 2023'!Y:Y)</f>
        <v>0</v>
      </c>
      <c r="Y68" s="106">
        <f>_xlfn.XLOOKUP($B:$B,'Compilado 2023'!$B:$B,'Compilado 2023'!Z:Z)</f>
        <v>0</v>
      </c>
      <c r="AA68" s="208">
        <v>45112</v>
      </c>
    </row>
    <row r="69" spans="1:27" hidden="1" x14ac:dyDescent="0.2">
      <c r="A69" s="17" t="str">
        <f ca="1">IF($A$63&lt;=AA69,"Previsto","Realizado")</f>
        <v>Realizado</v>
      </c>
      <c r="B69" s="17">
        <v>44871</v>
      </c>
      <c r="C69" s="19">
        <f t="shared" si="23"/>
        <v>18743.48</v>
      </c>
      <c r="D69" s="35">
        <f>_xlfn.XLOOKUP($B:$B,'Compilado 2023'!$B:$B,'Compilado 2023'!D:D)</f>
        <v>18743.48</v>
      </c>
      <c r="E69" s="35">
        <f>_xlfn.XLOOKUP($B:$B,'Compilado 2023'!$B:$B,'Compilado 2023'!E:E)</f>
        <v>0</v>
      </c>
      <c r="F69" s="18">
        <f>_xlfn.XLOOKUP($B:$B,'Compilado 2023'!$B:$B,'Compilado 2023'!F:F)</f>
        <v>66</v>
      </c>
      <c r="G69" s="18">
        <f>_xlfn.XLOOKUP($B:$B,'Compilado 2023'!$B:$B,'Compilado 2023'!G:G)</f>
        <v>83</v>
      </c>
      <c r="H69" s="35">
        <f t="shared" si="24"/>
        <v>283.99212121212122</v>
      </c>
      <c r="I69" s="19">
        <f t="shared" si="25"/>
        <v>784.37333333333333</v>
      </c>
      <c r="J69" s="122">
        <f t="shared" si="26"/>
        <v>23.896120894811993</v>
      </c>
      <c r="K69" s="18">
        <f>_xlfn.XLOOKUP($B:$B,'Compilado 2023'!$B:$B,'Compilado 2023'!K:K)</f>
        <v>2587</v>
      </c>
      <c r="L69" s="54">
        <f t="shared" si="27"/>
        <v>2.5512176265945111E-2</v>
      </c>
      <c r="M69" s="149"/>
      <c r="N69" s="106">
        <f>_xlfn.XLOOKUP($B:$B,'Compilado 2023'!$B:$B,'Compilado 2023'!N:N)</f>
        <v>413.47</v>
      </c>
      <c r="O69" s="106">
        <f>_xlfn.XLOOKUP($B:$B,'Compilado 2023'!$B:$B,'Compilado 2023'!O:O)</f>
        <v>317.57</v>
      </c>
      <c r="P69" s="106">
        <f>_xlfn.XLOOKUP($B:$B,'Compilado 2023'!$B:$B,'Compilado 2023'!P:P)</f>
        <v>0</v>
      </c>
      <c r="Q69" s="106">
        <f>_xlfn.XLOOKUP($B:$B,'Compilado 2023'!$B:$B,'Compilado 2023'!Q:Q)</f>
        <v>53.333333333333336</v>
      </c>
      <c r="R69" s="106">
        <f>_xlfn.XLOOKUP($B:$B,'Compilado 2023'!$B:$B,'Compilado 2023'!R:R)</f>
        <v>0</v>
      </c>
      <c r="S69" s="106">
        <f>_xlfn.XLOOKUP($B:$B,'Compilado 2023'!$B:$B,'Compilado 2023'!T:T)</f>
        <v>0</v>
      </c>
      <c r="T69" s="106">
        <f>_xlfn.XLOOKUP($B:$B,'Compilado 2023'!$B:$B,'Compilado 2023'!U:U)</f>
        <v>0</v>
      </c>
      <c r="U69" s="106">
        <f>_xlfn.XLOOKUP($B:$B,'Compilado 2023'!$B:$B,'Compilado 2023'!V:V)</f>
        <v>0</v>
      </c>
      <c r="V69" s="57"/>
      <c r="W69" s="106">
        <f>_xlfn.XLOOKUP($B:$B,'Compilado 2023'!$B:$B,'Compilado 2023'!X:X)</f>
        <v>0</v>
      </c>
      <c r="X69" s="106">
        <f>_xlfn.XLOOKUP($B:$B,'Compilado 2023'!$B:$B,'Compilado 2023'!Y:Y)</f>
        <v>0</v>
      </c>
      <c r="Y69" s="106">
        <f>_xlfn.XLOOKUP($B:$B,'Compilado 2023'!$B:$B,'Compilado 2023'!Z:Z)</f>
        <v>0</v>
      </c>
      <c r="AA69" s="208">
        <v>45113</v>
      </c>
    </row>
    <row r="70" spans="1:27" hidden="1" x14ac:dyDescent="0.2">
      <c r="A70" s="17" t="str">
        <f t="shared" ref="A70:A94" ca="1" si="28">IF($A$63&lt;=AA70,"Previsto","Realizado")</f>
        <v>Realizado</v>
      </c>
      <c r="B70" s="17">
        <v>44872</v>
      </c>
      <c r="C70" s="19">
        <f t="shared" si="23"/>
        <v>50476.14</v>
      </c>
      <c r="D70" s="35">
        <f>_xlfn.XLOOKUP($B:$B,'Compilado 2023'!$B:$B,'Compilado 2023'!D:D)</f>
        <v>50453.83</v>
      </c>
      <c r="E70" s="35">
        <f>_xlfn.XLOOKUP($B:$B,'Compilado 2023'!$B:$B,'Compilado 2023'!E:E)</f>
        <v>22.31</v>
      </c>
      <c r="F70" s="18">
        <f>_xlfn.XLOOKUP($B:$B,'Compilado 2023'!$B:$B,'Compilado 2023'!F:F)</f>
        <v>156</v>
      </c>
      <c r="G70" s="18">
        <f>_xlfn.XLOOKUP($B:$B,'Compilado 2023'!$B:$B,'Compilado 2023'!G:G)</f>
        <v>236</v>
      </c>
      <c r="H70" s="35">
        <f t="shared" si="24"/>
        <v>323.565</v>
      </c>
      <c r="I70" s="19">
        <f t="shared" si="25"/>
        <v>863.98333333333346</v>
      </c>
      <c r="J70" s="122">
        <f t="shared" si="26"/>
        <v>58.422585312216661</v>
      </c>
      <c r="K70" s="18">
        <f>_xlfn.XLOOKUP($B:$B,'Compilado 2023'!$B:$B,'Compilado 2023'!K:K)</f>
        <v>4378</v>
      </c>
      <c r="L70" s="54">
        <f t="shared" si="27"/>
        <v>3.563270899954317E-2</v>
      </c>
      <c r="M70" s="149"/>
      <c r="N70" s="106">
        <f>_xlfn.XLOOKUP($B:$B,'Compilado 2023'!$B:$B,'Compilado 2023'!N:N)</f>
        <v>487.54</v>
      </c>
      <c r="O70" s="106">
        <f>_xlfn.XLOOKUP($B:$B,'Compilado 2023'!$B:$B,'Compilado 2023'!O:O)</f>
        <v>323.11</v>
      </c>
      <c r="P70" s="106">
        <f>_xlfn.XLOOKUP($B:$B,'Compilado 2023'!$B:$B,'Compilado 2023'!P:P)</f>
        <v>0</v>
      </c>
      <c r="Q70" s="106">
        <f>_xlfn.XLOOKUP($B:$B,'Compilado 2023'!$B:$B,'Compilado 2023'!Q:Q)</f>
        <v>53.333333333333336</v>
      </c>
      <c r="R70" s="106">
        <f>_xlfn.XLOOKUP($B:$B,'Compilado 2023'!$B:$B,'Compilado 2023'!R:R)</f>
        <v>0</v>
      </c>
      <c r="S70" s="106">
        <f>_xlfn.XLOOKUP($B:$B,'Compilado 2023'!$B:$B,'Compilado 2023'!T:T)</f>
        <v>0</v>
      </c>
      <c r="T70" s="106">
        <f>_xlfn.XLOOKUP($B:$B,'Compilado 2023'!$B:$B,'Compilado 2023'!U:U)</f>
        <v>0</v>
      </c>
      <c r="U70" s="106">
        <f>_xlfn.XLOOKUP($B:$B,'Compilado 2023'!$B:$B,'Compilado 2023'!V:V)</f>
        <v>0</v>
      </c>
      <c r="V70" s="57"/>
      <c r="W70" s="106">
        <f>_xlfn.XLOOKUP($B:$B,'Compilado 2023'!$B:$B,'Compilado 2023'!X:X)</f>
        <v>0</v>
      </c>
      <c r="X70" s="106">
        <f>_xlfn.XLOOKUP($B:$B,'Compilado 2023'!$B:$B,'Compilado 2023'!Y:Y)</f>
        <v>0</v>
      </c>
      <c r="Y70" s="106">
        <f>_xlfn.XLOOKUP($B:$B,'Compilado 2023'!$B:$B,'Compilado 2023'!Z:Z)</f>
        <v>0</v>
      </c>
      <c r="AA70" s="208">
        <v>45114</v>
      </c>
    </row>
    <row r="71" spans="1:27" hidden="1" x14ac:dyDescent="0.2">
      <c r="A71" s="17" t="str">
        <f t="shared" ca="1" si="28"/>
        <v>Realizado</v>
      </c>
      <c r="B71" s="17">
        <v>44873</v>
      </c>
      <c r="C71" s="19">
        <f t="shared" si="23"/>
        <v>45692.1</v>
      </c>
      <c r="D71" s="35">
        <f>_xlfn.XLOOKUP($B:$B,'Compilado 2023'!$B:$B,'Compilado 2023'!D:D)</f>
        <v>45692.1</v>
      </c>
      <c r="E71" s="35">
        <f>_xlfn.XLOOKUP($B:$B,'Compilado 2023'!$B:$B,'Compilado 2023'!E:E)</f>
        <v>0</v>
      </c>
      <c r="F71" s="18">
        <f>_xlfn.XLOOKUP($B:$B,'Compilado 2023'!$B:$B,'Compilado 2023'!F:F)</f>
        <v>157</v>
      </c>
      <c r="G71" s="18">
        <f>_xlfn.XLOOKUP($B:$B,'Compilado 2023'!$B:$B,'Compilado 2023'!G:G)</f>
        <v>187</v>
      </c>
      <c r="H71" s="35">
        <f t="shared" si="24"/>
        <v>291.03248407643309</v>
      </c>
      <c r="I71" s="19">
        <f t="shared" si="25"/>
        <v>882.09333333333336</v>
      </c>
      <c r="J71" s="122">
        <f t="shared" si="26"/>
        <v>51.799620599483042</v>
      </c>
      <c r="K71" s="18">
        <f>_xlfn.XLOOKUP($B:$B,'Compilado 2023'!$B:$B,'Compilado 2023'!K:K)</f>
        <v>4432</v>
      </c>
      <c r="L71" s="54">
        <f t="shared" si="27"/>
        <v>3.5424187725631766E-2</v>
      </c>
      <c r="M71" s="149"/>
      <c r="N71" s="106">
        <f>_xlfn.XLOOKUP($B:$B,'Compilado 2023'!$B:$B,'Compilado 2023'!N:N)</f>
        <v>499.29</v>
      </c>
      <c r="O71" s="106">
        <f>_xlfn.XLOOKUP($B:$B,'Compilado 2023'!$B:$B,'Compilado 2023'!O:O)</f>
        <v>329.47</v>
      </c>
      <c r="P71" s="106">
        <f>_xlfn.XLOOKUP($B:$B,'Compilado 2023'!$B:$B,'Compilado 2023'!P:P)</f>
        <v>0</v>
      </c>
      <c r="Q71" s="106">
        <f>_xlfn.XLOOKUP($B:$B,'Compilado 2023'!$B:$B,'Compilado 2023'!Q:Q)</f>
        <v>53.333333333333336</v>
      </c>
      <c r="R71" s="106">
        <f>_xlfn.XLOOKUP($B:$B,'Compilado 2023'!$B:$B,'Compilado 2023'!R:R)</f>
        <v>0</v>
      </c>
      <c r="S71" s="106">
        <f>_xlfn.XLOOKUP($B:$B,'Compilado 2023'!$B:$B,'Compilado 2023'!T:T)</f>
        <v>0</v>
      </c>
      <c r="T71" s="106">
        <f>_xlfn.XLOOKUP($B:$B,'Compilado 2023'!$B:$B,'Compilado 2023'!U:U)</f>
        <v>0</v>
      </c>
      <c r="U71" s="106">
        <f>_xlfn.XLOOKUP($B:$B,'Compilado 2023'!$B:$B,'Compilado 2023'!V:V)</f>
        <v>0</v>
      </c>
      <c r="V71" s="57"/>
      <c r="W71" s="106">
        <f>_xlfn.XLOOKUP($B:$B,'Compilado 2023'!$B:$B,'Compilado 2023'!X:X)</f>
        <v>0</v>
      </c>
      <c r="X71" s="106">
        <f>_xlfn.XLOOKUP($B:$B,'Compilado 2023'!$B:$B,'Compilado 2023'!Y:Y)</f>
        <v>0</v>
      </c>
      <c r="Y71" s="106">
        <f>_xlfn.XLOOKUP($B:$B,'Compilado 2023'!$B:$B,'Compilado 2023'!Z:Z)</f>
        <v>0</v>
      </c>
      <c r="AA71" s="208">
        <v>45115</v>
      </c>
    </row>
    <row r="72" spans="1:27" hidden="1" x14ac:dyDescent="0.2">
      <c r="A72" s="17" t="str">
        <f t="shared" ca="1" si="28"/>
        <v>Realizado</v>
      </c>
      <c r="B72" s="17">
        <v>44874</v>
      </c>
      <c r="C72" s="19">
        <f t="shared" si="23"/>
        <v>64711.35</v>
      </c>
      <c r="D72" s="35">
        <f>_xlfn.XLOOKUP($B:$B,'Compilado 2023'!$B:$B,'Compilado 2023'!D:D)</f>
        <v>64711.35</v>
      </c>
      <c r="E72" s="35">
        <f>_xlfn.XLOOKUP($B:$B,'Compilado 2023'!$B:$B,'Compilado 2023'!E:E)</f>
        <v>0</v>
      </c>
      <c r="F72" s="18">
        <f>_xlfn.XLOOKUP($B:$B,'Compilado 2023'!$B:$B,'Compilado 2023'!F:F)</f>
        <v>281</v>
      </c>
      <c r="G72" s="18">
        <f>_xlfn.XLOOKUP($B:$B,'Compilado 2023'!$B:$B,'Compilado 2023'!G:G)</f>
        <v>407</v>
      </c>
      <c r="H72" s="35">
        <f t="shared" si="24"/>
        <v>230.28950177935943</v>
      </c>
      <c r="I72" s="19">
        <f t="shared" si="25"/>
        <v>999.24333333333334</v>
      </c>
      <c r="J72" s="122">
        <f t="shared" si="26"/>
        <v>64.760351999679756</v>
      </c>
      <c r="K72" s="18">
        <f>_xlfn.XLOOKUP($B:$B,'Compilado 2023'!$B:$B,'Compilado 2023'!K:K)</f>
        <v>4915</v>
      </c>
      <c r="L72" s="54">
        <f t="shared" si="27"/>
        <v>5.7171922685656157E-2</v>
      </c>
      <c r="M72" s="149"/>
      <c r="N72" s="106">
        <f>_xlfn.XLOOKUP($B:$B,'Compilado 2023'!$B:$B,'Compilado 2023'!N:N)</f>
        <v>566.65</v>
      </c>
      <c r="O72" s="106">
        <f>_xlfn.XLOOKUP($B:$B,'Compilado 2023'!$B:$B,'Compilado 2023'!O:O)</f>
        <v>379.26</v>
      </c>
      <c r="P72" s="106">
        <f>_xlfn.XLOOKUP($B:$B,'Compilado 2023'!$B:$B,'Compilado 2023'!P:P)</f>
        <v>0</v>
      </c>
      <c r="Q72" s="106">
        <f>_xlfn.XLOOKUP($B:$B,'Compilado 2023'!$B:$B,'Compilado 2023'!Q:Q)</f>
        <v>53.333333333333336</v>
      </c>
      <c r="R72" s="106">
        <f>_xlfn.XLOOKUP($B:$B,'Compilado 2023'!$B:$B,'Compilado 2023'!R:R)</f>
        <v>0</v>
      </c>
      <c r="S72" s="106">
        <f>_xlfn.XLOOKUP($B:$B,'Compilado 2023'!$B:$B,'Compilado 2023'!T:T)</f>
        <v>0</v>
      </c>
      <c r="T72" s="106">
        <f>_xlfn.XLOOKUP($B:$B,'Compilado 2023'!$B:$B,'Compilado 2023'!U:U)</f>
        <v>0</v>
      </c>
      <c r="U72" s="106">
        <f>_xlfn.XLOOKUP($B:$B,'Compilado 2023'!$B:$B,'Compilado 2023'!V:V)</f>
        <v>0</v>
      </c>
      <c r="V72" s="57"/>
      <c r="W72" s="106">
        <f>_xlfn.XLOOKUP($B:$B,'Compilado 2023'!$B:$B,'Compilado 2023'!X:X)</f>
        <v>0</v>
      </c>
      <c r="X72" s="106">
        <f>_xlfn.XLOOKUP($B:$B,'Compilado 2023'!$B:$B,'Compilado 2023'!Y:Y)</f>
        <v>0</v>
      </c>
      <c r="Y72" s="106">
        <f>_xlfn.XLOOKUP($B:$B,'Compilado 2023'!$B:$B,'Compilado 2023'!Z:Z)</f>
        <v>0</v>
      </c>
      <c r="AA72" s="208">
        <v>45116</v>
      </c>
    </row>
    <row r="73" spans="1:27" hidden="1" x14ac:dyDescent="0.2">
      <c r="A73" s="17" t="str">
        <f t="shared" ca="1" si="28"/>
        <v>Realizado</v>
      </c>
      <c r="B73" s="17">
        <v>44875</v>
      </c>
      <c r="C73" s="19">
        <f t="shared" si="23"/>
        <v>62344.07</v>
      </c>
      <c r="D73" s="35">
        <f>_xlfn.XLOOKUP($B:$B,'Compilado 2023'!$B:$B,'Compilado 2023'!D:D)</f>
        <v>62344.07</v>
      </c>
      <c r="E73" s="35">
        <f>_xlfn.XLOOKUP($B:$B,'Compilado 2023'!$B:$B,'Compilado 2023'!E:E)</f>
        <v>0</v>
      </c>
      <c r="F73" s="18">
        <f>_xlfn.XLOOKUP($B:$B,'Compilado 2023'!$B:$B,'Compilado 2023'!F:F)</f>
        <v>241</v>
      </c>
      <c r="G73" s="18">
        <f>_xlfn.XLOOKUP($B:$B,'Compilado 2023'!$B:$B,'Compilado 2023'!G:G)</f>
        <v>356</v>
      </c>
      <c r="H73" s="35">
        <f t="shared" si="24"/>
        <v>258.68908713692946</v>
      </c>
      <c r="I73" s="19">
        <f t="shared" si="25"/>
        <v>962.20333333333326</v>
      </c>
      <c r="J73" s="122">
        <f t="shared" si="26"/>
        <v>64.793030579122231</v>
      </c>
      <c r="K73" s="18">
        <f>_xlfn.XLOOKUP($B:$B,'Compilado 2023'!$B:$B,'Compilado 2023'!K:K)</f>
        <v>4853</v>
      </c>
      <c r="L73" s="54">
        <f t="shared" si="27"/>
        <v>4.9660004121162164E-2</v>
      </c>
      <c r="M73" s="149"/>
      <c r="N73" s="106">
        <f>_xlfn.XLOOKUP($B:$B,'Compilado 2023'!$B:$B,'Compilado 2023'!N:N)</f>
        <v>547.80999999999995</v>
      </c>
      <c r="O73" s="106">
        <f>_xlfn.XLOOKUP($B:$B,'Compilado 2023'!$B:$B,'Compilado 2023'!O:O)</f>
        <v>361.06</v>
      </c>
      <c r="P73" s="106">
        <f>_xlfn.XLOOKUP($B:$B,'Compilado 2023'!$B:$B,'Compilado 2023'!P:P)</f>
        <v>0</v>
      </c>
      <c r="Q73" s="106">
        <f>_xlfn.XLOOKUP($B:$B,'Compilado 2023'!$B:$B,'Compilado 2023'!Q:Q)</f>
        <v>53.333333333333336</v>
      </c>
      <c r="R73" s="106">
        <f>_xlfn.XLOOKUP($B:$B,'Compilado 2023'!$B:$B,'Compilado 2023'!R:R)</f>
        <v>0</v>
      </c>
      <c r="S73" s="106">
        <f>_xlfn.XLOOKUP($B:$B,'Compilado 2023'!$B:$B,'Compilado 2023'!T:T)</f>
        <v>0</v>
      </c>
      <c r="T73" s="106">
        <f>_xlfn.XLOOKUP($B:$B,'Compilado 2023'!$B:$B,'Compilado 2023'!U:U)</f>
        <v>0</v>
      </c>
      <c r="U73" s="106">
        <f>_xlfn.XLOOKUP($B:$B,'Compilado 2023'!$B:$B,'Compilado 2023'!V:V)</f>
        <v>0</v>
      </c>
      <c r="V73" s="57"/>
      <c r="W73" s="106">
        <f>_xlfn.XLOOKUP($B:$B,'Compilado 2023'!$B:$B,'Compilado 2023'!X:X)</f>
        <v>0</v>
      </c>
      <c r="X73" s="106">
        <f>_xlfn.XLOOKUP($B:$B,'Compilado 2023'!$B:$B,'Compilado 2023'!Y:Y)</f>
        <v>0</v>
      </c>
      <c r="Y73" s="106">
        <f>_xlfn.XLOOKUP($B:$B,'Compilado 2023'!$B:$B,'Compilado 2023'!Z:Z)</f>
        <v>0</v>
      </c>
      <c r="AA73" s="208">
        <v>45117</v>
      </c>
    </row>
    <row r="74" spans="1:27" hidden="1" x14ac:dyDescent="0.2">
      <c r="A74" s="17" t="str">
        <f t="shared" ca="1" si="28"/>
        <v>Realizado</v>
      </c>
      <c r="B74" s="17">
        <v>44876</v>
      </c>
      <c r="C74" s="19">
        <f t="shared" si="23"/>
        <v>59936.65</v>
      </c>
      <c r="D74" s="35">
        <f>_xlfn.XLOOKUP($B:$B,'Compilado 2023'!$B:$B,'Compilado 2023'!D:D)</f>
        <v>59936.65</v>
      </c>
      <c r="E74" s="35">
        <f>_xlfn.XLOOKUP($B:$B,'Compilado 2023'!$B:$B,'Compilado 2023'!E:E)</f>
        <v>0</v>
      </c>
      <c r="F74" s="18">
        <f>_xlfn.XLOOKUP($B:$B,'Compilado 2023'!$B:$B,'Compilado 2023'!F:F)</f>
        <v>246</v>
      </c>
      <c r="G74" s="18">
        <f>_xlfn.XLOOKUP($B:$B,'Compilado 2023'!$B:$B,'Compilado 2023'!G:G)</f>
        <v>335</v>
      </c>
      <c r="H74" s="35">
        <f t="shared" si="24"/>
        <v>243.644918699187</v>
      </c>
      <c r="I74" s="19">
        <f t="shared" si="25"/>
        <v>1051.9133333333332</v>
      </c>
      <c r="J74" s="122">
        <f t="shared" si="26"/>
        <v>56.978695963545803</v>
      </c>
      <c r="K74" s="18">
        <f>_xlfn.XLOOKUP($B:$B,'Compilado 2023'!$B:$B,'Compilado 2023'!K:K)</f>
        <v>4453</v>
      </c>
      <c r="L74" s="54">
        <f t="shared" si="27"/>
        <v>5.5243655962272625E-2</v>
      </c>
      <c r="M74" s="149"/>
      <c r="N74" s="106">
        <f>_xlfn.XLOOKUP($B:$B,'Compilado 2023'!$B:$B,'Compilado 2023'!N:N)</f>
        <v>638.13</v>
      </c>
      <c r="O74" s="106">
        <f>_xlfn.XLOOKUP($B:$B,'Compilado 2023'!$B:$B,'Compilado 2023'!O:O)</f>
        <v>360.45</v>
      </c>
      <c r="P74" s="106">
        <f>_xlfn.XLOOKUP($B:$B,'Compilado 2023'!$B:$B,'Compilado 2023'!P:P)</f>
        <v>0</v>
      </c>
      <c r="Q74" s="106">
        <f>_xlfn.XLOOKUP($B:$B,'Compilado 2023'!$B:$B,'Compilado 2023'!Q:Q)</f>
        <v>53.333333333333336</v>
      </c>
      <c r="R74" s="106">
        <f>_xlfn.XLOOKUP($B:$B,'Compilado 2023'!$B:$B,'Compilado 2023'!R:R)</f>
        <v>0</v>
      </c>
      <c r="S74" s="106">
        <f>_xlfn.XLOOKUP($B:$B,'Compilado 2023'!$B:$B,'Compilado 2023'!T:T)</f>
        <v>0</v>
      </c>
      <c r="T74" s="106">
        <f>_xlfn.XLOOKUP($B:$B,'Compilado 2023'!$B:$B,'Compilado 2023'!U:U)</f>
        <v>0</v>
      </c>
      <c r="U74" s="106">
        <f>_xlfn.XLOOKUP($B:$B,'Compilado 2023'!$B:$B,'Compilado 2023'!V:V)</f>
        <v>0</v>
      </c>
      <c r="V74" s="57"/>
      <c r="W74" s="106">
        <f>_xlfn.XLOOKUP($B:$B,'Compilado 2023'!$B:$B,'Compilado 2023'!X:X)</f>
        <v>0</v>
      </c>
      <c r="X74" s="106">
        <f>_xlfn.XLOOKUP($B:$B,'Compilado 2023'!$B:$B,'Compilado 2023'!Y:Y)</f>
        <v>0</v>
      </c>
      <c r="Y74" s="106">
        <f>_xlfn.XLOOKUP($B:$B,'Compilado 2023'!$B:$B,'Compilado 2023'!Z:Z)</f>
        <v>0</v>
      </c>
      <c r="AA74" s="208">
        <v>45118</v>
      </c>
    </row>
    <row r="75" spans="1:27" hidden="1" x14ac:dyDescent="0.2">
      <c r="A75" s="17" t="str">
        <f t="shared" ca="1" si="28"/>
        <v>Realizado</v>
      </c>
      <c r="B75" s="17">
        <v>44877</v>
      </c>
      <c r="C75" s="19">
        <f t="shared" si="23"/>
        <v>34354.720000000001</v>
      </c>
      <c r="D75" s="35">
        <f>_xlfn.XLOOKUP($B:$B,'Compilado 2023'!$B:$B,'Compilado 2023'!D:D)</f>
        <v>34354.720000000001</v>
      </c>
      <c r="E75" s="35">
        <f>_xlfn.XLOOKUP($B:$B,'Compilado 2023'!$B:$B,'Compilado 2023'!E:E)</f>
        <v>0</v>
      </c>
      <c r="F75" s="18">
        <f>_xlfn.XLOOKUP($B:$B,'Compilado 2023'!$B:$B,'Compilado 2023'!F:F)</f>
        <v>142</v>
      </c>
      <c r="G75" s="18">
        <f>_xlfn.XLOOKUP($B:$B,'Compilado 2023'!$B:$B,'Compilado 2023'!G:G)</f>
        <v>200</v>
      </c>
      <c r="H75" s="35">
        <f t="shared" si="24"/>
        <v>241.93464788732396</v>
      </c>
      <c r="I75" s="19">
        <f t="shared" si="25"/>
        <v>893.59333333333336</v>
      </c>
      <c r="J75" s="122">
        <f t="shared" si="26"/>
        <v>38.445586732219731</v>
      </c>
      <c r="K75" s="18">
        <f>_xlfn.XLOOKUP($B:$B,'Compilado 2023'!$B:$B,'Compilado 2023'!K:K)</f>
        <v>3630</v>
      </c>
      <c r="L75" s="54">
        <f t="shared" si="27"/>
        <v>3.911845730027548E-2</v>
      </c>
      <c r="M75" s="149"/>
      <c r="N75" s="106">
        <f>_xlfn.XLOOKUP($B:$B,'Compilado 2023'!$B:$B,'Compilado 2023'!N:N)</f>
        <v>470.39</v>
      </c>
      <c r="O75" s="106">
        <f>_xlfn.XLOOKUP($B:$B,'Compilado 2023'!$B:$B,'Compilado 2023'!O:O)</f>
        <v>369.87</v>
      </c>
      <c r="P75" s="106">
        <f>_xlfn.XLOOKUP($B:$B,'Compilado 2023'!$B:$B,'Compilado 2023'!P:P)</f>
        <v>0</v>
      </c>
      <c r="Q75" s="106">
        <f>_xlfn.XLOOKUP($B:$B,'Compilado 2023'!$B:$B,'Compilado 2023'!Q:Q)</f>
        <v>53.333333333333336</v>
      </c>
      <c r="R75" s="106">
        <f>_xlfn.XLOOKUP($B:$B,'Compilado 2023'!$B:$B,'Compilado 2023'!R:R)</f>
        <v>0</v>
      </c>
      <c r="S75" s="106">
        <f>_xlfn.XLOOKUP($B:$B,'Compilado 2023'!$B:$B,'Compilado 2023'!T:T)</f>
        <v>0</v>
      </c>
      <c r="T75" s="106">
        <f>_xlfn.XLOOKUP($B:$B,'Compilado 2023'!$B:$B,'Compilado 2023'!U:U)</f>
        <v>0</v>
      </c>
      <c r="U75" s="106">
        <f>_xlfn.XLOOKUP($B:$B,'Compilado 2023'!$B:$B,'Compilado 2023'!V:V)</f>
        <v>0</v>
      </c>
      <c r="V75" s="57"/>
      <c r="W75" s="106">
        <f>_xlfn.XLOOKUP($B:$B,'Compilado 2023'!$B:$B,'Compilado 2023'!X:X)</f>
        <v>0</v>
      </c>
      <c r="X75" s="106">
        <f>_xlfn.XLOOKUP($B:$B,'Compilado 2023'!$B:$B,'Compilado 2023'!Y:Y)</f>
        <v>0</v>
      </c>
      <c r="Y75" s="106">
        <f>_xlfn.XLOOKUP($B:$B,'Compilado 2023'!$B:$B,'Compilado 2023'!Z:Z)</f>
        <v>0</v>
      </c>
      <c r="AA75" s="208">
        <v>45119</v>
      </c>
    </row>
    <row r="76" spans="1:27" hidden="1" x14ac:dyDescent="0.2">
      <c r="A76" s="17" t="str">
        <f t="shared" ca="1" si="28"/>
        <v>Realizado</v>
      </c>
      <c r="B76" s="17">
        <v>44878</v>
      </c>
      <c r="C76" s="19">
        <f t="shared" si="23"/>
        <v>20268.12</v>
      </c>
      <c r="D76" s="35">
        <f>_xlfn.XLOOKUP($B:$B,'Compilado 2023'!$B:$B,'Compilado 2023'!D:D)</f>
        <v>20268.12</v>
      </c>
      <c r="E76" s="35">
        <f>_xlfn.XLOOKUP($B:$B,'Compilado 2023'!$B:$B,'Compilado 2023'!E:E)</f>
        <v>0</v>
      </c>
      <c r="F76" s="18">
        <f>_xlfn.XLOOKUP($B:$B,'Compilado 2023'!$B:$B,'Compilado 2023'!F:F)</f>
        <v>90</v>
      </c>
      <c r="G76" s="18">
        <f>_xlfn.XLOOKUP($B:$B,'Compilado 2023'!$B:$B,'Compilado 2023'!G:G)</f>
        <v>118</v>
      </c>
      <c r="H76" s="35">
        <f t="shared" si="24"/>
        <v>225.20133333333331</v>
      </c>
      <c r="I76" s="19">
        <f t="shared" si="25"/>
        <v>872.99333333333345</v>
      </c>
      <c r="J76" s="122">
        <f t="shared" si="26"/>
        <v>23.216809597629606</v>
      </c>
      <c r="K76" s="18">
        <f>_xlfn.XLOOKUP($B:$B,'Compilado 2023'!$B:$B,'Compilado 2023'!K:K)</f>
        <v>2955</v>
      </c>
      <c r="L76" s="54">
        <f t="shared" si="27"/>
        <v>3.0456852791878174E-2</v>
      </c>
      <c r="M76" s="149"/>
      <c r="N76" s="106">
        <f>_xlfn.XLOOKUP($B:$B,'Compilado 2023'!$B:$B,'Compilado 2023'!N:N)</f>
        <v>457.97</v>
      </c>
      <c r="O76" s="106">
        <f>_xlfn.XLOOKUP($B:$B,'Compilado 2023'!$B:$B,'Compilado 2023'!O:O)</f>
        <v>361.69</v>
      </c>
      <c r="P76" s="106">
        <f>_xlfn.XLOOKUP($B:$B,'Compilado 2023'!$B:$B,'Compilado 2023'!P:P)</f>
        <v>0</v>
      </c>
      <c r="Q76" s="106">
        <f>_xlfn.XLOOKUP($B:$B,'Compilado 2023'!$B:$B,'Compilado 2023'!Q:Q)</f>
        <v>53.333333333333336</v>
      </c>
      <c r="R76" s="106">
        <f>_xlfn.XLOOKUP($B:$B,'Compilado 2023'!$B:$B,'Compilado 2023'!R:R)</f>
        <v>0</v>
      </c>
      <c r="S76" s="106">
        <f>_xlfn.XLOOKUP($B:$B,'Compilado 2023'!$B:$B,'Compilado 2023'!T:T)</f>
        <v>0</v>
      </c>
      <c r="T76" s="106">
        <f>_xlfn.XLOOKUP($B:$B,'Compilado 2023'!$B:$B,'Compilado 2023'!U:U)</f>
        <v>0</v>
      </c>
      <c r="U76" s="106">
        <f>_xlfn.XLOOKUP($B:$B,'Compilado 2023'!$B:$B,'Compilado 2023'!V:V)</f>
        <v>0</v>
      </c>
      <c r="V76" s="57"/>
      <c r="W76" s="106">
        <f>_xlfn.XLOOKUP($B:$B,'Compilado 2023'!$B:$B,'Compilado 2023'!X:X)</f>
        <v>0</v>
      </c>
      <c r="X76" s="106">
        <f>_xlfn.XLOOKUP($B:$B,'Compilado 2023'!$B:$B,'Compilado 2023'!Y:Y)</f>
        <v>0</v>
      </c>
      <c r="Y76" s="106">
        <f>_xlfn.XLOOKUP($B:$B,'Compilado 2023'!$B:$B,'Compilado 2023'!Z:Z)</f>
        <v>0</v>
      </c>
      <c r="AA76" s="208">
        <v>45120</v>
      </c>
    </row>
    <row r="77" spans="1:27" hidden="1" x14ac:dyDescent="0.2">
      <c r="A77" s="17" t="str">
        <f t="shared" ca="1" si="28"/>
        <v>Realizado</v>
      </c>
      <c r="B77" s="17">
        <v>44879</v>
      </c>
      <c r="C77" s="19">
        <f t="shared" si="23"/>
        <v>48541.04</v>
      </c>
      <c r="D77" s="35">
        <f>_xlfn.XLOOKUP($B:$B,'Compilado 2023'!$B:$B,'Compilado 2023'!D:D)</f>
        <v>48516.29</v>
      </c>
      <c r="E77" s="35">
        <f>_xlfn.XLOOKUP($B:$B,'Compilado 2023'!$B:$B,'Compilado 2023'!E:E)</f>
        <v>24.75</v>
      </c>
      <c r="F77" s="18">
        <f>_xlfn.XLOOKUP($B:$B,'Compilado 2023'!$B:$B,'Compilado 2023'!F:F)</f>
        <v>190</v>
      </c>
      <c r="G77" s="18">
        <f>_xlfn.XLOOKUP($B:$B,'Compilado 2023'!$B:$B,'Compilado 2023'!G:G)</f>
        <v>275</v>
      </c>
      <c r="H77" s="35">
        <f t="shared" si="24"/>
        <v>255.47915789473686</v>
      </c>
      <c r="I77" s="19">
        <f t="shared" si="25"/>
        <v>1106.3233333333333</v>
      </c>
      <c r="J77" s="122">
        <f t="shared" si="26"/>
        <v>43.875997673977174</v>
      </c>
      <c r="K77" s="18">
        <f>_xlfn.XLOOKUP($B:$B,'Compilado 2023'!$B:$B,'Compilado 2023'!K:K)</f>
        <v>4507</v>
      </c>
      <c r="L77" s="54">
        <f t="shared" si="27"/>
        <v>4.2156645218548922E-2</v>
      </c>
      <c r="M77" s="149"/>
      <c r="N77" s="106">
        <f>_xlfn.XLOOKUP($B:$B,'Compilado 2023'!$B:$B,'Compilado 2023'!N:N)</f>
        <v>713.48</v>
      </c>
      <c r="O77" s="106">
        <f>_xlfn.XLOOKUP($B:$B,'Compilado 2023'!$B:$B,'Compilado 2023'!O:O)</f>
        <v>339.51</v>
      </c>
      <c r="P77" s="106">
        <f>_xlfn.XLOOKUP($B:$B,'Compilado 2023'!$B:$B,'Compilado 2023'!P:P)</f>
        <v>0</v>
      </c>
      <c r="Q77" s="106">
        <f>_xlfn.XLOOKUP($B:$B,'Compilado 2023'!$B:$B,'Compilado 2023'!Q:Q)</f>
        <v>53.333333333333336</v>
      </c>
      <c r="R77" s="106">
        <f>_xlfn.XLOOKUP($B:$B,'Compilado 2023'!$B:$B,'Compilado 2023'!R:R)</f>
        <v>0</v>
      </c>
      <c r="S77" s="106">
        <f>_xlfn.XLOOKUP($B:$B,'Compilado 2023'!$B:$B,'Compilado 2023'!T:T)</f>
        <v>0</v>
      </c>
      <c r="T77" s="106">
        <f>_xlfn.XLOOKUP($B:$B,'Compilado 2023'!$B:$B,'Compilado 2023'!U:U)</f>
        <v>0</v>
      </c>
      <c r="U77" s="106">
        <f>_xlfn.XLOOKUP($B:$B,'Compilado 2023'!$B:$B,'Compilado 2023'!V:V)</f>
        <v>0</v>
      </c>
      <c r="V77" s="57"/>
      <c r="W77" s="106">
        <f>_xlfn.XLOOKUP($B:$B,'Compilado 2023'!$B:$B,'Compilado 2023'!X:X)</f>
        <v>0</v>
      </c>
      <c r="X77" s="106">
        <f>_xlfn.XLOOKUP($B:$B,'Compilado 2023'!$B:$B,'Compilado 2023'!Y:Y)</f>
        <v>0</v>
      </c>
      <c r="Y77" s="106">
        <f>_xlfn.XLOOKUP($B:$B,'Compilado 2023'!$B:$B,'Compilado 2023'!Z:Z)</f>
        <v>0</v>
      </c>
      <c r="AA77" s="208">
        <v>45121</v>
      </c>
    </row>
    <row r="78" spans="1:27" hidden="1" x14ac:dyDescent="0.2">
      <c r="A78" s="17" t="str">
        <f t="shared" ca="1" si="28"/>
        <v>Realizado</v>
      </c>
      <c r="B78" s="17">
        <v>44880</v>
      </c>
      <c r="C78" s="19">
        <f t="shared" si="23"/>
        <v>45918.36</v>
      </c>
      <c r="D78" s="35">
        <f>_xlfn.XLOOKUP($B:$B,'Compilado 2023'!$B:$B,'Compilado 2023'!D:D)</f>
        <v>45918.36</v>
      </c>
      <c r="E78" s="35">
        <f>_xlfn.XLOOKUP($B:$B,'Compilado 2023'!$B:$B,'Compilado 2023'!E:E)</f>
        <v>0</v>
      </c>
      <c r="F78" s="18">
        <f>_xlfn.XLOOKUP($B:$B,'Compilado 2023'!$B:$B,'Compilado 2023'!F:F)</f>
        <v>190</v>
      </c>
      <c r="G78" s="18">
        <f>_xlfn.XLOOKUP($B:$B,'Compilado 2023'!$B:$B,'Compilado 2023'!G:G)</f>
        <v>287</v>
      </c>
      <c r="H78" s="35">
        <f t="shared" si="24"/>
        <v>241.67557894736842</v>
      </c>
      <c r="I78" s="19">
        <f t="shared" si="25"/>
        <v>1029.2433333333333</v>
      </c>
      <c r="J78" s="122">
        <f t="shared" si="26"/>
        <v>44.613706509312664</v>
      </c>
      <c r="K78" s="18">
        <f>_xlfn.XLOOKUP($B:$B,'Compilado 2023'!$B:$B,'Compilado 2023'!K:K)</f>
        <v>3551</v>
      </c>
      <c r="L78" s="54">
        <f t="shared" si="27"/>
        <v>5.3506054632497885E-2</v>
      </c>
      <c r="M78" s="149"/>
      <c r="N78" s="106">
        <f>_xlfn.XLOOKUP($B:$B,'Compilado 2023'!$B:$B,'Compilado 2023'!N:N)</f>
        <v>681.31</v>
      </c>
      <c r="O78" s="106">
        <f>_xlfn.XLOOKUP($B:$B,'Compilado 2023'!$B:$B,'Compilado 2023'!O:O)</f>
        <v>294.60000000000002</v>
      </c>
      <c r="P78" s="106">
        <f>_xlfn.XLOOKUP($B:$B,'Compilado 2023'!$B:$B,'Compilado 2023'!P:P)</f>
        <v>0</v>
      </c>
      <c r="Q78" s="106">
        <f>_xlfn.XLOOKUP($B:$B,'Compilado 2023'!$B:$B,'Compilado 2023'!Q:Q)</f>
        <v>53.333333333333336</v>
      </c>
      <c r="R78" s="106">
        <f>_xlfn.XLOOKUP($B:$B,'Compilado 2023'!$B:$B,'Compilado 2023'!R:R)</f>
        <v>0</v>
      </c>
      <c r="S78" s="106">
        <f>_xlfn.XLOOKUP($B:$B,'Compilado 2023'!$B:$B,'Compilado 2023'!T:T)</f>
        <v>0</v>
      </c>
      <c r="T78" s="106">
        <f>_xlfn.XLOOKUP($B:$B,'Compilado 2023'!$B:$B,'Compilado 2023'!U:U)</f>
        <v>0</v>
      </c>
      <c r="U78" s="106">
        <f>_xlfn.XLOOKUP($B:$B,'Compilado 2023'!$B:$B,'Compilado 2023'!V:V)</f>
        <v>0</v>
      </c>
      <c r="V78" s="57"/>
      <c r="W78" s="106">
        <f>_xlfn.XLOOKUP($B:$B,'Compilado 2023'!$B:$B,'Compilado 2023'!X:X)</f>
        <v>0</v>
      </c>
      <c r="X78" s="106">
        <f>_xlfn.XLOOKUP($B:$B,'Compilado 2023'!$B:$B,'Compilado 2023'!Y:Y)</f>
        <v>0</v>
      </c>
      <c r="Y78" s="106">
        <f>_xlfn.XLOOKUP($B:$B,'Compilado 2023'!$B:$B,'Compilado 2023'!Z:Z)</f>
        <v>0</v>
      </c>
      <c r="AA78" s="208">
        <v>45122</v>
      </c>
    </row>
    <row r="79" spans="1:27" hidden="1" x14ac:dyDescent="0.2">
      <c r="A79" s="17" t="str">
        <f t="shared" ca="1" si="28"/>
        <v>Realizado</v>
      </c>
      <c r="B79" s="17">
        <v>44881</v>
      </c>
      <c r="C79" s="19">
        <f t="shared" si="23"/>
        <v>47671.23</v>
      </c>
      <c r="D79" s="35">
        <f>_xlfn.XLOOKUP($B:$B,'Compilado 2023'!$B:$B,'Compilado 2023'!D:D)</f>
        <v>47671.23</v>
      </c>
      <c r="E79" s="35">
        <f>_xlfn.XLOOKUP($B:$B,'Compilado 2023'!$B:$B,'Compilado 2023'!E:E)</f>
        <v>0</v>
      </c>
      <c r="F79" s="18">
        <f>_xlfn.XLOOKUP($B:$B,'Compilado 2023'!$B:$B,'Compilado 2023'!F:F)</f>
        <v>164</v>
      </c>
      <c r="G79" s="18">
        <f>_xlfn.XLOOKUP($B:$B,'Compilado 2023'!$B:$B,'Compilado 2023'!G:G)</f>
        <v>207</v>
      </c>
      <c r="H79" s="35">
        <f t="shared" si="24"/>
        <v>290.67823170731708</v>
      </c>
      <c r="I79" s="19">
        <f t="shared" si="25"/>
        <v>1021.5233333333333</v>
      </c>
      <c r="J79" s="122">
        <f t="shared" si="26"/>
        <v>46.666804804589226</v>
      </c>
      <c r="K79" s="18">
        <f>_xlfn.XLOOKUP($B:$B,'Compilado 2023'!$B:$B,'Compilado 2023'!K:K)</f>
        <v>4845</v>
      </c>
      <c r="L79" s="54">
        <f t="shared" si="27"/>
        <v>3.384932920536636E-2</v>
      </c>
      <c r="M79" s="149"/>
      <c r="N79" s="106">
        <f>_xlfn.XLOOKUP($B:$B,'Compilado 2023'!$B:$B,'Compilado 2023'!N:N)</f>
        <v>774.91</v>
      </c>
      <c r="O79" s="106">
        <f>_xlfn.XLOOKUP($B:$B,'Compilado 2023'!$B:$B,'Compilado 2023'!O:O)</f>
        <v>193.28</v>
      </c>
      <c r="P79" s="106">
        <f>_xlfn.XLOOKUP($B:$B,'Compilado 2023'!$B:$B,'Compilado 2023'!P:P)</f>
        <v>0</v>
      </c>
      <c r="Q79" s="106">
        <f>_xlfn.XLOOKUP($B:$B,'Compilado 2023'!$B:$B,'Compilado 2023'!Q:Q)</f>
        <v>53.333333333333336</v>
      </c>
      <c r="R79" s="106">
        <f>_xlfn.XLOOKUP($B:$B,'Compilado 2023'!$B:$B,'Compilado 2023'!R:R)</f>
        <v>0</v>
      </c>
      <c r="S79" s="106">
        <f>_xlfn.XLOOKUP($B:$B,'Compilado 2023'!$B:$B,'Compilado 2023'!T:T)</f>
        <v>0</v>
      </c>
      <c r="T79" s="106">
        <f>_xlfn.XLOOKUP($B:$B,'Compilado 2023'!$B:$B,'Compilado 2023'!U:U)</f>
        <v>0</v>
      </c>
      <c r="U79" s="106">
        <f>_xlfn.XLOOKUP($B:$B,'Compilado 2023'!$B:$B,'Compilado 2023'!V:V)</f>
        <v>0</v>
      </c>
      <c r="V79" s="57"/>
      <c r="W79" s="106">
        <f>_xlfn.XLOOKUP($B:$B,'Compilado 2023'!$B:$B,'Compilado 2023'!X:X)</f>
        <v>0</v>
      </c>
      <c r="X79" s="106">
        <f>_xlfn.XLOOKUP($B:$B,'Compilado 2023'!$B:$B,'Compilado 2023'!Y:Y)</f>
        <v>0</v>
      </c>
      <c r="Y79" s="106">
        <f>_xlfn.XLOOKUP($B:$B,'Compilado 2023'!$B:$B,'Compilado 2023'!Z:Z)</f>
        <v>0</v>
      </c>
      <c r="AA79" s="208">
        <v>45123</v>
      </c>
    </row>
    <row r="80" spans="1:27" hidden="1" x14ac:dyDescent="0.2">
      <c r="A80" s="17" t="str">
        <f t="shared" ca="1" si="28"/>
        <v>Realizado</v>
      </c>
      <c r="B80" s="17">
        <v>44882</v>
      </c>
      <c r="C80" s="19">
        <f t="shared" si="23"/>
        <v>57858.689999999995</v>
      </c>
      <c r="D80" s="35">
        <f>_xlfn.XLOOKUP($B:$B,'Compilado 2023'!$B:$B,'Compilado 2023'!D:D)</f>
        <v>57814.49</v>
      </c>
      <c r="E80" s="35">
        <f>_xlfn.XLOOKUP($B:$B,'Compilado 2023'!$B:$B,'Compilado 2023'!E:E)</f>
        <v>44.2</v>
      </c>
      <c r="F80" s="18">
        <f>_xlfn.XLOOKUP($B:$B,'Compilado 2023'!$B:$B,'Compilado 2023'!F:F)</f>
        <v>167</v>
      </c>
      <c r="G80" s="18">
        <f>_xlfn.XLOOKUP($B:$B,'Compilado 2023'!$B:$B,'Compilado 2023'!G:G)</f>
        <v>256</v>
      </c>
      <c r="H80" s="35">
        <f t="shared" si="24"/>
        <v>346.45922155688618</v>
      </c>
      <c r="I80" s="19">
        <f t="shared" si="25"/>
        <v>953.00333333333344</v>
      </c>
      <c r="J80" s="122">
        <f t="shared" si="26"/>
        <v>60.711949241170885</v>
      </c>
      <c r="K80" s="18">
        <f>_xlfn.XLOOKUP($B:$B,'Compilado 2023'!$B:$B,'Compilado 2023'!K:K)</f>
        <v>4496</v>
      </c>
      <c r="L80" s="54">
        <f t="shared" si="27"/>
        <v>3.7144128113879002E-2</v>
      </c>
      <c r="M80" s="149"/>
      <c r="N80" s="106">
        <f>_xlfn.XLOOKUP($B:$B,'Compilado 2023'!$B:$B,'Compilado 2023'!N:N)</f>
        <v>689.83</v>
      </c>
      <c r="O80" s="106">
        <f>_xlfn.XLOOKUP($B:$B,'Compilado 2023'!$B:$B,'Compilado 2023'!O:O)</f>
        <v>209.84</v>
      </c>
      <c r="P80" s="106">
        <f>_xlfn.XLOOKUP($B:$B,'Compilado 2023'!$B:$B,'Compilado 2023'!P:P)</f>
        <v>0</v>
      </c>
      <c r="Q80" s="106">
        <f>_xlfn.XLOOKUP($B:$B,'Compilado 2023'!$B:$B,'Compilado 2023'!Q:Q)</f>
        <v>53.333333333333336</v>
      </c>
      <c r="R80" s="106">
        <f>_xlfn.XLOOKUP($B:$B,'Compilado 2023'!$B:$B,'Compilado 2023'!R:R)</f>
        <v>0</v>
      </c>
      <c r="S80" s="106">
        <f>_xlfn.XLOOKUP($B:$B,'Compilado 2023'!$B:$B,'Compilado 2023'!T:T)</f>
        <v>0</v>
      </c>
      <c r="T80" s="106">
        <f>_xlfn.XLOOKUP($B:$B,'Compilado 2023'!$B:$B,'Compilado 2023'!U:U)</f>
        <v>0</v>
      </c>
      <c r="U80" s="106">
        <f>_xlfn.XLOOKUP($B:$B,'Compilado 2023'!$B:$B,'Compilado 2023'!V:V)</f>
        <v>0</v>
      </c>
      <c r="V80" s="57"/>
      <c r="W80" s="106">
        <f>_xlfn.XLOOKUP($B:$B,'Compilado 2023'!$B:$B,'Compilado 2023'!X:X)</f>
        <v>0</v>
      </c>
      <c r="X80" s="106">
        <f>_xlfn.XLOOKUP($B:$B,'Compilado 2023'!$B:$B,'Compilado 2023'!Y:Y)</f>
        <v>0</v>
      </c>
      <c r="Y80" s="106">
        <f>_xlfn.XLOOKUP($B:$B,'Compilado 2023'!$B:$B,'Compilado 2023'!Z:Z)</f>
        <v>0</v>
      </c>
      <c r="AA80" s="208">
        <v>45124</v>
      </c>
    </row>
    <row r="81" spans="1:27" hidden="1" x14ac:dyDescent="0.2">
      <c r="A81" s="17" t="str">
        <f t="shared" ca="1" si="28"/>
        <v>Realizado</v>
      </c>
      <c r="B81" s="17">
        <v>44883</v>
      </c>
      <c r="C81" s="19">
        <f t="shared" si="23"/>
        <v>60713.560000000005</v>
      </c>
      <c r="D81" s="35">
        <f>_xlfn.XLOOKUP($B:$B,'Compilado 2023'!$B:$B,'Compilado 2023'!D:D)</f>
        <v>60691.73</v>
      </c>
      <c r="E81" s="35">
        <f>_xlfn.XLOOKUP($B:$B,'Compilado 2023'!$B:$B,'Compilado 2023'!E:E)</f>
        <v>21.83</v>
      </c>
      <c r="F81" s="18">
        <f>_xlfn.XLOOKUP($B:$B,'Compilado 2023'!$B:$B,'Compilado 2023'!F:F)</f>
        <v>175</v>
      </c>
      <c r="G81" s="18">
        <f>_xlfn.XLOOKUP($B:$B,'Compilado 2023'!$B:$B,'Compilado 2023'!G:G)</f>
        <v>255</v>
      </c>
      <c r="H81" s="35">
        <f t="shared" si="24"/>
        <v>346.93462857142862</v>
      </c>
      <c r="I81" s="19">
        <f t="shared" si="25"/>
        <v>1050.9933333333333</v>
      </c>
      <c r="J81" s="122">
        <f t="shared" si="26"/>
        <v>57.767787933954551</v>
      </c>
      <c r="K81" s="18">
        <f>_xlfn.XLOOKUP($B:$B,'Compilado 2023'!$B:$B,'Compilado 2023'!K:K)</f>
        <v>4411</v>
      </c>
      <c r="L81" s="54">
        <f t="shared" si="27"/>
        <v>3.9673543414191791E-2</v>
      </c>
      <c r="M81" s="149"/>
      <c r="N81" s="106">
        <f>_xlfn.XLOOKUP($B:$B,'Compilado 2023'!$B:$B,'Compilado 2023'!N:N)</f>
        <v>677.37</v>
      </c>
      <c r="O81" s="106">
        <f>_xlfn.XLOOKUP($B:$B,'Compilado 2023'!$B:$B,'Compilado 2023'!O:O)</f>
        <v>320.29000000000002</v>
      </c>
      <c r="P81" s="106">
        <f>_xlfn.XLOOKUP($B:$B,'Compilado 2023'!$B:$B,'Compilado 2023'!P:P)</f>
        <v>0</v>
      </c>
      <c r="Q81" s="106">
        <f>_xlfn.XLOOKUP($B:$B,'Compilado 2023'!$B:$B,'Compilado 2023'!Q:Q)</f>
        <v>53.333333333333336</v>
      </c>
      <c r="R81" s="106">
        <f>_xlfn.XLOOKUP($B:$B,'Compilado 2023'!$B:$B,'Compilado 2023'!R:R)</f>
        <v>0</v>
      </c>
      <c r="S81" s="106">
        <f>_xlfn.XLOOKUP($B:$B,'Compilado 2023'!$B:$B,'Compilado 2023'!T:T)</f>
        <v>0</v>
      </c>
      <c r="T81" s="106">
        <f>_xlfn.XLOOKUP($B:$B,'Compilado 2023'!$B:$B,'Compilado 2023'!U:U)</f>
        <v>0</v>
      </c>
      <c r="U81" s="106">
        <f>_xlfn.XLOOKUP($B:$B,'Compilado 2023'!$B:$B,'Compilado 2023'!V:V)</f>
        <v>0</v>
      </c>
      <c r="V81" s="57"/>
      <c r="W81" s="106">
        <f>_xlfn.XLOOKUP($B:$B,'Compilado 2023'!$B:$B,'Compilado 2023'!X:X)</f>
        <v>0</v>
      </c>
      <c r="X81" s="106">
        <f>_xlfn.XLOOKUP($B:$B,'Compilado 2023'!$B:$B,'Compilado 2023'!Y:Y)</f>
        <v>0</v>
      </c>
      <c r="Y81" s="106">
        <f>_xlfn.XLOOKUP($B:$B,'Compilado 2023'!$B:$B,'Compilado 2023'!Z:Z)</f>
        <v>0</v>
      </c>
      <c r="AA81" s="208">
        <v>45125</v>
      </c>
    </row>
    <row r="82" spans="1:27" hidden="1" x14ac:dyDescent="0.2">
      <c r="A82" s="17" t="str">
        <f t="shared" ca="1" si="28"/>
        <v>Realizado</v>
      </c>
      <c r="B82" s="17">
        <v>44884</v>
      </c>
      <c r="C82" s="19">
        <f t="shared" si="23"/>
        <v>34580.47</v>
      </c>
      <c r="D82" s="35">
        <f>_xlfn.XLOOKUP($B:$B,'Compilado 2023'!$B:$B,'Compilado 2023'!D:D)</f>
        <v>34580.47</v>
      </c>
      <c r="E82" s="35">
        <f>_xlfn.XLOOKUP($B:$B,'Compilado 2023'!$B:$B,'Compilado 2023'!E:E)</f>
        <v>0</v>
      </c>
      <c r="F82" s="18">
        <f>_xlfn.XLOOKUP($B:$B,'Compilado 2023'!$B:$B,'Compilado 2023'!F:F)</f>
        <v>107</v>
      </c>
      <c r="G82" s="18">
        <f>_xlfn.XLOOKUP($B:$B,'Compilado 2023'!$B:$B,'Compilado 2023'!G:G)</f>
        <v>137</v>
      </c>
      <c r="H82" s="35">
        <f t="shared" si="24"/>
        <v>323.18196261682243</v>
      </c>
      <c r="I82" s="19">
        <f t="shared" si="25"/>
        <v>1001.9133333333333</v>
      </c>
      <c r="J82" s="122">
        <f t="shared" si="26"/>
        <v>34.51443238603472</v>
      </c>
      <c r="K82" s="18">
        <f>_xlfn.XLOOKUP($B:$B,'Compilado 2023'!$B:$B,'Compilado 2023'!K:K)</f>
        <v>3399</v>
      </c>
      <c r="L82" s="54">
        <f t="shared" si="27"/>
        <v>3.1479847013827597E-2</v>
      </c>
      <c r="M82" s="149"/>
      <c r="N82" s="106">
        <f>_xlfn.XLOOKUP($B:$B,'Compilado 2023'!$B:$B,'Compilado 2023'!N:N)</f>
        <v>515.91</v>
      </c>
      <c r="O82" s="106">
        <f>_xlfn.XLOOKUP($B:$B,'Compilado 2023'!$B:$B,'Compilado 2023'!O:O)</f>
        <v>432.67</v>
      </c>
      <c r="P82" s="106">
        <f>_xlfn.XLOOKUP($B:$B,'Compilado 2023'!$B:$B,'Compilado 2023'!P:P)</f>
        <v>0</v>
      </c>
      <c r="Q82" s="106">
        <f>_xlfn.XLOOKUP($B:$B,'Compilado 2023'!$B:$B,'Compilado 2023'!Q:Q)</f>
        <v>53.333333333333336</v>
      </c>
      <c r="R82" s="106">
        <f>_xlfn.XLOOKUP($B:$B,'Compilado 2023'!$B:$B,'Compilado 2023'!R:R)</f>
        <v>0</v>
      </c>
      <c r="S82" s="106">
        <f>_xlfn.XLOOKUP($B:$B,'Compilado 2023'!$B:$B,'Compilado 2023'!T:T)</f>
        <v>0</v>
      </c>
      <c r="T82" s="106">
        <f>_xlfn.XLOOKUP($B:$B,'Compilado 2023'!$B:$B,'Compilado 2023'!U:U)</f>
        <v>0</v>
      </c>
      <c r="U82" s="106">
        <f>_xlfn.XLOOKUP($B:$B,'Compilado 2023'!$B:$B,'Compilado 2023'!V:V)</f>
        <v>0</v>
      </c>
      <c r="V82" s="57"/>
      <c r="W82" s="106">
        <f>_xlfn.XLOOKUP($B:$B,'Compilado 2023'!$B:$B,'Compilado 2023'!X:X)</f>
        <v>0</v>
      </c>
      <c r="X82" s="106">
        <f>_xlfn.XLOOKUP($B:$B,'Compilado 2023'!$B:$B,'Compilado 2023'!Y:Y)</f>
        <v>0</v>
      </c>
      <c r="Y82" s="106">
        <f>_xlfn.XLOOKUP($B:$B,'Compilado 2023'!$B:$B,'Compilado 2023'!Z:Z)</f>
        <v>0</v>
      </c>
      <c r="AA82" s="208">
        <v>45126</v>
      </c>
    </row>
    <row r="83" spans="1:27" hidden="1" x14ac:dyDescent="0.2">
      <c r="A83" s="17" t="str">
        <f t="shared" ca="1" si="28"/>
        <v>Realizado</v>
      </c>
      <c r="B83" s="17">
        <v>44885</v>
      </c>
      <c r="C83" s="19">
        <f t="shared" si="23"/>
        <v>24648.560000000001</v>
      </c>
      <c r="D83" s="35">
        <f>_xlfn.XLOOKUP($B:$B,'Compilado 2023'!$B:$B,'Compilado 2023'!D:D)</f>
        <v>24648.560000000001</v>
      </c>
      <c r="E83" s="35">
        <f>_xlfn.XLOOKUP($B:$B,'Compilado 2023'!$B:$B,'Compilado 2023'!E:E)</f>
        <v>0</v>
      </c>
      <c r="F83" s="18">
        <f>_xlfn.XLOOKUP($B:$B,'Compilado 2023'!$B:$B,'Compilado 2023'!F:F)</f>
        <v>71</v>
      </c>
      <c r="G83" s="18">
        <f>_xlfn.XLOOKUP($B:$B,'Compilado 2023'!$B:$B,'Compilado 2023'!G:G)</f>
        <v>87</v>
      </c>
      <c r="H83" s="35">
        <f t="shared" si="24"/>
        <v>347.16281690140846</v>
      </c>
      <c r="I83" s="19">
        <f t="shared" si="25"/>
        <v>1018.8733333333333</v>
      </c>
      <c r="J83" s="122">
        <f t="shared" si="26"/>
        <v>24.1919767586419</v>
      </c>
      <c r="K83" s="18">
        <f>_xlfn.XLOOKUP($B:$B,'Compilado 2023'!$B:$B,'Compilado 2023'!K:K)</f>
        <v>2928</v>
      </c>
      <c r="L83" s="54">
        <f t="shared" si="27"/>
        <v>2.424863387978142E-2</v>
      </c>
      <c r="M83" s="149"/>
      <c r="N83" s="106">
        <f>_xlfn.XLOOKUP($B:$B,'Compilado 2023'!$B:$B,'Compilado 2023'!N:N)</f>
        <v>519.04999999999995</v>
      </c>
      <c r="O83" s="106">
        <f>_xlfn.XLOOKUP($B:$B,'Compilado 2023'!$B:$B,'Compilado 2023'!O:O)</f>
        <v>446.49</v>
      </c>
      <c r="P83" s="106">
        <f>_xlfn.XLOOKUP($B:$B,'Compilado 2023'!$B:$B,'Compilado 2023'!P:P)</f>
        <v>0</v>
      </c>
      <c r="Q83" s="106">
        <f>_xlfn.XLOOKUP($B:$B,'Compilado 2023'!$B:$B,'Compilado 2023'!Q:Q)</f>
        <v>53.333333333333336</v>
      </c>
      <c r="R83" s="106">
        <f>_xlfn.XLOOKUP($B:$B,'Compilado 2023'!$B:$B,'Compilado 2023'!R:R)</f>
        <v>0</v>
      </c>
      <c r="S83" s="106">
        <f>_xlfn.XLOOKUP($B:$B,'Compilado 2023'!$B:$B,'Compilado 2023'!T:T)</f>
        <v>0</v>
      </c>
      <c r="T83" s="106">
        <f>_xlfn.XLOOKUP($B:$B,'Compilado 2023'!$B:$B,'Compilado 2023'!U:U)</f>
        <v>0</v>
      </c>
      <c r="U83" s="106">
        <f>_xlfn.XLOOKUP($B:$B,'Compilado 2023'!$B:$B,'Compilado 2023'!V:V)</f>
        <v>0</v>
      </c>
      <c r="V83" s="57"/>
      <c r="W83" s="106">
        <f>_xlfn.XLOOKUP($B:$B,'Compilado 2023'!$B:$B,'Compilado 2023'!X:X)</f>
        <v>0</v>
      </c>
      <c r="X83" s="106">
        <f>_xlfn.XLOOKUP($B:$B,'Compilado 2023'!$B:$B,'Compilado 2023'!Y:Y)</f>
        <v>0</v>
      </c>
      <c r="Y83" s="106">
        <f>_xlfn.XLOOKUP($B:$B,'Compilado 2023'!$B:$B,'Compilado 2023'!Z:Z)</f>
        <v>0</v>
      </c>
      <c r="AA83" s="208">
        <v>45127</v>
      </c>
    </row>
    <row r="84" spans="1:27" hidden="1" x14ac:dyDescent="0.2">
      <c r="A84" s="17" t="str">
        <f t="shared" ca="1" si="28"/>
        <v>Realizado</v>
      </c>
      <c r="B84" s="17">
        <v>44886</v>
      </c>
      <c r="C84" s="19">
        <f t="shared" si="23"/>
        <v>77449.23</v>
      </c>
      <c r="D84" s="35">
        <f>_xlfn.XLOOKUP($B:$B,'Compilado 2023'!$B:$B,'Compilado 2023'!D:D)</f>
        <v>77449.23</v>
      </c>
      <c r="E84" s="35">
        <f>_xlfn.XLOOKUP($B:$B,'Compilado 2023'!$B:$B,'Compilado 2023'!E:E)</f>
        <v>0</v>
      </c>
      <c r="F84" s="18">
        <f>_xlfn.XLOOKUP($B:$B,'Compilado 2023'!$B:$B,'Compilado 2023'!F:F)</f>
        <v>268</v>
      </c>
      <c r="G84" s="18">
        <f>_xlfn.XLOOKUP($B:$B,'Compilado 2023'!$B:$B,'Compilado 2023'!G:G)</f>
        <v>359</v>
      </c>
      <c r="H84" s="35">
        <f t="shared" si="24"/>
        <v>288.98966417910447</v>
      </c>
      <c r="I84" s="19">
        <f t="shared" si="25"/>
        <v>1487.2233333333331</v>
      </c>
      <c r="J84" s="122">
        <f t="shared" si="26"/>
        <v>52.076395161453</v>
      </c>
      <c r="K84" s="18">
        <f>_xlfn.XLOOKUP($B:$B,'Compilado 2023'!$B:$B,'Compilado 2023'!K:K)</f>
        <v>7401</v>
      </c>
      <c r="L84" s="54">
        <f t="shared" si="27"/>
        <v>3.6211322794216995E-2</v>
      </c>
      <c r="M84" s="149"/>
      <c r="N84" s="106">
        <f>_xlfn.XLOOKUP($B:$B,'Compilado 2023'!$B:$B,'Compilado 2023'!N:N)</f>
        <v>1061.5899999999999</v>
      </c>
      <c r="O84" s="106">
        <f>_xlfn.XLOOKUP($B:$B,'Compilado 2023'!$B:$B,'Compilado 2023'!O:O)</f>
        <v>372.3</v>
      </c>
      <c r="P84" s="106">
        <f>_xlfn.XLOOKUP($B:$B,'Compilado 2023'!$B:$B,'Compilado 2023'!P:P)</f>
        <v>0</v>
      </c>
      <c r="Q84" s="106">
        <f>_xlfn.XLOOKUP($B:$B,'Compilado 2023'!$B:$B,'Compilado 2023'!Q:Q)</f>
        <v>53.333333333333336</v>
      </c>
      <c r="R84" s="106">
        <f>_xlfn.XLOOKUP($B:$B,'Compilado 2023'!$B:$B,'Compilado 2023'!R:R)</f>
        <v>0</v>
      </c>
      <c r="S84" s="106">
        <f>_xlfn.XLOOKUP($B:$B,'Compilado 2023'!$B:$B,'Compilado 2023'!T:T)</f>
        <v>0</v>
      </c>
      <c r="T84" s="106">
        <f>_xlfn.XLOOKUP($B:$B,'Compilado 2023'!$B:$B,'Compilado 2023'!U:U)</f>
        <v>0</v>
      </c>
      <c r="U84" s="106">
        <f>_xlfn.XLOOKUP($B:$B,'Compilado 2023'!$B:$B,'Compilado 2023'!V:V)</f>
        <v>0</v>
      </c>
      <c r="V84" s="57"/>
      <c r="W84" s="106">
        <f>_xlfn.XLOOKUP($B:$B,'Compilado 2023'!$B:$B,'Compilado 2023'!X:X)</f>
        <v>0</v>
      </c>
      <c r="X84" s="106">
        <f>_xlfn.XLOOKUP($B:$B,'Compilado 2023'!$B:$B,'Compilado 2023'!Y:Y)</f>
        <v>0</v>
      </c>
      <c r="Y84" s="106">
        <f>_xlfn.XLOOKUP($B:$B,'Compilado 2023'!$B:$B,'Compilado 2023'!Z:Z)</f>
        <v>0</v>
      </c>
      <c r="AA84" s="208">
        <v>45128</v>
      </c>
    </row>
    <row r="85" spans="1:27" hidden="1" x14ac:dyDescent="0.2">
      <c r="A85" s="17" t="str">
        <f t="shared" ca="1" si="28"/>
        <v>Realizado</v>
      </c>
      <c r="B85" s="17">
        <v>44887</v>
      </c>
      <c r="C85" s="19">
        <f t="shared" si="23"/>
        <v>72089.929999999993</v>
      </c>
      <c r="D85" s="35">
        <f>_xlfn.XLOOKUP($B:$B,'Compilado 2023'!$B:$B,'Compilado 2023'!D:D)</f>
        <v>72089.929999999993</v>
      </c>
      <c r="E85" s="35">
        <f>_xlfn.XLOOKUP($B:$B,'Compilado 2023'!$B:$B,'Compilado 2023'!E:E)</f>
        <v>0</v>
      </c>
      <c r="F85" s="18">
        <f>_xlfn.XLOOKUP($B:$B,'Compilado 2023'!$B:$B,'Compilado 2023'!F:F)</f>
        <v>240</v>
      </c>
      <c r="G85" s="18">
        <f>_xlfn.XLOOKUP($B:$B,'Compilado 2023'!$B:$B,'Compilado 2023'!G:G)</f>
        <v>317</v>
      </c>
      <c r="H85" s="35">
        <f t="shared" si="24"/>
        <v>300.37470833333333</v>
      </c>
      <c r="I85" s="19">
        <f t="shared" si="25"/>
        <v>1870.3733333333332</v>
      </c>
      <c r="J85" s="122">
        <f t="shared" si="26"/>
        <v>38.543069832760658</v>
      </c>
      <c r="K85" s="18">
        <f>_xlfn.XLOOKUP($B:$B,'Compilado 2023'!$B:$B,'Compilado 2023'!K:K)</f>
        <v>5705</v>
      </c>
      <c r="L85" s="54">
        <f t="shared" si="27"/>
        <v>4.2068361086765996E-2</v>
      </c>
      <c r="M85" s="149"/>
      <c r="N85" s="106">
        <f>_xlfn.XLOOKUP($B:$B,'Compilado 2023'!$B:$B,'Compilado 2023'!N:N)</f>
        <v>1421.9</v>
      </c>
      <c r="O85" s="106">
        <f>_xlfn.XLOOKUP($B:$B,'Compilado 2023'!$B:$B,'Compilado 2023'!O:O)</f>
        <v>395.14</v>
      </c>
      <c r="P85" s="106">
        <f>_xlfn.XLOOKUP($B:$B,'Compilado 2023'!$B:$B,'Compilado 2023'!P:P)</f>
        <v>0</v>
      </c>
      <c r="Q85" s="106">
        <f>_xlfn.XLOOKUP($B:$B,'Compilado 2023'!$B:$B,'Compilado 2023'!Q:Q)</f>
        <v>53.333333333333336</v>
      </c>
      <c r="R85" s="106">
        <f>_xlfn.XLOOKUP($B:$B,'Compilado 2023'!$B:$B,'Compilado 2023'!R:R)</f>
        <v>0</v>
      </c>
      <c r="S85" s="106">
        <f>_xlfn.XLOOKUP($B:$B,'Compilado 2023'!$B:$B,'Compilado 2023'!T:T)</f>
        <v>0</v>
      </c>
      <c r="T85" s="106">
        <f>_xlfn.XLOOKUP($B:$B,'Compilado 2023'!$B:$B,'Compilado 2023'!U:U)</f>
        <v>0</v>
      </c>
      <c r="U85" s="106">
        <f>_xlfn.XLOOKUP($B:$B,'Compilado 2023'!$B:$B,'Compilado 2023'!V:V)</f>
        <v>0</v>
      </c>
      <c r="V85" s="57"/>
      <c r="W85" s="106">
        <f>_xlfn.XLOOKUP($B:$B,'Compilado 2023'!$B:$B,'Compilado 2023'!X:X)</f>
        <v>0</v>
      </c>
      <c r="X85" s="106">
        <f>_xlfn.XLOOKUP($B:$B,'Compilado 2023'!$B:$B,'Compilado 2023'!Y:Y)</f>
        <v>0</v>
      </c>
      <c r="Y85" s="106">
        <f>_xlfn.XLOOKUP($B:$B,'Compilado 2023'!$B:$B,'Compilado 2023'!Z:Z)</f>
        <v>0</v>
      </c>
      <c r="AA85" s="208">
        <v>45129</v>
      </c>
    </row>
    <row r="86" spans="1:27" hidden="1" x14ac:dyDescent="0.2">
      <c r="A86" s="17" t="str">
        <f t="shared" ca="1" si="28"/>
        <v>Realizado</v>
      </c>
      <c r="B86" s="17">
        <v>44888</v>
      </c>
      <c r="C86" s="19">
        <f t="shared" si="23"/>
        <v>72712.94</v>
      </c>
      <c r="D86" s="35">
        <f>_xlfn.XLOOKUP($B:$B,'Compilado 2023'!$B:$B,'Compilado 2023'!D:D)</f>
        <v>72680.87</v>
      </c>
      <c r="E86" s="35">
        <f>_xlfn.XLOOKUP($B:$B,'Compilado 2023'!$B:$B,'Compilado 2023'!E:E)</f>
        <v>32.07</v>
      </c>
      <c r="F86" s="18">
        <f>_xlfn.XLOOKUP($B:$B,'Compilado 2023'!$B:$B,'Compilado 2023'!F:F)</f>
        <v>235</v>
      </c>
      <c r="G86" s="18">
        <f>_xlfn.XLOOKUP($B:$B,'Compilado 2023'!$B:$B,'Compilado 2023'!G:G)</f>
        <v>312</v>
      </c>
      <c r="H86" s="35">
        <f t="shared" si="24"/>
        <v>309.41676595744684</v>
      </c>
      <c r="I86" s="19">
        <f t="shared" si="25"/>
        <v>2119.5033333333336</v>
      </c>
      <c r="J86" s="122">
        <f t="shared" si="26"/>
        <v>34.306593840380842</v>
      </c>
      <c r="K86" s="18">
        <f>_xlfn.XLOOKUP($B:$B,'Compilado 2023'!$B:$B,'Compilado 2023'!K:K)</f>
        <v>6435</v>
      </c>
      <c r="L86" s="54">
        <f t="shared" si="27"/>
        <v>3.651903651903652E-2</v>
      </c>
      <c r="M86" s="149"/>
      <c r="N86" s="106">
        <f>_xlfn.XLOOKUP($B:$B,'Compilado 2023'!$B:$B,'Compilado 2023'!N:N)</f>
        <v>1681.47</v>
      </c>
      <c r="O86" s="106">
        <f>_xlfn.XLOOKUP($B:$B,'Compilado 2023'!$B:$B,'Compilado 2023'!O:O)</f>
        <v>384.7</v>
      </c>
      <c r="P86" s="106">
        <f>_xlfn.XLOOKUP($B:$B,'Compilado 2023'!$B:$B,'Compilado 2023'!P:P)</f>
        <v>0</v>
      </c>
      <c r="Q86" s="106">
        <f>_xlfn.XLOOKUP($B:$B,'Compilado 2023'!$B:$B,'Compilado 2023'!Q:Q)</f>
        <v>53.333333333333336</v>
      </c>
      <c r="R86" s="106">
        <f>_xlfn.XLOOKUP($B:$B,'Compilado 2023'!$B:$B,'Compilado 2023'!R:R)</f>
        <v>0</v>
      </c>
      <c r="S86" s="106">
        <f>_xlfn.XLOOKUP($B:$B,'Compilado 2023'!$B:$B,'Compilado 2023'!T:T)</f>
        <v>0</v>
      </c>
      <c r="T86" s="106">
        <f>_xlfn.XLOOKUP($B:$B,'Compilado 2023'!$B:$B,'Compilado 2023'!U:U)</f>
        <v>0</v>
      </c>
      <c r="U86" s="106">
        <f>_xlfn.XLOOKUP($B:$B,'Compilado 2023'!$B:$B,'Compilado 2023'!V:V)</f>
        <v>0</v>
      </c>
      <c r="V86" s="57"/>
      <c r="W86" s="106">
        <f>_xlfn.XLOOKUP($B:$B,'Compilado 2023'!$B:$B,'Compilado 2023'!X:X)</f>
        <v>0</v>
      </c>
      <c r="X86" s="106">
        <f>_xlfn.XLOOKUP($B:$B,'Compilado 2023'!$B:$B,'Compilado 2023'!Y:Y)</f>
        <v>0</v>
      </c>
      <c r="Y86" s="106">
        <f>_xlfn.XLOOKUP($B:$B,'Compilado 2023'!$B:$B,'Compilado 2023'!Z:Z)</f>
        <v>0</v>
      </c>
      <c r="AA86" s="208">
        <v>45130</v>
      </c>
    </row>
    <row r="87" spans="1:27" hidden="1" x14ac:dyDescent="0.2">
      <c r="A87" s="17" t="str">
        <f t="shared" ca="1" si="28"/>
        <v>Realizado</v>
      </c>
      <c r="B87" s="17">
        <v>44889</v>
      </c>
      <c r="C87" s="19">
        <f t="shared" si="23"/>
        <v>72854.37</v>
      </c>
      <c r="D87" s="35">
        <f>_xlfn.XLOOKUP($B:$B,'Compilado 2023'!$B:$B,'Compilado 2023'!D:D)</f>
        <v>72854.37</v>
      </c>
      <c r="E87" s="35">
        <f>_xlfn.XLOOKUP($B:$B,'Compilado 2023'!$B:$B,'Compilado 2023'!E:E)</f>
        <v>0</v>
      </c>
      <c r="F87" s="18">
        <f>_xlfn.XLOOKUP($B:$B,'Compilado 2023'!$B:$B,'Compilado 2023'!F:F)</f>
        <v>230</v>
      </c>
      <c r="G87" s="18">
        <f>_xlfn.XLOOKUP($B:$B,'Compilado 2023'!$B:$B,'Compilado 2023'!G:G)</f>
        <v>302</v>
      </c>
      <c r="H87" s="35">
        <f t="shared" si="24"/>
        <v>316.75813043478257</v>
      </c>
      <c r="I87" s="19">
        <f t="shared" si="25"/>
        <v>1624.3633333333332</v>
      </c>
      <c r="J87" s="122">
        <f t="shared" si="26"/>
        <v>44.851030865426246</v>
      </c>
      <c r="K87" s="18">
        <f>_xlfn.XLOOKUP($B:$B,'Compilado 2023'!$B:$B,'Compilado 2023'!K:K)</f>
        <v>5552</v>
      </c>
      <c r="L87" s="54">
        <f t="shared" si="27"/>
        <v>4.142651296829971E-2</v>
      </c>
      <c r="M87" s="149"/>
      <c r="N87" s="106">
        <f>_xlfn.XLOOKUP($B:$B,'Compilado 2023'!$B:$B,'Compilado 2023'!N:N)</f>
        <v>1188.8</v>
      </c>
      <c r="O87" s="106">
        <f>_xlfn.XLOOKUP($B:$B,'Compilado 2023'!$B:$B,'Compilado 2023'!O:O)</f>
        <v>382.23</v>
      </c>
      <c r="P87" s="106">
        <f>_xlfn.XLOOKUP($B:$B,'Compilado 2023'!$B:$B,'Compilado 2023'!P:P)</f>
        <v>0</v>
      </c>
      <c r="Q87" s="106">
        <f>_xlfn.XLOOKUP($B:$B,'Compilado 2023'!$B:$B,'Compilado 2023'!Q:Q)</f>
        <v>53.333333333333336</v>
      </c>
      <c r="R87" s="106">
        <f>_xlfn.XLOOKUP($B:$B,'Compilado 2023'!$B:$B,'Compilado 2023'!R:R)</f>
        <v>0</v>
      </c>
      <c r="S87" s="106">
        <f>_xlfn.XLOOKUP($B:$B,'Compilado 2023'!$B:$B,'Compilado 2023'!T:T)</f>
        <v>0</v>
      </c>
      <c r="T87" s="106">
        <f>_xlfn.XLOOKUP($B:$B,'Compilado 2023'!$B:$B,'Compilado 2023'!U:U)</f>
        <v>0</v>
      </c>
      <c r="U87" s="106">
        <f>_xlfn.XLOOKUP($B:$B,'Compilado 2023'!$B:$B,'Compilado 2023'!V:V)</f>
        <v>0</v>
      </c>
      <c r="V87" s="57"/>
      <c r="W87" s="106">
        <f>_xlfn.XLOOKUP($B:$B,'Compilado 2023'!$B:$B,'Compilado 2023'!X:X)</f>
        <v>0</v>
      </c>
      <c r="X87" s="106">
        <f>_xlfn.XLOOKUP($B:$B,'Compilado 2023'!$B:$B,'Compilado 2023'!Y:Y)</f>
        <v>0</v>
      </c>
      <c r="Y87" s="106">
        <f>_xlfn.XLOOKUP($B:$B,'Compilado 2023'!$B:$B,'Compilado 2023'!Z:Z)</f>
        <v>0</v>
      </c>
      <c r="AA87" s="208">
        <v>45131</v>
      </c>
    </row>
    <row r="88" spans="1:27" hidden="1" x14ac:dyDescent="0.2">
      <c r="A88" s="17" t="str">
        <f t="shared" ca="1" si="28"/>
        <v>Realizado</v>
      </c>
      <c r="B88" s="17">
        <v>44890</v>
      </c>
      <c r="C88" s="19">
        <f t="shared" si="23"/>
        <v>202447.33</v>
      </c>
      <c r="D88" s="35">
        <f>_xlfn.XLOOKUP($B:$B,'Compilado 2023'!$B:$B,'Compilado 2023'!D:D)</f>
        <v>202411.28</v>
      </c>
      <c r="E88" s="35">
        <f>_xlfn.XLOOKUP($B:$B,'Compilado 2023'!$B:$B,'Compilado 2023'!E:E)</f>
        <v>36.049999999999997</v>
      </c>
      <c r="F88" s="18">
        <f>_xlfn.XLOOKUP($B:$B,'Compilado 2023'!$B:$B,'Compilado 2023'!F:F)</f>
        <v>631</v>
      </c>
      <c r="G88" s="18">
        <f>_xlfn.XLOOKUP($B:$B,'Compilado 2023'!$B:$B,'Compilado 2023'!G:G)</f>
        <v>958</v>
      </c>
      <c r="H88" s="35">
        <f t="shared" si="24"/>
        <v>320.83570522979397</v>
      </c>
      <c r="I88" s="19">
        <f t="shared" si="25"/>
        <v>2845.3133333333335</v>
      </c>
      <c r="J88" s="122">
        <f t="shared" si="26"/>
        <v>71.151154998746463</v>
      </c>
      <c r="K88" s="18">
        <f>_xlfn.XLOOKUP($B:$B,'Compilado 2023'!$B:$B,'Compilado 2023'!K:K)</f>
        <v>8661</v>
      </c>
      <c r="L88" s="54">
        <f t="shared" si="27"/>
        <v>7.2855328484008774E-2</v>
      </c>
      <c r="M88" s="149"/>
      <c r="N88" s="106">
        <f>_xlfn.XLOOKUP($B:$B,'Compilado 2023'!$B:$B,'Compilado 2023'!N:N)</f>
        <v>2253.3000000000002</v>
      </c>
      <c r="O88" s="106">
        <f>_xlfn.XLOOKUP($B:$B,'Compilado 2023'!$B:$B,'Compilado 2023'!O:O)</f>
        <v>538.67999999999995</v>
      </c>
      <c r="P88" s="106">
        <f>_xlfn.XLOOKUP($B:$B,'Compilado 2023'!$B:$B,'Compilado 2023'!P:P)</f>
        <v>0</v>
      </c>
      <c r="Q88" s="106">
        <f>_xlfn.XLOOKUP($B:$B,'Compilado 2023'!$B:$B,'Compilado 2023'!Q:Q)</f>
        <v>53.333333333333336</v>
      </c>
      <c r="R88" s="106">
        <f>_xlfn.XLOOKUP($B:$B,'Compilado 2023'!$B:$B,'Compilado 2023'!R:R)</f>
        <v>0</v>
      </c>
      <c r="S88" s="106">
        <f>_xlfn.XLOOKUP($B:$B,'Compilado 2023'!$B:$B,'Compilado 2023'!T:T)</f>
        <v>0</v>
      </c>
      <c r="T88" s="106">
        <f>_xlfn.XLOOKUP($B:$B,'Compilado 2023'!$B:$B,'Compilado 2023'!U:U)</f>
        <v>0</v>
      </c>
      <c r="U88" s="106">
        <f>_xlfn.XLOOKUP($B:$B,'Compilado 2023'!$B:$B,'Compilado 2023'!V:V)</f>
        <v>0</v>
      </c>
      <c r="V88" s="57"/>
      <c r="W88" s="106">
        <f>_xlfn.XLOOKUP($B:$B,'Compilado 2023'!$B:$B,'Compilado 2023'!X:X)</f>
        <v>0</v>
      </c>
      <c r="X88" s="106">
        <f>_xlfn.XLOOKUP($B:$B,'Compilado 2023'!$B:$B,'Compilado 2023'!Y:Y)</f>
        <v>0</v>
      </c>
      <c r="Y88" s="106">
        <f>_xlfn.XLOOKUP($B:$B,'Compilado 2023'!$B:$B,'Compilado 2023'!Z:Z)</f>
        <v>0</v>
      </c>
      <c r="AA88" s="208">
        <v>45132</v>
      </c>
    </row>
    <row r="89" spans="1:27" hidden="1" x14ac:dyDescent="0.2">
      <c r="A89" s="17" t="str">
        <f t="shared" ca="1" si="28"/>
        <v>Realizado</v>
      </c>
      <c r="B89" s="17">
        <v>44891</v>
      </c>
      <c r="C89" s="19">
        <f t="shared" si="23"/>
        <v>72318.87</v>
      </c>
      <c r="D89" s="35">
        <f>_xlfn.XLOOKUP($B:$B,'Compilado 2023'!$B:$B,'Compilado 2023'!D:D)</f>
        <v>72318.87</v>
      </c>
      <c r="E89" s="35">
        <f>_xlfn.XLOOKUP($B:$B,'Compilado 2023'!$B:$B,'Compilado 2023'!E:E)</f>
        <v>0</v>
      </c>
      <c r="F89" s="18">
        <f>_xlfn.XLOOKUP($B:$B,'Compilado 2023'!$B:$B,'Compilado 2023'!F:F)</f>
        <v>256</v>
      </c>
      <c r="G89" s="18">
        <f>_xlfn.XLOOKUP($B:$B,'Compilado 2023'!$B:$B,'Compilado 2023'!G:G)</f>
        <v>331</v>
      </c>
      <c r="H89" s="35">
        <f t="shared" si="24"/>
        <v>282.49558593749998</v>
      </c>
      <c r="I89" s="19">
        <f t="shared" si="25"/>
        <v>1142.4133333333332</v>
      </c>
      <c r="J89" s="122">
        <f t="shared" si="26"/>
        <v>63.303594145726592</v>
      </c>
      <c r="K89" s="18">
        <f>_xlfn.XLOOKUP($B:$B,'Compilado 2023'!$B:$B,'Compilado 2023'!K:K)</f>
        <v>4639</v>
      </c>
      <c r="L89" s="54">
        <f t="shared" si="27"/>
        <v>5.5184306962707479E-2</v>
      </c>
      <c r="M89" s="149"/>
      <c r="N89" s="106">
        <f>_xlfn.XLOOKUP($B:$B,'Compilado 2023'!$B:$B,'Compilado 2023'!N:N)</f>
        <v>465.81</v>
      </c>
      <c r="O89" s="106">
        <f>_xlfn.XLOOKUP($B:$B,'Compilado 2023'!$B:$B,'Compilado 2023'!O:O)</f>
        <v>623.27</v>
      </c>
      <c r="P89" s="106">
        <f>_xlfn.XLOOKUP($B:$B,'Compilado 2023'!$B:$B,'Compilado 2023'!P:P)</f>
        <v>0</v>
      </c>
      <c r="Q89" s="106">
        <f>_xlfn.XLOOKUP($B:$B,'Compilado 2023'!$B:$B,'Compilado 2023'!Q:Q)</f>
        <v>53.333333333333336</v>
      </c>
      <c r="R89" s="106">
        <f>_xlfn.XLOOKUP($B:$B,'Compilado 2023'!$B:$B,'Compilado 2023'!R:R)</f>
        <v>0</v>
      </c>
      <c r="S89" s="106">
        <f>_xlfn.XLOOKUP($B:$B,'Compilado 2023'!$B:$B,'Compilado 2023'!T:T)</f>
        <v>0</v>
      </c>
      <c r="T89" s="106">
        <f>_xlfn.XLOOKUP($B:$B,'Compilado 2023'!$B:$B,'Compilado 2023'!U:U)</f>
        <v>0</v>
      </c>
      <c r="U89" s="106">
        <f>_xlfn.XLOOKUP($B:$B,'Compilado 2023'!$B:$B,'Compilado 2023'!V:V)</f>
        <v>0</v>
      </c>
      <c r="V89" s="57"/>
      <c r="W89" s="106">
        <f>_xlfn.XLOOKUP($B:$B,'Compilado 2023'!$B:$B,'Compilado 2023'!X:X)</f>
        <v>0</v>
      </c>
      <c r="X89" s="106">
        <f>_xlfn.XLOOKUP($B:$B,'Compilado 2023'!$B:$B,'Compilado 2023'!Y:Y)</f>
        <v>0</v>
      </c>
      <c r="Y89" s="106">
        <f>_xlfn.XLOOKUP($B:$B,'Compilado 2023'!$B:$B,'Compilado 2023'!Z:Z)</f>
        <v>0</v>
      </c>
      <c r="AA89" s="208">
        <v>45133</v>
      </c>
    </row>
    <row r="90" spans="1:27" hidden="1" x14ac:dyDescent="0.2">
      <c r="A90" s="17" t="str">
        <f t="shared" ca="1" si="28"/>
        <v>Realizado</v>
      </c>
      <c r="B90" s="17">
        <v>44892</v>
      </c>
      <c r="C90" s="19">
        <f t="shared" si="23"/>
        <v>105709.64</v>
      </c>
      <c r="D90" s="35">
        <f>_xlfn.XLOOKUP($B:$B,'Compilado 2023'!$B:$B,'Compilado 2023'!D:D)</f>
        <v>105709.64</v>
      </c>
      <c r="E90" s="35">
        <f>_xlfn.XLOOKUP($B:$B,'Compilado 2023'!$B:$B,'Compilado 2023'!E:E)</f>
        <v>0</v>
      </c>
      <c r="F90" s="18">
        <f>_xlfn.XLOOKUP($B:$B,'Compilado 2023'!$B:$B,'Compilado 2023'!F:F)</f>
        <v>330</v>
      </c>
      <c r="G90" s="18">
        <f>_xlfn.XLOOKUP($B:$B,'Compilado 2023'!$B:$B,'Compilado 2023'!G:G)</f>
        <v>510</v>
      </c>
      <c r="H90" s="35">
        <f t="shared" si="24"/>
        <v>320.33224242424239</v>
      </c>
      <c r="I90" s="19">
        <f t="shared" si="25"/>
        <v>1223.7033333333331</v>
      </c>
      <c r="J90" s="122">
        <f t="shared" si="26"/>
        <v>86.38502251362668</v>
      </c>
      <c r="K90" s="18">
        <f>_xlfn.XLOOKUP($B:$B,'Compilado 2023'!$B:$B,'Compilado 2023'!K:K)</f>
        <v>4100</v>
      </c>
      <c r="L90" s="54">
        <f t="shared" si="27"/>
        <v>8.0487804878048783E-2</v>
      </c>
      <c r="M90" s="149"/>
      <c r="N90" s="106">
        <f>_xlfn.XLOOKUP($B:$B,'Compilado 2023'!$B:$B,'Compilado 2023'!N:N)</f>
        <v>574.32000000000005</v>
      </c>
      <c r="O90" s="106">
        <f>_xlfn.XLOOKUP($B:$B,'Compilado 2023'!$B:$B,'Compilado 2023'!O:O)</f>
        <v>596.04999999999995</v>
      </c>
      <c r="P90" s="106">
        <f>_xlfn.XLOOKUP($B:$B,'Compilado 2023'!$B:$B,'Compilado 2023'!P:P)</f>
        <v>0</v>
      </c>
      <c r="Q90" s="106">
        <f>_xlfn.XLOOKUP($B:$B,'Compilado 2023'!$B:$B,'Compilado 2023'!Q:Q)</f>
        <v>53.333333333333336</v>
      </c>
      <c r="R90" s="106">
        <f>_xlfn.XLOOKUP($B:$B,'Compilado 2023'!$B:$B,'Compilado 2023'!R:R)</f>
        <v>0</v>
      </c>
      <c r="S90" s="106">
        <f>_xlfn.XLOOKUP($B:$B,'Compilado 2023'!$B:$B,'Compilado 2023'!T:T)</f>
        <v>0</v>
      </c>
      <c r="T90" s="106">
        <f>_xlfn.XLOOKUP($B:$B,'Compilado 2023'!$B:$B,'Compilado 2023'!U:U)</f>
        <v>0</v>
      </c>
      <c r="U90" s="106">
        <f>_xlfn.XLOOKUP($B:$B,'Compilado 2023'!$B:$B,'Compilado 2023'!V:V)</f>
        <v>0</v>
      </c>
      <c r="V90" s="57"/>
      <c r="W90" s="106">
        <f>_xlfn.XLOOKUP($B:$B,'Compilado 2023'!$B:$B,'Compilado 2023'!X:X)</f>
        <v>0</v>
      </c>
      <c r="X90" s="106">
        <f>_xlfn.XLOOKUP($B:$B,'Compilado 2023'!$B:$B,'Compilado 2023'!Y:Y)</f>
        <v>0</v>
      </c>
      <c r="Y90" s="106">
        <f>_xlfn.XLOOKUP($B:$B,'Compilado 2023'!$B:$B,'Compilado 2023'!Z:Z)</f>
        <v>0</v>
      </c>
      <c r="AA90" s="208">
        <v>45134</v>
      </c>
    </row>
    <row r="91" spans="1:27" hidden="1" x14ac:dyDescent="0.2">
      <c r="A91" s="17" t="str">
        <f t="shared" ca="1" si="28"/>
        <v>Realizado</v>
      </c>
      <c r="B91" s="17">
        <v>44893</v>
      </c>
      <c r="C91" s="19">
        <f t="shared" si="23"/>
        <v>128206.03</v>
      </c>
      <c r="D91" s="35">
        <f>_xlfn.XLOOKUP($B:$B,'Compilado 2023'!$B:$B,'Compilado 2023'!D:D)</f>
        <v>128126.18</v>
      </c>
      <c r="E91" s="35">
        <f>_xlfn.XLOOKUP($B:$B,'Compilado 2023'!$B:$B,'Compilado 2023'!E:E)</f>
        <v>79.849999999999994</v>
      </c>
      <c r="F91" s="18">
        <f>_xlfn.XLOOKUP($B:$B,'Compilado 2023'!$B:$B,'Compilado 2023'!F:F)</f>
        <v>607</v>
      </c>
      <c r="G91" s="18">
        <f>_xlfn.XLOOKUP($B:$B,'Compilado 2023'!$B:$B,'Compilado 2023'!G:G)</f>
        <v>1457</v>
      </c>
      <c r="H91" s="35">
        <f t="shared" si="24"/>
        <v>211.21257001647447</v>
      </c>
      <c r="I91" s="19">
        <f t="shared" si="25"/>
        <v>653.96333333333337</v>
      </c>
      <c r="J91" s="122">
        <f t="shared" si="26"/>
        <v>196.04467630703044</v>
      </c>
      <c r="K91" s="18">
        <f>_xlfn.XLOOKUP($B:$B,'Compilado 2023'!$B:$B,'Compilado 2023'!K:K)</f>
        <v>7616</v>
      </c>
      <c r="L91" s="54">
        <f t="shared" si="27"/>
        <v>7.9700630252100835E-2</v>
      </c>
      <c r="M91" s="149"/>
      <c r="N91" s="106">
        <f>_xlfn.XLOOKUP($B:$B,'Compilado 2023'!$B:$B,'Compilado 2023'!N:N)</f>
        <v>237.04</v>
      </c>
      <c r="O91" s="106">
        <f>_xlfn.XLOOKUP($B:$B,'Compilado 2023'!$B:$B,'Compilado 2023'!O:O)</f>
        <v>363.59</v>
      </c>
      <c r="P91" s="106">
        <f>_xlfn.XLOOKUP($B:$B,'Compilado 2023'!$B:$B,'Compilado 2023'!P:P)</f>
        <v>0</v>
      </c>
      <c r="Q91" s="106">
        <f>_xlfn.XLOOKUP($B:$B,'Compilado 2023'!$B:$B,'Compilado 2023'!Q:Q)</f>
        <v>53.333333333333336</v>
      </c>
      <c r="R91" s="106">
        <f>_xlfn.XLOOKUP($B:$B,'Compilado 2023'!$B:$B,'Compilado 2023'!R:R)</f>
        <v>0</v>
      </c>
      <c r="S91" s="106">
        <f>_xlfn.XLOOKUP($B:$B,'Compilado 2023'!$B:$B,'Compilado 2023'!T:T)</f>
        <v>0</v>
      </c>
      <c r="T91" s="106">
        <f>_xlfn.XLOOKUP($B:$B,'Compilado 2023'!$B:$B,'Compilado 2023'!U:U)</f>
        <v>0</v>
      </c>
      <c r="U91" s="106">
        <f>_xlfn.XLOOKUP($B:$B,'Compilado 2023'!$B:$B,'Compilado 2023'!V:V)</f>
        <v>0</v>
      </c>
      <c r="V91" s="57"/>
      <c r="W91" s="106">
        <f>_xlfn.XLOOKUP($B:$B,'Compilado 2023'!$B:$B,'Compilado 2023'!X:X)</f>
        <v>0</v>
      </c>
      <c r="X91" s="106">
        <f>_xlfn.XLOOKUP($B:$B,'Compilado 2023'!$B:$B,'Compilado 2023'!Y:Y)</f>
        <v>0</v>
      </c>
      <c r="Y91" s="106">
        <f>_xlfn.XLOOKUP($B:$B,'Compilado 2023'!$B:$B,'Compilado 2023'!Z:Z)</f>
        <v>0</v>
      </c>
      <c r="AA91" s="208">
        <v>45135</v>
      </c>
    </row>
    <row r="92" spans="1:27" hidden="1" x14ac:dyDescent="0.2">
      <c r="A92" s="17" t="str">
        <f t="shared" ca="1" si="28"/>
        <v>Realizado</v>
      </c>
      <c r="B92" s="17">
        <v>44894</v>
      </c>
      <c r="C92" s="19">
        <f t="shared" si="23"/>
        <v>79620.41</v>
      </c>
      <c r="D92" s="35">
        <f>_xlfn.XLOOKUP($B:$B,'Compilado 2023'!$B:$B,'Compilado 2023'!D:D)</f>
        <v>79598.100000000006</v>
      </c>
      <c r="E92" s="35">
        <f>_xlfn.XLOOKUP($B:$B,'Compilado 2023'!$B:$B,'Compilado 2023'!E:E)</f>
        <v>22.31</v>
      </c>
      <c r="F92" s="18">
        <f>_xlfn.XLOOKUP($B:$B,'Compilado 2023'!$B:$B,'Compilado 2023'!F:F)</f>
        <v>325</v>
      </c>
      <c r="G92" s="18">
        <f>_xlfn.XLOOKUP($B:$B,'Compilado 2023'!$B:$B,'Compilado 2023'!G:G)</f>
        <v>501</v>
      </c>
      <c r="H92" s="35">
        <f t="shared" si="24"/>
        <v>244.98587692307694</v>
      </c>
      <c r="I92" s="19">
        <f t="shared" si="25"/>
        <v>600.46333333333337</v>
      </c>
      <c r="J92" s="122">
        <f t="shared" si="26"/>
        <v>132.59828798871982</v>
      </c>
      <c r="K92" s="18">
        <f>_xlfn.XLOOKUP($B:$B,'Compilado 2023'!$B:$B,'Compilado 2023'!K:K)</f>
        <v>6120</v>
      </c>
      <c r="L92" s="54">
        <f t="shared" si="27"/>
        <v>5.3104575163398691E-2</v>
      </c>
      <c r="M92" s="149"/>
      <c r="N92" s="106">
        <f>_xlfn.XLOOKUP($B:$B,'Compilado 2023'!$B:$B,'Compilado 2023'!N:N)</f>
        <v>251.5</v>
      </c>
      <c r="O92" s="106">
        <f>_xlfn.XLOOKUP($B:$B,'Compilado 2023'!$B:$B,'Compilado 2023'!O:O)</f>
        <v>295.63</v>
      </c>
      <c r="P92" s="106">
        <f>_xlfn.XLOOKUP($B:$B,'Compilado 2023'!$B:$B,'Compilado 2023'!P:P)</f>
        <v>0</v>
      </c>
      <c r="Q92" s="106">
        <f>_xlfn.XLOOKUP($B:$B,'Compilado 2023'!$B:$B,'Compilado 2023'!Q:Q)</f>
        <v>53.333333333333336</v>
      </c>
      <c r="R92" s="106">
        <f>_xlfn.XLOOKUP($B:$B,'Compilado 2023'!$B:$B,'Compilado 2023'!R:R)</f>
        <v>0</v>
      </c>
      <c r="S92" s="106">
        <f>_xlfn.XLOOKUP($B:$B,'Compilado 2023'!$B:$B,'Compilado 2023'!T:T)</f>
        <v>0</v>
      </c>
      <c r="T92" s="106">
        <f>_xlfn.XLOOKUP($B:$B,'Compilado 2023'!$B:$B,'Compilado 2023'!U:U)</f>
        <v>0</v>
      </c>
      <c r="U92" s="106">
        <f>_xlfn.XLOOKUP($B:$B,'Compilado 2023'!$B:$B,'Compilado 2023'!V:V)</f>
        <v>0</v>
      </c>
      <c r="V92" s="57"/>
      <c r="W92" s="106">
        <f>_xlfn.XLOOKUP($B:$B,'Compilado 2023'!$B:$B,'Compilado 2023'!X:X)</f>
        <v>0</v>
      </c>
      <c r="X92" s="106">
        <f>_xlfn.XLOOKUP($B:$B,'Compilado 2023'!$B:$B,'Compilado 2023'!Y:Y)</f>
        <v>0</v>
      </c>
      <c r="Y92" s="106">
        <f>_xlfn.XLOOKUP($B:$B,'Compilado 2023'!$B:$B,'Compilado 2023'!Z:Z)</f>
        <v>0</v>
      </c>
      <c r="AA92" s="208">
        <v>45136</v>
      </c>
    </row>
    <row r="93" spans="1:27" hidden="1" x14ac:dyDescent="0.2">
      <c r="A93" s="17" t="str">
        <f t="shared" ca="1" si="28"/>
        <v>Realizado</v>
      </c>
      <c r="B93" s="17">
        <v>44895</v>
      </c>
      <c r="C93" s="19">
        <f t="shared" si="23"/>
        <v>72792.55</v>
      </c>
      <c r="D93" s="35">
        <f>_xlfn.XLOOKUP($B:$B,'Compilado 2023'!$B:$B,'Compilado 2023'!D:D)</f>
        <v>72770.240000000005</v>
      </c>
      <c r="E93" s="35">
        <f>_xlfn.XLOOKUP($B:$B,'Compilado 2023'!$B:$B,'Compilado 2023'!E:E)</f>
        <v>22.31</v>
      </c>
      <c r="F93" s="18">
        <f>_xlfn.XLOOKUP($B:$B,'Compilado 2023'!$B:$B,'Compilado 2023'!F:F)</f>
        <v>257</v>
      </c>
      <c r="G93" s="18">
        <f>_xlfn.XLOOKUP($B:$B,'Compilado 2023'!$B:$B,'Compilado 2023'!G:G)</f>
        <v>392</v>
      </c>
      <c r="H93" s="35">
        <f t="shared" si="24"/>
        <v>283.23949416342413</v>
      </c>
      <c r="I93" s="19">
        <f t="shared" si="25"/>
        <v>501.65333333333331</v>
      </c>
      <c r="J93" s="122">
        <f t="shared" si="26"/>
        <v>145.10528519030407</v>
      </c>
      <c r="K93" s="18">
        <f>_xlfn.XLOOKUP($B:$B,'Compilado 2023'!$B:$B,'Compilado 2023'!K:K)</f>
        <v>5415</v>
      </c>
      <c r="L93" s="54">
        <f t="shared" si="27"/>
        <v>4.7460757156048014E-2</v>
      </c>
      <c r="M93" s="149"/>
      <c r="N93" s="106">
        <f>_xlfn.XLOOKUP($B:$B,'Compilado 2023'!$B:$B,'Compilado 2023'!N:N)</f>
        <v>254.92</v>
      </c>
      <c r="O93" s="106">
        <f>_xlfn.XLOOKUP($B:$B,'Compilado 2023'!$B:$B,'Compilado 2023'!O:O)</f>
        <v>193.4</v>
      </c>
      <c r="P93" s="106">
        <f>_xlfn.XLOOKUP($B:$B,'Compilado 2023'!$B:$B,'Compilado 2023'!P:P)</f>
        <v>0</v>
      </c>
      <c r="Q93" s="106">
        <f>_xlfn.XLOOKUP($B:$B,'Compilado 2023'!$B:$B,'Compilado 2023'!Q:Q)</f>
        <v>53.333333333333336</v>
      </c>
      <c r="R93" s="106">
        <f>_xlfn.XLOOKUP($B:$B,'Compilado 2023'!$B:$B,'Compilado 2023'!R:R)</f>
        <v>0</v>
      </c>
      <c r="S93" s="106">
        <f>_xlfn.XLOOKUP($B:$B,'Compilado 2023'!$B:$B,'Compilado 2023'!T:T)</f>
        <v>0</v>
      </c>
      <c r="T93" s="106">
        <f>_xlfn.XLOOKUP($B:$B,'Compilado 2023'!$B:$B,'Compilado 2023'!U:U)</f>
        <v>0</v>
      </c>
      <c r="U93" s="106">
        <f>_xlfn.XLOOKUP($B:$B,'Compilado 2023'!$B:$B,'Compilado 2023'!V:V)</f>
        <v>0</v>
      </c>
      <c r="V93" s="57"/>
      <c r="W93" s="106">
        <f>_xlfn.XLOOKUP($B:$B,'Compilado 2023'!$B:$B,'Compilado 2023'!X:X)</f>
        <v>0</v>
      </c>
      <c r="X93" s="106">
        <f>_xlfn.XLOOKUP($B:$B,'Compilado 2023'!$B:$B,'Compilado 2023'!Y:Y)</f>
        <v>0</v>
      </c>
      <c r="Y93" s="106">
        <f>_xlfn.XLOOKUP($B:$B,'Compilado 2023'!$B:$B,'Compilado 2023'!Z:Z)</f>
        <v>0</v>
      </c>
      <c r="AA93" s="208">
        <v>45137</v>
      </c>
    </row>
    <row r="94" spans="1:27" hidden="1" x14ac:dyDescent="0.2">
      <c r="A94" s="17" t="str">
        <f t="shared" ca="1" si="28"/>
        <v>Realizado</v>
      </c>
      <c r="C94" s="19">
        <f t="shared" si="23"/>
        <v>0</v>
      </c>
      <c r="D94" s="35">
        <f>_xlfn.XLOOKUP($B:$B,'Compilado 2023'!$B:$B,'Compilado 2023'!D:D)</f>
        <v>0</v>
      </c>
      <c r="E94" s="35">
        <f>_xlfn.XLOOKUP($B:$B,'Compilado 2023'!$B:$B,'Compilado 2023'!E:E)</f>
        <v>0</v>
      </c>
      <c r="F94" s="18">
        <f>_xlfn.XLOOKUP($B:$B,'Compilado 2023'!$B:$B,'Compilado 2023'!F:F)</f>
        <v>0</v>
      </c>
      <c r="G94" s="18">
        <f>_xlfn.XLOOKUP($B:$B,'Compilado 2023'!$B:$B,'Compilado 2023'!G:G)</f>
        <v>0</v>
      </c>
      <c r="H94" s="35">
        <f t="shared" si="24"/>
        <v>0</v>
      </c>
      <c r="I94" s="19">
        <f t="shared" si="25"/>
        <v>0</v>
      </c>
      <c r="J94" s="122">
        <f t="shared" si="26"/>
        <v>0</v>
      </c>
      <c r="K94" s="18">
        <f>_xlfn.XLOOKUP($B:$B,'Compilado 2023'!$B:$B,'Compilado 2023'!K:K)</f>
        <v>0</v>
      </c>
      <c r="L94" s="54">
        <f t="shared" si="27"/>
        <v>0</v>
      </c>
      <c r="M94" s="149"/>
      <c r="N94" s="106">
        <f>_xlfn.XLOOKUP($B:$B,'Compilado 2023'!$B:$B,'Compilado 2023'!N:N)</f>
        <v>0</v>
      </c>
      <c r="O94" s="106">
        <f>_xlfn.XLOOKUP($B:$B,'Compilado 2023'!$B:$B,'Compilado 2023'!O:O)</f>
        <v>0</v>
      </c>
      <c r="P94" s="106">
        <f>_xlfn.XLOOKUP($B:$B,'Compilado 2023'!$B:$B,'Compilado 2023'!P:P)</f>
        <v>0</v>
      </c>
      <c r="Q94" s="106">
        <f>_xlfn.XLOOKUP($B:$B,'Compilado 2023'!$B:$B,'Compilado 2023'!Q:Q)</f>
        <v>0</v>
      </c>
      <c r="R94" s="106">
        <f>_xlfn.XLOOKUP($B:$B,'Compilado 2023'!$B:$B,'Compilado 2023'!R:R)</f>
        <v>0</v>
      </c>
      <c r="S94" s="106">
        <f>_xlfn.XLOOKUP($B:$B,'Compilado 2023'!$B:$B,'Compilado 2023'!T:T)</f>
        <v>0</v>
      </c>
      <c r="T94" s="106">
        <f>_xlfn.XLOOKUP($B:$B,'Compilado 2023'!$B:$B,'Compilado 2023'!U:U)</f>
        <v>0</v>
      </c>
      <c r="U94" s="106">
        <f>_xlfn.XLOOKUP($B:$B,'Compilado 2023'!$B:$B,'Compilado 2023'!V:V)</f>
        <v>0</v>
      </c>
      <c r="V94" s="57"/>
      <c r="W94" s="106">
        <f>_xlfn.XLOOKUP($B:$B,'Compilado 2023'!$B:$B,'Compilado 2023'!X:X)</f>
        <v>0</v>
      </c>
      <c r="X94" s="106">
        <f>_xlfn.XLOOKUP($B:$B,'Compilado 2023'!$B:$B,'Compilado 2023'!Y:Y)</f>
        <v>0</v>
      </c>
      <c r="Y94" s="106">
        <f>_xlfn.XLOOKUP($B:$B,'Compilado 2023'!$B:$B,'Compilado 2023'!Z:Z)</f>
        <v>0</v>
      </c>
      <c r="AA94" s="208">
        <v>45138</v>
      </c>
    </row>
  </sheetData>
  <mergeCells count="3">
    <mergeCell ref="B41:D41"/>
    <mergeCell ref="B49:D49"/>
    <mergeCell ref="B57:D57"/>
  </mergeCells>
  <conditionalFormatting sqref="A64:A94">
    <cfRule type="cellIs" dxfId="49" priority="23" operator="equal">
      <formula>"Realizado"</formula>
    </cfRule>
    <cfRule type="cellIs" dxfId="48" priority="24" operator="equal">
      <formula>TODAY()</formula>
    </cfRule>
    <cfRule type="cellIs" dxfId="47" priority="25" operator="equal">
      <formula>"Realizado"</formula>
    </cfRule>
    <cfRule type="cellIs" dxfId="46" priority="26" operator="equal">
      <formula>TODAY()</formula>
    </cfRule>
  </conditionalFormatting>
  <conditionalFormatting sqref="A63:B63">
    <cfRule type="cellIs" dxfId="45" priority="30" operator="equal">
      <formula>TODAY()</formula>
    </cfRule>
  </conditionalFormatting>
  <conditionalFormatting sqref="B64:B93">
    <cfRule type="cellIs" dxfId="44" priority="75" operator="equal">
      <formula>TODAY()</formula>
    </cfRule>
  </conditionalFormatting>
  <conditionalFormatting sqref="B4:H34">
    <cfRule type="cellIs" dxfId="43" priority="52" operator="equal">
      <formula>TODAY()</formula>
    </cfRule>
  </conditionalFormatting>
  <conditionalFormatting sqref="C65:D93">
    <cfRule type="cellIs" dxfId="42" priority="22" operator="equal">
      <formula>TODAY()</formula>
    </cfRule>
    <cfRule type="cellIs" dxfId="41" priority="21" operator="equal">
      <formula>$A$1</formula>
    </cfRule>
  </conditionalFormatting>
  <conditionalFormatting sqref="C64:H94">
    <cfRule type="cellIs" dxfId="40" priority="1" operator="equal">
      <formula>TODAY()</formula>
    </cfRule>
  </conditionalFormatting>
  <conditionalFormatting sqref="C94:H94">
    <cfRule type="cellIs" dxfId="39" priority="18" operator="equal">
      <formula>$A$1</formula>
    </cfRule>
  </conditionalFormatting>
  <conditionalFormatting sqref="C46:L46">
    <cfRule type="cellIs" dxfId="38" priority="50" operator="lessThan">
      <formula>0</formula>
    </cfRule>
  </conditionalFormatting>
  <conditionalFormatting sqref="C47:L47">
    <cfRule type="cellIs" dxfId="37" priority="31" operator="lessThan">
      <formula>0</formula>
    </cfRule>
  </conditionalFormatting>
  <conditionalFormatting sqref="C53:L53">
    <cfRule type="cellIs" dxfId="36" priority="48" operator="lessThan">
      <formula>0</formula>
    </cfRule>
  </conditionalFormatting>
  <conditionalFormatting sqref="C54:L54">
    <cfRule type="cellIs" dxfId="35" priority="32" operator="lessThan">
      <formula>0</formula>
    </cfRule>
  </conditionalFormatting>
  <conditionalFormatting sqref="C61:L61">
    <cfRule type="cellIs" dxfId="34" priority="36" operator="lessThan">
      <formula>0</formula>
    </cfRule>
  </conditionalFormatting>
  <conditionalFormatting sqref="C62:L62">
    <cfRule type="cellIs" dxfId="33" priority="33" operator="lessThan">
      <formula>0</formula>
    </cfRule>
  </conditionalFormatting>
  <conditionalFormatting sqref="N4:Q34">
    <cfRule type="cellIs" dxfId="32" priority="67" operator="equal">
      <formula>TODAY()</formula>
    </cfRule>
  </conditionalFormatting>
  <conditionalFormatting sqref="N64:U94">
    <cfRule type="cellIs" dxfId="31" priority="5" operator="equal">
      <formula>TODAY()</formula>
    </cfRule>
  </conditionalFormatting>
  <conditionalFormatting sqref="R4 R5:S34">
    <cfRule type="cellIs" dxfId="30" priority="66" operator="equal">
      <formula>TODAY()</formula>
    </cfRule>
  </conditionalFormatting>
  <conditionalFormatting sqref="S4:U34">
    <cfRule type="cellIs" dxfId="29" priority="57" operator="equal">
      <formula>TODAY()</formula>
    </cfRule>
  </conditionalFormatting>
  <conditionalFormatting sqref="W4:Y34">
    <cfRule type="cellIs" dxfId="28" priority="55" operator="equal">
      <formula>TODAY()</formula>
    </cfRule>
  </conditionalFormatting>
  <conditionalFormatting sqref="W64:Y94">
    <cfRule type="cellIs" dxfId="27" priority="3" operator="equal">
      <formula>TODAY()</formula>
    </cfRule>
  </conditionalFormatting>
  <conditionalFormatting sqref="AA4:AA34">
    <cfRule type="cellIs" dxfId="26" priority="60" operator="equal">
      <formula>TODAY()</formula>
    </cfRule>
  </conditionalFormatting>
  <conditionalFormatting sqref="AA64:AA94">
    <cfRule type="cellIs" dxfId="25" priority="19" operator="equal">
      <formula>TODAY()</formula>
    </cfRule>
  </conditionalFormatting>
  <printOptions horizontalCentered="1" gridLines="1"/>
  <pageMargins left="0.7" right="0.7" top="0.75" bottom="0.75" header="0" footer="0"/>
  <pageSetup paperSize="9" fitToWidth="0" pageOrder="overThenDown" orientation="landscape" cellComments="atEnd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44179-562A-43D6-B10B-3CDD89A5A3BE}">
  <sheetPr codeName="Planilha16">
    <outlinePr summaryBelow="0" summaryRight="0"/>
    <pageSetUpPr fitToPage="1"/>
  </sheetPr>
  <dimension ref="A1:AG94"/>
  <sheetViews>
    <sheetView showGridLines="0" workbookViewId="0">
      <pane ySplit="3" topLeftCell="A4" activePane="bottomLeft" state="frozen"/>
      <selection activeCell="C64" sqref="C64:AA94"/>
      <selection pane="bottomLeft" activeCell="C64" sqref="C64:AA94"/>
    </sheetView>
  </sheetViews>
  <sheetFormatPr defaultColWidth="0" defaultRowHeight="12.75" x14ac:dyDescent="0.2"/>
  <cols>
    <col min="1" max="1" width="14" customWidth="1"/>
    <col min="2" max="2" width="11.7109375" customWidth="1"/>
    <col min="3" max="3" width="18.7109375" customWidth="1"/>
    <col min="4" max="4" width="16" bestFit="1" customWidth="1"/>
    <col min="5" max="5" width="11.7109375" customWidth="1"/>
    <col min="6" max="6" width="8.42578125" bestFit="1" customWidth="1"/>
    <col min="7" max="7" width="8.85546875" bestFit="1" customWidth="1"/>
    <col min="8" max="8" width="15.140625" customWidth="1"/>
    <col min="9" max="9" width="15.28515625" customWidth="1"/>
    <col min="10" max="10" width="12.28515625" bestFit="1" customWidth="1"/>
    <col min="11" max="11" width="12" customWidth="1"/>
    <col min="12" max="12" width="9.5703125" bestFit="1" customWidth="1"/>
    <col min="13" max="13" width="0.42578125" customWidth="1"/>
    <col min="14" max="14" width="12.5703125" bestFit="1" customWidth="1"/>
    <col min="15" max="15" width="11.5703125" bestFit="1" customWidth="1"/>
    <col min="16" max="16" width="10.42578125" bestFit="1" customWidth="1"/>
    <col min="17" max="17" width="11.5703125" bestFit="1" customWidth="1"/>
    <col min="18" max="18" width="10.140625" bestFit="1" customWidth="1"/>
    <col min="19" max="19" width="10.140625" customWidth="1"/>
    <col min="20" max="20" width="7.7109375" bestFit="1" customWidth="1"/>
    <col min="21" max="21" width="10.42578125" bestFit="1" customWidth="1"/>
    <col min="22" max="22" width="1.140625" customWidth="1"/>
    <col min="23" max="25" width="10.42578125" bestFit="1" customWidth="1"/>
    <col min="26" max="26" width="0.7109375" customWidth="1"/>
    <col min="27" max="27" width="36" customWidth="1"/>
    <col min="28" max="33" width="0" hidden="1" customWidth="1"/>
    <col min="34" max="16384" width="12.5703125" hidden="1"/>
  </cols>
  <sheetData>
    <row r="1" spans="1:27" s="8" customFormat="1" ht="59.25" x14ac:dyDescent="0.75">
      <c r="A1" s="6"/>
      <c r="B1" s="6"/>
      <c r="C1" s="7" t="s">
        <v>69</v>
      </c>
      <c r="D1" s="6"/>
      <c r="E1" s="6"/>
      <c r="F1" s="6"/>
      <c r="G1" s="6"/>
      <c r="H1" s="6"/>
      <c r="I1" s="6"/>
      <c r="J1" s="6"/>
      <c r="K1" s="6"/>
      <c r="L1" s="6"/>
      <c r="M1" s="75" t="s">
        <v>184</v>
      </c>
      <c r="N1" s="49">
        <f ca="1">TODAY()</f>
        <v>45834</v>
      </c>
      <c r="O1" s="50">
        <f>MONTH(B4)</f>
        <v>12</v>
      </c>
      <c r="P1" s="50">
        <f>YEAR(B4)</f>
        <v>2023</v>
      </c>
      <c r="Q1" s="49"/>
      <c r="R1" s="49"/>
      <c r="S1" s="49"/>
      <c r="T1" s="49"/>
      <c r="U1" s="36"/>
      <c r="V1" s="75" t="s">
        <v>185</v>
      </c>
      <c r="W1" s="36"/>
      <c r="X1" s="36"/>
      <c r="Y1" s="36"/>
      <c r="Z1" s="36"/>
      <c r="AA1" s="51" t="s">
        <v>73</v>
      </c>
    </row>
    <row r="2" spans="1:27" s="10" customFormat="1" ht="24" thickBot="1" x14ac:dyDescent="0.25">
      <c r="A2" s="43"/>
      <c r="B2" s="11" t="str">
        <f>_xlfn.CONCAT(_xlfn.XLOOKUP(O1,Referencia!$B$1:$B$13,Referencia!$A$1:$A$13)," ",P1)</f>
        <v>Dezembro 2023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</row>
    <row r="3" spans="1:27" s="9" customFormat="1" ht="16.5" x14ac:dyDescent="0.35">
      <c r="A3" s="15" t="s">
        <v>74</v>
      </c>
      <c r="B3" s="13" t="s">
        <v>20</v>
      </c>
      <c r="C3" s="13" t="s">
        <v>75</v>
      </c>
      <c r="D3" s="13" t="s">
        <v>76</v>
      </c>
      <c r="E3" s="13" t="s">
        <v>77</v>
      </c>
      <c r="F3" s="13" t="s">
        <v>78</v>
      </c>
      <c r="G3" s="13" t="s">
        <v>79</v>
      </c>
      <c r="H3" s="13" t="s">
        <v>80</v>
      </c>
      <c r="I3" s="13" t="s">
        <v>81</v>
      </c>
      <c r="J3" s="13" t="s">
        <v>82</v>
      </c>
      <c r="K3" s="13" t="s">
        <v>40</v>
      </c>
      <c r="L3" s="13" t="s">
        <v>83</v>
      </c>
      <c r="M3" s="37"/>
      <c r="N3" s="13" t="s">
        <v>85</v>
      </c>
      <c r="O3" s="13" t="s">
        <v>155</v>
      </c>
      <c r="P3" s="13" t="s">
        <v>87</v>
      </c>
      <c r="Q3" s="13" t="s">
        <v>88</v>
      </c>
      <c r="R3" s="13" t="s">
        <v>89</v>
      </c>
      <c r="S3" s="13" t="s">
        <v>90</v>
      </c>
      <c r="T3" s="13" t="s">
        <v>91</v>
      </c>
      <c r="U3" s="13" t="s">
        <v>92</v>
      </c>
      <c r="V3" s="56"/>
      <c r="W3" s="13" t="s">
        <v>88</v>
      </c>
      <c r="X3" s="13" t="s">
        <v>91</v>
      </c>
      <c r="Y3" s="13" t="s">
        <v>92</v>
      </c>
      <c r="Z3" s="37"/>
      <c r="AA3" s="14" t="s">
        <v>73</v>
      </c>
    </row>
    <row r="4" spans="1:27" s="2" customFormat="1" x14ac:dyDescent="0.2">
      <c r="A4" s="16" t="str">
        <f t="shared" ref="A4:A34" si="0">TEXT(B4,"DDDD")</f>
        <v>sexta-feira</v>
      </c>
      <c r="B4" s="17">
        <v>45261</v>
      </c>
      <c r="C4" s="19">
        <f>D4+E4</f>
        <v>0</v>
      </c>
      <c r="D4" s="35">
        <f>_xlfn.XLOOKUP($B:$B,'Compilado 2023'!$B:$B,'Compilado 2023'!D:D)</f>
        <v>0</v>
      </c>
      <c r="E4" s="35">
        <f>_xlfn.XLOOKUP($B:$B,'Compilado 2023'!$B:$B,'Compilado 2023'!E:E)</f>
        <v>0</v>
      </c>
      <c r="F4" s="18">
        <f>_xlfn.XLOOKUP($B:$B,'Compilado 2023'!$B:$B,'Compilado 2023'!F:F)</f>
        <v>0</v>
      </c>
      <c r="G4" s="18">
        <f>_xlfn.XLOOKUP($B:$B,'Compilado 2023'!$B:$B,'Compilado 2023'!G:G)</f>
        <v>0</v>
      </c>
      <c r="H4" s="35">
        <f>IFERROR(C4/F4,0)</f>
        <v>0</v>
      </c>
      <c r="I4" s="19">
        <f ca="1">SUM(N4:U4)</f>
        <v>51.612903225806448</v>
      </c>
      <c r="J4" s="117">
        <f t="shared" ref="J4:J34" ca="1" si="1">IF(I4&gt;0,C4/I4,0)</f>
        <v>0</v>
      </c>
      <c r="K4" s="18">
        <f>_xlfn.XLOOKUP($B:$B,'Compilado 2023'!$B:$B,'Compilado 2023'!K:K)</f>
        <v>0</v>
      </c>
      <c r="L4" s="54">
        <f t="shared" ref="L4:L34" si="2">IFERROR(F4/K4,0)</f>
        <v>0</v>
      </c>
      <c r="M4" s="38"/>
      <c r="N4" s="106">
        <f>_xlfn.XLOOKUP($B:$B,'Compilado 2023'!$B:$B,'Compilado 2023'!N:N)</f>
        <v>0</v>
      </c>
      <c r="O4" s="106">
        <f>_xlfn.XLOOKUP($B:$B,'Compilado 2023'!$B:$B,'Compilado 2023'!O:O)</f>
        <v>0</v>
      </c>
      <c r="P4" s="106">
        <f>_xlfn.XLOOKUP($B:$B,'Compilado 2023'!$B:$B,'Compilado 2023'!P:P)</f>
        <v>0</v>
      </c>
      <c r="Q4" s="106">
        <f ca="1">_xlfn.XLOOKUP($B:$B,'Compilado 2023'!$B:$B,'Compilado 2023'!Q:Q)</f>
        <v>51.612903225806448</v>
      </c>
      <c r="R4" s="106">
        <f>_xlfn.XLOOKUP($B:$B,'Compilado 2023'!$B:$B,'Compilado 2023'!R:R)</f>
        <v>0</v>
      </c>
      <c r="S4" s="106">
        <f>_xlfn.XLOOKUP($B:$B,'Compilado 2023'!$B:$B,'Compilado 2023'!S:S)</f>
        <v>0</v>
      </c>
      <c r="T4" s="106">
        <f>_xlfn.XLOOKUP($B:$B,'Compilado 2023'!$B:$B,'Compilado 2023'!U:U)</f>
        <v>0</v>
      </c>
      <c r="U4" s="106">
        <f>_xlfn.XLOOKUP($B:$B,'Compilado 2023'!$B:$B,'Compilado 2023'!V:V)</f>
        <v>0</v>
      </c>
      <c r="V4" s="57"/>
      <c r="W4" s="106">
        <f>_xlfn.XLOOKUP($B:$B,'Compilado 2023'!$B:$B,'Compilado 2023'!X:X)</f>
        <v>0</v>
      </c>
      <c r="X4" s="106">
        <f>_xlfn.XLOOKUP($B:$B,'Compilado 2023'!$B:$B,'Compilado 2023'!Y:Y)</f>
        <v>0</v>
      </c>
      <c r="Y4" s="106">
        <f>_xlfn.XLOOKUP($B:$B,'Compilado 2023'!$B:$B,'Compilado 2023'!Z:Z)</f>
        <v>0</v>
      </c>
      <c r="Z4" s="38"/>
      <c r="AA4" s="107">
        <f>_xlfn.XLOOKUP($B:$B,'Compilado 2023'!$B:$B,'Compilado 2023'!AA:AA)</f>
        <v>0</v>
      </c>
    </row>
    <row r="5" spans="1:27" s="2" customFormat="1" x14ac:dyDescent="0.2">
      <c r="A5" s="16" t="str">
        <f t="shared" si="0"/>
        <v>sábado</v>
      </c>
      <c r="B5" s="17">
        <f>B4+1</f>
        <v>45262</v>
      </c>
      <c r="C5" s="19">
        <f t="shared" ref="C5:C34" si="3">D5+E5</f>
        <v>0</v>
      </c>
      <c r="D5" s="35">
        <f>_xlfn.XLOOKUP($B:$B,'Compilado 2023'!$B:$B,'Compilado 2023'!D:D)</f>
        <v>0</v>
      </c>
      <c r="E5" s="35">
        <f>_xlfn.XLOOKUP($B:$B,'Compilado 2023'!$B:$B,'Compilado 2023'!E:E)</f>
        <v>0</v>
      </c>
      <c r="F5" s="18">
        <f>_xlfn.XLOOKUP($B:$B,'Compilado 2023'!$B:$B,'Compilado 2023'!F:F)</f>
        <v>0</v>
      </c>
      <c r="G5" s="18">
        <f>_xlfn.XLOOKUP($B:$B,'Compilado 2023'!$B:$B,'Compilado 2023'!G:G)</f>
        <v>0</v>
      </c>
      <c r="H5" s="35">
        <f t="shared" ref="H5:H34" si="4">IFERROR(C5/F5,0)</f>
        <v>0</v>
      </c>
      <c r="I5" s="19">
        <f t="shared" ref="I5:I34" ca="1" si="5">SUM(N5:U5)</f>
        <v>51.612903225806448</v>
      </c>
      <c r="J5" s="117">
        <f t="shared" ca="1" si="1"/>
        <v>0</v>
      </c>
      <c r="K5" s="18">
        <f>_xlfn.XLOOKUP($B:$B,'Compilado 2023'!$B:$B,'Compilado 2023'!K:K)</f>
        <v>0</v>
      </c>
      <c r="L5" s="54">
        <f t="shared" si="2"/>
        <v>0</v>
      </c>
      <c r="M5" s="38"/>
      <c r="N5" s="106">
        <f>_xlfn.XLOOKUP($B:$B,'Compilado 2023'!$B:$B,'Compilado 2023'!N:N)</f>
        <v>0</v>
      </c>
      <c r="O5" s="106">
        <f>_xlfn.XLOOKUP($B:$B,'Compilado 2023'!$B:$B,'Compilado 2023'!O:O)</f>
        <v>0</v>
      </c>
      <c r="P5" s="106">
        <f>_xlfn.XLOOKUP($B:$B,'Compilado 2023'!$B:$B,'Compilado 2023'!P:P)</f>
        <v>0</v>
      </c>
      <c r="Q5" s="106">
        <f ca="1">_xlfn.XLOOKUP($B:$B,'Compilado 2023'!$B:$B,'Compilado 2023'!Q:Q)</f>
        <v>51.612903225806448</v>
      </c>
      <c r="R5" s="106">
        <f>_xlfn.XLOOKUP($B:$B,'Compilado 2023'!$B:$B,'Compilado 2023'!R:R)</f>
        <v>0</v>
      </c>
      <c r="S5" s="106">
        <f>_xlfn.XLOOKUP($B:$B,'Compilado 2023'!$B:$B,'Compilado 2023'!S:S)</f>
        <v>0</v>
      </c>
      <c r="T5" s="106">
        <f>_xlfn.XLOOKUP($B:$B,'Compilado 2023'!$B:$B,'Compilado 2023'!U:U)</f>
        <v>0</v>
      </c>
      <c r="U5" s="106">
        <f>_xlfn.XLOOKUP($B:$B,'Compilado 2023'!$B:$B,'Compilado 2023'!V:V)</f>
        <v>0</v>
      </c>
      <c r="V5" s="57"/>
      <c r="W5" s="106">
        <f>_xlfn.XLOOKUP($B:$B,'Compilado 2023'!$B:$B,'Compilado 2023'!X:X)</f>
        <v>0</v>
      </c>
      <c r="X5" s="106">
        <f>_xlfn.XLOOKUP($B:$B,'Compilado 2023'!$B:$B,'Compilado 2023'!Y:Y)</f>
        <v>0</v>
      </c>
      <c r="Y5" s="106">
        <f>_xlfn.XLOOKUP($B:$B,'Compilado 2023'!$B:$B,'Compilado 2023'!Z:Z)</f>
        <v>0</v>
      </c>
      <c r="Z5" s="38"/>
      <c r="AA5" s="107">
        <f>_xlfn.XLOOKUP($B:$B,'Compilado 2023'!$B:$B,'Compilado 2023'!AA:AA)</f>
        <v>0</v>
      </c>
    </row>
    <row r="6" spans="1:27" x14ac:dyDescent="0.2">
      <c r="A6" s="16" t="str">
        <f t="shared" si="0"/>
        <v>domingo</v>
      </c>
      <c r="B6" s="17">
        <f t="shared" ref="B6:B34" si="6">B5+1</f>
        <v>45263</v>
      </c>
      <c r="C6" s="19">
        <f t="shared" si="3"/>
        <v>0</v>
      </c>
      <c r="D6" s="35">
        <f>_xlfn.XLOOKUP($B:$B,'Compilado 2023'!$B:$B,'Compilado 2023'!D:D)</f>
        <v>0</v>
      </c>
      <c r="E6" s="35">
        <f>_xlfn.XLOOKUP($B:$B,'Compilado 2023'!$B:$B,'Compilado 2023'!E:E)</f>
        <v>0</v>
      </c>
      <c r="F6" s="18">
        <f>_xlfn.XLOOKUP($B:$B,'Compilado 2023'!$B:$B,'Compilado 2023'!F:F)</f>
        <v>0</v>
      </c>
      <c r="G6" s="18">
        <f>_xlfn.XLOOKUP($B:$B,'Compilado 2023'!$B:$B,'Compilado 2023'!G:G)</f>
        <v>0</v>
      </c>
      <c r="H6" s="35">
        <f t="shared" si="4"/>
        <v>0</v>
      </c>
      <c r="I6" s="19">
        <f t="shared" ca="1" si="5"/>
        <v>51.612903225806448</v>
      </c>
      <c r="J6" s="117">
        <f t="shared" ca="1" si="1"/>
        <v>0</v>
      </c>
      <c r="K6" s="18">
        <f>_xlfn.XLOOKUP($B:$B,'Compilado 2023'!$B:$B,'Compilado 2023'!K:K)</f>
        <v>0</v>
      </c>
      <c r="L6" s="54">
        <f t="shared" si="2"/>
        <v>0</v>
      </c>
      <c r="M6" s="38"/>
      <c r="N6" s="106">
        <f>_xlfn.XLOOKUP($B:$B,'Compilado 2023'!$B:$B,'Compilado 2023'!N:N)</f>
        <v>0</v>
      </c>
      <c r="O6" s="106">
        <f>_xlfn.XLOOKUP($B:$B,'Compilado 2023'!$B:$B,'Compilado 2023'!O:O)</f>
        <v>0</v>
      </c>
      <c r="P6" s="106">
        <f>_xlfn.XLOOKUP($B:$B,'Compilado 2023'!$B:$B,'Compilado 2023'!P:P)</f>
        <v>0</v>
      </c>
      <c r="Q6" s="106">
        <f ca="1">_xlfn.XLOOKUP($B:$B,'Compilado 2023'!$B:$B,'Compilado 2023'!Q:Q)</f>
        <v>51.612903225806448</v>
      </c>
      <c r="R6" s="106">
        <f>_xlfn.XLOOKUP($B:$B,'Compilado 2023'!$B:$B,'Compilado 2023'!R:R)</f>
        <v>0</v>
      </c>
      <c r="S6" s="106">
        <f>_xlfn.XLOOKUP($B:$B,'Compilado 2023'!$B:$B,'Compilado 2023'!S:S)</f>
        <v>0</v>
      </c>
      <c r="T6" s="106">
        <f>_xlfn.XLOOKUP($B:$B,'Compilado 2023'!$B:$B,'Compilado 2023'!U:U)</f>
        <v>0</v>
      </c>
      <c r="U6" s="106">
        <f>_xlfn.XLOOKUP($B:$B,'Compilado 2023'!$B:$B,'Compilado 2023'!V:V)</f>
        <v>0</v>
      </c>
      <c r="V6" s="57"/>
      <c r="W6" s="106">
        <f>_xlfn.XLOOKUP($B:$B,'Compilado 2023'!$B:$B,'Compilado 2023'!X:X)</f>
        <v>0</v>
      </c>
      <c r="X6" s="106">
        <f>_xlfn.XLOOKUP($B:$B,'Compilado 2023'!$B:$B,'Compilado 2023'!Y:Y)</f>
        <v>0</v>
      </c>
      <c r="Y6" s="106">
        <f>_xlfn.XLOOKUP($B:$B,'Compilado 2023'!$B:$B,'Compilado 2023'!Z:Z)</f>
        <v>0</v>
      </c>
      <c r="Z6" s="38"/>
      <c r="AA6" s="107">
        <f>_xlfn.XLOOKUP($B:$B,'Compilado 2023'!$B:$B,'Compilado 2023'!AA:AA)</f>
        <v>0</v>
      </c>
    </row>
    <row r="7" spans="1:27" x14ac:dyDescent="0.2">
      <c r="A7" s="16" t="str">
        <f t="shared" si="0"/>
        <v>segunda-feira</v>
      </c>
      <c r="B7" s="17">
        <f t="shared" si="6"/>
        <v>45264</v>
      </c>
      <c r="C7" s="19">
        <f t="shared" si="3"/>
        <v>0</v>
      </c>
      <c r="D7" s="35">
        <f>_xlfn.XLOOKUP($B:$B,'Compilado 2023'!$B:$B,'Compilado 2023'!D:D)</f>
        <v>0</v>
      </c>
      <c r="E7" s="35">
        <f>_xlfn.XLOOKUP($B:$B,'Compilado 2023'!$B:$B,'Compilado 2023'!E:E)</f>
        <v>0</v>
      </c>
      <c r="F7" s="18">
        <f>_xlfn.XLOOKUP($B:$B,'Compilado 2023'!$B:$B,'Compilado 2023'!F:F)</f>
        <v>0</v>
      </c>
      <c r="G7" s="18">
        <f>_xlfn.XLOOKUP($B:$B,'Compilado 2023'!$B:$B,'Compilado 2023'!G:G)</f>
        <v>0</v>
      </c>
      <c r="H7" s="35">
        <f t="shared" si="4"/>
        <v>0</v>
      </c>
      <c r="I7" s="19">
        <f t="shared" ca="1" si="5"/>
        <v>51.612903225806448</v>
      </c>
      <c r="J7" s="117">
        <f t="shared" ca="1" si="1"/>
        <v>0</v>
      </c>
      <c r="K7" s="18">
        <f>_xlfn.XLOOKUP($B:$B,'Compilado 2023'!$B:$B,'Compilado 2023'!K:K)</f>
        <v>0</v>
      </c>
      <c r="L7" s="54">
        <f t="shared" si="2"/>
        <v>0</v>
      </c>
      <c r="M7" s="38"/>
      <c r="N7" s="106">
        <f>_xlfn.XLOOKUP($B:$B,'Compilado 2023'!$B:$B,'Compilado 2023'!N:N)</f>
        <v>0</v>
      </c>
      <c r="O7" s="106">
        <f>_xlfn.XLOOKUP($B:$B,'Compilado 2023'!$B:$B,'Compilado 2023'!O:O)</f>
        <v>0</v>
      </c>
      <c r="P7" s="106">
        <f>_xlfn.XLOOKUP($B:$B,'Compilado 2023'!$B:$B,'Compilado 2023'!P:P)</f>
        <v>0</v>
      </c>
      <c r="Q7" s="106">
        <f ca="1">_xlfn.XLOOKUP($B:$B,'Compilado 2023'!$B:$B,'Compilado 2023'!Q:Q)</f>
        <v>51.612903225806448</v>
      </c>
      <c r="R7" s="106">
        <f>_xlfn.XLOOKUP($B:$B,'Compilado 2023'!$B:$B,'Compilado 2023'!R:R)</f>
        <v>0</v>
      </c>
      <c r="S7" s="106">
        <f>_xlfn.XLOOKUP($B:$B,'Compilado 2023'!$B:$B,'Compilado 2023'!S:S)</f>
        <v>0</v>
      </c>
      <c r="T7" s="106">
        <f>_xlfn.XLOOKUP($B:$B,'Compilado 2023'!$B:$B,'Compilado 2023'!U:U)</f>
        <v>0</v>
      </c>
      <c r="U7" s="106">
        <f>_xlfn.XLOOKUP($B:$B,'Compilado 2023'!$B:$B,'Compilado 2023'!V:V)</f>
        <v>0</v>
      </c>
      <c r="V7" s="57"/>
      <c r="W7" s="106">
        <f>_xlfn.XLOOKUP($B:$B,'Compilado 2023'!$B:$B,'Compilado 2023'!X:X)</f>
        <v>0</v>
      </c>
      <c r="X7" s="106">
        <f>_xlfn.XLOOKUP($B:$B,'Compilado 2023'!$B:$B,'Compilado 2023'!Y:Y)</f>
        <v>0</v>
      </c>
      <c r="Y7" s="106">
        <f>_xlfn.XLOOKUP($B:$B,'Compilado 2023'!$B:$B,'Compilado 2023'!Z:Z)</f>
        <v>0</v>
      </c>
      <c r="Z7" s="38"/>
      <c r="AA7" s="107">
        <f>_xlfn.XLOOKUP($B:$B,'Compilado 2023'!$B:$B,'Compilado 2023'!AA:AA)</f>
        <v>0</v>
      </c>
    </row>
    <row r="8" spans="1:27" s="2" customFormat="1" x14ac:dyDescent="0.2">
      <c r="A8" s="16" t="str">
        <f t="shared" si="0"/>
        <v>terça-feira</v>
      </c>
      <c r="B8" s="17">
        <f t="shared" si="6"/>
        <v>45265</v>
      </c>
      <c r="C8" s="19">
        <f t="shared" si="3"/>
        <v>0</v>
      </c>
      <c r="D8" s="35">
        <f>_xlfn.XLOOKUP($B:$B,'Compilado 2023'!$B:$B,'Compilado 2023'!D:D)</f>
        <v>0</v>
      </c>
      <c r="E8" s="35">
        <f>_xlfn.XLOOKUP($B:$B,'Compilado 2023'!$B:$B,'Compilado 2023'!E:E)</f>
        <v>0</v>
      </c>
      <c r="F8" s="18">
        <f>_xlfn.XLOOKUP($B:$B,'Compilado 2023'!$B:$B,'Compilado 2023'!F:F)</f>
        <v>0</v>
      </c>
      <c r="G8" s="18">
        <f>_xlfn.XLOOKUP($B:$B,'Compilado 2023'!$B:$B,'Compilado 2023'!G:G)</f>
        <v>0</v>
      </c>
      <c r="H8" s="35">
        <f t="shared" si="4"/>
        <v>0</v>
      </c>
      <c r="I8" s="19">
        <f t="shared" ca="1" si="5"/>
        <v>51.612903225806448</v>
      </c>
      <c r="J8" s="117">
        <f t="shared" ca="1" si="1"/>
        <v>0</v>
      </c>
      <c r="K8" s="18">
        <f>_xlfn.XLOOKUP($B:$B,'Compilado 2023'!$B:$B,'Compilado 2023'!K:K)</f>
        <v>0</v>
      </c>
      <c r="L8" s="54">
        <f t="shared" si="2"/>
        <v>0</v>
      </c>
      <c r="M8" s="38"/>
      <c r="N8" s="106">
        <f>_xlfn.XLOOKUP($B:$B,'Compilado 2023'!$B:$B,'Compilado 2023'!N:N)</f>
        <v>0</v>
      </c>
      <c r="O8" s="106">
        <f>_xlfn.XLOOKUP($B:$B,'Compilado 2023'!$B:$B,'Compilado 2023'!O:O)</f>
        <v>0</v>
      </c>
      <c r="P8" s="106">
        <f>_xlfn.XLOOKUP($B:$B,'Compilado 2023'!$B:$B,'Compilado 2023'!P:P)</f>
        <v>0</v>
      </c>
      <c r="Q8" s="106">
        <f ca="1">_xlfn.XLOOKUP($B:$B,'Compilado 2023'!$B:$B,'Compilado 2023'!Q:Q)</f>
        <v>51.612903225806448</v>
      </c>
      <c r="R8" s="106">
        <f>_xlfn.XLOOKUP($B:$B,'Compilado 2023'!$B:$B,'Compilado 2023'!R:R)</f>
        <v>0</v>
      </c>
      <c r="S8" s="106">
        <f>_xlfn.XLOOKUP($B:$B,'Compilado 2023'!$B:$B,'Compilado 2023'!S:S)</f>
        <v>0</v>
      </c>
      <c r="T8" s="106">
        <f>_xlfn.XLOOKUP($B:$B,'Compilado 2023'!$B:$B,'Compilado 2023'!U:U)</f>
        <v>0</v>
      </c>
      <c r="U8" s="106">
        <f>_xlfn.XLOOKUP($B:$B,'Compilado 2023'!$B:$B,'Compilado 2023'!V:V)</f>
        <v>0</v>
      </c>
      <c r="V8" s="57"/>
      <c r="W8" s="106">
        <f>_xlfn.XLOOKUP($B:$B,'Compilado 2023'!$B:$B,'Compilado 2023'!X:X)</f>
        <v>0</v>
      </c>
      <c r="X8" s="106">
        <f>_xlfn.XLOOKUP($B:$B,'Compilado 2023'!$B:$B,'Compilado 2023'!Y:Y)</f>
        <v>0</v>
      </c>
      <c r="Y8" s="106">
        <f>_xlfn.XLOOKUP($B:$B,'Compilado 2023'!$B:$B,'Compilado 2023'!Z:Z)</f>
        <v>0</v>
      </c>
      <c r="Z8" s="38"/>
      <c r="AA8" s="107">
        <f>_xlfn.XLOOKUP($B:$B,'Compilado 2023'!$B:$B,'Compilado 2023'!AA:AA)</f>
        <v>0</v>
      </c>
    </row>
    <row r="9" spans="1:27" s="2" customFormat="1" x14ac:dyDescent="0.2">
      <c r="A9" s="16" t="str">
        <f t="shared" si="0"/>
        <v>quarta-feira</v>
      </c>
      <c r="B9" s="17">
        <f t="shared" si="6"/>
        <v>45266</v>
      </c>
      <c r="C9" s="19">
        <f t="shared" si="3"/>
        <v>0</v>
      </c>
      <c r="D9" s="35">
        <f>_xlfn.XLOOKUP($B:$B,'Compilado 2023'!$B:$B,'Compilado 2023'!D:D)</f>
        <v>0</v>
      </c>
      <c r="E9" s="35">
        <f>_xlfn.XLOOKUP($B:$B,'Compilado 2023'!$B:$B,'Compilado 2023'!E:E)</f>
        <v>0</v>
      </c>
      <c r="F9" s="18">
        <f>_xlfn.XLOOKUP($B:$B,'Compilado 2023'!$B:$B,'Compilado 2023'!F:F)</f>
        <v>0</v>
      </c>
      <c r="G9" s="18">
        <f>_xlfn.XLOOKUP($B:$B,'Compilado 2023'!$B:$B,'Compilado 2023'!G:G)</f>
        <v>0</v>
      </c>
      <c r="H9" s="35">
        <f t="shared" si="4"/>
        <v>0</v>
      </c>
      <c r="I9" s="19">
        <f t="shared" ca="1" si="5"/>
        <v>51.612903225806448</v>
      </c>
      <c r="J9" s="117">
        <f t="shared" ca="1" si="1"/>
        <v>0</v>
      </c>
      <c r="K9" s="18">
        <f>_xlfn.XLOOKUP($B:$B,'Compilado 2023'!$B:$B,'Compilado 2023'!K:K)</f>
        <v>0</v>
      </c>
      <c r="L9" s="54">
        <f t="shared" si="2"/>
        <v>0</v>
      </c>
      <c r="M9" s="38"/>
      <c r="N9" s="106">
        <f>_xlfn.XLOOKUP($B:$B,'Compilado 2023'!$B:$B,'Compilado 2023'!N:N)</f>
        <v>0</v>
      </c>
      <c r="O9" s="106">
        <f>_xlfn.XLOOKUP($B:$B,'Compilado 2023'!$B:$B,'Compilado 2023'!O:O)</f>
        <v>0</v>
      </c>
      <c r="P9" s="106">
        <f>_xlfn.XLOOKUP($B:$B,'Compilado 2023'!$B:$B,'Compilado 2023'!P:P)</f>
        <v>0</v>
      </c>
      <c r="Q9" s="106">
        <f ca="1">_xlfn.XLOOKUP($B:$B,'Compilado 2023'!$B:$B,'Compilado 2023'!Q:Q)</f>
        <v>51.612903225806448</v>
      </c>
      <c r="R9" s="106">
        <f>_xlfn.XLOOKUP($B:$B,'Compilado 2023'!$B:$B,'Compilado 2023'!R:R)</f>
        <v>0</v>
      </c>
      <c r="S9" s="106">
        <f>_xlfn.XLOOKUP($B:$B,'Compilado 2023'!$B:$B,'Compilado 2023'!S:S)</f>
        <v>0</v>
      </c>
      <c r="T9" s="106">
        <f>_xlfn.XLOOKUP($B:$B,'Compilado 2023'!$B:$B,'Compilado 2023'!U:U)</f>
        <v>0</v>
      </c>
      <c r="U9" s="106">
        <f>_xlfn.XLOOKUP($B:$B,'Compilado 2023'!$B:$B,'Compilado 2023'!V:V)</f>
        <v>0</v>
      </c>
      <c r="V9" s="57"/>
      <c r="W9" s="106">
        <f>_xlfn.XLOOKUP($B:$B,'Compilado 2023'!$B:$B,'Compilado 2023'!X:X)</f>
        <v>0</v>
      </c>
      <c r="X9" s="106">
        <f>_xlfn.XLOOKUP($B:$B,'Compilado 2023'!$B:$B,'Compilado 2023'!Y:Y)</f>
        <v>0</v>
      </c>
      <c r="Y9" s="106">
        <f>_xlfn.XLOOKUP($B:$B,'Compilado 2023'!$B:$B,'Compilado 2023'!Z:Z)</f>
        <v>0</v>
      </c>
      <c r="Z9" s="38"/>
      <c r="AA9" s="107">
        <f>_xlfn.XLOOKUP($B:$B,'Compilado 2023'!$B:$B,'Compilado 2023'!AA:AA)</f>
        <v>0</v>
      </c>
    </row>
    <row r="10" spans="1:27" s="2" customFormat="1" x14ac:dyDescent="0.2">
      <c r="A10" s="16" t="str">
        <f t="shared" si="0"/>
        <v>quinta-feira</v>
      </c>
      <c r="B10" s="17">
        <f t="shared" si="6"/>
        <v>45267</v>
      </c>
      <c r="C10" s="19">
        <f t="shared" si="3"/>
        <v>0</v>
      </c>
      <c r="D10" s="35">
        <f>_xlfn.XLOOKUP($B:$B,'Compilado 2023'!$B:$B,'Compilado 2023'!D:D)</f>
        <v>0</v>
      </c>
      <c r="E10" s="35">
        <f>_xlfn.XLOOKUP($B:$B,'Compilado 2023'!$B:$B,'Compilado 2023'!E:E)</f>
        <v>0</v>
      </c>
      <c r="F10" s="18">
        <f>_xlfn.XLOOKUP($B:$B,'Compilado 2023'!$B:$B,'Compilado 2023'!F:F)</f>
        <v>0</v>
      </c>
      <c r="G10" s="18">
        <f>_xlfn.XLOOKUP($B:$B,'Compilado 2023'!$B:$B,'Compilado 2023'!G:G)</f>
        <v>0</v>
      </c>
      <c r="H10" s="35">
        <f t="shared" si="4"/>
        <v>0</v>
      </c>
      <c r="I10" s="19">
        <f t="shared" ca="1" si="5"/>
        <v>51.612903225806448</v>
      </c>
      <c r="J10" s="117">
        <f t="shared" ca="1" si="1"/>
        <v>0</v>
      </c>
      <c r="K10" s="18">
        <f>_xlfn.XLOOKUP($B:$B,'Compilado 2023'!$B:$B,'Compilado 2023'!K:K)</f>
        <v>0</v>
      </c>
      <c r="L10" s="54">
        <f t="shared" si="2"/>
        <v>0</v>
      </c>
      <c r="M10" s="38"/>
      <c r="N10" s="106">
        <f>_xlfn.XLOOKUP($B:$B,'Compilado 2023'!$B:$B,'Compilado 2023'!N:N)</f>
        <v>0</v>
      </c>
      <c r="O10" s="106">
        <f>_xlfn.XLOOKUP($B:$B,'Compilado 2023'!$B:$B,'Compilado 2023'!O:O)</f>
        <v>0</v>
      </c>
      <c r="P10" s="106">
        <f>_xlfn.XLOOKUP($B:$B,'Compilado 2023'!$B:$B,'Compilado 2023'!P:P)</f>
        <v>0</v>
      </c>
      <c r="Q10" s="106">
        <f ca="1">_xlfn.XLOOKUP($B:$B,'Compilado 2023'!$B:$B,'Compilado 2023'!Q:Q)</f>
        <v>51.612903225806448</v>
      </c>
      <c r="R10" s="106">
        <f>_xlfn.XLOOKUP($B:$B,'Compilado 2023'!$B:$B,'Compilado 2023'!R:R)</f>
        <v>0</v>
      </c>
      <c r="S10" s="106">
        <f>_xlfn.XLOOKUP($B:$B,'Compilado 2023'!$B:$B,'Compilado 2023'!S:S)</f>
        <v>0</v>
      </c>
      <c r="T10" s="106">
        <f>_xlfn.XLOOKUP($B:$B,'Compilado 2023'!$B:$B,'Compilado 2023'!U:U)</f>
        <v>0</v>
      </c>
      <c r="U10" s="106">
        <f>_xlfn.XLOOKUP($B:$B,'Compilado 2023'!$B:$B,'Compilado 2023'!V:V)</f>
        <v>0</v>
      </c>
      <c r="V10" s="57"/>
      <c r="W10" s="106">
        <f>_xlfn.XLOOKUP($B:$B,'Compilado 2023'!$B:$B,'Compilado 2023'!X:X)</f>
        <v>0</v>
      </c>
      <c r="X10" s="106">
        <f>_xlfn.XLOOKUP($B:$B,'Compilado 2023'!$B:$B,'Compilado 2023'!Y:Y)</f>
        <v>0</v>
      </c>
      <c r="Y10" s="106">
        <f>_xlfn.XLOOKUP($B:$B,'Compilado 2023'!$B:$B,'Compilado 2023'!Z:Z)</f>
        <v>0</v>
      </c>
      <c r="Z10" s="38"/>
      <c r="AA10" s="107">
        <f>_xlfn.XLOOKUP($B:$B,'Compilado 2023'!$B:$B,'Compilado 2023'!AA:AA)</f>
        <v>0</v>
      </c>
    </row>
    <row r="11" spans="1:27" s="2" customFormat="1" x14ac:dyDescent="0.2">
      <c r="A11" s="16" t="str">
        <f t="shared" si="0"/>
        <v>sexta-feira</v>
      </c>
      <c r="B11" s="17">
        <f t="shared" si="6"/>
        <v>45268</v>
      </c>
      <c r="C11" s="19">
        <f t="shared" si="3"/>
        <v>0</v>
      </c>
      <c r="D11" s="35">
        <f>_xlfn.XLOOKUP($B:$B,'Compilado 2023'!$B:$B,'Compilado 2023'!D:D)</f>
        <v>0</v>
      </c>
      <c r="E11" s="35">
        <f>_xlfn.XLOOKUP($B:$B,'Compilado 2023'!$B:$B,'Compilado 2023'!E:E)</f>
        <v>0</v>
      </c>
      <c r="F11" s="18">
        <f>_xlfn.XLOOKUP($B:$B,'Compilado 2023'!$B:$B,'Compilado 2023'!F:F)</f>
        <v>0</v>
      </c>
      <c r="G11" s="18">
        <f>_xlfn.XLOOKUP($B:$B,'Compilado 2023'!$B:$B,'Compilado 2023'!G:G)</f>
        <v>0</v>
      </c>
      <c r="H11" s="35">
        <f t="shared" si="4"/>
        <v>0</v>
      </c>
      <c r="I11" s="19">
        <f t="shared" ca="1" si="5"/>
        <v>51.612903225806448</v>
      </c>
      <c r="J11" s="117">
        <f t="shared" ca="1" si="1"/>
        <v>0</v>
      </c>
      <c r="K11" s="18">
        <f>_xlfn.XLOOKUP($B:$B,'Compilado 2023'!$B:$B,'Compilado 2023'!K:K)</f>
        <v>0</v>
      </c>
      <c r="L11" s="54">
        <f t="shared" si="2"/>
        <v>0</v>
      </c>
      <c r="M11" s="38"/>
      <c r="N11" s="106">
        <f>_xlfn.XLOOKUP($B:$B,'Compilado 2023'!$B:$B,'Compilado 2023'!N:N)</f>
        <v>0</v>
      </c>
      <c r="O11" s="106">
        <f>_xlfn.XLOOKUP($B:$B,'Compilado 2023'!$B:$B,'Compilado 2023'!O:O)</f>
        <v>0</v>
      </c>
      <c r="P11" s="106">
        <f>_xlfn.XLOOKUP($B:$B,'Compilado 2023'!$B:$B,'Compilado 2023'!P:P)</f>
        <v>0</v>
      </c>
      <c r="Q11" s="106">
        <f ca="1">_xlfn.XLOOKUP($B:$B,'Compilado 2023'!$B:$B,'Compilado 2023'!Q:Q)</f>
        <v>51.612903225806448</v>
      </c>
      <c r="R11" s="106">
        <f>_xlfn.XLOOKUP($B:$B,'Compilado 2023'!$B:$B,'Compilado 2023'!R:R)</f>
        <v>0</v>
      </c>
      <c r="S11" s="106">
        <f>_xlfn.XLOOKUP($B:$B,'Compilado 2023'!$B:$B,'Compilado 2023'!S:S)</f>
        <v>0</v>
      </c>
      <c r="T11" s="106">
        <f>_xlfn.XLOOKUP($B:$B,'Compilado 2023'!$B:$B,'Compilado 2023'!U:U)</f>
        <v>0</v>
      </c>
      <c r="U11" s="106">
        <f>_xlfn.XLOOKUP($B:$B,'Compilado 2023'!$B:$B,'Compilado 2023'!V:V)</f>
        <v>0</v>
      </c>
      <c r="V11" s="57"/>
      <c r="W11" s="106">
        <f>_xlfn.XLOOKUP($B:$B,'Compilado 2023'!$B:$B,'Compilado 2023'!X:X)</f>
        <v>0</v>
      </c>
      <c r="X11" s="106">
        <f>_xlfn.XLOOKUP($B:$B,'Compilado 2023'!$B:$B,'Compilado 2023'!Y:Y)</f>
        <v>0</v>
      </c>
      <c r="Y11" s="106">
        <f>_xlfn.XLOOKUP($B:$B,'Compilado 2023'!$B:$B,'Compilado 2023'!Z:Z)</f>
        <v>0</v>
      </c>
      <c r="Z11" s="38"/>
      <c r="AA11" s="107">
        <f>_xlfn.XLOOKUP($B:$B,'Compilado 2023'!$B:$B,'Compilado 2023'!AA:AA)</f>
        <v>0</v>
      </c>
    </row>
    <row r="12" spans="1:27" s="2" customFormat="1" x14ac:dyDescent="0.2">
      <c r="A12" s="16" t="str">
        <f t="shared" si="0"/>
        <v>sábado</v>
      </c>
      <c r="B12" s="17">
        <f t="shared" si="6"/>
        <v>45269</v>
      </c>
      <c r="C12" s="19">
        <f t="shared" si="3"/>
        <v>0</v>
      </c>
      <c r="D12" s="35">
        <f>_xlfn.XLOOKUP($B:$B,'Compilado 2023'!$B:$B,'Compilado 2023'!D:D)</f>
        <v>0</v>
      </c>
      <c r="E12" s="35">
        <f>_xlfn.XLOOKUP($B:$B,'Compilado 2023'!$B:$B,'Compilado 2023'!E:E)</f>
        <v>0</v>
      </c>
      <c r="F12" s="18">
        <f>_xlfn.XLOOKUP($B:$B,'Compilado 2023'!$B:$B,'Compilado 2023'!F:F)</f>
        <v>0</v>
      </c>
      <c r="G12" s="18">
        <f>_xlfn.XLOOKUP($B:$B,'Compilado 2023'!$B:$B,'Compilado 2023'!G:G)</f>
        <v>0</v>
      </c>
      <c r="H12" s="35">
        <f t="shared" si="4"/>
        <v>0</v>
      </c>
      <c r="I12" s="19">
        <f t="shared" ca="1" si="5"/>
        <v>51.612903225806448</v>
      </c>
      <c r="J12" s="117">
        <f t="shared" ca="1" si="1"/>
        <v>0</v>
      </c>
      <c r="K12" s="18">
        <f>_xlfn.XLOOKUP($B:$B,'Compilado 2023'!$B:$B,'Compilado 2023'!K:K)</f>
        <v>0</v>
      </c>
      <c r="L12" s="54">
        <f t="shared" si="2"/>
        <v>0</v>
      </c>
      <c r="M12" s="38"/>
      <c r="N12" s="106">
        <f>_xlfn.XLOOKUP($B:$B,'Compilado 2023'!$B:$B,'Compilado 2023'!N:N)</f>
        <v>0</v>
      </c>
      <c r="O12" s="106">
        <f>_xlfn.XLOOKUP($B:$B,'Compilado 2023'!$B:$B,'Compilado 2023'!O:O)</f>
        <v>0</v>
      </c>
      <c r="P12" s="106">
        <f>_xlfn.XLOOKUP($B:$B,'Compilado 2023'!$B:$B,'Compilado 2023'!P:P)</f>
        <v>0</v>
      </c>
      <c r="Q12" s="106">
        <f ca="1">_xlfn.XLOOKUP($B:$B,'Compilado 2023'!$B:$B,'Compilado 2023'!Q:Q)</f>
        <v>51.612903225806448</v>
      </c>
      <c r="R12" s="106">
        <f>_xlfn.XLOOKUP($B:$B,'Compilado 2023'!$B:$B,'Compilado 2023'!R:R)</f>
        <v>0</v>
      </c>
      <c r="S12" s="106">
        <f>_xlfn.XLOOKUP($B:$B,'Compilado 2023'!$B:$B,'Compilado 2023'!S:S)</f>
        <v>0</v>
      </c>
      <c r="T12" s="106">
        <f>_xlfn.XLOOKUP($B:$B,'Compilado 2023'!$B:$B,'Compilado 2023'!U:U)</f>
        <v>0</v>
      </c>
      <c r="U12" s="106">
        <f>_xlfn.XLOOKUP($B:$B,'Compilado 2023'!$B:$B,'Compilado 2023'!V:V)</f>
        <v>0</v>
      </c>
      <c r="V12" s="57"/>
      <c r="W12" s="106">
        <f>_xlfn.XLOOKUP($B:$B,'Compilado 2023'!$B:$B,'Compilado 2023'!X:X)</f>
        <v>0</v>
      </c>
      <c r="X12" s="106">
        <f>_xlfn.XLOOKUP($B:$B,'Compilado 2023'!$B:$B,'Compilado 2023'!Y:Y)</f>
        <v>0</v>
      </c>
      <c r="Y12" s="106">
        <f>_xlfn.XLOOKUP($B:$B,'Compilado 2023'!$B:$B,'Compilado 2023'!Z:Z)</f>
        <v>0</v>
      </c>
      <c r="Z12" s="38"/>
      <c r="AA12" s="107">
        <f>_xlfn.XLOOKUP($B:$B,'Compilado 2023'!$B:$B,'Compilado 2023'!AA:AA)</f>
        <v>0</v>
      </c>
    </row>
    <row r="13" spans="1:27" x14ac:dyDescent="0.2">
      <c r="A13" s="16" t="str">
        <f t="shared" si="0"/>
        <v>domingo</v>
      </c>
      <c r="B13" s="17">
        <f t="shared" si="6"/>
        <v>45270</v>
      </c>
      <c r="C13" s="19">
        <f t="shared" si="3"/>
        <v>0</v>
      </c>
      <c r="D13" s="35">
        <f>_xlfn.XLOOKUP($B:$B,'Compilado 2023'!$B:$B,'Compilado 2023'!D:D)</f>
        <v>0</v>
      </c>
      <c r="E13" s="35">
        <f>_xlfn.XLOOKUP($B:$B,'Compilado 2023'!$B:$B,'Compilado 2023'!E:E)</f>
        <v>0</v>
      </c>
      <c r="F13" s="18">
        <f>_xlfn.XLOOKUP($B:$B,'Compilado 2023'!$B:$B,'Compilado 2023'!F:F)</f>
        <v>0</v>
      </c>
      <c r="G13" s="18">
        <f>_xlfn.XLOOKUP($B:$B,'Compilado 2023'!$B:$B,'Compilado 2023'!G:G)</f>
        <v>0</v>
      </c>
      <c r="H13" s="35">
        <f t="shared" si="4"/>
        <v>0</v>
      </c>
      <c r="I13" s="19">
        <f t="shared" ca="1" si="5"/>
        <v>51.612903225806448</v>
      </c>
      <c r="J13" s="117">
        <f t="shared" ca="1" si="1"/>
        <v>0</v>
      </c>
      <c r="K13" s="18">
        <f>_xlfn.XLOOKUP($B:$B,'Compilado 2023'!$B:$B,'Compilado 2023'!K:K)</f>
        <v>0</v>
      </c>
      <c r="L13" s="54">
        <f t="shared" si="2"/>
        <v>0</v>
      </c>
      <c r="M13" s="38"/>
      <c r="N13" s="106">
        <f>_xlfn.XLOOKUP($B:$B,'Compilado 2023'!$B:$B,'Compilado 2023'!N:N)</f>
        <v>0</v>
      </c>
      <c r="O13" s="106">
        <f>_xlfn.XLOOKUP($B:$B,'Compilado 2023'!$B:$B,'Compilado 2023'!O:O)</f>
        <v>0</v>
      </c>
      <c r="P13" s="106">
        <f>_xlfn.XLOOKUP($B:$B,'Compilado 2023'!$B:$B,'Compilado 2023'!P:P)</f>
        <v>0</v>
      </c>
      <c r="Q13" s="106">
        <f ca="1">_xlfn.XLOOKUP($B:$B,'Compilado 2023'!$B:$B,'Compilado 2023'!Q:Q)</f>
        <v>51.612903225806448</v>
      </c>
      <c r="R13" s="106">
        <f>_xlfn.XLOOKUP($B:$B,'Compilado 2023'!$B:$B,'Compilado 2023'!R:R)</f>
        <v>0</v>
      </c>
      <c r="S13" s="106">
        <f>_xlfn.XLOOKUP($B:$B,'Compilado 2023'!$B:$B,'Compilado 2023'!S:S)</f>
        <v>0</v>
      </c>
      <c r="T13" s="106">
        <f>_xlfn.XLOOKUP($B:$B,'Compilado 2023'!$B:$B,'Compilado 2023'!U:U)</f>
        <v>0</v>
      </c>
      <c r="U13" s="106">
        <f>_xlfn.XLOOKUP($B:$B,'Compilado 2023'!$B:$B,'Compilado 2023'!V:V)</f>
        <v>0</v>
      </c>
      <c r="V13" s="57"/>
      <c r="W13" s="106">
        <f>_xlfn.XLOOKUP($B:$B,'Compilado 2023'!$B:$B,'Compilado 2023'!X:X)</f>
        <v>0</v>
      </c>
      <c r="X13" s="106">
        <f>_xlfn.XLOOKUP($B:$B,'Compilado 2023'!$B:$B,'Compilado 2023'!Y:Y)</f>
        <v>0</v>
      </c>
      <c r="Y13" s="106">
        <f>_xlfn.XLOOKUP($B:$B,'Compilado 2023'!$B:$B,'Compilado 2023'!Z:Z)</f>
        <v>0</v>
      </c>
      <c r="Z13" s="38"/>
      <c r="AA13" s="107">
        <f>_xlfn.XLOOKUP($B:$B,'Compilado 2023'!$B:$B,'Compilado 2023'!AA:AA)</f>
        <v>0</v>
      </c>
    </row>
    <row r="14" spans="1:27" x14ac:dyDescent="0.2">
      <c r="A14" s="16" t="str">
        <f t="shared" si="0"/>
        <v>segunda-feira</v>
      </c>
      <c r="B14" s="17">
        <f t="shared" si="6"/>
        <v>45271</v>
      </c>
      <c r="C14" s="19">
        <f t="shared" si="3"/>
        <v>0</v>
      </c>
      <c r="D14" s="35">
        <f>_xlfn.XLOOKUP($B:$B,'Compilado 2023'!$B:$B,'Compilado 2023'!D:D)</f>
        <v>0</v>
      </c>
      <c r="E14" s="35">
        <f>_xlfn.XLOOKUP($B:$B,'Compilado 2023'!$B:$B,'Compilado 2023'!E:E)</f>
        <v>0</v>
      </c>
      <c r="F14" s="18">
        <f>_xlfn.XLOOKUP($B:$B,'Compilado 2023'!$B:$B,'Compilado 2023'!F:F)</f>
        <v>0</v>
      </c>
      <c r="G14" s="18">
        <f>_xlfn.XLOOKUP($B:$B,'Compilado 2023'!$B:$B,'Compilado 2023'!G:G)</f>
        <v>0</v>
      </c>
      <c r="H14" s="35">
        <f t="shared" si="4"/>
        <v>0</v>
      </c>
      <c r="I14" s="19">
        <f t="shared" ca="1" si="5"/>
        <v>51.612903225806448</v>
      </c>
      <c r="J14" s="117">
        <f t="shared" ca="1" si="1"/>
        <v>0</v>
      </c>
      <c r="K14" s="18">
        <f>_xlfn.XLOOKUP($B:$B,'Compilado 2023'!$B:$B,'Compilado 2023'!K:K)</f>
        <v>0</v>
      </c>
      <c r="L14" s="54">
        <f t="shared" si="2"/>
        <v>0</v>
      </c>
      <c r="M14" s="38"/>
      <c r="N14" s="106">
        <f>_xlfn.XLOOKUP($B:$B,'Compilado 2023'!$B:$B,'Compilado 2023'!N:N)</f>
        <v>0</v>
      </c>
      <c r="O14" s="106">
        <f>_xlfn.XLOOKUP($B:$B,'Compilado 2023'!$B:$B,'Compilado 2023'!O:O)</f>
        <v>0</v>
      </c>
      <c r="P14" s="106">
        <f>_xlfn.XLOOKUP($B:$B,'Compilado 2023'!$B:$B,'Compilado 2023'!P:P)</f>
        <v>0</v>
      </c>
      <c r="Q14" s="106">
        <f ca="1">_xlfn.XLOOKUP($B:$B,'Compilado 2023'!$B:$B,'Compilado 2023'!Q:Q)</f>
        <v>51.612903225806448</v>
      </c>
      <c r="R14" s="106">
        <f>_xlfn.XLOOKUP($B:$B,'Compilado 2023'!$B:$B,'Compilado 2023'!R:R)</f>
        <v>0</v>
      </c>
      <c r="S14" s="106">
        <f>_xlfn.XLOOKUP($B:$B,'Compilado 2023'!$B:$B,'Compilado 2023'!S:S)</f>
        <v>0</v>
      </c>
      <c r="T14" s="106">
        <f>_xlfn.XLOOKUP($B:$B,'Compilado 2023'!$B:$B,'Compilado 2023'!U:U)</f>
        <v>0</v>
      </c>
      <c r="U14" s="106">
        <f>_xlfn.XLOOKUP($B:$B,'Compilado 2023'!$B:$B,'Compilado 2023'!V:V)</f>
        <v>0</v>
      </c>
      <c r="V14" s="57"/>
      <c r="W14" s="106">
        <f>_xlfn.XLOOKUP($B:$B,'Compilado 2023'!$B:$B,'Compilado 2023'!X:X)</f>
        <v>0</v>
      </c>
      <c r="X14" s="106">
        <f>_xlfn.XLOOKUP($B:$B,'Compilado 2023'!$B:$B,'Compilado 2023'!Y:Y)</f>
        <v>0</v>
      </c>
      <c r="Y14" s="106">
        <f>_xlfn.XLOOKUP($B:$B,'Compilado 2023'!$B:$B,'Compilado 2023'!Z:Z)</f>
        <v>0</v>
      </c>
      <c r="Z14" s="38"/>
      <c r="AA14" s="107">
        <f>_xlfn.XLOOKUP($B:$B,'Compilado 2023'!$B:$B,'Compilado 2023'!AA:AA)</f>
        <v>0</v>
      </c>
    </row>
    <row r="15" spans="1:27" s="2" customFormat="1" x14ac:dyDescent="0.2">
      <c r="A15" s="16" t="str">
        <f t="shared" si="0"/>
        <v>terça-feira</v>
      </c>
      <c r="B15" s="17">
        <f t="shared" si="6"/>
        <v>45272</v>
      </c>
      <c r="C15" s="19">
        <f t="shared" si="3"/>
        <v>0</v>
      </c>
      <c r="D15" s="35">
        <f>_xlfn.XLOOKUP($B:$B,'Compilado 2023'!$B:$B,'Compilado 2023'!D:D)</f>
        <v>0</v>
      </c>
      <c r="E15" s="35">
        <f>_xlfn.XLOOKUP($B:$B,'Compilado 2023'!$B:$B,'Compilado 2023'!E:E)</f>
        <v>0</v>
      </c>
      <c r="F15" s="18">
        <f>_xlfn.XLOOKUP($B:$B,'Compilado 2023'!$B:$B,'Compilado 2023'!F:F)</f>
        <v>0</v>
      </c>
      <c r="G15" s="18">
        <f>_xlfn.XLOOKUP($B:$B,'Compilado 2023'!$B:$B,'Compilado 2023'!G:G)</f>
        <v>0</v>
      </c>
      <c r="H15" s="35">
        <f t="shared" si="4"/>
        <v>0</v>
      </c>
      <c r="I15" s="19">
        <f t="shared" ca="1" si="5"/>
        <v>51.612903225806448</v>
      </c>
      <c r="J15" s="117">
        <f t="shared" ca="1" si="1"/>
        <v>0</v>
      </c>
      <c r="K15" s="18">
        <f>_xlfn.XLOOKUP($B:$B,'Compilado 2023'!$B:$B,'Compilado 2023'!K:K)</f>
        <v>0</v>
      </c>
      <c r="L15" s="54">
        <f t="shared" si="2"/>
        <v>0</v>
      </c>
      <c r="M15" s="38"/>
      <c r="N15" s="106">
        <f>_xlfn.XLOOKUP($B:$B,'Compilado 2023'!$B:$B,'Compilado 2023'!N:N)</f>
        <v>0</v>
      </c>
      <c r="O15" s="106">
        <f>_xlfn.XLOOKUP($B:$B,'Compilado 2023'!$B:$B,'Compilado 2023'!O:O)</f>
        <v>0</v>
      </c>
      <c r="P15" s="106">
        <f>_xlfn.XLOOKUP($B:$B,'Compilado 2023'!$B:$B,'Compilado 2023'!P:P)</f>
        <v>0</v>
      </c>
      <c r="Q15" s="106">
        <f ca="1">_xlfn.XLOOKUP($B:$B,'Compilado 2023'!$B:$B,'Compilado 2023'!Q:Q)</f>
        <v>51.612903225806448</v>
      </c>
      <c r="R15" s="106">
        <f>_xlfn.XLOOKUP($B:$B,'Compilado 2023'!$B:$B,'Compilado 2023'!R:R)</f>
        <v>0</v>
      </c>
      <c r="S15" s="106">
        <f>_xlfn.XLOOKUP($B:$B,'Compilado 2023'!$B:$B,'Compilado 2023'!S:S)</f>
        <v>0</v>
      </c>
      <c r="T15" s="106">
        <f>_xlfn.XLOOKUP($B:$B,'Compilado 2023'!$B:$B,'Compilado 2023'!U:U)</f>
        <v>0</v>
      </c>
      <c r="U15" s="106">
        <f>_xlfn.XLOOKUP($B:$B,'Compilado 2023'!$B:$B,'Compilado 2023'!V:V)</f>
        <v>0</v>
      </c>
      <c r="V15" s="57"/>
      <c r="W15" s="106">
        <f>_xlfn.XLOOKUP($B:$B,'Compilado 2023'!$B:$B,'Compilado 2023'!X:X)</f>
        <v>0</v>
      </c>
      <c r="X15" s="106">
        <f>_xlfn.XLOOKUP($B:$B,'Compilado 2023'!$B:$B,'Compilado 2023'!Y:Y)</f>
        <v>0</v>
      </c>
      <c r="Y15" s="106">
        <f>_xlfn.XLOOKUP($B:$B,'Compilado 2023'!$B:$B,'Compilado 2023'!Z:Z)</f>
        <v>0</v>
      </c>
      <c r="Z15" s="38"/>
      <c r="AA15" s="107">
        <f>_xlfn.XLOOKUP($B:$B,'Compilado 2023'!$B:$B,'Compilado 2023'!AA:AA)</f>
        <v>0</v>
      </c>
    </row>
    <row r="16" spans="1:27" s="2" customFormat="1" x14ac:dyDescent="0.2">
      <c r="A16" s="16" t="str">
        <f t="shared" si="0"/>
        <v>quarta-feira</v>
      </c>
      <c r="B16" s="17">
        <f t="shared" si="6"/>
        <v>45273</v>
      </c>
      <c r="C16" s="19">
        <f t="shared" si="3"/>
        <v>0</v>
      </c>
      <c r="D16" s="35">
        <f>_xlfn.XLOOKUP($B:$B,'Compilado 2023'!$B:$B,'Compilado 2023'!D:D)</f>
        <v>0</v>
      </c>
      <c r="E16" s="35">
        <f>_xlfn.XLOOKUP($B:$B,'Compilado 2023'!$B:$B,'Compilado 2023'!E:E)</f>
        <v>0</v>
      </c>
      <c r="F16" s="18">
        <f>_xlfn.XLOOKUP($B:$B,'Compilado 2023'!$B:$B,'Compilado 2023'!F:F)</f>
        <v>0</v>
      </c>
      <c r="G16" s="18">
        <f>_xlfn.XLOOKUP($B:$B,'Compilado 2023'!$B:$B,'Compilado 2023'!G:G)</f>
        <v>0</v>
      </c>
      <c r="H16" s="35">
        <f t="shared" si="4"/>
        <v>0</v>
      </c>
      <c r="I16" s="19">
        <f t="shared" ca="1" si="5"/>
        <v>51.612903225806448</v>
      </c>
      <c r="J16" s="117">
        <f t="shared" ca="1" si="1"/>
        <v>0</v>
      </c>
      <c r="K16" s="18">
        <f>_xlfn.XLOOKUP($B:$B,'Compilado 2023'!$B:$B,'Compilado 2023'!K:K)</f>
        <v>0</v>
      </c>
      <c r="L16" s="54">
        <f t="shared" si="2"/>
        <v>0</v>
      </c>
      <c r="M16" s="38"/>
      <c r="N16" s="106">
        <f>_xlfn.XLOOKUP($B:$B,'Compilado 2023'!$B:$B,'Compilado 2023'!N:N)</f>
        <v>0</v>
      </c>
      <c r="O16" s="106">
        <f>_xlfn.XLOOKUP($B:$B,'Compilado 2023'!$B:$B,'Compilado 2023'!O:O)</f>
        <v>0</v>
      </c>
      <c r="P16" s="106">
        <f>_xlfn.XLOOKUP($B:$B,'Compilado 2023'!$B:$B,'Compilado 2023'!P:P)</f>
        <v>0</v>
      </c>
      <c r="Q16" s="106">
        <f ca="1">_xlfn.XLOOKUP($B:$B,'Compilado 2023'!$B:$B,'Compilado 2023'!Q:Q)</f>
        <v>51.612903225806448</v>
      </c>
      <c r="R16" s="106">
        <f>_xlfn.XLOOKUP($B:$B,'Compilado 2023'!$B:$B,'Compilado 2023'!R:R)</f>
        <v>0</v>
      </c>
      <c r="S16" s="106">
        <f>_xlfn.XLOOKUP($B:$B,'Compilado 2023'!$B:$B,'Compilado 2023'!S:S)</f>
        <v>0</v>
      </c>
      <c r="T16" s="106">
        <f>_xlfn.XLOOKUP($B:$B,'Compilado 2023'!$B:$B,'Compilado 2023'!U:U)</f>
        <v>0</v>
      </c>
      <c r="U16" s="106">
        <f>_xlfn.XLOOKUP($B:$B,'Compilado 2023'!$B:$B,'Compilado 2023'!V:V)</f>
        <v>0</v>
      </c>
      <c r="V16" s="57"/>
      <c r="W16" s="106">
        <f>_xlfn.XLOOKUP($B:$B,'Compilado 2023'!$B:$B,'Compilado 2023'!X:X)</f>
        <v>0</v>
      </c>
      <c r="X16" s="106">
        <f>_xlfn.XLOOKUP($B:$B,'Compilado 2023'!$B:$B,'Compilado 2023'!Y:Y)</f>
        <v>0</v>
      </c>
      <c r="Y16" s="106">
        <f>_xlfn.XLOOKUP($B:$B,'Compilado 2023'!$B:$B,'Compilado 2023'!Z:Z)</f>
        <v>0</v>
      </c>
      <c r="Z16" s="38"/>
      <c r="AA16" s="107">
        <f>_xlfn.XLOOKUP($B:$B,'Compilado 2023'!$B:$B,'Compilado 2023'!AA:AA)</f>
        <v>0</v>
      </c>
    </row>
    <row r="17" spans="1:27" s="2" customFormat="1" x14ac:dyDescent="0.2">
      <c r="A17" s="16" t="str">
        <f t="shared" si="0"/>
        <v>quinta-feira</v>
      </c>
      <c r="B17" s="17">
        <f t="shared" si="6"/>
        <v>45274</v>
      </c>
      <c r="C17" s="19">
        <f t="shared" si="3"/>
        <v>0</v>
      </c>
      <c r="D17" s="35">
        <f>_xlfn.XLOOKUP($B:$B,'Compilado 2023'!$B:$B,'Compilado 2023'!D:D)</f>
        <v>0</v>
      </c>
      <c r="E17" s="35">
        <f>_xlfn.XLOOKUP($B:$B,'Compilado 2023'!$B:$B,'Compilado 2023'!E:E)</f>
        <v>0</v>
      </c>
      <c r="F17" s="18">
        <f>_xlfn.XLOOKUP($B:$B,'Compilado 2023'!$B:$B,'Compilado 2023'!F:F)</f>
        <v>0</v>
      </c>
      <c r="G17" s="18">
        <f>_xlfn.XLOOKUP($B:$B,'Compilado 2023'!$B:$B,'Compilado 2023'!G:G)</f>
        <v>0</v>
      </c>
      <c r="H17" s="35">
        <f t="shared" si="4"/>
        <v>0</v>
      </c>
      <c r="I17" s="19">
        <f t="shared" ca="1" si="5"/>
        <v>51.612903225806448</v>
      </c>
      <c r="J17" s="117">
        <f t="shared" ca="1" si="1"/>
        <v>0</v>
      </c>
      <c r="K17" s="18">
        <f>_xlfn.XLOOKUP($B:$B,'Compilado 2023'!$B:$B,'Compilado 2023'!K:K)</f>
        <v>0</v>
      </c>
      <c r="L17" s="54">
        <f t="shared" si="2"/>
        <v>0</v>
      </c>
      <c r="M17" s="38"/>
      <c r="N17" s="106">
        <f>_xlfn.XLOOKUP($B:$B,'Compilado 2023'!$B:$B,'Compilado 2023'!N:N)</f>
        <v>0</v>
      </c>
      <c r="O17" s="106">
        <f>_xlfn.XLOOKUP($B:$B,'Compilado 2023'!$B:$B,'Compilado 2023'!O:O)</f>
        <v>0</v>
      </c>
      <c r="P17" s="106">
        <f>_xlfn.XLOOKUP($B:$B,'Compilado 2023'!$B:$B,'Compilado 2023'!P:P)</f>
        <v>0</v>
      </c>
      <c r="Q17" s="106">
        <f ca="1">_xlfn.XLOOKUP($B:$B,'Compilado 2023'!$B:$B,'Compilado 2023'!Q:Q)</f>
        <v>51.612903225806448</v>
      </c>
      <c r="R17" s="106">
        <f>_xlfn.XLOOKUP($B:$B,'Compilado 2023'!$B:$B,'Compilado 2023'!R:R)</f>
        <v>0</v>
      </c>
      <c r="S17" s="106">
        <f>_xlfn.XLOOKUP($B:$B,'Compilado 2023'!$B:$B,'Compilado 2023'!S:S)</f>
        <v>0</v>
      </c>
      <c r="T17" s="106">
        <f>_xlfn.XLOOKUP($B:$B,'Compilado 2023'!$B:$B,'Compilado 2023'!U:U)</f>
        <v>0</v>
      </c>
      <c r="U17" s="106">
        <f>_xlfn.XLOOKUP($B:$B,'Compilado 2023'!$B:$B,'Compilado 2023'!V:V)</f>
        <v>0</v>
      </c>
      <c r="V17" s="57"/>
      <c r="W17" s="106">
        <f>_xlfn.XLOOKUP($B:$B,'Compilado 2023'!$B:$B,'Compilado 2023'!X:X)</f>
        <v>0</v>
      </c>
      <c r="X17" s="106">
        <f>_xlfn.XLOOKUP($B:$B,'Compilado 2023'!$B:$B,'Compilado 2023'!Y:Y)</f>
        <v>0</v>
      </c>
      <c r="Y17" s="106">
        <f>_xlfn.XLOOKUP($B:$B,'Compilado 2023'!$B:$B,'Compilado 2023'!Z:Z)</f>
        <v>0</v>
      </c>
      <c r="Z17" s="38"/>
      <c r="AA17" s="107">
        <f>_xlfn.XLOOKUP($B:$B,'Compilado 2023'!$B:$B,'Compilado 2023'!AA:AA)</f>
        <v>0</v>
      </c>
    </row>
    <row r="18" spans="1:27" s="2" customFormat="1" x14ac:dyDescent="0.2">
      <c r="A18" s="16" t="str">
        <f t="shared" si="0"/>
        <v>sexta-feira</v>
      </c>
      <c r="B18" s="17">
        <f t="shared" si="6"/>
        <v>45275</v>
      </c>
      <c r="C18" s="19">
        <f t="shared" si="3"/>
        <v>0</v>
      </c>
      <c r="D18" s="35">
        <f>_xlfn.XLOOKUP($B:$B,'Compilado 2023'!$B:$B,'Compilado 2023'!D:D)</f>
        <v>0</v>
      </c>
      <c r="E18" s="35">
        <f>_xlfn.XLOOKUP($B:$B,'Compilado 2023'!$B:$B,'Compilado 2023'!E:E)</f>
        <v>0</v>
      </c>
      <c r="F18" s="18">
        <f>_xlfn.XLOOKUP($B:$B,'Compilado 2023'!$B:$B,'Compilado 2023'!F:F)</f>
        <v>0</v>
      </c>
      <c r="G18" s="18">
        <f>_xlfn.XLOOKUP($B:$B,'Compilado 2023'!$B:$B,'Compilado 2023'!G:G)</f>
        <v>0</v>
      </c>
      <c r="H18" s="35">
        <f t="shared" si="4"/>
        <v>0</v>
      </c>
      <c r="I18" s="19">
        <f t="shared" ca="1" si="5"/>
        <v>51.612903225806448</v>
      </c>
      <c r="J18" s="117">
        <f t="shared" ca="1" si="1"/>
        <v>0</v>
      </c>
      <c r="K18" s="18">
        <f>_xlfn.XLOOKUP($B:$B,'Compilado 2023'!$B:$B,'Compilado 2023'!K:K)</f>
        <v>0</v>
      </c>
      <c r="L18" s="54">
        <f t="shared" si="2"/>
        <v>0</v>
      </c>
      <c r="M18" s="38"/>
      <c r="N18" s="106">
        <f>_xlfn.XLOOKUP($B:$B,'Compilado 2023'!$B:$B,'Compilado 2023'!N:N)</f>
        <v>0</v>
      </c>
      <c r="O18" s="106">
        <f>_xlfn.XLOOKUP($B:$B,'Compilado 2023'!$B:$B,'Compilado 2023'!O:O)</f>
        <v>0</v>
      </c>
      <c r="P18" s="106">
        <f>_xlfn.XLOOKUP($B:$B,'Compilado 2023'!$B:$B,'Compilado 2023'!P:P)</f>
        <v>0</v>
      </c>
      <c r="Q18" s="106">
        <f ca="1">_xlfn.XLOOKUP($B:$B,'Compilado 2023'!$B:$B,'Compilado 2023'!Q:Q)</f>
        <v>51.612903225806448</v>
      </c>
      <c r="R18" s="106">
        <f>_xlfn.XLOOKUP($B:$B,'Compilado 2023'!$B:$B,'Compilado 2023'!R:R)</f>
        <v>0</v>
      </c>
      <c r="S18" s="106">
        <f>_xlfn.XLOOKUP($B:$B,'Compilado 2023'!$B:$B,'Compilado 2023'!S:S)</f>
        <v>0</v>
      </c>
      <c r="T18" s="106">
        <f>_xlfn.XLOOKUP($B:$B,'Compilado 2023'!$B:$B,'Compilado 2023'!U:U)</f>
        <v>0</v>
      </c>
      <c r="U18" s="106">
        <f>_xlfn.XLOOKUP($B:$B,'Compilado 2023'!$B:$B,'Compilado 2023'!V:V)</f>
        <v>0</v>
      </c>
      <c r="V18" s="57"/>
      <c r="W18" s="106">
        <f>_xlfn.XLOOKUP($B:$B,'Compilado 2023'!$B:$B,'Compilado 2023'!X:X)</f>
        <v>0</v>
      </c>
      <c r="X18" s="106">
        <f>_xlfn.XLOOKUP($B:$B,'Compilado 2023'!$B:$B,'Compilado 2023'!Y:Y)</f>
        <v>0</v>
      </c>
      <c r="Y18" s="106">
        <f>_xlfn.XLOOKUP($B:$B,'Compilado 2023'!$B:$B,'Compilado 2023'!Z:Z)</f>
        <v>0</v>
      </c>
      <c r="Z18" s="38"/>
      <c r="AA18" s="107">
        <f>_xlfn.XLOOKUP($B:$B,'Compilado 2023'!$B:$B,'Compilado 2023'!AA:AA)</f>
        <v>0</v>
      </c>
    </row>
    <row r="19" spans="1:27" s="2" customFormat="1" x14ac:dyDescent="0.2">
      <c r="A19" s="16" t="str">
        <f t="shared" si="0"/>
        <v>sábado</v>
      </c>
      <c r="B19" s="17">
        <f t="shared" si="6"/>
        <v>45276</v>
      </c>
      <c r="C19" s="19">
        <f t="shared" si="3"/>
        <v>0</v>
      </c>
      <c r="D19" s="35">
        <f>_xlfn.XLOOKUP($B:$B,'Compilado 2023'!$B:$B,'Compilado 2023'!D:D)</f>
        <v>0</v>
      </c>
      <c r="E19" s="35">
        <f>_xlfn.XLOOKUP($B:$B,'Compilado 2023'!$B:$B,'Compilado 2023'!E:E)</f>
        <v>0</v>
      </c>
      <c r="F19" s="18">
        <f>_xlfn.XLOOKUP($B:$B,'Compilado 2023'!$B:$B,'Compilado 2023'!F:F)</f>
        <v>0</v>
      </c>
      <c r="G19" s="18">
        <f>_xlfn.XLOOKUP($B:$B,'Compilado 2023'!$B:$B,'Compilado 2023'!G:G)</f>
        <v>0</v>
      </c>
      <c r="H19" s="35">
        <f t="shared" si="4"/>
        <v>0</v>
      </c>
      <c r="I19" s="19">
        <f t="shared" ca="1" si="5"/>
        <v>51.612903225806448</v>
      </c>
      <c r="J19" s="117">
        <f t="shared" ca="1" si="1"/>
        <v>0</v>
      </c>
      <c r="K19" s="18">
        <f>_xlfn.XLOOKUP($B:$B,'Compilado 2023'!$B:$B,'Compilado 2023'!K:K)</f>
        <v>0</v>
      </c>
      <c r="L19" s="54">
        <f t="shared" si="2"/>
        <v>0</v>
      </c>
      <c r="M19" s="38"/>
      <c r="N19" s="106">
        <f>_xlfn.XLOOKUP($B:$B,'Compilado 2023'!$B:$B,'Compilado 2023'!N:N)</f>
        <v>0</v>
      </c>
      <c r="O19" s="106">
        <f>_xlfn.XLOOKUP($B:$B,'Compilado 2023'!$B:$B,'Compilado 2023'!O:O)</f>
        <v>0</v>
      </c>
      <c r="P19" s="106">
        <f>_xlfn.XLOOKUP($B:$B,'Compilado 2023'!$B:$B,'Compilado 2023'!P:P)</f>
        <v>0</v>
      </c>
      <c r="Q19" s="106">
        <f ca="1">_xlfn.XLOOKUP($B:$B,'Compilado 2023'!$B:$B,'Compilado 2023'!Q:Q)</f>
        <v>51.612903225806448</v>
      </c>
      <c r="R19" s="106">
        <f>_xlfn.XLOOKUP($B:$B,'Compilado 2023'!$B:$B,'Compilado 2023'!R:R)</f>
        <v>0</v>
      </c>
      <c r="S19" s="106">
        <f>_xlfn.XLOOKUP($B:$B,'Compilado 2023'!$B:$B,'Compilado 2023'!S:S)</f>
        <v>0</v>
      </c>
      <c r="T19" s="106">
        <f>_xlfn.XLOOKUP($B:$B,'Compilado 2023'!$B:$B,'Compilado 2023'!U:U)</f>
        <v>0</v>
      </c>
      <c r="U19" s="106">
        <f>_xlfn.XLOOKUP($B:$B,'Compilado 2023'!$B:$B,'Compilado 2023'!V:V)</f>
        <v>0</v>
      </c>
      <c r="V19" s="57"/>
      <c r="W19" s="106">
        <f>_xlfn.XLOOKUP($B:$B,'Compilado 2023'!$B:$B,'Compilado 2023'!X:X)</f>
        <v>0</v>
      </c>
      <c r="X19" s="106">
        <f>_xlfn.XLOOKUP($B:$B,'Compilado 2023'!$B:$B,'Compilado 2023'!Y:Y)</f>
        <v>0</v>
      </c>
      <c r="Y19" s="106">
        <f>_xlfn.XLOOKUP($B:$B,'Compilado 2023'!$B:$B,'Compilado 2023'!Z:Z)</f>
        <v>0</v>
      </c>
      <c r="Z19" s="38"/>
      <c r="AA19" s="107">
        <f>_xlfn.XLOOKUP($B:$B,'Compilado 2023'!$B:$B,'Compilado 2023'!AA:AA)</f>
        <v>0</v>
      </c>
    </row>
    <row r="20" spans="1:27" x14ac:dyDescent="0.2">
      <c r="A20" s="16" t="str">
        <f t="shared" si="0"/>
        <v>domingo</v>
      </c>
      <c r="B20" s="17">
        <f t="shared" si="6"/>
        <v>45277</v>
      </c>
      <c r="C20" s="19">
        <f t="shared" si="3"/>
        <v>0</v>
      </c>
      <c r="D20" s="35">
        <f>_xlfn.XLOOKUP($B:$B,'Compilado 2023'!$B:$B,'Compilado 2023'!D:D)</f>
        <v>0</v>
      </c>
      <c r="E20" s="35">
        <f>_xlfn.XLOOKUP($B:$B,'Compilado 2023'!$B:$B,'Compilado 2023'!E:E)</f>
        <v>0</v>
      </c>
      <c r="F20" s="18">
        <f>_xlfn.XLOOKUP($B:$B,'Compilado 2023'!$B:$B,'Compilado 2023'!F:F)</f>
        <v>0</v>
      </c>
      <c r="G20" s="18">
        <f>_xlfn.XLOOKUP($B:$B,'Compilado 2023'!$B:$B,'Compilado 2023'!G:G)</f>
        <v>0</v>
      </c>
      <c r="H20" s="35">
        <f t="shared" si="4"/>
        <v>0</v>
      </c>
      <c r="I20" s="19">
        <f t="shared" ca="1" si="5"/>
        <v>51.612903225806448</v>
      </c>
      <c r="J20" s="117">
        <f t="shared" ca="1" si="1"/>
        <v>0</v>
      </c>
      <c r="K20" s="18">
        <f>_xlfn.XLOOKUP($B:$B,'Compilado 2023'!$B:$B,'Compilado 2023'!K:K)</f>
        <v>0</v>
      </c>
      <c r="L20" s="54">
        <f t="shared" si="2"/>
        <v>0</v>
      </c>
      <c r="M20" s="38"/>
      <c r="N20" s="106">
        <f>_xlfn.XLOOKUP($B:$B,'Compilado 2023'!$B:$B,'Compilado 2023'!N:N)</f>
        <v>0</v>
      </c>
      <c r="O20" s="106">
        <f>_xlfn.XLOOKUP($B:$B,'Compilado 2023'!$B:$B,'Compilado 2023'!O:O)</f>
        <v>0</v>
      </c>
      <c r="P20" s="106">
        <f>_xlfn.XLOOKUP($B:$B,'Compilado 2023'!$B:$B,'Compilado 2023'!P:P)</f>
        <v>0</v>
      </c>
      <c r="Q20" s="106">
        <f ca="1">_xlfn.XLOOKUP($B:$B,'Compilado 2023'!$B:$B,'Compilado 2023'!Q:Q)</f>
        <v>51.612903225806448</v>
      </c>
      <c r="R20" s="106">
        <f>_xlfn.XLOOKUP($B:$B,'Compilado 2023'!$B:$B,'Compilado 2023'!R:R)</f>
        <v>0</v>
      </c>
      <c r="S20" s="106">
        <f>_xlfn.XLOOKUP($B:$B,'Compilado 2023'!$B:$B,'Compilado 2023'!S:S)</f>
        <v>0</v>
      </c>
      <c r="T20" s="106">
        <f>_xlfn.XLOOKUP($B:$B,'Compilado 2023'!$B:$B,'Compilado 2023'!U:U)</f>
        <v>0</v>
      </c>
      <c r="U20" s="106">
        <f>_xlfn.XLOOKUP($B:$B,'Compilado 2023'!$B:$B,'Compilado 2023'!V:V)</f>
        <v>0</v>
      </c>
      <c r="V20" s="57"/>
      <c r="W20" s="106">
        <f>_xlfn.XLOOKUP($B:$B,'Compilado 2023'!$B:$B,'Compilado 2023'!X:X)</f>
        <v>0</v>
      </c>
      <c r="X20" s="106">
        <f>_xlfn.XLOOKUP($B:$B,'Compilado 2023'!$B:$B,'Compilado 2023'!Y:Y)</f>
        <v>0</v>
      </c>
      <c r="Y20" s="106">
        <f>_xlfn.XLOOKUP($B:$B,'Compilado 2023'!$B:$B,'Compilado 2023'!Z:Z)</f>
        <v>0</v>
      </c>
      <c r="Z20" s="38"/>
      <c r="AA20" s="107">
        <f>_xlfn.XLOOKUP($B:$B,'Compilado 2023'!$B:$B,'Compilado 2023'!AA:AA)</f>
        <v>0</v>
      </c>
    </row>
    <row r="21" spans="1:27" x14ac:dyDescent="0.2">
      <c r="A21" s="16" t="str">
        <f t="shared" si="0"/>
        <v>segunda-feira</v>
      </c>
      <c r="B21" s="17">
        <f t="shared" si="6"/>
        <v>45278</v>
      </c>
      <c r="C21" s="19">
        <f t="shared" si="3"/>
        <v>0</v>
      </c>
      <c r="D21" s="35">
        <f>_xlfn.XLOOKUP($B:$B,'Compilado 2023'!$B:$B,'Compilado 2023'!D:D)</f>
        <v>0</v>
      </c>
      <c r="E21" s="35">
        <f>_xlfn.XLOOKUP($B:$B,'Compilado 2023'!$B:$B,'Compilado 2023'!E:E)</f>
        <v>0</v>
      </c>
      <c r="F21" s="18">
        <f>_xlfn.XLOOKUP($B:$B,'Compilado 2023'!$B:$B,'Compilado 2023'!F:F)</f>
        <v>0</v>
      </c>
      <c r="G21" s="18">
        <f>_xlfn.XLOOKUP($B:$B,'Compilado 2023'!$B:$B,'Compilado 2023'!G:G)</f>
        <v>0</v>
      </c>
      <c r="H21" s="35">
        <f t="shared" si="4"/>
        <v>0</v>
      </c>
      <c r="I21" s="19">
        <f t="shared" ca="1" si="5"/>
        <v>51.612903225806448</v>
      </c>
      <c r="J21" s="117">
        <f t="shared" ca="1" si="1"/>
        <v>0</v>
      </c>
      <c r="K21" s="18">
        <f>_xlfn.XLOOKUP($B:$B,'Compilado 2023'!$B:$B,'Compilado 2023'!K:K)</f>
        <v>0</v>
      </c>
      <c r="L21" s="54">
        <f t="shared" si="2"/>
        <v>0</v>
      </c>
      <c r="M21" s="38"/>
      <c r="N21" s="106">
        <f>_xlfn.XLOOKUP($B:$B,'Compilado 2023'!$B:$B,'Compilado 2023'!N:N)</f>
        <v>0</v>
      </c>
      <c r="O21" s="106">
        <f>_xlfn.XLOOKUP($B:$B,'Compilado 2023'!$B:$B,'Compilado 2023'!O:O)</f>
        <v>0</v>
      </c>
      <c r="P21" s="106">
        <f>_xlfn.XLOOKUP($B:$B,'Compilado 2023'!$B:$B,'Compilado 2023'!P:P)</f>
        <v>0</v>
      </c>
      <c r="Q21" s="106">
        <f ca="1">_xlfn.XLOOKUP($B:$B,'Compilado 2023'!$B:$B,'Compilado 2023'!Q:Q)</f>
        <v>51.612903225806448</v>
      </c>
      <c r="R21" s="106">
        <f>_xlfn.XLOOKUP($B:$B,'Compilado 2023'!$B:$B,'Compilado 2023'!R:R)</f>
        <v>0</v>
      </c>
      <c r="S21" s="106">
        <f>_xlfn.XLOOKUP($B:$B,'Compilado 2023'!$B:$B,'Compilado 2023'!S:S)</f>
        <v>0</v>
      </c>
      <c r="T21" s="106">
        <f>_xlfn.XLOOKUP($B:$B,'Compilado 2023'!$B:$B,'Compilado 2023'!U:U)</f>
        <v>0</v>
      </c>
      <c r="U21" s="106">
        <f>_xlfn.XLOOKUP($B:$B,'Compilado 2023'!$B:$B,'Compilado 2023'!V:V)</f>
        <v>0</v>
      </c>
      <c r="V21" s="57"/>
      <c r="W21" s="106">
        <f>_xlfn.XLOOKUP($B:$B,'Compilado 2023'!$B:$B,'Compilado 2023'!X:X)</f>
        <v>0</v>
      </c>
      <c r="X21" s="106">
        <f>_xlfn.XLOOKUP($B:$B,'Compilado 2023'!$B:$B,'Compilado 2023'!Y:Y)</f>
        <v>0</v>
      </c>
      <c r="Y21" s="106">
        <f>_xlfn.XLOOKUP($B:$B,'Compilado 2023'!$B:$B,'Compilado 2023'!Z:Z)</f>
        <v>0</v>
      </c>
      <c r="Z21" s="38"/>
      <c r="AA21" s="107">
        <f>_xlfn.XLOOKUP($B:$B,'Compilado 2023'!$B:$B,'Compilado 2023'!AA:AA)</f>
        <v>0</v>
      </c>
    </row>
    <row r="22" spans="1:27" s="2" customFormat="1" x14ac:dyDescent="0.2">
      <c r="A22" s="16" t="str">
        <f t="shared" si="0"/>
        <v>terça-feira</v>
      </c>
      <c r="B22" s="17">
        <f t="shared" si="6"/>
        <v>45279</v>
      </c>
      <c r="C22" s="19">
        <f t="shared" si="3"/>
        <v>0</v>
      </c>
      <c r="D22" s="35">
        <f>_xlfn.XLOOKUP($B:$B,'Compilado 2023'!$B:$B,'Compilado 2023'!D:D)</f>
        <v>0</v>
      </c>
      <c r="E22" s="35">
        <f>_xlfn.XLOOKUP($B:$B,'Compilado 2023'!$B:$B,'Compilado 2023'!E:E)</f>
        <v>0</v>
      </c>
      <c r="F22" s="18">
        <f>_xlfn.XLOOKUP($B:$B,'Compilado 2023'!$B:$B,'Compilado 2023'!F:F)</f>
        <v>0</v>
      </c>
      <c r="G22" s="18">
        <f>_xlfn.XLOOKUP($B:$B,'Compilado 2023'!$B:$B,'Compilado 2023'!G:G)</f>
        <v>0</v>
      </c>
      <c r="H22" s="35">
        <f t="shared" si="4"/>
        <v>0</v>
      </c>
      <c r="I22" s="19">
        <f t="shared" ca="1" si="5"/>
        <v>51.612903225806448</v>
      </c>
      <c r="J22" s="117">
        <f t="shared" ca="1" si="1"/>
        <v>0</v>
      </c>
      <c r="K22" s="18">
        <f>_xlfn.XLOOKUP($B:$B,'Compilado 2023'!$B:$B,'Compilado 2023'!K:K)</f>
        <v>0</v>
      </c>
      <c r="L22" s="54">
        <f t="shared" si="2"/>
        <v>0</v>
      </c>
      <c r="M22" s="38"/>
      <c r="N22" s="106">
        <f>_xlfn.XLOOKUP($B:$B,'Compilado 2023'!$B:$B,'Compilado 2023'!N:N)</f>
        <v>0</v>
      </c>
      <c r="O22" s="106">
        <f>_xlfn.XLOOKUP($B:$B,'Compilado 2023'!$B:$B,'Compilado 2023'!O:O)</f>
        <v>0</v>
      </c>
      <c r="P22" s="106">
        <f>_xlfn.XLOOKUP($B:$B,'Compilado 2023'!$B:$B,'Compilado 2023'!P:P)</f>
        <v>0</v>
      </c>
      <c r="Q22" s="106">
        <f ca="1">_xlfn.XLOOKUP($B:$B,'Compilado 2023'!$B:$B,'Compilado 2023'!Q:Q)</f>
        <v>51.612903225806448</v>
      </c>
      <c r="R22" s="106">
        <f>_xlfn.XLOOKUP($B:$B,'Compilado 2023'!$B:$B,'Compilado 2023'!R:R)</f>
        <v>0</v>
      </c>
      <c r="S22" s="106">
        <f>_xlfn.XLOOKUP($B:$B,'Compilado 2023'!$B:$B,'Compilado 2023'!S:S)</f>
        <v>0</v>
      </c>
      <c r="T22" s="106">
        <f>_xlfn.XLOOKUP($B:$B,'Compilado 2023'!$B:$B,'Compilado 2023'!U:U)</f>
        <v>0</v>
      </c>
      <c r="U22" s="106">
        <f>_xlfn.XLOOKUP($B:$B,'Compilado 2023'!$B:$B,'Compilado 2023'!V:V)</f>
        <v>0</v>
      </c>
      <c r="V22" s="57"/>
      <c r="W22" s="106">
        <f>_xlfn.XLOOKUP($B:$B,'Compilado 2023'!$B:$B,'Compilado 2023'!X:X)</f>
        <v>0</v>
      </c>
      <c r="X22" s="106">
        <f>_xlfn.XLOOKUP($B:$B,'Compilado 2023'!$B:$B,'Compilado 2023'!Y:Y)</f>
        <v>0</v>
      </c>
      <c r="Y22" s="106">
        <f>_xlfn.XLOOKUP($B:$B,'Compilado 2023'!$B:$B,'Compilado 2023'!Z:Z)</f>
        <v>0</v>
      </c>
      <c r="Z22" s="38"/>
      <c r="AA22" s="107">
        <f>_xlfn.XLOOKUP($B:$B,'Compilado 2023'!$B:$B,'Compilado 2023'!AA:AA)</f>
        <v>0</v>
      </c>
    </row>
    <row r="23" spans="1:27" s="2" customFormat="1" x14ac:dyDescent="0.2">
      <c r="A23" s="16" t="str">
        <f t="shared" si="0"/>
        <v>quarta-feira</v>
      </c>
      <c r="B23" s="17">
        <f t="shared" si="6"/>
        <v>45280</v>
      </c>
      <c r="C23" s="19">
        <f t="shared" si="3"/>
        <v>0</v>
      </c>
      <c r="D23" s="35">
        <f>_xlfn.XLOOKUP($B:$B,'Compilado 2023'!$B:$B,'Compilado 2023'!D:D)</f>
        <v>0</v>
      </c>
      <c r="E23" s="35">
        <f>_xlfn.XLOOKUP($B:$B,'Compilado 2023'!$B:$B,'Compilado 2023'!E:E)</f>
        <v>0</v>
      </c>
      <c r="F23" s="18">
        <f>_xlfn.XLOOKUP($B:$B,'Compilado 2023'!$B:$B,'Compilado 2023'!F:F)</f>
        <v>0</v>
      </c>
      <c r="G23" s="18">
        <f>_xlfn.XLOOKUP($B:$B,'Compilado 2023'!$B:$B,'Compilado 2023'!G:G)</f>
        <v>0</v>
      </c>
      <c r="H23" s="35">
        <f t="shared" si="4"/>
        <v>0</v>
      </c>
      <c r="I23" s="19">
        <f t="shared" ca="1" si="5"/>
        <v>51.612903225806448</v>
      </c>
      <c r="J23" s="117">
        <f t="shared" ca="1" si="1"/>
        <v>0</v>
      </c>
      <c r="K23" s="18">
        <f>_xlfn.XLOOKUP($B:$B,'Compilado 2023'!$B:$B,'Compilado 2023'!K:K)</f>
        <v>0</v>
      </c>
      <c r="L23" s="54">
        <f t="shared" si="2"/>
        <v>0</v>
      </c>
      <c r="M23" s="38"/>
      <c r="N23" s="106">
        <f>_xlfn.XLOOKUP($B:$B,'Compilado 2023'!$B:$B,'Compilado 2023'!N:N)</f>
        <v>0</v>
      </c>
      <c r="O23" s="106">
        <f>_xlfn.XLOOKUP($B:$B,'Compilado 2023'!$B:$B,'Compilado 2023'!O:O)</f>
        <v>0</v>
      </c>
      <c r="P23" s="106">
        <f>_xlfn.XLOOKUP($B:$B,'Compilado 2023'!$B:$B,'Compilado 2023'!P:P)</f>
        <v>0</v>
      </c>
      <c r="Q23" s="106">
        <f ca="1">_xlfn.XLOOKUP($B:$B,'Compilado 2023'!$B:$B,'Compilado 2023'!Q:Q)</f>
        <v>51.612903225806448</v>
      </c>
      <c r="R23" s="106">
        <f>_xlfn.XLOOKUP($B:$B,'Compilado 2023'!$B:$B,'Compilado 2023'!R:R)</f>
        <v>0</v>
      </c>
      <c r="S23" s="106">
        <f>_xlfn.XLOOKUP($B:$B,'Compilado 2023'!$B:$B,'Compilado 2023'!S:S)</f>
        <v>0</v>
      </c>
      <c r="T23" s="106">
        <f>_xlfn.XLOOKUP($B:$B,'Compilado 2023'!$B:$B,'Compilado 2023'!U:U)</f>
        <v>0</v>
      </c>
      <c r="U23" s="106">
        <f>_xlfn.XLOOKUP($B:$B,'Compilado 2023'!$B:$B,'Compilado 2023'!V:V)</f>
        <v>0</v>
      </c>
      <c r="V23" s="57"/>
      <c r="W23" s="106">
        <f>_xlfn.XLOOKUP($B:$B,'Compilado 2023'!$B:$B,'Compilado 2023'!X:X)</f>
        <v>0</v>
      </c>
      <c r="X23" s="106">
        <f>_xlfn.XLOOKUP($B:$B,'Compilado 2023'!$B:$B,'Compilado 2023'!Y:Y)</f>
        <v>0</v>
      </c>
      <c r="Y23" s="106">
        <f>_xlfn.XLOOKUP($B:$B,'Compilado 2023'!$B:$B,'Compilado 2023'!Z:Z)</f>
        <v>0</v>
      </c>
      <c r="Z23" s="38"/>
      <c r="AA23" s="107">
        <f>_xlfn.XLOOKUP($B:$B,'Compilado 2023'!$B:$B,'Compilado 2023'!AA:AA)</f>
        <v>0</v>
      </c>
    </row>
    <row r="24" spans="1:27" s="2" customFormat="1" x14ac:dyDescent="0.2">
      <c r="A24" s="16" t="str">
        <f t="shared" si="0"/>
        <v>quinta-feira</v>
      </c>
      <c r="B24" s="17">
        <f t="shared" si="6"/>
        <v>45281</v>
      </c>
      <c r="C24" s="19">
        <f t="shared" si="3"/>
        <v>0</v>
      </c>
      <c r="D24" s="35">
        <f>_xlfn.XLOOKUP($B:$B,'Compilado 2023'!$B:$B,'Compilado 2023'!D:D)</f>
        <v>0</v>
      </c>
      <c r="E24" s="35">
        <f>_xlfn.XLOOKUP($B:$B,'Compilado 2023'!$B:$B,'Compilado 2023'!E:E)</f>
        <v>0</v>
      </c>
      <c r="F24" s="18">
        <f>_xlfn.XLOOKUP($B:$B,'Compilado 2023'!$B:$B,'Compilado 2023'!F:F)</f>
        <v>0</v>
      </c>
      <c r="G24" s="18">
        <f>_xlfn.XLOOKUP($B:$B,'Compilado 2023'!$B:$B,'Compilado 2023'!G:G)</f>
        <v>0</v>
      </c>
      <c r="H24" s="35">
        <f t="shared" si="4"/>
        <v>0</v>
      </c>
      <c r="I24" s="19">
        <f t="shared" ca="1" si="5"/>
        <v>51.612903225806448</v>
      </c>
      <c r="J24" s="117">
        <f t="shared" ca="1" si="1"/>
        <v>0</v>
      </c>
      <c r="K24" s="18">
        <f>_xlfn.XLOOKUP($B:$B,'Compilado 2023'!$B:$B,'Compilado 2023'!K:K)</f>
        <v>0</v>
      </c>
      <c r="L24" s="54">
        <f t="shared" si="2"/>
        <v>0</v>
      </c>
      <c r="M24" s="38"/>
      <c r="N24" s="106">
        <f>_xlfn.XLOOKUP($B:$B,'Compilado 2023'!$B:$B,'Compilado 2023'!N:N)</f>
        <v>0</v>
      </c>
      <c r="O24" s="106">
        <f>_xlfn.XLOOKUP($B:$B,'Compilado 2023'!$B:$B,'Compilado 2023'!O:O)</f>
        <v>0</v>
      </c>
      <c r="P24" s="106">
        <f>_xlfn.XLOOKUP($B:$B,'Compilado 2023'!$B:$B,'Compilado 2023'!P:P)</f>
        <v>0</v>
      </c>
      <c r="Q24" s="106">
        <f ca="1">_xlfn.XLOOKUP($B:$B,'Compilado 2023'!$B:$B,'Compilado 2023'!Q:Q)</f>
        <v>51.612903225806448</v>
      </c>
      <c r="R24" s="106">
        <f>_xlfn.XLOOKUP($B:$B,'Compilado 2023'!$B:$B,'Compilado 2023'!R:R)</f>
        <v>0</v>
      </c>
      <c r="S24" s="106">
        <f>_xlfn.XLOOKUP($B:$B,'Compilado 2023'!$B:$B,'Compilado 2023'!S:S)</f>
        <v>0</v>
      </c>
      <c r="T24" s="106">
        <f>_xlfn.XLOOKUP($B:$B,'Compilado 2023'!$B:$B,'Compilado 2023'!U:U)</f>
        <v>0</v>
      </c>
      <c r="U24" s="106">
        <f>_xlfn.XLOOKUP($B:$B,'Compilado 2023'!$B:$B,'Compilado 2023'!V:V)</f>
        <v>0</v>
      </c>
      <c r="V24" s="57"/>
      <c r="W24" s="106">
        <f>_xlfn.XLOOKUP($B:$B,'Compilado 2023'!$B:$B,'Compilado 2023'!X:X)</f>
        <v>0</v>
      </c>
      <c r="X24" s="106">
        <f>_xlfn.XLOOKUP($B:$B,'Compilado 2023'!$B:$B,'Compilado 2023'!Y:Y)</f>
        <v>0</v>
      </c>
      <c r="Y24" s="106">
        <f>_xlfn.XLOOKUP($B:$B,'Compilado 2023'!$B:$B,'Compilado 2023'!Z:Z)</f>
        <v>0</v>
      </c>
      <c r="Z24" s="38"/>
      <c r="AA24" s="107">
        <f>_xlfn.XLOOKUP($B:$B,'Compilado 2023'!$B:$B,'Compilado 2023'!AA:AA)</f>
        <v>0</v>
      </c>
    </row>
    <row r="25" spans="1:27" s="2" customFormat="1" x14ac:dyDescent="0.2">
      <c r="A25" s="16" t="str">
        <f t="shared" si="0"/>
        <v>sexta-feira</v>
      </c>
      <c r="B25" s="17">
        <f t="shared" si="6"/>
        <v>45282</v>
      </c>
      <c r="C25" s="19">
        <f t="shared" si="3"/>
        <v>0</v>
      </c>
      <c r="D25" s="35">
        <f>_xlfn.XLOOKUP($B:$B,'Compilado 2023'!$B:$B,'Compilado 2023'!D:D)</f>
        <v>0</v>
      </c>
      <c r="E25" s="35">
        <f>_xlfn.XLOOKUP($B:$B,'Compilado 2023'!$B:$B,'Compilado 2023'!E:E)</f>
        <v>0</v>
      </c>
      <c r="F25" s="18">
        <f>_xlfn.XLOOKUP($B:$B,'Compilado 2023'!$B:$B,'Compilado 2023'!F:F)</f>
        <v>0</v>
      </c>
      <c r="G25" s="18">
        <f>_xlfn.XLOOKUP($B:$B,'Compilado 2023'!$B:$B,'Compilado 2023'!G:G)</f>
        <v>0</v>
      </c>
      <c r="H25" s="35">
        <f t="shared" si="4"/>
        <v>0</v>
      </c>
      <c r="I25" s="19">
        <f t="shared" ca="1" si="5"/>
        <v>51.612903225806448</v>
      </c>
      <c r="J25" s="117">
        <f t="shared" ca="1" si="1"/>
        <v>0</v>
      </c>
      <c r="K25" s="18">
        <f>_xlfn.XLOOKUP($B:$B,'Compilado 2023'!$B:$B,'Compilado 2023'!K:K)</f>
        <v>0</v>
      </c>
      <c r="L25" s="54">
        <f t="shared" si="2"/>
        <v>0</v>
      </c>
      <c r="M25" s="38"/>
      <c r="N25" s="106">
        <f>_xlfn.XLOOKUP($B:$B,'Compilado 2023'!$B:$B,'Compilado 2023'!N:N)</f>
        <v>0</v>
      </c>
      <c r="O25" s="106">
        <f>_xlfn.XLOOKUP($B:$B,'Compilado 2023'!$B:$B,'Compilado 2023'!O:O)</f>
        <v>0</v>
      </c>
      <c r="P25" s="106">
        <f>_xlfn.XLOOKUP($B:$B,'Compilado 2023'!$B:$B,'Compilado 2023'!P:P)</f>
        <v>0</v>
      </c>
      <c r="Q25" s="106">
        <f ca="1">_xlfn.XLOOKUP($B:$B,'Compilado 2023'!$B:$B,'Compilado 2023'!Q:Q)</f>
        <v>51.612903225806448</v>
      </c>
      <c r="R25" s="106">
        <f>_xlfn.XLOOKUP($B:$B,'Compilado 2023'!$B:$B,'Compilado 2023'!R:R)</f>
        <v>0</v>
      </c>
      <c r="S25" s="106">
        <f>_xlfn.XLOOKUP($B:$B,'Compilado 2023'!$B:$B,'Compilado 2023'!S:S)</f>
        <v>0</v>
      </c>
      <c r="T25" s="106">
        <f>_xlfn.XLOOKUP($B:$B,'Compilado 2023'!$B:$B,'Compilado 2023'!U:U)</f>
        <v>0</v>
      </c>
      <c r="U25" s="106">
        <f>_xlfn.XLOOKUP($B:$B,'Compilado 2023'!$B:$B,'Compilado 2023'!V:V)</f>
        <v>0</v>
      </c>
      <c r="V25" s="57"/>
      <c r="W25" s="106">
        <f>_xlfn.XLOOKUP($B:$B,'Compilado 2023'!$B:$B,'Compilado 2023'!X:X)</f>
        <v>0</v>
      </c>
      <c r="X25" s="106">
        <f>_xlfn.XLOOKUP($B:$B,'Compilado 2023'!$B:$B,'Compilado 2023'!Y:Y)</f>
        <v>0</v>
      </c>
      <c r="Y25" s="106">
        <f>_xlfn.XLOOKUP($B:$B,'Compilado 2023'!$B:$B,'Compilado 2023'!Z:Z)</f>
        <v>0</v>
      </c>
      <c r="Z25" s="38"/>
      <c r="AA25" s="107">
        <f>_xlfn.XLOOKUP($B:$B,'Compilado 2023'!$B:$B,'Compilado 2023'!AA:AA)</f>
        <v>0</v>
      </c>
    </row>
    <row r="26" spans="1:27" s="2" customFormat="1" x14ac:dyDescent="0.2">
      <c r="A26" s="16" t="str">
        <f t="shared" si="0"/>
        <v>sábado</v>
      </c>
      <c r="B26" s="17">
        <f t="shared" si="6"/>
        <v>45283</v>
      </c>
      <c r="C26" s="19">
        <f t="shared" si="3"/>
        <v>0</v>
      </c>
      <c r="D26" s="35">
        <f>_xlfn.XLOOKUP($B:$B,'Compilado 2023'!$B:$B,'Compilado 2023'!D:D)</f>
        <v>0</v>
      </c>
      <c r="E26" s="35">
        <f>_xlfn.XLOOKUP($B:$B,'Compilado 2023'!$B:$B,'Compilado 2023'!E:E)</f>
        <v>0</v>
      </c>
      <c r="F26" s="18">
        <f>_xlfn.XLOOKUP($B:$B,'Compilado 2023'!$B:$B,'Compilado 2023'!F:F)</f>
        <v>0</v>
      </c>
      <c r="G26" s="18">
        <f>_xlfn.XLOOKUP($B:$B,'Compilado 2023'!$B:$B,'Compilado 2023'!G:G)</f>
        <v>0</v>
      </c>
      <c r="H26" s="35">
        <f t="shared" si="4"/>
        <v>0</v>
      </c>
      <c r="I26" s="19">
        <f t="shared" ca="1" si="5"/>
        <v>51.612903225806448</v>
      </c>
      <c r="J26" s="117">
        <f t="shared" ca="1" si="1"/>
        <v>0</v>
      </c>
      <c r="K26" s="18">
        <f>_xlfn.XLOOKUP($B:$B,'Compilado 2023'!$B:$B,'Compilado 2023'!K:K)</f>
        <v>0</v>
      </c>
      <c r="L26" s="54">
        <f t="shared" si="2"/>
        <v>0</v>
      </c>
      <c r="M26" s="38"/>
      <c r="N26" s="106">
        <f>_xlfn.XLOOKUP($B:$B,'Compilado 2023'!$B:$B,'Compilado 2023'!N:N)</f>
        <v>0</v>
      </c>
      <c r="O26" s="106">
        <f>_xlfn.XLOOKUP($B:$B,'Compilado 2023'!$B:$B,'Compilado 2023'!O:O)</f>
        <v>0</v>
      </c>
      <c r="P26" s="106">
        <f>_xlfn.XLOOKUP($B:$B,'Compilado 2023'!$B:$B,'Compilado 2023'!P:P)</f>
        <v>0</v>
      </c>
      <c r="Q26" s="106">
        <f ca="1">_xlfn.XLOOKUP($B:$B,'Compilado 2023'!$B:$B,'Compilado 2023'!Q:Q)</f>
        <v>51.612903225806448</v>
      </c>
      <c r="R26" s="106">
        <f>_xlfn.XLOOKUP($B:$B,'Compilado 2023'!$B:$B,'Compilado 2023'!R:R)</f>
        <v>0</v>
      </c>
      <c r="S26" s="106">
        <f>_xlfn.XLOOKUP($B:$B,'Compilado 2023'!$B:$B,'Compilado 2023'!S:S)</f>
        <v>0</v>
      </c>
      <c r="T26" s="106">
        <f>_xlfn.XLOOKUP($B:$B,'Compilado 2023'!$B:$B,'Compilado 2023'!U:U)</f>
        <v>0</v>
      </c>
      <c r="U26" s="106">
        <f>_xlfn.XLOOKUP($B:$B,'Compilado 2023'!$B:$B,'Compilado 2023'!V:V)</f>
        <v>0</v>
      </c>
      <c r="V26" s="57"/>
      <c r="W26" s="106">
        <f>_xlfn.XLOOKUP($B:$B,'Compilado 2023'!$B:$B,'Compilado 2023'!X:X)</f>
        <v>0</v>
      </c>
      <c r="X26" s="106">
        <f>_xlfn.XLOOKUP($B:$B,'Compilado 2023'!$B:$B,'Compilado 2023'!Y:Y)</f>
        <v>0</v>
      </c>
      <c r="Y26" s="106">
        <f>_xlfn.XLOOKUP($B:$B,'Compilado 2023'!$B:$B,'Compilado 2023'!Z:Z)</f>
        <v>0</v>
      </c>
      <c r="Z26" s="38"/>
      <c r="AA26" s="107">
        <f>_xlfn.XLOOKUP($B:$B,'Compilado 2023'!$B:$B,'Compilado 2023'!AA:AA)</f>
        <v>0</v>
      </c>
    </row>
    <row r="27" spans="1:27" x14ac:dyDescent="0.2">
      <c r="A27" s="16" t="str">
        <f t="shared" si="0"/>
        <v>domingo</v>
      </c>
      <c r="B27" s="17">
        <f t="shared" si="6"/>
        <v>45284</v>
      </c>
      <c r="C27" s="19">
        <f t="shared" si="3"/>
        <v>0</v>
      </c>
      <c r="D27" s="35">
        <f>_xlfn.XLOOKUP($B:$B,'Compilado 2023'!$B:$B,'Compilado 2023'!D:D)</f>
        <v>0</v>
      </c>
      <c r="E27" s="35">
        <f>_xlfn.XLOOKUP($B:$B,'Compilado 2023'!$B:$B,'Compilado 2023'!E:E)</f>
        <v>0</v>
      </c>
      <c r="F27" s="18">
        <f>_xlfn.XLOOKUP($B:$B,'Compilado 2023'!$B:$B,'Compilado 2023'!F:F)</f>
        <v>0</v>
      </c>
      <c r="G27" s="18">
        <f>_xlfn.XLOOKUP($B:$B,'Compilado 2023'!$B:$B,'Compilado 2023'!G:G)</f>
        <v>0</v>
      </c>
      <c r="H27" s="35">
        <f t="shared" si="4"/>
        <v>0</v>
      </c>
      <c r="I27" s="19">
        <f t="shared" ca="1" si="5"/>
        <v>51.612903225806448</v>
      </c>
      <c r="J27" s="117">
        <f t="shared" ca="1" si="1"/>
        <v>0</v>
      </c>
      <c r="K27" s="18">
        <f>_xlfn.XLOOKUP($B:$B,'Compilado 2023'!$B:$B,'Compilado 2023'!K:K)</f>
        <v>0</v>
      </c>
      <c r="L27" s="54">
        <f t="shared" si="2"/>
        <v>0</v>
      </c>
      <c r="M27" s="38"/>
      <c r="N27" s="106">
        <f>_xlfn.XLOOKUP($B:$B,'Compilado 2023'!$B:$B,'Compilado 2023'!N:N)</f>
        <v>0</v>
      </c>
      <c r="O27" s="106">
        <f>_xlfn.XLOOKUP($B:$B,'Compilado 2023'!$B:$B,'Compilado 2023'!O:O)</f>
        <v>0</v>
      </c>
      <c r="P27" s="106">
        <f>_xlfn.XLOOKUP($B:$B,'Compilado 2023'!$B:$B,'Compilado 2023'!P:P)</f>
        <v>0</v>
      </c>
      <c r="Q27" s="106">
        <f ca="1">_xlfn.XLOOKUP($B:$B,'Compilado 2023'!$B:$B,'Compilado 2023'!Q:Q)</f>
        <v>51.612903225806448</v>
      </c>
      <c r="R27" s="106">
        <f>_xlfn.XLOOKUP($B:$B,'Compilado 2023'!$B:$B,'Compilado 2023'!R:R)</f>
        <v>0</v>
      </c>
      <c r="S27" s="106">
        <f>_xlfn.XLOOKUP($B:$B,'Compilado 2023'!$B:$B,'Compilado 2023'!S:S)</f>
        <v>0</v>
      </c>
      <c r="T27" s="106">
        <f>_xlfn.XLOOKUP($B:$B,'Compilado 2023'!$B:$B,'Compilado 2023'!U:U)</f>
        <v>0</v>
      </c>
      <c r="U27" s="106">
        <f>_xlfn.XLOOKUP($B:$B,'Compilado 2023'!$B:$B,'Compilado 2023'!V:V)</f>
        <v>0</v>
      </c>
      <c r="V27" s="57"/>
      <c r="W27" s="106">
        <f>_xlfn.XLOOKUP($B:$B,'Compilado 2023'!$B:$B,'Compilado 2023'!X:X)</f>
        <v>0</v>
      </c>
      <c r="X27" s="106">
        <f>_xlfn.XLOOKUP($B:$B,'Compilado 2023'!$B:$B,'Compilado 2023'!Y:Y)</f>
        <v>0</v>
      </c>
      <c r="Y27" s="106">
        <f>_xlfn.XLOOKUP($B:$B,'Compilado 2023'!$B:$B,'Compilado 2023'!Z:Z)</f>
        <v>0</v>
      </c>
      <c r="Z27" s="38"/>
      <c r="AA27" s="107">
        <f>_xlfn.XLOOKUP($B:$B,'Compilado 2023'!$B:$B,'Compilado 2023'!AA:AA)</f>
        <v>0</v>
      </c>
    </row>
    <row r="28" spans="1:27" x14ac:dyDescent="0.2">
      <c r="A28" s="16" t="str">
        <f t="shared" si="0"/>
        <v>segunda-feira</v>
      </c>
      <c r="B28" s="17">
        <f t="shared" si="6"/>
        <v>45285</v>
      </c>
      <c r="C28" s="19">
        <f t="shared" si="3"/>
        <v>0</v>
      </c>
      <c r="D28" s="35">
        <f>_xlfn.XLOOKUP($B:$B,'Compilado 2023'!$B:$B,'Compilado 2023'!D:D)</f>
        <v>0</v>
      </c>
      <c r="E28" s="35">
        <f>_xlfn.XLOOKUP($B:$B,'Compilado 2023'!$B:$B,'Compilado 2023'!E:E)</f>
        <v>0</v>
      </c>
      <c r="F28" s="18">
        <f>_xlfn.XLOOKUP($B:$B,'Compilado 2023'!$B:$B,'Compilado 2023'!F:F)</f>
        <v>0</v>
      </c>
      <c r="G28" s="18">
        <f>_xlfn.XLOOKUP($B:$B,'Compilado 2023'!$B:$B,'Compilado 2023'!G:G)</f>
        <v>0</v>
      </c>
      <c r="H28" s="35">
        <f t="shared" si="4"/>
        <v>0</v>
      </c>
      <c r="I28" s="19">
        <f t="shared" ca="1" si="5"/>
        <v>51.612903225806448</v>
      </c>
      <c r="J28" s="117">
        <f t="shared" ca="1" si="1"/>
        <v>0</v>
      </c>
      <c r="K28" s="18">
        <f>_xlfn.XLOOKUP($B:$B,'Compilado 2023'!$B:$B,'Compilado 2023'!K:K)</f>
        <v>0</v>
      </c>
      <c r="L28" s="54">
        <f t="shared" si="2"/>
        <v>0</v>
      </c>
      <c r="M28" s="38"/>
      <c r="N28" s="106">
        <f>_xlfn.XLOOKUP($B:$B,'Compilado 2023'!$B:$B,'Compilado 2023'!N:N)</f>
        <v>0</v>
      </c>
      <c r="O28" s="106">
        <f>_xlfn.XLOOKUP($B:$B,'Compilado 2023'!$B:$B,'Compilado 2023'!O:O)</f>
        <v>0</v>
      </c>
      <c r="P28" s="106">
        <f>_xlfn.XLOOKUP($B:$B,'Compilado 2023'!$B:$B,'Compilado 2023'!P:P)</f>
        <v>0</v>
      </c>
      <c r="Q28" s="106">
        <f ca="1">_xlfn.XLOOKUP($B:$B,'Compilado 2023'!$B:$B,'Compilado 2023'!Q:Q)</f>
        <v>51.612903225806448</v>
      </c>
      <c r="R28" s="106">
        <f>_xlfn.XLOOKUP($B:$B,'Compilado 2023'!$B:$B,'Compilado 2023'!R:R)</f>
        <v>0</v>
      </c>
      <c r="S28" s="106">
        <f>_xlfn.XLOOKUP($B:$B,'Compilado 2023'!$B:$B,'Compilado 2023'!S:S)</f>
        <v>0</v>
      </c>
      <c r="T28" s="106">
        <f>_xlfn.XLOOKUP($B:$B,'Compilado 2023'!$B:$B,'Compilado 2023'!U:U)</f>
        <v>0</v>
      </c>
      <c r="U28" s="106">
        <f>_xlfn.XLOOKUP($B:$B,'Compilado 2023'!$B:$B,'Compilado 2023'!V:V)</f>
        <v>0</v>
      </c>
      <c r="V28" s="57"/>
      <c r="W28" s="106">
        <f>_xlfn.XLOOKUP($B:$B,'Compilado 2023'!$B:$B,'Compilado 2023'!X:X)</f>
        <v>0</v>
      </c>
      <c r="X28" s="106">
        <f>_xlfn.XLOOKUP($B:$B,'Compilado 2023'!$B:$B,'Compilado 2023'!Y:Y)</f>
        <v>0</v>
      </c>
      <c r="Y28" s="106">
        <f>_xlfn.XLOOKUP($B:$B,'Compilado 2023'!$B:$B,'Compilado 2023'!Z:Z)</f>
        <v>0</v>
      </c>
      <c r="Z28" s="38"/>
      <c r="AA28" s="107">
        <f>_xlfn.XLOOKUP($B:$B,'Compilado 2023'!$B:$B,'Compilado 2023'!AA:AA)</f>
        <v>0</v>
      </c>
    </row>
    <row r="29" spans="1:27" s="2" customFormat="1" x14ac:dyDescent="0.2">
      <c r="A29" s="16" t="str">
        <f t="shared" si="0"/>
        <v>terça-feira</v>
      </c>
      <c r="B29" s="17">
        <f t="shared" si="6"/>
        <v>45286</v>
      </c>
      <c r="C29" s="19">
        <f t="shared" si="3"/>
        <v>0</v>
      </c>
      <c r="D29" s="35">
        <f>_xlfn.XLOOKUP($B:$B,'Compilado 2023'!$B:$B,'Compilado 2023'!D:D)</f>
        <v>0</v>
      </c>
      <c r="E29" s="35">
        <f>_xlfn.XLOOKUP($B:$B,'Compilado 2023'!$B:$B,'Compilado 2023'!E:E)</f>
        <v>0</v>
      </c>
      <c r="F29" s="18">
        <f>_xlfn.XLOOKUP($B:$B,'Compilado 2023'!$B:$B,'Compilado 2023'!F:F)</f>
        <v>0</v>
      </c>
      <c r="G29" s="18">
        <f>_xlfn.XLOOKUP($B:$B,'Compilado 2023'!$B:$B,'Compilado 2023'!G:G)</f>
        <v>0</v>
      </c>
      <c r="H29" s="35">
        <f t="shared" si="4"/>
        <v>0</v>
      </c>
      <c r="I29" s="19">
        <f t="shared" ca="1" si="5"/>
        <v>51.612903225806448</v>
      </c>
      <c r="J29" s="117">
        <f t="shared" ca="1" si="1"/>
        <v>0</v>
      </c>
      <c r="K29" s="18">
        <f>_xlfn.XLOOKUP($B:$B,'Compilado 2023'!$B:$B,'Compilado 2023'!K:K)</f>
        <v>0</v>
      </c>
      <c r="L29" s="54">
        <f t="shared" si="2"/>
        <v>0</v>
      </c>
      <c r="M29" s="38"/>
      <c r="N29" s="106">
        <f>_xlfn.XLOOKUP($B:$B,'Compilado 2023'!$B:$B,'Compilado 2023'!N:N)</f>
        <v>0</v>
      </c>
      <c r="O29" s="106">
        <f>_xlfn.XLOOKUP($B:$B,'Compilado 2023'!$B:$B,'Compilado 2023'!O:O)</f>
        <v>0</v>
      </c>
      <c r="P29" s="106">
        <f>_xlfn.XLOOKUP($B:$B,'Compilado 2023'!$B:$B,'Compilado 2023'!P:P)</f>
        <v>0</v>
      </c>
      <c r="Q29" s="106">
        <f ca="1">_xlfn.XLOOKUP($B:$B,'Compilado 2023'!$B:$B,'Compilado 2023'!Q:Q)</f>
        <v>51.612903225806448</v>
      </c>
      <c r="R29" s="106">
        <f>_xlfn.XLOOKUP($B:$B,'Compilado 2023'!$B:$B,'Compilado 2023'!R:R)</f>
        <v>0</v>
      </c>
      <c r="S29" s="106">
        <f>_xlfn.XLOOKUP($B:$B,'Compilado 2023'!$B:$B,'Compilado 2023'!S:S)</f>
        <v>0</v>
      </c>
      <c r="T29" s="106">
        <f>_xlfn.XLOOKUP($B:$B,'Compilado 2023'!$B:$B,'Compilado 2023'!U:U)</f>
        <v>0</v>
      </c>
      <c r="U29" s="106">
        <f>_xlfn.XLOOKUP($B:$B,'Compilado 2023'!$B:$B,'Compilado 2023'!V:V)</f>
        <v>0</v>
      </c>
      <c r="V29" s="57"/>
      <c r="W29" s="106">
        <f>_xlfn.XLOOKUP($B:$B,'Compilado 2023'!$B:$B,'Compilado 2023'!X:X)</f>
        <v>0</v>
      </c>
      <c r="X29" s="106">
        <f>_xlfn.XLOOKUP($B:$B,'Compilado 2023'!$B:$B,'Compilado 2023'!Y:Y)</f>
        <v>0</v>
      </c>
      <c r="Y29" s="106">
        <f>_xlfn.XLOOKUP($B:$B,'Compilado 2023'!$B:$B,'Compilado 2023'!Z:Z)</f>
        <v>0</v>
      </c>
      <c r="Z29" s="38"/>
      <c r="AA29" s="107">
        <f>_xlfn.XLOOKUP($B:$B,'Compilado 2023'!$B:$B,'Compilado 2023'!AA:AA)</f>
        <v>0</v>
      </c>
    </row>
    <row r="30" spans="1:27" s="2" customFormat="1" x14ac:dyDescent="0.2">
      <c r="A30" s="16" t="str">
        <f t="shared" si="0"/>
        <v>quarta-feira</v>
      </c>
      <c r="B30" s="17">
        <f t="shared" si="6"/>
        <v>45287</v>
      </c>
      <c r="C30" s="19">
        <f t="shared" si="3"/>
        <v>0</v>
      </c>
      <c r="D30" s="35">
        <f>_xlfn.XLOOKUP($B:$B,'Compilado 2023'!$B:$B,'Compilado 2023'!D:D)</f>
        <v>0</v>
      </c>
      <c r="E30" s="35">
        <f>_xlfn.XLOOKUP($B:$B,'Compilado 2023'!$B:$B,'Compilado 2023'!E:E)</f>
        <v>0</v>
      </c>
      <c r="F30" s="18">
        <f>_xlfn.XLOOKUP($B:$B,'Compilado 2023'!$B:$B,'Compilado 2023'!F:F)</f>
        <v>0</v>
      </c>
      <c r="G30" s="18">
        <f>_xlfn.XLOOKUP($B:$B,'Compilado 2023'!$B:$B,'Compilado 2023'!G:G)</f>
        <v>0</v>
      </c>
      <c r="H30" s="35">
        <f t="shared" si="4"/>
        <v>0</v>
      </c>
      <c r="I30" s="19">
        <f t="shared" ca="1" si="5"/>
        <v>51.612903225806448</v>
      </c>
      <c r="J30" s="117">
        <f t="shared" ca="1" si="1"/>
        <v>0</v>
      </c>
      <c r="K30" s="18">
        <f>_xlfn.XLOOKUP($B:$B,'Compilado 2023'!$B:$B,'Compilado 2023'!K:K)</f>
        <v>0</v>
      </c>
      <c r="L30" s="54">
        <f t="shared" si="2"/>
        <v>0</v>
      </c>
      <c r="M30" s="38"/>
      <c r="N30" s="106">
        <f>_xlfn.XLOOKUP($B:$B,'Compilado 2023'!$B:$B,'Compilado 2023'!N:N)</f>
        <v>0</v>
      </c>
      <c r="O30" s="106">
        <f>_xlfn.XLOOKUP($B:$B,'Compilado 2023'!$B:$B,'Compilado 2023'!O:O)</f>
        <v>0</v>
      </c>
      <c r="P30" s="106">
        <f>_xlfn.XLOOKUP($B:$B,'Compilado 2023'!$B:$B,'Compilado 2023'!P:P)</f>
        <v>0</v>
      </c>
      <c r="Q30" s="106">
        <f ca="1">_xlfn.XLOOKUP($B:$B,'Compilado 2023'!$B:$B,'Compilado 2023'!Q:Q)</f>
        <v>51.612903225806448</v>
      </c>
      <c r="R30" s="106">
        <f>_xlfn.XLOOKUP($B:$B,'Compilado 2023'!$B:$B,'Compilado 2023'!R:R)</f>
        <v>0</v>
      </c>
      <c r="S30" s="106">
        <f>_xlfn.XLOOKUP($B:$B,'Compilado 2023'!$B:$B,'Compilado 2023'!S:S)</f>
        <v>0</v>
      </c>
      <c r="T30" s="106">
        <f>_xlfn.XLOOKUP($B:$B,'Compilado 2023'!$B:$B,'Compilado 2023'!U:U)</f>
        <v>0</v>
      </c>
      <c r="U30" s="106">
        <f>_xlfn.XLOOKUP($B:$B,'Compilado 2023'!$B:$B,'Compilado 2023'!V:V)</f>
        <v>0</v>
      </c>
      <c r="V30" s="57"/>
      <c r="W30" s="106">
        <f>_xlfn.XLOOKUP($B:$B,'Compilado 2023'!$B:$B,'Compilado 2023'!X:X)</f>
        <v>0</v>
      </c>
      <c r="X30" s="106">
        <f>_xlfn.XLOOKUP($B:$B,'Compilado 2023'!$B:$B,'Compilado 2023'!Y:Y)</f>
        <v>0</v>
      </c>
      <c r="Y30" s="106">
        <f>_xlfn.XLOOKUP($B:$B,'Compilado 2023'!$B:$B,'Compilado 2023'!Z:Z)</f>
        <v>0</v>
      </c>
      <c r="Z30" s="38"/>
      <c r="AA30" s="107">
        <f>_xlfn.XLOOKUP($B:$B,'Compilado 2023'!$B:$B,'Compilado 2023'!AA:AA)</f>
        <v>0</v>
      </c>
    </row>
    <row r="31" spans="1:27" s="2" customFormat="1" x14ac:dyDescent="0.2">
      <c r="A31" s="16" t="str">
        <f t="shared" si="0"/>
        <v>quinta-feira</v>
      </c>
      <c r="B31" s="17">
        <f t="shared" si="6"/>
        <v>45288</v>
      </c>
      <c r="C31" s="19">
        <f t="shared" si="3"/>
        <v>0</v>
      </c>
      <c r="D31" s="35">
        <f>_xlfn.XLOOKUP($B:$B,'Compilado 2023'!$B:$B,'Compilado 2023'!D:D)</f>
        <v>0</v>
      </c>
      <c r="E31" s="35">
        <f>_xlfn.XLOOKUP($B:$B,'Compilado 2023'!$B:$B,'Compilado 2023'!E:E)</f>
        <v>0</v>
      </c>
      <c r="F31" s="18">
        <f>_xlfn.XLOOKUP($B:$B,'Compilado 2023'!$B:$B,'Compilado 2023'!F:F)</f>
        <v>0</v>
      </c>
      <c r="G31" s="18">
        <f>_xlfn.XLOOKUP($B:$B,'Compilado 2023'!$B:$B,'Compilado 2023'!G:G)</f>
        <v>0</v>
      </c>
      <c r="H31" s="35">
        <f t="shared" si="4"/>
        <v>0</v>
      </c>
      <c r="I31" s="19">
        <f t="shared" ca="1" si="5"/>
        <v>51.612903225806448</v>
      </c>
      <c r="J31" s="117">
        <f t="shared" ca="1" si="1"/>
        <v>0</v>
      </c>
      <c r="K31" s="18">
        <f>_xlfn.XLOOKUP($B:$B,'Compilado 2023'!$B:$B,'Compilado 2023'!K:K)</f>
        <v>0</v>
      </c>
      <c r="L31" s="54">
        <f t="shared" si="2"/>
        <v>0</v>
      </c>
      <c r="M31" s="38"/>
      <c r="N31" s="106">
        <f>_xlfn.XLOOKUP($B:$B,'Compilado 2023'!$B:$B,'Compilado 2023'!N:N)</f>
        <v>0</v>
      </c>
      <c r="O31" s="106">
        <f>_xlfn.XLOOKUP($B:$B,'Compilado 2023'!$B:$B,'Compilado 2023'!O:O)</f>
        <v>0</v>
      </c>
      <c r="P31" s="106">
        <f>_xlfn.XLOOKUP($B:$B,'Compilado 2023'!$B:$B,'Compilado 2023'!P:P)</f>
        <v>0</v>
      </c>
      <c r="Q31" s="106">
        <f ca="1">_xlfn.XLOOKUP($B:$B,'Compilado 2023'!$B:$B,'Compilado 2023'!Q:Q)</f>
        <v>51.612903225806448</v>
      </c>
      <c r="R31" s="106">
        <f>_xlfn.XLOOKUP($B:$B,'Compilado 2023'!$B:$B,'Compilado 2023'!R:R)</f>
        <v>0</v>
      </c>
      <c r="S31" s="106">
        <f>_xlfn.XLOOKUP($B:$B,'Compilado 2023'!$B:$B,'Compilado 2023'!S:S)</f>
        <v>0</v>
      </c>
      <c r="T31" s="106">
        <f>_xlfn.XLOOKUP($B:$B,'Compilado 2023'!$B:$B,'Compilado 2023'!U:U)</f>
        <v>0</v>
      </c>
      <c r="U31" s="106">
        <f>_xlfn.XLOOKUP($B:$B,'Compilado 2023'!$B:$B,'Compilado 2023'!V:V)</f>
        <v>0</v>
      </c>
      <c r="V31" s="57"/>
      <c r="W31" s="106">
        <f>_xlfn.XLOOKUP($B:$B,'Compilado 2023'!$B:$B,'Compilado 2023'!X:X)</f>
        <v>0</v>
      </c>
      <c r="X31" s="106">
        <f>_xlfn.XLOOKUP($B:$B,'Compilado 2023'!$B:$B,'Compilado 2023'!Y:Y)</f>
        <v>0</v>
      </c>
      <c r="Y31" s="106">
        <f>_xlfn.XLOOKUP($B:$B,'Compilado 2023'!$B:$B,'Compilado 2023'!Z:Z)</f>
        <v>0</v>
      </c>
      <c r="Z31" s="38"/>
      <c r="AA31" s="107">
        <f>_xlfn.XLOOKUP($B:$B,'Compilado 2023'!$B:$B,'Compilado 2023'!AA:AA)</f>
        <v>0</v>
      </c>
    </row>
    <row r="32" spans="1:27" s="2" customFormat="1" x14ac:dyDescent="0.2">
      <c r="A32" s="16" t="str">
        <f t="shared" si="0"/>
        <v>sexta-feira</v>
      </c>
      <c r="B32" s="17">
        <f t="shared" si="6"/>
        <v>45289</v>
      </c>
      <c r="C32" s="19">
        <f t="shared" si="3"/>
        <v>0</v>
      </c>
      <c r="D32" s="35">
        <f>_xlfn.XLOOKUP($B:$B,'Compilado 2023'!$B:$B,'Compilado 2023'!D:D)</f>
        <v>0</v>
      </c>
      <c r="E32" s="35">
        <f>_xlfn.XLOOKUP($B:$B,'Compilado 2023'!$B:$B,'Compilado 2023'!E:E)</f>
        <v>0</v>
      </c>
      <c r="F32" s="18">
        <f>_xlfn.XLOOKUP($B:$B,'Compilado 2023'!$B:$B,'Compilado 2023'!F:F)</f>
        <v>0</v>
      </c>
      <c r="G32" s="18">
        <f>_xlfn.XLOOKUP($B:$B,'Compilado 2023'!$B:$B,'Compilado 2023'!G:G)</f>
        <v>0</v>
      </c>
      <c r="H32" s="35">
        <f t="shared" si="4"/>
        <v>0</v>
      </c>
      <c r="I32" s="19">
        <f t="shared" ca="1" si="5"/>
        <v>51.612903225806448</v>
      </c>
      <c r="J32" s="117">
        <f t="shared" ca="1" si="1"/>
        <v>0</v>
      </c>
      <c r="K32" s="18">
        <f>_xlfn.XLOOKUP($B:$B,'Compilado 2023'!$B:$B,'Compilado 2023'!K:K)</f>
        <v>0</v>
      </c>
      <c r="L32" s="54">
        <f t="shared" si="2"/>
        <v>0</v>
      </c>
      <c r="M32" s="38"/>
      <c r="N32" s="106">
        <f>_xlfn.XLOOKUP($B:$B,'Compilado 2023'!$B:$B,'Compilado 2023'!N:N)</f>
        <v>0</v>
      </c>
      <c r="O32" s="106">
        <f>_xlfn.XLOOKUP($B:$B,'Compilado 2023'!$B:$B,'Compilado 2023'!O:O)</f>
        <v>0</v>
      </c>
      <c r="P32" s="106">
        <f>_xlfn.XLOOKUP($B:$B,'Compilado 2023'!$B:$B,'Compilado 2023'!P:P)</f>
        <v>0</v>
      </c>
      <c r="Q32" s="106">
        <f ca="1">_xlfn.XLOOKUP($B:$B,'Compilado 2023'!$B:$B,'Compilado 2023'!Q:Q)</f>
        <v>51.612903225806448</v>
      </c>
      <c r="R32" s="106">
        <f>_xlfn.XLOOKUP($B:$B,'Compilado 2023'!$B:$B,'Compilado 2023'!R:R)</f>
        <v>0</v>
      </c>
      <c r="S32" s="106">
        <f>_xlfn.XLOOKUP($B:$B,'Compilado 2023'!$B:$B,'Compilado 2023'!S:S)</f>
        <v>0</v>
      </c>
      <c r="T32" s="106">
        <f>_xlfn.XLOOKUP($B:$B,'Compilado 2023'!$B:$B,'Compilado 2023'!U:U)</f>
        <v>0</v>
      </c>
      <c r="U32" s="106">
        <f>_xlfn.XLOOKUP($B:$B,'Compilado 2023'!$B:$B,'Compilado 2023'!V:V)</f>
        <v>0</v>
      </c>
      <c r="V32" s="57"/>
      <c r="W32" s="106">
        <f>_xlfn.XLOOKUP($B:$B,'Compilado 2023'!$B:$B,'Compilado 2023'!X:X)</f>
        <v>0</v>
      </c>
      <c r="X32" s="106">
        <f>_xlfn.XLOOKUP($B:$B,'Compilado 2023'!$B:$B,'Compilado 2023'!Y:Y)</f>
        <v>0</v>
      </c>
      <c r="Y32" s="106">
        <f>_xlfn.XLOOKUP($B:$B,'Compilado 2023'!$B:$B,'Compilado 2023'!Z:Z)</f>
        <v>0</v>
      </c>
      <c r="Z32" s="38"/>
      <c r="AA32" s="107">
        <f>_xlfn.XLOOKUP($B:$B,'Compilado 2023'!$B:$B,'Compilado 2023'!AA:AA)</f>
        <v>0</v>
      </c>
    </row>
    <row r="33" spans="1:27" s="2" customFormat="1" x14ac:dyDescent="0.2">
      <c r="A33" s="16" t="str">
        <f t="shared" si="0"/>
        <v>sábado</v>
      </c>
      <c r="B33" s="17">
        <f t="shared" si="6"/>
        <v>45290</v>
      </c>
      <c r="C33" s="19">
        <f t="shared" si="3"/>
        <v>0</v>
      </c>
      <c r="D33" s="35">
        <f>_xlfn.XLOOKUP($B:$B,'Compilado 2023'!$B:$B,'Compilado 2023'!D:D)</f>
        <v>0</v>
      </c>
      <c r="E33" s="35">
        <f>_xlfn.XLOOKUP($B:$B,'Compilado 2023'!$B:$B,'Compilado 2023'!E:E)</f>
        <v>0</v>
      </c>
      <c r="F33" s="18">
        <f>_xlfn.XLOOKUP($B:$B,'Compilado 2023'!$B:$B,'Compilado 2023'!F:F)</f>
        <v>0</v>
      </c>
      <c r="G33" s="18">
        <f>_xlfn.XLOOKUP($B:$B,'Compilado 2023'!$B:$B,'Compilado 2023'!G:G)</f>
        <v>0</v>
      </c>
      <c r="H33" s="35">
        <f t="shared" si="4"/>
        <v>0</v>
      </c>
      <c r="I33" s="19">
        <f t="shared" ca="1" si="5"/>
        <v>51.612903225806448</v>
      </c>
      <c r="J33" s="117">
        <f t="shared" ca="1" si="1"/>
        <v>0</v>
      </c>
      <c r="K33" s="18">
        <f>_xlfn.XLOOKUP($B:$B,'Compilado 2023'!$B:$B,'Compilado 2023'!K:K)</f>
        <v>0</v>
      </c>
      <c r="L33" s="54">
        <f t="shared" si="2"/>
        <v>0</v>
      </c>
      <c r="M33" s="38"/>
      <c r="N33" s="106">
        <f>_xlfn.XLOOKUP($B:$B,'Compilado 2023'!$B:$B,'Compilado 2023'!N:N)</f>
        <v>0</v>
      </c>
      <c r="O33" s="106">
        <f>_xlfn.XLOOKUP($B:$B,'Compilado 2023'!$B:$B,'Compilado 2023'!O:O)</f>
        <v>0</v>
      </c>
      <c r="P33" s="106">
        <f>_xlfn.XLOOKUP($B:$B,'Compilado 2023'!$B:$B,'Compilado 2023'!P:P)</f>
        <v>0</v>
      </c>
      <c r="Q33" s="106">
        <f ca="1">_xlfn.XLOOKUP($B:$B,'Compilado 2023'!$B:$B,'Compilado 2023'!Q:Q)</f>
        <v>51.612903225806448</v>
      </c>
      <c r="R33" s="106">
        <f>_xlfn.XLOOKUP($B:$B,'Compilado 2023'!$B:$B,'Compilado 2023'!R:R)</f>
        <v>0</v>
      </c>
      <c r="S33" s="106">
        <f>_xlfn.XLOOKUP($B:$B,'Compilado 2023'!$B:$B,'Compilado 2023'!S:S)</f>
        <v>0</v>
      </c>
      <c r="T33" s="106">
        <f>_xlfn.XLOOKUP($B:$B,'Compilado 2023'!$B:$B,'Compilado 2023'!U:U)</f>
        <v>0</v>
      </c>
      <c r="U33" s="106">
        <f>_xlfn.XLOOKUP($B:$B,'Compilado 2023'!$B:$B,'Compilado 2023'!V:V)</f>
        <v>0</v>
      </c>
      <c r="V33" s="57"/>
      <c r="W33" s="106">
        <f>_xlfn.XLOOKUP($B:$B,'Compilado 2023'!$B:$B,'Compilado 2023'!X:X)</f>
        <v>0</v>
      </c>
      <c r="X33" s="106">
        <f>_xlfn.XLOOKUP($B:$B,'Compilado 2023'!$B:$B,'Compilado 2023'!Y:Y)</f>
        <v>0</v>
      </c>
      <c r="Y33" s="106">
        <f>_xlfn.XLOOKUP($B:$B,'Compilado 2023'!$B:$B,'Compilado 2023'!Z:Z)</f>
        <v>0</v>
      </c>
      <c r="Z33" s="38"/>
      <c r="AA33" s="107">
        <f>_xlfn.XLOOKUP($B:$B,'Compilado 2023'!$B:$B,'Compilado 2023'!AA:AA)</f>
        <v>0</v>
      </c>
    </row>
    <row r="34" spans="1:27" x14ac:dyDescent="0.2">
      <c r="A34" s="16" t="str">
        <f t="shared" si="0"/>
        <v>domingo</v>
      </c>
      <c r="B34" s="17">
        <f t="shared" si="6"/>
        <v>45291</v>
      </c>
      <c r="C34" s="19">
        <f t="shared" si="3"/>
        <v>0</v>
      </c>
      <c r="D34" s="35">
        <f>_xlfn.XLOOKUP($B:$B,'Compilado 2023'!$B:$B,'Compilado 2023'!D:D)</f>
        <v>0</v>
      </c>
      <c r="E34" s="35">
        <f>_xlfn.XLOOKUP($B:$B,'Compilado 2023'!$B:$B,'Compilado 2023'!E:E)</f>
        <v>0</v>
      </c>
      <c r="F34" s="18">
        <f>_xlfn.XLOOKUP($B:$B,'Compilado 2023'!$B:$B,'Compilado 2023'!F:F)</f>
        <v>0</v>
      </c>
      <c r="G34" s="18">
        <f>_xlfn.XLOOKUP($B:$B,'Compilado 2023'!$B:$B,'Compilado 2023'!G:G)</f>
        <v>0</v>
      </c>
      <c r="H34" s="35">
        <f t="shared" si="4"/>
        <v>0</v>
      </c>
      <c r="I34" s="19">
        <f t="shared" ca="1" si="5"/>
        <v>51.612903225806448</v>
      </c>
      <c r="J34" s="117">
        <f t="shared" ca="1" si="1"/>
        <v>0</v>
      </c>
      <c r="K34" s="18">
        <f>_xlfn.XLOOKUP($B:$B,'Compilado 2023'!$B:$B,'Compilado 2023'!K:K)</f>
        <v>0</v>
      </c>
      <c r="L34" s="54">
        <f t="shared" si="2"/>
        <v>0</v>
      </c>
      <c r="M34" s="38"/>
      <c r="N34" s="106">
        <f>_xlfn.XLOOKUP($B:$B,'Compilado 2023'!$B:$B,'Compilado 2023'!N:N)</f>
        <v>0</v>
      </c>
      <c r="O34" s="106">
        <f>_xlfn.XLOOKUP($B:$B,'Compilado 2023'!$B:$B,'Compilado 2023'!O:O)</f>
        <v>0</v>
      </c>
      <c r="P34" s="106">
        <f>_xlfn.XLOOKUP($B:$B,'Compilado 2023'!$B:$B,'Compilado 2023'!P:P)</f>
        <v>0</v>
      </c>
      <c r="Q34" s="106">
        <f ca="1">_xlfn.XLOOKUP($B:$B,'Compilado 2023'!$B:$B,'Compilado 2023'!Q:Q)</f>
        <v>51.612903225806448</v>
      </c>
      <c r="R34" s="106">
        <f>_xlfn.XLOOKUP($B:$B,'Compilado 2023'!$B:$B,'Compilado 2023'!R:R)</f>
        <v>0</v>
      </c>
      <c r="S34" s="106">
        <f>_xlfn.XLOOKUP($B:$B,'Compilado 2023'!$B:$B,'Compilado 2023'!S:S)</f>
        <v>0</v>
      </c>
      <c r="T34" s="106">
        <f>_xlfn.XLOOKUP($B:$B,'Compilado 2023'!$B:$B,'Compilado 2023'!U:U)</f>
        <v>0</v>
      </c>
      <c r="U34" s="106">
        <f>_xlfn.XLOOKUP($B:$B,'Compilado 2023'!$B:$B,'Compilado 2023'!V:V)</f>
        <v>0</v>
      </c>
      <c r="V34" s="57"/>
      <c r="W34" s="106">
        <f>_xlfn.XLOOKUP($B:$B,'Compilado 2023'!$B:$B,'Compilado 2023'!X:X)</f>
        <v>0</v>
      </c>
      <c r="X34" s="106">
        <f>_xlfn.XLOOKUP($B:$B,'Compilado 2023'!$B:$B,'Compilado 2023'!Y:Y)</f>
        <v>0</v>
      </c>
      <c r="Y34" s="106">
        <f>_xlfn.XLOOKUP($B:$B,'Compilado 2023'!$B:$B,'Compilado 2023'!Z:Z)</f>
        <v>0</v>
      </c>
      <c r="Z34" s="38"/>
      <c r="AA34" s="107">
        <f>_xlfn.XLOOKUP($B:$B,'Compilado 2023'!$B:$B,'Compilado 2023'!AA:AA)</f>
        <v>0</v>
      </c>
    </row>
    <row r="35" spans="1:27" s="61" customFormat="1" ht="12" x14ac:dyDescent="0.2">
      <c r="A35" s="90" t="s">
        <v>186</v>
      </c>
      <c r="B35" s="91">
        <f>COUNTA(B4:B33)</f>
        <v>30</v>
      </c>
      <c r="C35" s="92">
        <f>SUM(C4:C34)</f>
        <v>0</v>
      </c>
      <c r="D35" s="92">
        <f>SUM(D4:D34)</f>
        <v>0</v>
      </c>
      <c r="E35" s="92">
        <f>SUM(E4:E34)</f>
        <v>0</v>
      </c>
      <c r="F35" s="93">
        <f>SUM(F4:F34)</f>
        <v>0</v>
      </c>
      <c r="G35" s="93">
        <f>SUM(G4:G34)</f>
        <v>0</v>
      </c>
      <c r="H35" s="92">
        <f>IFERROR(C35/F35,0)</f>
        <v>0</v>
      </c>
      <c r="I35" s="92">
        <f ca="1">SUM(I4:I34)</f>
        <v>1599.9999999999989</v>
      </c>
      <c r="J35" s="123">
        <f ca="1">C35/I35</f>
        <v>0</v>
      </c>
      <c r="K35" s="93">
        <f>SUM(K4:K34)</f>
        <v>0</v>
      </c>
      <c r="L35" s="94">
        <f>IFERROR(F35/K35,0)</f>
        <v>0</v>
      </c>
      <c r="M35" s="95"/>
      <c r="N35" s="92">
        <f t="shared" ref="N35:U35" si="7">SUM(N4:N34)</f>
        <v>0</v>
      </c>
      <c r="O35" s="92">
        <f t="shared" si="7"/>
        <v>0</v>
      </c>
      <c r="P35" s="92">
        <f t="shared" si="7"/>
        <v>0</v>
      </c>
      <c r="Q35" s="92">
        <f t="shared" ca="1" si="7"/>
        <v>1599.9999999999989</v>
      </c>
      <c r="R35" s="92">
        <f t="shared" si="7"/>
        <v>0</v>
      </c>
      <c r="S35" s="92">
        <f t="shared" si="7"/>
        <v>0</v>
      </c>
      <c r="T35" s="92">
        <f t="shared" si="7"/>
        <v>0</v>
      </c>
      <c r="U35" s="92">
        <f t="shared" si="7"/>
        <v>0</v>
      </c>
      <c r="V35" s="97">
        <f t="shared" ref="V35:Y35" si="8">SUM(V4:V33)</f>
        <v>0</v>
      </c>
      <c r="W35" s="96">
        <f t="shared" si="8"/>
        <v>0</v>
      </c>
      <c r="X35" s="92">
        <f t="shared" si="8"/>
        <v>0</v>
      </c>
      <c r="Y35" s="92">
        <f t="shared" si="8"/>
        <v>0</v>
      </c>
      <c r="Z35" s="95"/>
      <c r="AA35" s="98"/>
    </row>
    <row r="36" spans="1:27" ht="6.75" customHeight="1" x14ac:dyDescent="0.2">
      <c r="M36" s="21"/>
    </row>
    <row r="37" spans="1:27" s="34" customFormat="1" ht="15.75" x14ac:dyDescent="0.3">
      <c r="A37" s="99" t="str">
        <f>JUN!A38</f>
        <v>Média Junho 2023</v>
      </c>
      <c r="B37" s="100"/>
      <c r="C37" s="101">
        <f>NOV!C38</f>
        <v>0</v>
      </c>
      <c r="D37" s="101">
        <f>NOV!D38</f>
        <v>0</v>
      </c>
      <c r="E37" s="101">
        <f>NOV!E38</f>
        <v>0</v>
      </c>
      <c r="F37" s="102">
        <f>NOV!F38</f>
        <v>0</v>
      </c>
      <c r="G37" s="102">
        <f>NOV!G38</f>
        <v>0</v>
      </c>
      <c r="H37" s="103" t="e">
        <f>NOV!H38</f>
        <v>#DIV/0!</v>
      </c>
      <c r="I37" s="101">
        <f ca="1">NOV!I38</f>
        <v>53.333333333333321</v>
      </c>
      <c r="J37" s="119">
        <f ca="1">NOV!J38</f>
        <v>0</v>
      </c>
      <c r="K37" s="104">
        <f>NOV!K38</f>
        <v>0</v>
      </c>
      <c r="L37" s="105">
        <f>NOV!L38</f>
        <v>0</v>
      </c>
      <c r="M37" s="21"/>
      <c r="N37"/>
      <c r="O37"/>
      <c r="P37"/>
      <c r="Q37"/>
      <c r="R37"/>
      <c r="S37"/>
      <c r="T37"/>
      <c r="U37"/>
      <c r="V37"/>
      <c r="W37"/>
      <c r="X37"/>
      <c r="Y37"/>
      <c r="Z37"/>
      <c r="AA37"/>
    </row>
    <row r="38" spans="1:27" s="34" customFormat="1" ht="15.75" x14ac:dyDescent="0.3">
      <c r="A38" s="99" t="str">
        <f>_xlfn.CONCAT("Média ",B2)</f>
        <v>Média Dezembro 2023</v>
      </c>
      <c r="B38" s="100"/>
      <c r="C38" s="101">
        <f>AVERAGE(C4:C34)</f>
        <v>0</v>
      </c>
      <c r="D38" s="101">
        <f>AVERAGE(D5:D34)</f>
        <v>0</v>
      </c>
      <c r="E38" s="101">
        <f>AVERAGE(E5:E34)</f>
        <v>0</v>
      </c>
      <c r="F38" s="102">
        <f>AVERAGE(F5:F34)</f>
        <v>0</v>
      </c>
      <c r="G38" s="102">
        <f>AVERAGE(G5:G34)</f>
        <v>0</v>
      </c>
      <c r="H38" s="103">
        <f>H35</f>
        <v>0</v>
      </c>
      <c r="I38" s="101">
        <f ca="1">AVERAGE(I5:I34)</f>
        <v>51.61290322580642</v>
      </c>
      <c r="J38" s="119">
        <f ca="1">IFERROR(C38/I38,0)</f>
        <v>0</v>
      </c>
      <c r="K38" s="104">
        <f>AVERAGE(K5:K34)</f>
        <v>0</v>
      </c>
      <c r="L38" s="105">
        <f>IFERROR(F38/K38,0)</f>
        <v>0</v>
      </c>
      <c r="M38" s="21"/>
      <c r="N38"/>
      <c r="O38"/>
      <c r="P38"/>
      <c r="Q38"/>
      <c r="R38"/>
      <c r="S38"/>
      <c r="T38"/>
      <c r="U38"/>
      <c r="V38"/>
      <c r="W38"/>
      <c r="X38"/>
      <c r="Y38"/>
      <c r="Z38"/>
      <c r="AA38"/>
    </row>
    <row r="39" spans="1:27" ht="15.75" customHeight="1" x14ac:dyDescent="0.2">
      <c r="M39" s="21"/>
    </row>
    <row r="40" spans="1:27" ht="15.75" customHeight="1" x14ac:dyDescent="0.2">
      <c r="M40" s="21"/>
    </row>
    <row r="41" spans="1:27" ht="14.25" x14ac:dyDescent="0.2">
      <c r="B41" s="223" t="s">
        <v>188</v>
      </c>
      <c r="C41" s="223"/>
      <c r="D41" s="223"/>
      <c r="E41" s="76"/>
      <c r="F41" s="76"/>
      <c r="G41" s="76"/>
      <c r="H41" s="76"/>
      <c r="I41" s="76"/>
      <c r="J41" s="76"/>
      <c r="K41" s="76"/>
      <c r="L41" s="76"/>
      <c r="M41" s="21"/>
    </row>
    <row r="42" spans="1:27" ht="15.75" customHeight="1" x14ac:dyDescent="0.2"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21"/>
    </row>
    <row r="43" spans="1:27" ht="15" thickBot="1" x14ac:dyDescent="0.25">
      <c r="B43" s="77" t="s">
        <v>153</v>
      </c>
      <c r="C43" s="78" t="s">
        <v>75</v>
      </c>
      <c r="D43" s="78" t="s">
        <v>154</v>
      </c>
      <c r="E43" s="78" t="s">
        <v>77</v>
      </c>
      <c r="F43" s="78" t="s">
        <v>78</v>
      </c>
      <c r="G43" s="78" t="s">
        <v>79</v>
      </c>
      <c r="H43" s="78" t="s">
        <v>80</v>
      </c>
      <c r="I43" s="78" t="s">
        <v>81</v>
      </c>
      <c r="J43" s="78" t="s">
        <v>82</v>
      </c>
      <c r="K43" s="78" t="s">
        <v>40</v>
      </c>
      <c r="L43" s="78" t="s">
        <v>83</v>
      </c>
      <c r="M43" s="21"/>
      <c r="N43" s="78" t="s">
        <v>85</v>
      </c>
      <c r="O43" s="78" t="s">
        <v>155</v>
      </c>
      <c r="P43" s="78" t="s">
        <v>87</v>
      </c>
      <c r="Q43" s="78" t="s">
        <v>88</v>
      </c>
      <c r="R43" s="78" t="s">
        <v>89</v>
      </c>
      <c r="S43" s="78" t="s">
        <v>90</v>
      </c>
      <c r="T43" s="78" t="s">
        <v>91</v>
      </c>
      <c r="U43" s="78" t="s">
        <v>92</v>
      </c>
    </row>
    <row r="44" spans="1:27" s="20" customFormat="1" ht="14.25" x14ac:dyDescent="0.2">
      <c r="B44" s="79" t="str">
        <f>_xlfn.CONCAT(_xlfn.XLOOKUP(O1,Referencia!B1:B13,Referencia!C1:C13),"/",P1)</f>
        <v>DEZ/2023</v>
      </c>
      <c r="C44" s="80">
        <f>C35</f>
        <v>0</v>
      </c>
      <c r="D44" s="80">
        <f t="shared" ref="D44:L44" si="9">D35</f>
        <v>0</v>
      </c>
      <c r="E44" s="80">
        <f t="shared" si="9"/>
        <v>0</v>
      </c>
      <c r="F44" s="81">
        <f t="shared" si="9"/>
        <v>0</v>
      </c>
      <c r="G44" s="81">
        <f t="shared" si="9"/>
        <v>0</v>
      </c>
      <c r="H44" s="80">
        <f t="shared" si="9"/>
        <v>0</v>
      </c>
      <c r="I44" s="80">
        <f t="shared" ca="1" si="9"/>
        <v>1599.9999999999989</v>
      </c>
      <c r="J44" s="136">
        <f ca="1">IFERROR(C44/I44,0)</f>
        <v>0</v>
      </c>
      <c r="K44" s="81">
        <f t="shared" si="9"/>
        <v>0</v>
      </c>
      <c r="L44" s="82">
        <f t="shared" si="9"/>
        <v>0</v>
      </c>
      <c r="M44" s="21"/>
      <c r="N44" s="134">
        <f>N35</f>
        <v>0</v>
      </c>
      <c r="O44" s="134">
        <f t="shared" ref="O44:U44" si="10">O35</f>
        <v>0</v>
      </c>
      <c r="P44" s="134">
        <f t="shared" si="10"/>
        <v>0</v>
      </c>
      <c r="Q44" s="134">
        <f t="shared" ca="1" si="10"/>
        <v>1599.9999999999989</v>
      </c>
      <c r="R44" s="134">
        <f t="shared" si="10"/>
        <v>0</v>
      </c>
      <c r="S44" s="134">
        <f t="shared" si="10"/>
        <v>0</v>
      </c>
      <c r="T44" s="134">
        <f t="shared" si="10"/>
        <v>0</v>
      </c>
      <c r="U44" s="134">
        <f t="shared" si="10"/>
        <v>0</v>
      </c>
      <c r="V44"/>
      <c r="W44"/>
      <c r="X44"/>
      <c r="Y44"/>
      <c r="Z44"/>
      <c r="AA44"/>
    </row>
    <row r="45" spans="1:27" s="20" customFormat="1" ht="14.25" x14ac:dyDescent="0.2">
      <c r="B45" s="138" t="str">
        <f>_xlfn.CONCAT(_xlfn.XLOOKUP(O1,Referencia!B1:B13,Referencia!C1:C13),"/",(P1-1))</f>
        <v>DEZ/2022</v>
      </c>
      <c r="C45" s="134">
        <f>SUM(C64:C94)</f>
        <v>3470256.77</v>
      </c>
      <c r="D45" s="134">
        <f>SUM(D64:D94)</f>
        <v>3469620.04</v>
      </c>
      <c r="E45" s="134">
        <f>SUM(E64:E94)</f>
        <v>636.73</v>
      </c>
      <c r="F45" s="135">
        <f>SUM(F64:F94)</f>
        <v>10887</v>
      </c>
      <c r="G45" s="135">
        <f>SUM(G64:G94)</f>
        <v>14826</v>
      </c>
      <c r="H45" s="134">
        <f>C45/F45</f>
        <v>318.75234408009555</v>
      </c>
      <c r="I45" s="134">
        <f>SUM(I64:I94)</f>
        <v>37063.610000000008</v>
      </c>
      <c r="J45" s="136">
        <f>IFERROR(C45/I45,0)</f>
        <v>93.629756248784162</v>
      </c>
      <c r="K45" s="135">
        <f>SUM(K64:K94)</f>
        <v>169385</v>
      </c>
      <c r="L45" s="137">
        <f>F45/K45</f>
        <v>6.4273696017947274E-2</v>
      </c>
      <c r="M45" s="207"/>
      <c r="N45" s="134">
        <f>SUM(N64:N94)</f>
        <v>24316.789999999994</v>
      </c>
      <c r="O45" s="134">
        <f t="shared" ref="O45:V45" si="11">SUM(O64:O94)</f>
        <v>11146.819999999998</v>
      </c>
      <c r="P45" s="134">
        <f t="shared" si="11"/>
        <v>0</v>
      </c>
      <c r="Q45" s="134">
        <f t="shared" si="11"/>
        <v>1599.9999999999989</v>
      </c>
      <c r="R45" s="134">
        <f t="shared" si="11"/>
        <v>0</v>
      </c>
      <c r="S45" s="134">
        <f t="shared" si="11"/>
        <v>0</v>
      </c>
      <c r="T45" s="134">
        <f t="shared" si="11"/>
        <v>0</v>
      </c>
      <c r="U45" s="134">
        <f t="shared" si="11"/>
        <v>0</v>
      </c>
      <c r="V45" s="134">
        <f t="shared" si="11"/>
        <v>0</v>
      </c>
      <c r="W45"/>
      <c r="X45"/>
      <c r="Y45"/>
      <c r="Z45"/>
      <c r="AA45"/>
    </row>
    <row r="46" spans="1:27" s="20" customFormat="1" ht="14.25" x14ac:dyDescent="0.2">
      <c r="B46" s="83"/>
      <c r="C46" s="87">
        <f>C44-C45</f>
        <v>-3470256.77</v>
      </c>
      <c r="D46" s="87">
        <f t="shared" ref="D46:L46" si="12">D44-D45</f>
        <v>-3469620.04</v>
      </c>
      <c r="E46" s="87">
        <f t="shared" si="12"/>
        <v>-636.73</v>
      </c>
      <c r="F46" s="88">
        <f t="shared" si="12"/>
        <v>-10887</v>
      </c>
      <c r="G46" s="88">
        <f t="shared" si="12"/>
        <v>-14826</v>
      </c>
      <c r="H46" s="87">
        <f t="shared" si="12"/>
        <v>-318.75234408009555</v>
      </c>
      <c r="I46" s="87">
        <f t="shared" ca="1" si="12"/>
        <v>-35463.610000000008</v>
      </c>
      <c r="J46" s="125">
        <f t="shared" ca="1" si="12"/>
        <v>-93.629756248784162</v>
      </c>
      <c r="K46" s="88">
        <f t="shared" si="12"/>
        <v>-169385</v>
      </c>
      <c r="L46" s="89">
        <f t="shared" si="12"/>
        <v>-6.4273696017947274E-2</v>
      </c>
      <c r="M46" s="21"/>
      <c r="N46"/>
      <c r="O46"/>
      <c r="P46"/>
      <c r="Q46"/>
      <c r="R46"/>
      <c r="S46"/>
      <c r="T46"/>
      <c r="U46"/>
      <c r="V46"/>
      <c r="W46"/>
      <c r="X46"/>
      <c r="Y46"/>
      <c r="Z46"/>
      <c r="AA46"/>
    </row>
    <row r="47" spans="1:27" ht="14.25" x14ac:dyDescent="0.2">
      <c r="B47" s="84"/>
      <c r="C47" s="85">
        <f>IFERROR(1-(C45/C44),0)</f>
        <v>0</v>
      </c>
      <c r="D47" s="85">
        <f t="shared" ref="D47:L47" si="13">IFERROR(1-(D45/D44),0)</f>
        <v>0</v>
      </c>
      <c r="E47" s="85">
        <f t="shared" si="13"/>
        <v>0</v>
      </c>
      <c r="F47" s="85">
        <f t="shared" si="13"/>
        <v>0</v>
      </c>
      <c r="G47" s="85">
        <f t="shared" si="13"/>
        <v>0</v>
      </c>
      <c r="H47" s="85">
        <f t="shared" si="13"/>
        <v>0</v>
      </c>
      <c r="I47" s="85">
        <f t="shared" ca="1" si="13"/>
        <v>-22.164756250000021</v>
      </c>
      <c r="J47" s="85">
        <f t="shared" ca="1" si="13"/>
        <v>0</v>
      </c>
      <c r="K47" s="85">
        <f t="shared" si="13"/>
        <v>0</v>
      </c>
      <c r="L47" s="85">
        <f t="shared" si="13"/>
        <v>0</v>
      </c>
      <c r="M47" s="21"/>
    </row>
    <row r="48" spans="1:27" ht="15.75" customHeight="1" x14ac:dyDescent="0.2"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</row>
    <row r="49" spans="1:27" ht="14.25" x14ac:dyDescent="0.2">
      <c r="B49" s="223" t="s">
        <v>189</v>
      </c>
      <c r="C49" s="223"/>
      <c r="D49" s="223"/>
      <c r="E49" s="84"/>
      <c r="F49" s="84"/>
      <c r="G49" s="84"/>
      <c r="H49" s="84"/>
      <c r="I49" s="84"/>
      <c r="J49" s="84"/>
      <c r="K49" s="84"/>
      <c r="L49" s="84"/>
      <c r="M49" s="21"/>
    </row>
    <row r="50" spans="1:27" ht="15" thickBot="1" x14ac:dyDescent="0.25">
      <c r="B50" s="77" t="s">
        <v>153</v>
      </c>
      <c r="C50" s="78" t="s">
        <v>75</v>
      </c>
      <c r="D50" s="78" t="s">
        <v>154</v>
      </c>
      <c r="E50" s="78" t="s">
        <v>77</v>
      </c>
      <c r="F50" s="78" t="s">
        <v>78</v>
      </c>
      <c r="G50" s="78" t="s">
        <v>79</v>
      </c>
      <c r="H50" s="78" t="s">
        <v>80</v>
      </c>
      <c r="I50" s="78" t="s">
        <v>81</v>
      </c>
      <c r="J50" s="78" t="s">
        <v>82</v>
      </c>
      <c r="K50" s="78" t="s">
        <v>40</v>
      </c>
      <c r="L50" s="78" t="s">
        <v>83</v>
      </c>
      <c r="M50" s="21"/>
      <c r="N50" s="78" t="s">
        <v>85</v>
      </c>
      <c r="O50" s="78" t="s">
        <v>155</v>
      </c>
      <c r="P50" s="78" t="s">
        <v>87</v>
      </c>
      <c r="Q50" s="78" t="s">
        <v>88</v>
      </c>
      <c r="R50" s="78" t="s">
        <v>89</v>
      </c>
      <c r="S50" s="78" t="s">
        <v>90</v>
      </c>
      <c r="T50" s="78" t="s">
        <v>91</v>
      </c>
      <c r="U50" s="78" t="s">
        <v>92</v>
      </c>
    </row>
    <row r="51" spans="1:27" ht="14.25" x14ac:dyDescent="0.2">
      <c r="B51" s="79" t="str">
        <f>B44</f>
        <v>DEZ/2023</v>
      </c>
      <c r="C51" s="80">
        <f>C44</f>
        <v>0</v>
      </c>
      <c r="D51" s="80">
        <f t="shared" ref="D51:U51" si="14">D44</f>
        <v>0</v>
      </c>
      <c r="E51" s="80">
        <f t="shared" si="14"/>
        <v>0</v>
      </c>
      <c r="F51" s="81">
        <f t="shared" si="14"/>
        <v>0</v>
      </c>
      <c r="G51" s="81">
        <f t="shared" si="14"/>
        <v>0</v>
      </c>
      <c r="H51" s="80">
        <f t="shared" si="14"/>
        <v>0</v>
      </c>
      <c r="I51" s="80">
        <f t="shared" ca="1" si="14"/>
        <v>1599.9999999999989</v>
      </c>
      <c r="J51" s="118">
        <f t="shared" ca="1" si="14"/>
        <v>0</v>
      </c>
      <c r="K51" s="81">
        <f t="shared" si="14"/>
        <v>0</v>
      </c>
      <c r="L51" s="82">
        <f t="shared" si="14"/>
        <v>0</v>
      </c>
      <c r="M51" s="21"/>
      <c r="N51" s="80">
        <f t="shared" si="14"/>
        <v>0</v>
      </c>
      <c r="O51" s="80">
        <f t="shared" si="14"/>
        <v>0</v>
      </c>
      <c r="P51" s="80">
        <f t="shared" si="14"/>
        <v>0</v>
      </c>
      <c r="Q51" s="80">
        <f t="shared" ca="1" si="14"/>
        <v>1599.9999999999989</v>
      </c>
      <c r="R51" s="80">
        <f t="shared" si="14"/>
        <v>0</v>
      </c>
      <c r="S51" s="80">
        <f t="shared" si="14"/>
        <v>0</v>
      </c>
      <c r="T51" s="80">
        <f t="shared" si="14"/>
        <v>0</v>
      </c>
      <c r="U51" s="80">
        <f t="shared" si="14"/>
        <v>0</v>
      </c>
    </row>
    <row r="52" spans="1:27" ht="14.25" x14ac:dyDescent="0.2">
      <c r="B52" s="138" t="str">
        <f>NOV!B51</f>
        <v>NOV/2023</v>
      </c>
      <c r="C52" s="134">
        <f>NOV!C51</f>
        <v>0</v>
      </c>
      <c r="D52" s="134">
        <f>NOV!D51</f>
        <v>0</v>
      </c>
      <c r="E52" s="134">
        <f>NOV!E51</f>
        <v>0</v>
      </c>
      <c r="F52" s="135">
        <f>NOV!F51</f>
        <v>0</v>
      </c>
      <c r="G52" s="135">
        <f>NOV!G51</f>
        <v>0</v>
      </c>
      <c r="H52" s="134">
        <f>IFERROR(NOV!H51,0)</f>
        <v>0</v>
      </c>
      <c r="I52" s="134">
        <f ca="1">NOV!I51</f>
        <v>1599.9999999999995</v>
      </c>
      <c r="J52" s="136">
        <f ca="1">NOV!J51</f>
        <v>0</v>
      </c>
      <c r="K52" s="135">
        <f>NOV!K51</f>
        <v>0</v>
      </c>
      <c r="L52" s="137">
        <f>NOV!L51</f>
        <v>0</v>
      </c>
      <c r="M52" s="21"/>
      <c r="N52" s="134">
        <f>NOV!N51</f>
        <v>0</v>
      </c>
      <c r="O52" s="134">
        <f>NOV!O51</f>
        <v>0</v>
      </c>
      <c r="P52" s="134">
        <f>NOV!P51</f>
        <v>0</v>
      </c>
      <c r="Q52" s="134">
        <f ca="1">NOV!Q51</f>
        <v>1599.9999999999995</v>
      </c>
      <c r="R52" s="134">
        <f>NOV!R51</f>
        <v>0</v>
      </c>
      <c r="S52" s="134">
        <f>NOV!S51</f>
        <v>0</v>
      </c>
      <c r="T52" s="134">
        <f>NOV!T51</f>
        <v>0</v>
      </c>
      <c r="U52" s="134">
        <f>NOV!U51</f>
        <v>0</v>
      </c>
    </row>
    <row r="53" spans="1:27" ht="14.25" x14ac:dyDescent="0.2">
      <c r="B53" s="83"/>
      <c r="C53" s="87">
        <f t="shared" ref="C53:L53" si="15">C51-C52</f>
        <v>0</v>
      </c>
      <c r="D53" s="87">
        <f t="shared" si="15"/>
        <v>0</v>
      </c>
      <c r="E53" s="87">
        <f t="shared" si="15"/>
        <v>0</v>
      </c>
      <c r="F53" s="88">
        <f t="shared" si="15"/>
        <v>0</v>
      </c>
      <c r="G53" s="88">
        <f t="shared" si="15"/>
        <v>0</v>
      </c>
      <c r="H53" s="87">
        <f>IFERROR(H51-H52,0)</f>
        <v>0</v>
      </c>
      <c r="I53" s="87">
        <f t="shared" ca="1" si="15"/>
        <v>0</v>
      </c>
      <c r="J53" s="125">
        <f ca="1">IFERROR(J51-J52,0)</f>
        <v>0</v>
      </c>
      <c r="K53" s="88">
        <f t="shared" si="15"/>
        <v>0</v>
      </c>
      <c r="L53" s="89">
        <f t="shared" si="15"/>
        <v>0</v>
      </c>
      <c r="M53" s="21"/>
    </row>
    <row r="54" spans="1:27" ht="14.25" x14ac:dyDescent="0.2">
      <c r="B54" s="84"/>
      <c r="C54" s="85">
        <f>IFERROR(1-(C52/C51),0)</f>
        <v>0</v>
      </c>
      <c r="D54" s="85">
        <f t="shared" ref="D54:L54" si="16">IFERROR(1-(D52/D51),0)</f>
        <v>0</v>
      </c>
      <c r="E54" s="85">
        <f t="shared" si="16"/>
        <v>0</v>
      </c>
      <c r="F54" s="85">
        <f t="shared" si="16"/>
        <v>0</v>
      </c>
      <c r="G54" s="85">
        <f t="shared" si="16"/>
        <v>0</v>
      </c>
      <c r="H54" s="85">
        <f t="shared" si="16"/>
        <v>0</v>
      </c>
      <c r="I54" s="85">
        <f t="shared" ca="1" si="16"/>
        <v>-4.4408920985006262E-16</v>
      </c>
      <c r="J54" s="85">
        <f t="shared" ca="1" si="16"/>
        <v>0</v>
      </c>
      <c r="K54" s="85">
        <f t="shared" si="16"/>
        <v>0</v>
      </c>
      <c r="L54" s="85">
        <f t="shared" si="16"/>
        <v>0</v>
      </c>
      <c r="M54" s="21"/>
    </row>
    <row r="56" spans="1:27" ht="15.75" customHeight="1" x14ac:dyDescent="0.2">
      <c r="B56" s="84"/>
      <c r="C56" s="84"/>
      <c r="D56" s="84"/>
      <c r="E56" s="84"/>
      <c r="F56" s="84"/>
      <c r="G56" s="84"/>
      <c r="H56" s="84"/>
      <c r="I56" s="84"/>
      <c r="J56" s="84"/>
      <c r="K56" s="84"/>
    </row>
    <row r="57" spans="1:27" x14ac:dyDescent="0.2">
      <c r="B57" s="223" t="s">
        <v>191</v>
      </c>
      <c r="C57" s="223"/>
      <c r="D57" s="223"/>
      <c r="E57" s="84"/>
      <c r="F57" s="84"/>
      <c r="G57" s="84"/>
      <c r="H57" s="84"/>
      <c r="I57" s="84"/>
      <c r="J57" s="84"/>
      <c r="K57" s="84"/>
      <c r="L57" s="84"/>
      <c r="M57" s="150"/>
    </row>
    <row r="58" spans="1:27" ht="13.5" thickBot="1" x14ac:dyDescent="0.25">
      <c r="B58" s="77" t="s">
        <v>153</v>
      </c>
      <c r="C58" s="78" t="s">
        <v>75</v>
      </c>
      <c r="D58" s="78" t="s">
        <v>154</v>
      </c>
      <c r="E58" s="78" t="s">
        <v>77</v>
      </c>
      <c r="F58" s="78" t="s">
        <v>78</v>
      </c>
      <c r="G58" s="78" t="s">
        <v>79</v>
      </c>
      <c r="H58" s="78" t="s">
        <v>80</v>
      </c>
      <c r="I58" s="78" t="s">
        <v>81</v>
      </c>
      <c r="J58" s="78" t="s">
        <v>82</v>
      </c>
      <c r="K58" s="78" t="s">
        <v>40</v>
      </c>
      <c r="L58" s="78" t="s">
        <v>83</v>
      </c>
      <c r="M58" s="150"/>
      <c r="N58" s="78" t="s">
        <v>85</v>
      </c>
      <c r="O58" s="78" t="s">
        <v>155</v>
      </c>
      <c r="P58" s="78" t="s">
        <v>87</v>
      </c>
      <c r="Q58" s="78" t="s">
        <v>88</v>
      </c>
      <c r="R58" s="78" t="s">
        <v>89</v>
      </c>
      <c r="S58" s="78" t="s">
        <v>90</v>
      </c>
      <c r="T58" s="78" t="s">
        <v>91</v>
      </c>
      <c r="U58" s="78" t="s">
        <v>92</v>
      </c>
    </row>
    <row r="59" spans="1:27" x14ac:dyDescent="0.2">
      <c r="B59" s="79" t="str">
        <f>B52</f>
        <v>NOV/2023</v>
      </c>
      <c r="C59" s="80">
        <f>C44</f>
        <v>0</v>
      </c>
      <c r="D59" s="80">
        <f t="shared" ref="D59:L59" si="17">D51</f>
        <v>0</v>
      </c>
      <c r="E59" s="80">
        <f t="shared" si="17"/>
        <v>0</v>
      </c>
      <c r="F59" s="81">
        <f t="shared" si="17"/>
        <v>0</v>
      </c>
      <c r="G59" s="81">
        <f t="shared" si="17"/>
        <v>0</v>
      </c>
      <c r="H59" s="80">
        <f t="shared" si="17"/>
        <v>0</v>
      </c>
      <c r="I59" s="80">
        <f t="shared" ca="1" si="17"/>
        <v>1599.9999999999989</v>
      </c>
      <c r="J59" s="136">
        <f ca="1">IFERROR(C59/I59,0)</f>
        <v>0</v>
      </c>
      <c r="K59" s="81">
        <f t="shared" si="17"/>
        <v>0</v>
      </c>
      <c r="L59" s="82">
        <f t="shared" si="17"/>
        <v>0</v>
      </c>
      <c r="M59" s="150"/>
      <c r="N59" s="80">
        <f t="shared" ref="N59:U59" si="18">N51</f>
        <v>0</v>
      </c>
      <c r="O59" s="80">
        <f t="shared" si="18"/>
        <v>0</v>
      </c>
      <c r="P59" s="80">
        <f t="shared" si="18"/>
        <v>0</v>
      </c>
      <c r="Q59" s="80">
        <f t="shared" ca="1" si="18"/>
        <v>1599.9999999999989</v>
      </c>
      <c r="R59" s="80">
        <f t="shared" si="18"/>
        <v>0</v>
      </c>
      <c r="S59" s="80">
        <f t="shared" si="18"/>
        <v>0</v>
      </c>
      <c r="T59" s="80">
        <f t="shared" si="18"/>
        <v>0</v>
      </c>
      <c r="U59" s="80">
        <f t="shared" si="18"/>
        <v>0</v>
      </c>
    </row>
    <row r="60" spans="1:27" ht="14.25" x14ac:dyDescent="0.2">
      <c r="A60" s="128"/>
      <c r="B60" s="138" t="str">
        <f>B45</f>
        <v>DEZ/2022</v>
      </c>
      <c r="C60" s="134">
        <f ca="1">SUMIF($A$64:$A$93,"Realizado",C64:C93)</f>
        <v>3442782.45</v>
      </c>
      <c r="D60" s="134">
        <f ca="1">SUMIF($A$64:$A$93,"Realizado",D64:D93)</f>
        <v>3442145.72</v>
      </c>
      <c r="E60" s="134">
        <f ca="1">SUMIF($A$64:$A$93,"Realizado",E64:E93)</f>
        <v>636.73</v>
      </c>
      <c r="F60" s="135">
        <f ca="1">SUMIF($A$64:$A$93,"Realizado",F64:F93)</f>
        <v>10812</v>
      </c>
      <c r="G60" s="135">
        <f ca="1">SUMIF($A$64:$A$93,"Realizado",G64:G93)</f>
        <v>14733</v>
      </c>
      <c r="H60" s="134">
        <f ca="1">IFERROR(C60/F60,0)</f>
        <v>318.42235016648169</v>
      </c>
      <c r="I60" s="134">
        <f ca="1">SUMIF($A$64:$A$93,"Realizado",I64:I93)</f>
        <v>36681.237096774203</v>
      </c>
      <c r="J60" s="136">
        <f ca="1">IFERROR(C60/I60,0)</f>
        <v>93.856770449619404</v>
      </c>
      <c r="K60" s="135">
        <f>SUM(K64:K88)</f>
        <v>139462</v>
      </c>
      <c r="L60" s="137">
        <f ca="1">F60/K60</f>
        <v>7.7526494672383872E-2</v>
      </c>
      <c r="M60" s="21"/>
      <c r="N60" s="134">
        <f t="shared" ref="N60:S60" si="19">SUM(N64:N88)</f>
        <v>20069.759999999995</v>
      </c>
      <c r="O60" s="134">
        <f t="shared" si="19"/>
        <v>9940.2899999999972</v>
      </c>
      <c r="P60" s="134">
        <f t="shared" si="19"/>
        <v>0</v>
      </c>
      <c r="Q60" s="134">
        <f t="shared" si="19"/>
        <v>1290.3225806451608</v>
      </c>
      <c r="R60" s="134">
        <f t="shared" si="19"/>
        <v>0</v>
      </c>
      <c r="S60" s="134">
        <f t="shared" si="19"/>
        <v>0</v>
      </c>
      <c r="T60" s="134">
        <f>JUN!T59</f>
        <v>0</v>
      </c>
      <c r="U60" s="134">
        <f>JUN!U59</f>
        <v>0</v>
      </c>
    </row>
    <row r="61" spans="1:27" x14ac:dyDescent="0.2">
      <c r="B61" s="83"/>
      <c r="C61" s="87">
        <f t="shared" ref="C61:L61" ca="1" si="20">C59-C60</f>
        <v>-3442782.45</v>
      </c>
      <c r="D61" s="87">
        <f t="shared" ca="1" si="20"/>
        <v>-3442145.72</v>
      </c>
      <c r="E61" s="87">
        <f t="shared" ca="1" si="20"/>
        <v>-636.73</v>
      </c>
      <c r="F61" s="88">
        <f t="shared" ca="1" si="20"/>
        <v>-10812</v>
      </c>
      <c r="G61" s="88">
        <f t="shared" ca="1" si="20"/>
        <v>-14733</v>
      </c>
      <c r="H61" s="87">
        <f t="shared" ca="1" si="20"/>
        <v>-318.42235016648169</v>
      </c>
      <c r="I61" s="87">
        <f t="shared" ca="1" si="20"/>
        <v>-35081.237096774203</v>
      </c>
      <c r="J61" s="125">
        <f t="shared" ca="1" si="20"/>
        <v>-93.856770449619404</v>
      </c>
      <c r="K61" s="88">
        <f t="shared" si="20"/>
        <v>-139462</v>
      </c>
      <c r="L61" s="89">
        <f t="shared" ca="1" si="20"/>
        <v>-7.7526494672383872E-2</v>
      </c>
      <c r="M61" s="150"/>
    </row>
    <row r="62" spans="1:27" x14ac:dyDescent="0.2">
      <c r="B62" s="84"/>
      <c r="C62" s="85">
        <f ca="1">IFERROR(1-(C60/C59),0)</f>
        <v>0</v>
      </c>
      <c r="D62" s="85">
        <f t="shared" ref="D62:L62" ca="1" si="21">IFERROR(1-(D60/D59),0)</f>
        <v>0</v>
      </c>
      <c r="E62" s="85">
        <f t="shared" ca="1" si="21"/>
        <v>0</v>
      </c>
      <c r="F62" s="85">
        <f t="shared" ca="1" si="21"/>
        <v>0</v>
      </c>
      <c r="G62" s="85">
        <f t="shared" ca="1" si="21"/>
        <v>0</v>
      </c>
      <c r="H62" s="85">
        <f t="shared" ca="1" si="21"/>
        <v>0</v>
      </c>
      <c r="I62" s="85">
        <f t="shared" ca="1" si="21"/>
        <v>-21.925773185483894</v>
      </c>
      <c r="J62" s="85">
        <f t="shared" ca="1" si="21"/>
        <v>0</v>
      </c>
      <c r="K62" s="85">
        <f t="shared" si="21"/>
        <v>0</v>
      </c>
      <c r="L62" s="85">
        <f t="shared" ca="1" si="21"/>
        <v>0</v>
      </c>
      <c r="M62" s="150"/>
    </row>
    <row r="63" spans="1:27" x14ac:dyDescent="0.2">
      <c r="A63" s="180">
        <f ca="1">TODAY()</f>
        <v>45834</v>
      </c>
      <c r="B63" s="201"/>
    </row>
    <row r="64" spans="1:27" hidden="1" x14ac:dyDescent="0.2">
      <c r="A64" s="17" t="str">
        <f t="shared" ref="A64:A68" ca="1" si="22">IF($A$63&lt;=AA64,"Previsto","Realizado")</f>
        <v>Realizado</v>
      </c>
      <c r="B64" s="17">
        <v>44896</v>
      </c>
      <c r="C64" s="19">
        <f t="shared" ref="C64:C94" si="23">D64+E64</f>
        <v>86486.31</v>
      </c>
      <c r="D64" s="35">
        <f>_xlfn.XLOOKUP($B:$B,'Compilado 2023'!$B:$B,'Compilado 2023'!D:D)</f>
        <v>86486.31</v>
      </c>
      <c r="E64" s="35">
        <f>_xlfn.XLOOKUP($B:$B,'Compilado 2023'!$B:$B,'Compilado 2023'!E:E)</f>
        <v>0</v>
      </c>
      <c r="F64" s="18">
        <f>_xlfn.XLOOKUP($B:$B,'Compilado 2023'!$B:$B,'Compilado 2023'!F:F)</f>
        <v>256</v>
      </c>
      <c r="G64" s="18">
        <f>_xlfn.XLOOKUP($B:$B,'Compilado 2023'!$B:$B,'Compilado 2023'!G:G)</f>
        <v>350</v>
      </c>
      <c r="H64" s="35">
        <f t="shared" ref="H64:H94" si="24">IFERROR(C64/F64,0)</f>
        <v>337.83714843749999</v>
      </c>
      <c r="I64" s="19">
        <f t="shared" ref="I64:I94" si="25">SUM(N64:U64)</f>
        <v>587.49290322580646</v>
      </c>
      <c r="J64" s="122">
        <f t="shared" ref="J64:J94" si="26">IF(I64&gt;0,C64/I64,0)</f>
        <v>147.21251869617643</v>
      </c>
      <c r="K64" s="18">
        <f>_xlfn.XLOOKUP($B:$B,'Compilado 2023'!$B:$B,'Compilado 2023'!K:K)</f>
        <v>6190</v>
      </c>
      <c r="L64" s="54">
        <f t="shared" ref="L64:L94" si="27">IFERROR(F64/K64,0)</f>
        <v>4.1357027463651053E-2</v>
      </c>
      <c r="M64" s="149"/>
      <c r="N64" s="106">
        <f>_xlfn.XLOOKUP($B:$B,'Compilado 2023'!$B:$B,'Compilado 2023'!N:N)</f>
        <v>345.85</v>
      </c>
      <c r="O64" s="106">
        <f>_xlfn.XLOOKUP($B:$B,'Compilado 2023'!$B:$B,'Compilado 2023'!O:O)</f>
        <v>190.03</v>
      </c>
      <c r="P64" s="106">
        <f>_xlfn.XLOOKUP($B:$B,'Compilado 2023'!$B:$B,'Compilado 2023'!P:P)</f>
        <v>0</v>
      </c>
      <c r="Q64" s="106">
        <f>_xlfn.XLOOKUP($B:$B,'Compilado 2023'!$B:$B,'Compilado 2023'!Q:Q)</f>
        <v>51.612903225806448</v>
      </c>
      <c r="R64" s="106">
        <f>_xlfn.XLOOKUP($B:$B,'Compilado 2023'!$B:$B,'Compilado 2023'!R:R)</f>
        <v>0</v>
      </c>
      <c r="S64" s="106">
        <f>_xlfn.XLOOKUP($B:$B,'Compilado 2023'!$B:$B,'Compilado 2023'!T:T)</f>
        <v>0</v>
      </c>
      <c r="T64" s="106">
        <f>_xlfn.XLOOKUP($B:$B,'Compilado 2023'!$B:$B,'Compilado 2023'!U:U)</f>
        <v>0</v>
      </c>
      <c r="U64" s="106">
        <f>_xlfn.XLOOKUP($B:$B,'Compilado 2023'!$B:$B,'Compilado 2023'!V:V)</f>
        <v>0</v>
      </c>
      <c r="V64" s="57"/>
      <c r="W64" s="106">
        <f>_xlfn.XLOOKUP($B:$B,'Compilado 2023'!$B:$B,'Compilado 2023'!X:X)</f>
        <v>0</v>
      </c>
      <c r="X64" s="106">
        <f>_xlfn.XLOOKUP($B:$B,'Compilado 2023'!$B:$B,'Compilado 2023'!Y:Y)</f>
        <v>0</v>
      </c>
      <c r="Y64" s="106">
        <f>_xlfn.XLOOKUP($B:$B,'Compilado 2023'!$B:$B,'Compilado 2023'!Z:Z)</f>
        <v>0</v>
      </c>
      <c r="AA64" s="208">
        <v>45108</v>
      </c>
    </row>
    <row r="65" spans="1:27" hidden="1" x14ac:dyDescent="0.2">
      <c r="A65" s="17" t="str">
        <f t="shared" ca="1" si="22"/>
        <v>Realizado</v>
      </c>
      <c r="B65" s="17">
        <v>44897</v>
      </c>
      <c r="C65" s="19">
        <f t="shared" si="23"/>
        <v>74098.990000000005</v>
      </c>
      <c r="D65" s="35">
        <f>_xlfn.XLOOKUP($B:$B,'Compilado 2023'!$B:$B,'Compilado 2023'!D:D)</f>
        <v>74098.990000000005</v>
      </c>
      <c r="E65" s="35">
        <f>_xlfn.XLOOKUP($B:$B,'Compilado 2023'!$B:$B,'Compilado 2023'!E:E)</f>
        <v>0</v>
      </c>
      <c r="F65" s="18">
        <f>_xlfn.XLOOKUP($B:$B,'Compilado 2023'!$B:$B,'Compilado 2023'!F:F)</f>
        <v>217</v>
      </c>
      <c r="G65" s="18">
        <f>_xlfn.XLOOKUP($B:$B,'Compilado 2023'!$B:$B,'Compilado 2023'!G:G)</f>
        <v>296</v>
      </c>
      <c r="H65" s="35">
        <f t="shared" si="24"/>
        <v>341.47</v>
      </c>
      <c r="I65" s="19">
        <f t="shared" si="25"/>
        <v>581.97290322580648</v>
      </c>
      <c r="J65" s="122">
        <f t="shared" si="26"/>
        <v>127.3237801782147</v>
      </c>
      <c r="K65" s="18">
        <f>_xlfn.XLOOKUP($B:$B,'Compilado 2023'!$B:$B,'Compilado 2023'!K:K)</f>
        <v>4015</v>
      </c>
      <c r="L65" s="54">
        <f t="shared" si="27"/>
        <v>5.4047322540473224E-2</v>
      </c>
      <c r="M65" s="149"/>
      <c r="N65" s="106">
        <f>_xlfn.XLOOKUP($B:$B,'Compilado 2023'!$B:$B,'Compilado 2023'!N:N)</f>
        <v>331.21</v>
      </c>
      <c r="O65" s="106">
        <f>_xlfn.XLOOKUP($B:$B,'Compilado 2023'!$B:$B,'Compilado 2023'!O:O)</f>
        <v>199.15</v>
      </c>
      <c r="P65" s="106">
        <f>_xlfn.XLOOKUP($B:$B,'Compilado 2023'!$B:$B,'Compilado 2023'!P:P)</f>
        <v>0</v>
      </c>
      <c r="Q65" s="106">
        <f>_xlfn.XLOOKUP($B:$B,'Compilado 2023'!$B:$B,'Compilado 2023'!Q:Q)</f>
        <v>51.612903225806448</v>
      </c>
      <c r="R65" s="106">
        <f>_xlfn.XLOOKUP($B:$B,'Compilado 2023'!$B:$B,'Compilado 2023'!R:R)</f>
        <v>0</v>
      </c>
      <c r="S65" s="106">
        <f>_xlfn.XLOOKUP($B:$B,'Compilado 2023'!$B:$B,'Compilado 2023'!T:T)</f>
        <v>0</v>
      </c>
      <c r="T65" s="106">
        <f>_xlfn.XLOOKUP($B:$B,'Compilado 2023'!$B:$B,'Compilado 2023'!U:U)</f>
        <v>0</v>
      </c>
      <c r="U65" s="106">
        <f>_xlfn.XLOOKUP($B:$B,'Compilado 2023'!$B:$B,'Compilado 2023'!V:V)</f>
        <v>0</v>
      </c>
      <c r="V65" s="57"/>
      <c r="W65" s="106">
        <f>_xlfn.XLOOKUP($B:$B,'Compilado 2023'!$B:$B,'Compilado 2023'!X:X)</f>
        <v>0</v>
      </c>
      <c r="X65" s="106">
        <f>_xlfn.XLOOKUP($B:$B,'Compilado 2023'!$B:$B,'Compilado 2023'!Y:Y)</f>
        <v>0</v>
      </c>
      <c r="Y65" s="106">
        <f>_xlfn.XLOOKUP($B:$B,'Compilado 2023'!$B:$B,'Compilado 2023'!Z:Z)</f>
        <v>0</v>
      </c>
      <c r="AA65" s="208">
        <v>45109</v>
      </c>
    </row>
    <row r="66" spans="1:27" hidden="1" x14ac:dyDescent="0.2">
      <c r="A66" s="17" t="str">
        <f t="shared" ca="1" si="22"/>
        <v>Realizado</v>
      </c>
      <c r="B66" s="17">
        <v>44898</v>
      </c>
      <c r="C66" s="19">
        <f t="shared" si="23"/>
        <v>37757.5</v>
      </c>
      <c r="D66" s="35">
        <f>_xlfn.XLOOKUP($B:$B,'Compilado 2023'!$B:$B,'Compilado 2023'!D:D)</f>
        <v>37735.550000000003</v>
      </c>
      <c r="E66" s="35">
        <f>_xlfn.XLOOKUP($B:$B,'Compilado 2023'!$B:$B,'Compilado 2023'!E:E)</f>
        <v>21.95</v>
      </c>
      <c r="F66" s="18">
        <f>_xlfn.XLOOKUP($B:$B,'Compilado 2023'!$B:$B,'Compilado 2023'!F:F)</f>
        <v>140</v>
      </c>
      <c r="G66" s="18">
        <f>_xlfn.XLOOKUP($B:$B,'Compilado 2023'!$B:$B,'Compilado 2023'!G:G)</f>
        <v>169</v>
      </c>
      <c r="H66" s="35">
        <f t="shared" si="24"/>
        <v>269.69642857142856</v>
      </c>
      <c r="I66" s="19">
        <f t="shared" si="25"/>
        <v>603.97290322580648</v>
      </c>
      <c r="J66" s="122">
        <f t="shared" si="26"/>
        <v>62.515221789484251</v>
      </c>
      <c r="K66" s="18">
        <f>_xlfn.XLOOKUP($B:$B,'Compilado 2023'!$B:$B,'Compilado 2023'!K:K)</f>
        <v>3860</v>
      </c>
      <c r="L66" s="54">
        <f t="shared" si="27"/>
        <v>3.6269430051813469E-2</v>
      </c>
      <c r="M66" s="149"/>
      <c r="N66" s="106">
        <f>_xlfn.XLOOKUP($B:$B,'Compilado 2023'!$B:$B,'Compilado 2023'!N:N)</f>
        <v>329.84</v>
      </c>
      <c r="O66" s="106">
        <f>_xlfn.XLOOKUP($B:$B,'Compilado 2023'!$B:$B,'Compilado 2023'!O:O)</f>
        <v>222.52</v>
      </c>
      <c r="P66" s="106">
        <f>_xlfn.XLOOKUP($B:$B,'Compilado 2023'!$B:$B,'Compilado 2023'!P:P)</f>
        <v>0</v>
      </c>
      <c r="Q66" s="106">
        <f>_xlfn.XLOOKUP($B:$B,'Compilado 2023'!$B:$B,'Compilado 2023'!Q:Q)</f>
        <v>51.612903225806448</v>
      </c>
      <c r="R66" s="106">
        <f>_xlfn.XLOOKUP($B:$B,'Compilado 2023'!$B:$B,'Compilado 2023'!R:R)</f>
        <v>0</v>
      </c>
      <c r="S66" s="106">
        <f>_xlfn.XLOOKUP($B:$B,'Compilado 2023'!$B:$B,'Compilado 2023'!T:T)</f>
        <v>0</v>
      </c>
      <c r="T66" s="106">
        <f>_xlfn.XLOOKUP($B:$B,'Compilado 2023'!$B:$B,'Compilado 2023'!U:U)</f>
        <v>0</v>
      </c>
      <c r="U66" s="106">
        <f>_xlfn.XLOOKUP($B:$B,'Compilado 2023'!$B:$B,'Compilado 2023'!V:V)</f>
        <v>0</v>
      </c>
      <c r="V66" s="57"/>
      <c r="W66" s="106">
        <f>_xlfn.XLOOKUP($B:$B,'Compilado 2023'!$B:$B,'Compilado 2023'!X:X)</f>
        <v>0</v>
      </c>
      <c r="X66" s="106">
        <f>_xlfn.XLOOKUP($B:$B,'Compilado 2023'!$B:$B,'Compilado 2023'!Y:Y)</f>
        <v>0</v>
      </c>
      <c r="Y66" s="106">
        <f>_xlfn.XLOOKUP($B:$B,'Compilado 2023'!$B:$B,'Compilado 2023'!Z:Z)</f>
        <v>0</v>
      </c>
      <c r="AA66" s="208">
        <v>45110</v>
      </c>
    </row>
    <row r="67" spans="1:27" hidden="1" x14ac:dyDescent="0.2">
      <c r="A67" s="17" t="str">
        <f t="shared" ca="1" si="22"/>
        <v>Realizado</v>
      </c>
      <c r="B67" s="17">
        <v>44899</v>
      </c>
      <c r="C67" s="19">
        <f t="shared" si="23"/>
        <v>39635.199999999997</v>
      </c>
      <c r="D67" s="35">
        <f>_xlfn.XLOOKUP($B:$B,'Compilado 2023'!$B:$B,'Compilado 2023'!D:D)</f>
        <v>39635.199999999997</v>
      </c>
      <c r="E67" s="35">
        <f>_xlfn.XLOOKUP($B:$B,'Compilado 2023'!$B:$B,'Compilado 2023'!E:E)</f>
        <v>0</v>
      </c>
      <c r="F67" s="18">
        <f>_xlfn.XLOOKUP($B:$B,'Compilado 2023'!$B:$B,'Compilado 2023'!F:F)</f>
        <v>141</v>
      </c>
      <c r="G67" s="18">
        <f>_xlfn.XLOOKUP($B:$B,'Compilado 2023'!$B:$B,'Compilado 2023'!G:G)</f>
        <v>159</v>
      </c>
      <c r="H67" s="35">
        <f t="shared" si="24"/>
        <v>281.10070921985812</v>
      </c>
      <c r="I67" s="19">
        <f t="shared" si="25"/>
        <v>629.26290322580644</v>
      </c>
      <c r="J67" s="122">
        <f t="shared" si="26"/>
        <v>62.986710001204685</v>
      </c>
      <c r="K67" s="18">
        <f>_xlfn.XLOOKUP($B:$B,'Compilado 2023'!$B:$B,'Compilado 2023'!K:K)</f>
        <v>3515</v>
      </c>
      <c r="L67" s="54">
        <f t="shared" si="27"/>
        <v>4.0113798008534853E-2</v>
      </c>
      <c r="M67" s="149"/>
      <c r="N67" s="106">
        <f>_xlfn.XLOOKUP($B:$B,'Compilado 2023'!$B:$B,'Compilado 2023'!N:N)</f>
        <v>341.13</v>
      </c>
      <c r="O67" s="106">
        <f>_xlfn.XLOOKUP($B:$B,'Compilado 2023'!$B:$B,'Compilado 2023'!O:O)</f>
        <v>236.52</v>
      </c>
      <c r="P67" s="106">
        <f>_xlfn.XLOOKUP($B:$B,'Compilado 2023'!$B:$B,'Compilado 2023'!P:P)</f>
        <v>0</v>
      </c>
      <c r="Q67" s="106">
        <f>_xlfn.XLOOKUP($B:$B,'Compilado 2023'!$B:$B,'Compilado 2023'!Q:Q)</f>
        <v>51.612903225806448</v>
      </c>
      <c r="R67" s="106">
        <f>_xlfn.XLOOKUP($B:$B,'Compilado 2023'!$B:$B,'Compilado 2023'!R:R)</f>
        <v>0</v>
      </c>
      <c r="S67" s="106">
        <f>_xlfn.XLOOKUP($B:$B,'Compilado 2023'!$B:$B,'Compilado 2023'!T:T)</f>
        <v>0</v>
      </c>
      <c r="T67" s="106">
        <f>_xlfn.XLOOKUP($B:$B,'Compilado 2023'!$B:$B,'Compilado 2023'!U:U)</f>
        <v>0</v>
      </c>
      <c r="U67" s="106">
        <f>_xlfn.XLOOKUP($B:$B,'Compilado 2023'!$B:$B,'Compilado 2023'!V:V)</f>
        <v>0</v>
      </c>
      <c r="V67" s="57"/>
      <c r="W67" s="106">
        <f>_xlfn.XLOOKUP($B:$B,'Compilado 2023'!$B:$B,'Compilado 2023'!X:X)</f>
        <v>0</v>
      </c>
      <c r="X67" s="106">
        <f>_xlfn.XLOOKUP($B:$B,'Compilado 2023'!$B:$B,'Compilado 2023'!Y:Y)</f>
        <v>0</v>
      </c>
      <c r="Y67" s="106">
        <f>_xlfn.XLOOKUP($B:$B,'Compilado 2023'!$B:$B,'Compilado 2023'!Z:Z)</f>
        <v>0</v>
      </c>
      <c r="AA67" s="208">
        <v>45111</v>
      </c>
    </row>
    <row r="68" spans="1:27" hidden="1" x14ac:dyDescent="0.2">
      <c r="A68" s="17" t="str">
        <f t="shared" ca="1" si="22"/>
        <v>Realizado</v>
      </c>
      <c r="B68" s="17">
        <v>44900</v>
      </c>
      <c r="C68" s="19">
        <f t="shared" si="23"/>
        <v>148777.51</v>
      </c>
      <c r="D68" s="35">
        <f>_xlfn.XLOOKUP($B:$B,'Compilado 2023'!$B:$B,'Compilado 2023'!D:D)</f>
        <v>148777.51</v>
      </c>
      <c r="E68" s="35">
        <f>_xlfn.XLOOKUP($B:$B,'Compilado 2023'!$B:$B,'Compilado 2023'!E:E)</f>
        <v>0</v>
      </c>
      <c r="F68" s="18">
        <f>_xlfn.XLOOKUP($B:$B,'Compilado 2023'!$B:$B,'Compilado 2023'!F:F)</f>
        <v>679</v>
      </c>
      <c r="G68" s="18">
        <f>_xlfn.XLOOKUP($B:$B,'Compilado 2023'!$B:$B,'Compilado 2023'!G:G)</f>
        <v>1098</v>
      </c>
      <c r="H68" s="35">
        <f t="shared" si="24"/>
        <v>219.11268041237113</v>
      </c>
      <c r="I68" s="19">
        <f t="shared" si="25"/>
        <v>704.72290322580648</v>
      </c>
      <c r="J68" s="122">
        <f t="shared" si="26"/>
        <v>211.11490675126944</v>
      </c>
      <c r="K68" s="18">
        <f>_xlfn.XLOOKUP($B:$B,'Compilado 2023'!$B:$B,'Compilado 2023'!K:K)</f>
        <v>6626</v>
      </c>
      <c r="L68" s="54">
        <f t="shared" si="27"/>
        <v>0.10247509809840025</v>
      </c>
      <c r="M68" s="149"/>
      <c r="N68" s="106">
        <f>_xlfn.XLOOKUP($B:$B,'Compilado 2023'!$B:$B,'Compilado 2023'!N:N)</f>
        <v>356.86</v>
      </c>
      <c r="O68" s="106">
        <f>_xlfn.XLOOKUP($B:$B,'Compilado 2023'!$B:$B,'Compilado 2023'!O:O)</f>
        <v>296.25</v>
      </c>
      <c r="P68" s="106">
        <f>_xlfn.XLOOKUP($B:$B,'Compilado 2023'!$B:$B,'Compilado 2023'!P:P)</f>
        <v>0</v>
      </c>
      <c r="Q68" s="106">
        <f>_xlfn.XLOOKUP($B:$B,'Compilado 2023'!$B:$B,'Compilado 2023'!Q:Q)</f>
        <v>51.612903225806448</v>
      </c>
      <c r="R68" s="106">
        <f>_xlfn.XLOOKUP($B:$B,'Compilado 2023'!$B:$B,'Compilado 2023'!R:R)</f>
        <v>0</v>
      </c>
      <c r="S68" s="106">
        <f>_xlfn.XLOOKUP($B:$B,'Compilado 2023'!$B:$B,'Compilado 2023'!T:T)</f>
        <v>0</v>
      </c>
      <c r="T68" s="106">
        <f>_xlfn.XLOOKUP($B:$B,'Compilado 2023'!$B:$B,'Compilado 2023'!U:U)</f>
        <v>0</v>
      </c>
      <c r="U68" s="106">
        <f>_xlfn.XLOOKUP($B:$B,'Compilado 2023'!$B:$B,'Compilado 2023'!V:V)</f>
        <v>0</v>
      </c>
      <c r="V68" s="57"/>
      <c r="W68" s="106">
        <f>_xlfn.XLOOKUP($B:$B,'Compilado 2023'!$B:$B,'Compilado 2023'!X:X)</f>
        <v>0</v>
      </c>
      <c r="X68" s="106">
        <f>_xlfn.XLOOKUP($B:$B,'Compilado 2023'!$B:$B,'Compilado 2023'!Y:Y)</f>
        <v>0</v>
      </c>
      <c r="Y68" s="106">
        <f>_xlfn.XLOOKUP($B:$B,'Compilado 2023'!$B:$B,'Compilado 2023'!Z:Z)</f>
        <v>0</v>
      </c>
      <c r="AA68" s="208">
        <v>45112</v>
      </c>
    </row>
    <row r="69" spans="1:27" hidden="1" x14ac:dyDescent="0.2">
      <c r="A69" s="17" t="str">
        <f ca="1">IF($A$63&lt;=AA69,"Previsto","Realizado")</f>
        <v>Realizado</v>
      </c>
      <c r="B69" s="17">
        <v>44901</v>
      </c>
      <c r="C69" s="19">
        <f t="shared" si="23"/>
        <v>82021.700000000012</v>
      </c>
      <c r="D69" s="35">
        <f>_xlfn.XLOOKUP($B:$B,'Compilado 2023'!$B:$B,'Compilado 2023'!D:D)</f>
        <v>81996.63</v>
      </c>
      <c r="E69" s="35">
        <f>_xlfn.XLOOKUP($B:$B,'Compilado 2023'!$B:$B,'Compilado 2023'!E:E)</f>
        <v>25.07</v>
      </c>
      <c r="F69" s="18">
        <f>_xlfn.XLOOKUP($B:$B,'Compilado 2023'!$B:$B,'Compilado 2023'!F:F)</f>
        <v>267</v>
      </c>
      <c r="G69" s="18">
        <f>_xlfn.XLOOKUP($B:$B,'Compilado 2023'!$B:$B,'Compilado 2023'!G:G)</f>
        <v>355</v>
      </c>
      <c r="H69" s="35">
        <f t="shared" si="24"/>
        <v>307.19737827715358</v>
      </c>
      <c r="I69" s="19">
        <f t="shared" si="25"/>
        <v>762.42290322580641</v>
      </c>
      <c r="J69" s="122">
        <f t="shared" si="26"/>
        <v>107.58032012544052</v>
      </c>
      <c r="K69" s="18">
        <f>_xlfn.XLOOKUP($B:$B,'Compilado 2023'!$B:$B,'Compilado 2023'!K:K)</f>
        <v>6022</v>
      </c>
      <c r="L69" s="54">
        <f t="shared" si="27"/>
        <v>4.4337429425440056E-2</v>
      </c>
      <c r="M69" s="149"/>
      <c r="N69" s="106">
        <f>_xlfn.XLOOKUP($B:$B,'Compilado 2023'!$B:$B,'Compilado 2023'!N:N)</f>
        <v>497.52</v>
      </c>
      <c r="O69" s="106">
        <f>_xlfn.XLOOKUP($B:$B,'Compilado 2023'!$B:$B,'Compilado 2023'!O:O)</f>
        <v>213.29</v>
      </c>
      <c r="P69" s="106">
        <f>_xlfn.XLOOKUP($B:$B,'Compilado 2023'!$B:$B,'Compilado 2023'!P:P)</f>
        <v>0</v>
      </c>
      <c r="Q69" s="106">
        <f>_xlfn.XLOOKUP($B:$B,'Compilado 2023'!$B:$B,'Compilado 2023'!Q:Q)</f>
        <v>51.612903225806448</v>
      </c>
      <c r="R69" s="106">
        <f>_xlfn.XLOOKUP($B:$B,'Compilado 2023'!$B:$B,'Compilado 2023'!R:R)</f>
        <v>0</v>
      </c>
      <c r="S69" s="106">
        <f>_xlfn.XLOOKUP($B:$B,'Compilado 2023'!$B:$B,'Compilado 2023'!T:T)</f>
        <v>0</v>
      </c>
      <c r="T69" s="106">
        <f>_xlfn.XLOOKUP($B:$B,'Compilado 2023'!$B:$B,'Compilado 2023'!U:U)</f>
        <v>0</v>
      </c>
      <c r="U69" s="106">
        <f>_xlfn.XLOOKUP($B:$B,'Compilado 2023'!$B:$B,'Compilado 2023'!V:V)</f>
        <v>0</v>
      </c>
      <c r="V69" s="57"/>
      <c r="W69" s="106">
        <f>_xlfn.XLOOKUP($B:$B,'Compilado 2023'!$B:$B,'Compilado 2023'!X:X)</f>
        <v>0</v>
      </c>
      <c r="X69" s="106">
        <f>_xlfn.XLOOKUP($B:$B,'Compilado 2023'!$B:$B,'Compilado 2023'!Y:Y)</f>
        <v>0</v>
      </c>
      <c r="Y69" s="106">
        <f>_xlfn.XLOOKUP($B:$B,'Compilado 2023'!$B:$B,'Compilado 2023'!Z:Z)</f>
        <v>0</v>
      </c>
      <c r="AA69" s="208">
        <v>45113</v>
      </c>
    </row>
    <row r="70" spans="1:27" hidden="1" x14ac:dyDescent="0.2">
      <c r="A70" s="17" t="str">
        <f t="shared" ref="A70:A94" ca="1" si="28">IF($A$63&lt;=AA70,"Previsto","Realizado")</f>
        <v>Realizado</v>
      </c>
      <c r="B70" s="17">
        <v>44902</v>
      </c>
      <c r="C70" s="19">
        <f t="shared" si="23"/>
        <v>112728.83</v>
      </c>
      <c r="D70" s="35">
        <f>_xlfn.XLOOKUP($B:$B,'Compilado 2023'!$B:$B,'Compilado 2023'!D:D)</f>
        <v>112706.6</v>
      </c>
      <c r="E70" s="35">
        <f>_xlfn.XLOOKUP($B:$B,'Compilado 2023'!$B:$B,'Compilado 2023'!E:E)</f>
        <v>22.23</v>
      </c>
      <c r="F70" s="18">
        <f>_xlfn.XLOOKUP($B:$B,'Compilado 2023'!$B:$B,'Compilado 2023'!F:F)</f>
        <v>315</v>
      </c>
      <c r="G70" s="18">
        <f>_xlfn.XLOOKUP($B:$B,'Compilado 2023'!$B:$B,'Compilado 2023'!G:G)</f>
        <v>429</v>
      </c>
      <c r="H70" s="35">
        <f t="shared" si="24"/>
        <v>357.86930158730161</v>
      </c>
      <c r="I70" s="19">
        <f t="shared" si="25"/>
        <v>992.30290322580652</v>
      </c>
      <c r="J70" s="122">
        <f t="shared" si="26"/>
        <v>113.60324517195093</v>
      </c>
      <c r="K70" s="18">
        <f>_xlfn.XLOOKUP($B:$B,'Compilado 2023'!$B:$B,'Compilado 2023'!K:K)</f>
        <v>6671</v>
      </c>
      <c r="L70" s="54">
        <f t="shared" si="27"/>
        <v>4.7219307450157399E-2</v>
      </c>
      <c r="M70" s="149"/>
      <c r="N70" s="106">
        <f>_xlfn.XLOOKUP($B:$B,'Compilado 2023'!$B:$B,'Compilado 2023'!N:N)</f>
        <v>716.96</v>
      </c>
      <c r="O70" s="106">
        <f>_xlfn.XLOOKUP($B:$B,'Compilado 2023'!$B:$B,'Compilado 2023'!O:O)</f>
        <v>223.73</v>
      </c>
      <c r="P70" s="106">
        <f>_xlfn.XLOOKUP($B:$B,'Compilado 2023'!$B:$B,'Compilado 2023'!P:P)</f>
        <v>0</v>
      </c>
      <c r="Q70" s="106">
        <f>_xlfn.XLOOKUP($B:$B,'Compilado 2023'!$B:$B,'Compilado 2023'!Q:Q)</f>
        <v>51.612903225806448</v>
      </c>
      <c r="R70" s="106">
        <f>_xlfn.XLOOKUP($B:$B,'Compilado 2023'!$B:$B,'Compilado 2023'!R:R)</f>
        <v>0</v>
      </c>
      <c r="S70" s="106">
        <f>_xlfn.XLOOKUP($B:$B,'Compilado 2023'!$B:$B,'Compilado 2023'!T:T)</f>
        <v>0</v>
      </c>
      <c r="T70" s="106">
        <f>_xlfn.XLOOKUP($B:$B,'Compilado 2023'!$B:$B,'Compilado 2023'!U:U)</f>
        <v>0</v>
      </c>
      <c r="U70" s="106">
        <f>_xlfn.XLOOKUP($B:$B,'Compilado 2023'!$B:$B,'Compilado 2023'!V:V)</f>
        <v>0</v>
      </c>
      <c r="V70" s="57"/>
      <c r="W70" s="106">
        <f>_xlfn.XLOOKUP($B:$B,'Compilado 2023'!$B:$B,'Compilado 2023'!X:X)</f>
        <v>0</v>
      </c>
      <c r="X70" s="106">
        <f>_xlfn.XLOOKUP($B:$B,'Compilado 2023'!$B:$B,'Compilado 2023'!Y:Y)</f>
        <v>0</v>
      </c>
      <c r="Y70" s="106">
        <f>_xlfn.XLOOKUP($B:$B,'Compilado 2023'!$B:$B,'Compilado 2023'!Z:Z)</f>
        <v>0</v>
      </c>
      <c r="AA70" s="208">
        <v>45114</v>
      </c>
    </row>
    <row r="71" spans="1:27" hidden="1" x14ac:dyDescent="0.2">
      <c r="A71" s="17" t="str">
        <f t="shared" ca="1" si="28"/>
        <v>Realizado</v>
      </c>
      <c r="B71" s="17">
        <v>44903</v>
      </c>
      <c r="C71" s="19">
        <f t="shared" si="23"/>
        <v>97402.85</v>
      </c>
      <c r="D71" s="35">
        <f>_xlfn.XLOOKUP($B:$B,'Compilado 2023'!$B:$B,'Compilado 2023'!D:D)</f>
        <v>97402.85</v>
      </c>
      <c r="E71" s="35">
        <f>_xlfn.XLOOKUP($B:$B,'Compilado 2023'!$B:$B,'Compilado 2023'!E:E)</f>
        <v>0</v>
      </c>
      <c r="F71" s="18">
        <f>_xlfn.XLOOKUP($B:$B,'Compilado 2023'!$B:$B,'Compilado 2023'!F:F)</f>
        <v>293</v>
      </c>
      <c r="G71" s="18">
        <f>_xlfn.XLOOKUP($B:$B,'Compilado 2023'!$B:$B,'Compilado 2023'!G:G)</f>
        <v>387</v>
      </c>
      <c r="H71" s="35">
        <f t="shared" si="24"/>
        <v>332.43293515358363</v>
      </c>
      <c r="I71" s="19">
        <f t="shared" si="25"/>
        <v>1220.8129032258064</v>
      </c>
      <c r="J71" s="122">
        <f t="shared" si="26"/>
        <v>79.78523960766492</v>
      </c>
      <c r="K71" s="18">
        <f>_xlfn.XLOOKUP($B:$B,'Compilado 2023'!$B:$B,'Compilado 2023'!K:K)</f>
        <v>6224</v>
      </c>
      <c r="L71" s="54">
        <f t="shared" si="27"/>
        <v>4.7075835475578406E-2</v>
      </c>
      <c r="M71" s="149"/>
      <c r="N71" s="106">
        <f>_xlfn.XLOOKUP($B:$B,'Compilado 2023'!$B:$B,'Compilado 2023'!N:N)</f>
        <v>921.41</v>
      </c>
      <c r="O71" s="106">
        <f>_xlfn.XLOOKUP($B:$B,'Compilado 2023'!$B:$B,'Compilado 2023'!O:O)</f>
        <v>247.79</v>
      </c>
      <c r="P71" s="106">
        <f>_xlfn.XLOOKUP($B:$B,'Compilado 2023'!$B:$B,'Compilado 2023'!P:P)</f>
        <v>0</v>
      </c>
      <c r="Q71" s="106">
        <f>_xlfn.XLOOKUP($B:$B,'Compilado 2023'!$B:$B,'Compilado 2023'!Q:Q)</f>
        <v>51.612903225806448</v>
      </c>
      <c r="R71" s="106">
        <f>_xlfn.XLOOKUP($B:$B,'Compilado 2023'!$B:$B,'Compilado 2023'!R:R)</f>
        <v>0</v>
      </c>
      <c r="S71" s="106">
        <f>_xlfn.XLOOKUP($B:$B,'Compilado 2023'!$B:$B,'Compilado 2023'!T:T)</f>
        <v>0</v>
      </c>
      <c r="T71" s="106">
        <f>_xlfn.XLOOKUP($B:$B,'Compilado 2023'!$B:$B,'Compilado 2023'!U:U)</f>
        <v>0</v>
      </c>
      <c r="U71" s="106">
        <f>_xlfn.XLOOKUP($B:$B,'Compilado 2023'!$B:$B,'Compilado 2023'!V:V)</f>
        <v>0</v>
      </c>
      <c r="V71" s="57"/>
      <c r="W71" s="106">
        <f>_xlfn.XLOOKUP($B:$B,'Compilado 2023'!$B:$B,'Compilado 2023'!X:X)</f>
        <v>0</v>
      </c>
      <c r="X71" s="106">
        <f>_xlfn.XLOOKUP($B:$B,'Compilado 2023'!$B:$B,'Compilado 2023'!Y:Y)</f>
        <v>0</v>
      </c>
      <c r="Y71" s="106">
        <f>_xlfn.XLOOKUP($B:$B,'Compilado 2023'!$B:$B,'Compilado 2023'!Z:Z)</f>
        <v>0</v>
      </c>
      <c r="AA71" s="208">
        <v>45115</v>
      </c>
    </row>
    <row r="72" spans="1:27" hidden="1" x14ac:dyDescent="0.2">
      <c r="A72" s="17" t="str">
        <f t="shared" ca="1" si="28"/>
        <v>Realizado</v>
      </c>
      <c r="B72" s="17">
        <v>44904</v>
      </c>
      <c r="C72" s="19">
        <f t="shared" si="23"/>
        <v>72230.45</v>
      </c>
      <c r="D72" s="35">
        <f>_xlfn.XLOOKUP($B:$B,'Compilado 2023'!$B:$B,'Compilado 2023'!D:D)</f>
        <v>72230.45</v>
      </c>
      <c r="E72" s="35">
        <f>_xlfn.XLOOKUP($B:$B,'Compilado 2023'!$B:$B,'Compilado 2023'!E:E)</f>
        <v>0</v>
      </c>
      <c r="F72" s="18">
        <f>_xlfn.XLOOKUP($B:$B,'Compilado 2023'!$B:$B,'Compilado 2023'!F:F)</f>
        <v>222</v>
      </c>
      <c r="G72" s="18">
        <f>_xlfn.XLOOKUP($B:$B,'Compilado 2023'!$B:$B,'Compilado 2023'!G:G)</f>
        <v>278</v>
      </c>
      <c r="H72" s="35">
        <f t="shared" si="24"/>
        <v>325.3623873873874</v>
      </c>
      <c r="I72" s="19">
        <f t="shared" si="25"/>
        <v>873.40290322580643</v>
      </c>
      <c r="J72" s="122">
        <f t="shared" si="26"/>
        <v>82.700034237607511</v>
      </c>
      <c r="K72" s="18">
        <f>_xlfn.XLOOKUP($B:$B,'Compilado 2023'!$B:$B,'Compilado 2023'!K:K)</f>
        <v>4217</v>
      </c>
      <c r="L72" s="54">
        <f t="shared" si="27"/>
        <v>5.2644059758121885E-2</v>
      </c>
      <c r="M72" s="149"/>
      <c r="N72" s="106">
        <f>_xlfn.XLOOKUP($B:$B,'Compilado 2023'!$B:$B,'Compilado 2023'!N:N)</f>
        <v>557.97</v>
      </c>
      <c r="O72" s="106">
        <f>_xlfn.XLOOKUP($B:$B,'Compilado 2023'!$B:$B,'Compilado 2023'!O:O)</f>
        <v>263.82</v>
      </c>
      <c r="P72" s="106">
        <f>_xlfn.XLOOKUP($B:$B,'Compilado 2023'!$B:$B,'Compilado 2023'!P:P)</f>
        <v>0</v>
      </c>
      <c r="Q72" s="106">
        <f>_xlfn.XLOOKUP($B:$B,'Compilado 2023'!$B:$B,'Compilado 2023'!Q:Q)</f>
        <v>51.612903225806448</v>
      </c>
      <c r="R72" s="106">
        <f>_xlfn.XLOOKUP($B:$B,'Compilado 2023'!$B:$B,'Compilado 2023'!R:R)</f>
        <v>0</v>
      </c>
      <c r="S72" s="106">
        <f>_xlfn.XLOOKUP($B:$B,'Compilado 2023'!$B:$B,'Compilado 2023'!T:T)</f>
        <v>0</v>
      </c>
      <c r="T72" s="106">
        <f>_xlfn.XLOOKUP($B:$B,'Compilado 2023'!$B:$B,'Compilado 2023'!U:U)</f>
        <v>0</v>
      </c>
      <c r="U72" s="106">
        <f>_xlfn.XLOOKUP($B:$B,'Compilado 2023'!$B:$B,'Compilado 2023'!V:V)</f>
        <v>0</v>
      </c>
      <c r="V72" s="57"/>
      <c r="W72" s="106">
        <f>_xlfn.XLOOKUP($B:$B,'Compilado 2023'!$B:$B,'Compilado 2023'!X:X)</f>
        <v>0</v>
      </c>
      <c r="X72" s="106">
        <f>_xlfn.XLOOKUP($B:$B,'Compilado 2023'!$B:$B,'Compilado 2023'!Y:Y)</f>
        <v>0</v>
      </c>
      <c r="Y72" s="106">
        <f>_xlfn.XLOOKUP($B:$B,'Compilado 2023'!$B:$B,'Compilado 2023'!Z:Z)</f>
        <v>0</v>
      </c>
      <c r="AA72" s="208">
        <v>45116</v>
      </c>
    </row>
    <row r="73" spans="1:27" hidden="1" x14ac:dyDescent="0.2">
      <c r="A73" s="17" t="str">
        <f t="shared" ca="1" si="28"/>
        <v>Realizado</v>
      </c>
      <c r="B73" s="17">
        <v>44905</v>
      </c>
      <c r="C73" s="19">
        <f t="shared" si="23"/>
        <v>55323.9</v>
      </c>
      <c r="D73" s="35">
        <f>_xlfn.XLOOKUP($B:$B,'Compilado 2023'!$B:$B,'Compilado 2023'!D:D)</f>
        <v>55323.9</v>
      </c>
      <c r="E73" s="35">
        <f>_xlfn.XLOOKUP($B:$B,'Compilado 2023'!$B:$B,'Compilado 2023'!E:E)</f>
        <v>0</v>
      </c>
      <c r="F73" s="18">
        <f>_xlfn.XLOOKUP($B:$B,'Compilado 2023'!$B:$B,'Compilado 2023'!F:F)</f>
        <v>179</v>
      </c>
      <c r="G73" s="18">
        <f>_xlfn.XLOOKUP($B:$B,'Compilado 2023'!$B:$B,'Compilado 2023'!G:G)</f>
        <v>209</v>
      </c>
      <c r="H73" s="35">
        <f t="shared" si="24"/>
        <v>309.07206703910617</v>
      </c>
      <c r="I73" s="19">
        <f t="shared" si="25"/>
        <v>914.10290322580647</v>
      </c>
      <c r="J73" s="122">
        <f t="shared" si="26"/>
        <v>60.522617097884442</v>
      </c>
      <c r="K73" s="18">
        <f>_xlfn.XLOOKUP($B:$B,'Compilado 2023'!$B:$B,'Compilado 2023'!K:K)</f>
        <v>4623</v>
      </c>
      <c r="L73" s="54">
        <f t="shared" si="27"/>
        <v>3.8719446247025738E-2</v>
      </c>
      <c r="M73" s="149"/>
      <c r="N73" s="106">
        <f>_xlfn.XLOOKUP($B:$B,'Compilado 2023'!$B:$B,'Compilado 2023'!N:N)</f>
        <v>568.98</v>
      </c>
      <c r="O73" s="106">
        <f>_xlfn.XLOOKUP($B:$B,'Compilado 2023'!$B:$B,'Compilado 2023'!O:O)</f>
        <v>293.51</v>
      </c>
      <c r="P73" s="106">
        <f>_xlfn.XLOOKUP($B:$B,'Compilado 2023'!$B:$B,'Compilado 2023'!P:P)</f>
        <v>0</v>
      </c>
      <c r="Q73" s="106">
        <f>_xlfn.XLOOKUP($B:$B,'Compilado 2023'!$B:$B,'Compilado 2023'!Q:Q)</f>
        <v>51.612903225806448</v>
      </c>
      <c r="R73" s="106">
        <f>_xlfn.XLOOKUP($B:$B,'Compilado 2023'!$B:$B,'Compilado 2023'!R:R)</f>
        <v>0</v>
      </c>
      <c r="S73" s="106">
        <f>_xlfn.XLOOKUP($B:$B,'Compilado 2023'!$B:$B,'Compilado 2023'!T:T)</f>
        <v>0</v>
      </c>
      <c r="T73" s="106">
        <f>_xlfn.XLOOKUP($B:$B,'Compilado 2023'!$B:$B,'Compilado 2023'!U:U)</f>
        <v>0</v>
      </c>
      <c r="U73" s="106">
        <f>_xlfn.XLOOKUP($B:$B,'Compilado 2023'!$B:$B,'Compilado 2023'!V:V)</f>
        <v>0</v>
      </c>
      <c r="V73" s="57"/>
      <c r="W73" s="106">
        <f>_xlfn.XLOOKUP($B:$B,'Compilado 2023'!$B:$B,'Compilado 2023'!X:X)</f>
        <v>0</v>
      </c>
      <c r="X73" s="106">
        <f>_xlfn.XLOOKUP($B:$B,'Compilado 2023'!$B:$B,'Compilado 2023'!Y:Y)</f>
        <v>0</v>
      </c>
      <c r="Y73" s="106">
        <f>_xlfn.XLOOKUP($B:$B,'Compilado 2023'!$B:$B,'Compilado 2023'!Z:Z)</f>
        <v>0</v>
      </c>
      <c r="AA73" s="208">
        <v>45117</v>
      </c>
    </row>
    <row r="74" spans="1:27" hidden="1" x14ac:dyDescent="0.2">
      <c r="A74" s="17" t="str">
        <f t="shared" ca="1" si="28"/>
        <v>Realizado</v>
      </c>
      <c r="B74" s="17">
        <v>44906</v>
      </c>
      <c r="C74" s="19">
        <f t="shared" si="23"/>
        <v>38946.699999999997</v>
      </c>
      <c r="D74" s="35">
        <f>_xlfn.XLOOKUP($B:$B,'Compilado 2023'!$B:$B,'Compilado 2023'!D:D)</f>
        <v>38946.699999999997</v>
      </c>
      <c r="E74" s="35">
        <f>_xlfn.XLOOKUP($B:$B,'Compilado 2023'!$B:$B,'Compilado 2023'!E:E)</f>
        <v>0</v>
      </c>
      <c r="F74" s="18">
        <f>_xlfn.XLOOKUP($B:$B,'Compilado 2023'!$B:$B,'Compilado 2023'!F:F)</f>
        <v>127</v>
      </c>
      <c r="G74" s="18">
        <f>_xlfn.XLOOKUP($B:$B,'Compilado 2023'!$B:$B,'Compilado 2023'!G:G)</f>
        <v>161</v>
      </c>
      <c r="H74" s="35">
        <f t="shared" si="24"/>
        <v>306.66692913385822</v>
      </c>
      <c r="I74" s="19">
        <f t="shared" si="25"/>
        <v>936.88290322580644</v>
      </c>
      <c r="J74" s="122">
        <f t="shared" si="26"/>
        <v>41.570509896062333</v>
      </c>
      <c r="K74" s="18">
        <f>_xlfn.XLOOKUP($B:$B,'Compilado 2023'!$B:$B,'Compilado 2023'!K:K)</f>
        <v>3929</v>
      </c>
      <c r="L74" s="54">
        <f t="shared" si="27"/>
        <v>3.2323746500381778E-2</v>
      </c>
      <c r="M74" s="149"/>
      <c r="N74" s="106">
        <f>_xlfn.XLOOKUP($B:$B,'Compilado 2023'!$B:$B,'Compilado 2023'!N:N)</f>
        <v>565.07000000000005</v>
      </c>
      <c r="O74" s="106">
        <f>_xlfn.XLOOKUP($B:$B,'Compilado 2023'!$B:$B,'Compilado 2023'!O:O)</f>
        <v>320.2</v>
      </c>
      <c r="P74" s="106">
        <f>_xlfn.XLOOKUP($B:$B,'Compilado 2023'!$B:$B,'Compilado 2023'!P:P)</f>
        <v>0</v>
      </c>
      <c r="Q74" s="106">
        <f>_xlfn.XLOOKUP($B:$B,'Compilado 2023'!$B:$B,'Compilado 2023'!Q:Q)</f>
        <v>51.612903225806448</v>
      </c>
      <c r="R74" s="106">
        <f>_xlfn.XLOOKUP($B:$B,'Compilado 2023'!$B:$B,'Compilado 2023'!R:R)</f>
        <v>0</v>
      </c>
      <c r="S74" s="106">
        <f>_xlfn.XLOOKUP($B:$B,'Compilado 2023'!$B:$B,'Compilado 2023'!T:T)</f>
        <v>0</v>
      </c>
      <c r="T74" s="106">
        <f>_xlfn.XLOOKUP($B:$B,'Compilado 2023'!$B:$B,'Compilado 2023'!U:U)</f>
        <v>0</v>
      </c>
      <c r="U74" s="106">
        <f>_xlfn.XLOOKUP($B:$B,'Compilado 2023'!$B:$B,'Compilado 2023'!V:V)</f>
        <v>0</v>
      </c>
      <c r="V74" s="57"/>
      <c r="W74" s="106">
        <f>_xlfn.XLOOKUP($B:$B,'Compilado 2023'!$B:$B,'Compilado 2023'!X:X)</f>
        <v>0</v>
      </c>
      <c r="X74" s="106">
        <f>_xlfn.XLOOKUP($B:$B,'Compilado 2023'!$B:$B,'Compilado 2023'!Y:Y)</f>
        <v>0</v>
      </c>
      <c r="Y74" s="106">
        <f>_xlfn.XLOOKUP($B:$B,'Compilado 2023'!$B:$B,'Compilado 2023'!Z:Z)</f>
        <v>0</v>
      </c>
      <c r="AA74" s="208">
        <v>45118</v>
      </c>
    </row>
    <row r="75" spans="1:27" hidden="1" x14ac:dyDescent="0.2">
      <c r="A75" s="17" t="str">
        <f t="shared" ca="1" si="28"/>
        <v>Realizado</v>
      </c>
      <c r="B75" s="17">
        <v>44907</v>
      </c>
      <c r="C75" s="19">
        <f t="shared" si="23"/>
        <v>122650.9</v>
      </c>
      <c r="D75" s="35">
        <f>_xlfn.XLOOKUP($B:$B,'Compilado 2023'!$B:$B,'Compilado 2023'!D:D)</f>
        <v>122650.9</v>
      </c>
      <c r="E75" s="35">
        <f>_xlfn.XLOOKUP($B:$B,'Compilado 2023'!$B:$B,'Compilado 2023'!E:E)</f>
        <v>0</v>
      </c>
      <c r="F75" s="18">
        <f>_xlfn.XLOOKUP($B:$B,'Compilado 2023'!$B:$B,'Compilado 2023'!F:F)</f>
        <v>374</v>
      </c>
      <c r="G75" s="18">
        <f>_xlfn.XLOOKUP($B:$B,'Compilado 2023'!$B:$B,'Compilado 2023'!G:G)</f>
        <v>599</v>
      </c>
      <c r="H75" s="35">
        <f t="shared" si="24"/>
        <v>327.94358288770053</v>
      </c>
      <c r="I75" s="19">
        <f t="shared" si="25"/>
        <v>1356.8529032258064</v>
      </c>
      <c r="J75" s="122">
        <f t="shared" si="26"/>
        <v>90.393659996899842</v>
      </c>
      <c r="K75" s="18">
        <f>_xlfn.XLOOKUP($B:$B,'Compilado 2023'!$B:$B,'Compilado 2023'!K:K)</f>
        <v>6766</v>
      </c>
      <c r="L75" s="54">
        <f t="shared" si="27"/>
        <v>5.5276381909547742E-2</v>
      </c>
      <c r="M75" s="149"/>
      <c r="N75" s="106">
        <f>_xlfn.XLOOKUP($B:$B,'Compilado 2023'!$B:$B,'Compilado 2023'!N:N)</f>
        <v>994.9</v>
      </c>
      <c r="O75" s="106">
        <f>_xlfn.XLOOKUP($B:$B,'Compilado 2023'!$B:$B,'Compilado 2023'!O:O)</f>
        <v>310.33999999999997</v>
      </c>
      <c r="P75" s="106">
        <f>_xlfn.XLOOKUP($B:$B,'Compilado 2023'!$B:$B,'Compilado 2023'!P:P)</f>
        <v>0</v>
      </c>
      <c r="Q75" s="106">
        <f>_xlfn.XLOOKUP($B:$B,'Compilado 2023'!$B:$B,'Compilado 2023'!Q:Q)</f>
        <v>51.612903225806448</v>
      </c>
      <c r="R75" s="106">
        <f>_xlfn.XLOOKUP($B:$B,'Compilado 2023'!$B:$B,'Compilado 2023'!R:R)</f>
        <v>0</v>
      </c>
      <c r="S75" s="106">
        <f>_xlfn.XLOOKUP($B:$B,'Compilado 2023'!$B:$B,'Compilado 2023'!T:T)</f>
        <v>0</v>
      </c>
      <c r="T75" s="106">
        <f>_xlfn.XLOOKUP($B:$B,'Compilado 2023'!$B:$B,'Compilado 2023'!U:U)</f>
        <v>0</v>
      </c>
      <c r="U75" s="106">
        <f>_xlfn.XLOOKUP($B:$B,'Compilado 2023'!$B:$B,'Compilado 2023'!V:V)</f>
        <v>0</v>
      </c>
      <c r="V75" s="57"/>
      <c r="W75" s="106">
        <f>_xlfn.XLOOKUP($B:$B,'Compilado 2023'!$B:$B,'Compilado 2023'!X:X)</f>
        <v>0</v>
      </c>
      <c r="X75" s="106">
        <f>_xlfn.XLOOKUP($B:$B,'Compilado 2023'!$B:$B,'Compilado 2023'!Y:Y)</f>
        <v>0</v>
      </c>
      <c r="Y75" s="106">
        <f>_xlfn.XLOOKUP($B:$B,'Compilado 2023'!$B:$B,'Compilado 2023'!Z:Z)</f>
        <v>0</v>
      </c>
      <c r="AA75" s="208">
        <v>45119</v>
      </c>
    </row>
    <row r="76" spans="1:27" hidden="1" x14ac:dyDescent="0.2">
      <c r="A76" s="17" t="str">
        <f t="shared" ca="1" si="28"/>
        <v>Realizado</v>
      </c>
      <c r="B76" s="17">
        <v>44908</v>
      </c>
      <c r="C76" s="19">
        <f t="shared" si="23"/>
        <v>151315.48000000001</v>
      </c>
      <c r="D76" s="35">
        <f>_xlfn.XLOOKUP($B:$B,'Compilado 2023'!$B:$B,'Compilado 2023'!D:D)</f>
        <v>151315.48000000001</v>
      </c>
      <c r="E76" s="35">
        <f>_xlfn.XLOOKUP($B:$B,'Compilado 2023'!$B:$B,'Compilado 2023'!E:E)</f>
        <v>0</v>
      </c>
      <c r="F76" s="18">
        <f>_xlfn.XLOOKUP($B:$B,'Compilado 2023'!$B:$B,'Compilado 2023'!F:F)</f>
        <v>417</v>
      </c>
      <c r="G76" s="18">
        <f>_xlfn.XLOOKUP($B:$B,'Compilado 2023'!$B:$B,'Compilado 2023'!G:G)</f>
        <v>622</v>
      </c>
      <c r="H76" s="35">
        <f t="shared" si="24"/>
        <v>362.86685851318947</v>
      </c>
      <c r="I76" s="19">
        <f t="shared" si="25"/>
        <v>1289.3529032258064</v>
      </c>
      <c r="J76" s="122">
        <f t="shared" si="26"/>
        <v>117.35769130501573</v>
      </c>
      <c r="K76" s="18">
        <f>_xlfn.XLOOKUP($B:$B,'Compilado 2023'!$B:$B,'Compilado 2023'!K:K)</f>
        <v>6563</v>
      </c>
      <c r="L76" s="54">
        <f t="shared" si="27"/>
        <v>6.3538016151150387E-2</v>
      </c>
      <c r="M76" s="149"/>
      <c r="N76" s="106">
        <f>_xlfn.XLOOKUP($B:$B,'Compilado 2023'!$B:$B,'Compilado 2023'!N:N)</f>
        <v>938.02</v>
      </c>
      <c r="O76" s="106">
        <f>_xlfn.XLOOKUP($B:$B,'Compilado 2023'!$B:$B,'Compilado 2023'!O:O)</f>
        <v>299.72000000000003</v>
      </c>
      <c r="P76" s="106">
        <f>_xlfn.XLOOKUP($B:$B,'Compilado 2023'!$B:$B,'Compilado 2023'!P:P)</f>
        <v>0</v>
      </c>
      <c r="Q76" s="106">
        <f>_xlfn.XLOOKUP($B:$B,'Compilado 2023'!$B:$B,'Compilado 2023'!Q:Q)</f>
        <v>51.612903225806448</v>
      </c>
      <c r="R76" s="106">
        <f>_xlfn.XLOOKUP($B:$B,'Compilado 2023'!$B:$B,'Compilado 2023'!R:R)</f>
        <v>0</v>
      </c>
      <c r="S76" s="106">
        <f>_xlfn.XLOOKUP($B:$B,'Compilado 2023'!$B:$B,'Compilado 2023'!T:T)</f>
        <v>0</v>
      </c>
      <c r="T76" s="106">
        <f>_xlfn.XLOOKUP($B:$B,'Compilado 2023'!$B:$B,'Compilado 2023'!U:U)</f>
        <v>0</v>
      </c>
      <c r="U76" s="106">
        <f>_xlfn.XLOOKUP($B:$B,'Compilado 2023'!$B:$B,'Compilado 2023'!V:V)</f>
        <v>0</v>
      </c>
      <c r="V76" s="57"/>
      <c r="W76" s="106">
        <f>_xlfn.XLOOKUP($B:$B,'Compilado 2023'!$B:$B,'Compilado 2023'!X:X)</f>
        <v>0</v>
      </c>
      <c r="X76" s="106">
        <f>_xlfn.XLOOKUP($B:$B,'Compilado 2023'!$B:$B,'Compilado 2023'!Y:Y)</f>
        <v>0</v>
      </c>
      <c r="Y76" s="106">
        <f>_xlfn.XLOOKUP($B:$B,'Compilado 2023'!$B:$B,'Compilado 2023'!Z:Z)</f>
        <v>0</v>
      </c>
      <c r="AA76" s="208">
        <v>45120</v>
      </c>
    </row>
    <row r="77" spans="1:27" hidden="1" x14ac:dyDescent="0.2">
      <c r="A77" s="17" t="str">
        <f t="shared" ca="1" si="28"/>
        <v>Realizado</v>
      </c>
      <c r="B77" s="17">
        <v>44909</v>
      </c>
      <c r="C77" s="19">
        <f t="shared" si="23"/>
        <v>139784.78999999998</v>
      </c>
      <c r="D77" s="35">
        <f>_xlfn.XLOOKUP($B:$B,'Compilado 2023'!$B:$B,'Compilado 2023'!D:D)</f>
        <v>139667.01999999999</v>
      </c>
      <c r="E77" s="35">
        <f>_xlfn.XLOOKUP($B:$B,'Compilado 2023'!$B:$B,'Compilado 2023'!E:E)</f>
        <v>117.77</v>
      </c>
      <c r="F77" s="18">
        <f>_xlfn.XLOOKUP($B:$B,'Compilado 2023'!$B:$B,'Compilado 2023'!F:F)</f>
        <v>416</v>
      </c>
      <c r="G77" s="18">
        <f>_xlfn.XLOOKUP($B:$B,'Compilado 2023'!$B:$B,'Compilado 2023'!G:G)</f>
        <v>793</v>
      </c>
      <c r="H77" s="35">
        <f t="shared" si="24"/>
        <v>336.02112980769226</v>
      </c>
      <c r="I77" s="19">
        <f t="shared" si="25"/>
        <v>1242.2329032258062</v>
      </c>
      <c r="J77" s="122">
        <f t="shared" si="26"/>
        <v>112.52703871955859</v>
      </c>
      <c r="K77" s="18">
        <f>_xlfn.XLOOKUP($B:$B,'Compilado 2023'!$B:$B,'Compilado 2023'!K:K)</f>
        <v>6787</v>
      </c>
      <c r="L77" s="54">
        <f t="shared" si="27"/>
        <v>6.1293649624281715E-2</v>
      </c>
      <c r="M77" s="149"/>
      <c r="N77" s="106">
        <f>_xlfn.XLOOKUP($B:$B,'Compilado 2023'!$B:$B,'Compilado 2023'!N:N)</f>
        <v>840.34</v>
      </c>
      <c r="O77" s="106">
        <f>_xlfn.XLOOKUP($B:$B,'Compilado 2023'!$B:$B,'Compilado 2023'!O:O)</f>
        <v>350.28</v>
      </c>
      <c r="P77" s="106">
        <f>_xlfn.XLOOKUP($B:$B,'Compilado 2023'!$B:$B,'Compilado 2023'!P:P)</f>
        <v>0</v>
      </c>
      <c r="Q77" s="106">
        <f>_xlfn.XLOOKUP($B:$B,'Compilado 2023'!$B:$B,'Compilado 2023'!Q:Q)</f>
        <v>51.612903225806448</v>
      </c>
      <c r="R77" s="106">
        <f>_xlfn.XLOOKUP($B:$B,'Compilado 2023'!$B:$B,'Compilado 2023'!R:R)</f>
        <v>0</v>
      </c>
      <c r="S77" s="106">
        <f>_xlfn.XLOOKUP($B:$B,'Compilado 2023'!$B:$B,'Compilado 2023'!T:T)</f>
        <v>0</v>
      </c>
      <c r="T77" s="106">
        <f>_xlfn.XLOOKUP($B:$B,'Compilado 2023'!$B:$B,'Compilado 2023'!U:U)</f>
        <v>0</v>
      </c>
      <c r="U77" s="106">
        <f>_xlfn.XLOOKUP($B:$B,'Compilado 2023'!$B:$B,'Compilado 2023'!V:V)</f>
        <v>0</v>
      </c>
      <c r="V77" s="57"/>
      <c r="W77" s="106">
        <f>_xlfn.XLOOKUP($B:$B,'Compilado 2023'!$B:$B,'Compilado 2023'!X:X)</f>
        <v>0</v>
      </c>
      <c r="X77" s="106">
        <f>_xlfn.XLOOKUP($B:$B,'Compilado 2023'!$B:$B,'Compilado 2023'!Y:Y)</f>
        <v>0</v>
      </c>
      <c r="Y77" s="106">
        <f>_xlfn.XLOOKUP($B:$B,'Compilado 2023'!$B:$B,'Compilado 2023'!Z:Z)</f>
        <v>0</v>
      </c>
      <c r="AA77" s="208">
        <v>45121</v>
      </c>
    </row>
    <row r="78" spans="1:27" hidden="1" x14ac:dyDescent="0.2">
      <c r="A78" s="17" t="str">
        <f t="shared" ca="1" si="28"/>
        <v>Realizado</v>
      </c>
      <c r="B78" s="17">
        <v>44910</v>
      </c>
      <c r="C78" s="19">
        <f t="shared" si="23"/>
        <v>140222.94999999998</v>
      </c>
      <c r="D78" s="35">
        <f>_xlfn.XLOOKUP($B:$B,'Compilado 2023'!$B:$B,'Compilado 2023'!D:D)</f>
        <v>140183.35999999999</v>
      </c>
      <c r="E78" s="35">
        <f>_xlfn.XLOOKUP($B:$B,'Compilado 2023'!$B:$B,'Compilado 2023'!E:E)</f>
        <v>39.590000000000003</v>
      </c>
      <c r="F78" s="18">
        <f>_xlfn.XLOOKUP($B:$B,'Compilado 2023'!$B:$B,'Compilado 2023'!F:F)</f>
        <v>439</v>
      </c>
      <c r="G78" s="18">
        <f>_xlfn.XLOOKUP($B:$B,'Compilado 2023'!$B:$B,'Compilado 2023'!G:G)</f>
        <v>575</v>
      </c>
      <c r="H78" s="35">
        <f t="shared" si="24"/>
        <v>319.41446469248285</v>
      </c>
      <c r="I78" s="19">
        <f t="shared" si="25"/>
        <v>1245.1029032258064</v>
      </c>
      <c r="J78" s="122">
        <f t="shared" si="26"/>
        <v>112.61956713514286</v>
      </c>
      <c r="K78" s="18">
        <f>_xlfn.XLOOKUP($B:$B,'Compilado 2023'!$B:$B,'Compilado 2023'!K:K)</f>
        <v>6860</v>
      </c>
      <c r="L78" s="54">
        <f t="shared" si="27"/>
        <v>6.3994169096209919E-2</v>
      </c>
      <c r="M78" s="149"/>
      <c r="N78" s="106">
        <f>_xlfn.XLOOKUP($B:$B,'Compilado 2023'!$B:$B,'Compilado 2023'!N:N)</f>
        <v>792.91</v>
      </c>
      <c r="O78" s="106">
        <f>_xlfn.XLOOKUP($B:$B,'Compilado 2023'!$B:$B,'Compilado 2023'!O:O)</f>
        <v>400.58</v>
      </c>
      <c r="P78" s="106">
        <f>_xlfn.XLOOKUP($B:$B,'Compilado 2023'!$B:$B,'Compilado 2023'!P:P)</f>
        <v>0</v>
      </c>
      <c r="Q78" s="106">
        <f>_xlfn.XLOOKUP($B:$B,'Compilado 2023'!$B:$B,'Compilado 2023'!Q:Q)</f>
        <v>51.612903225806448</v>
      </c>
      <c r="R78" s="106">
        <f>_xlfn.XLOOKUP($B:$B,'Compilado 2023'!$B:$B,'Compilado 2023'!R:R)</f>
        <v>0</v>
      </c>
      <c r="S78" s="106">
        <f>_xlfn.XLOOKUP($B:$B,'Compilado 2023'!$B:$B,'Compilado 2023'!T:T)</f>
        <v>0</v>
      </c>
      <c r="T78" s="106">
        <f>_xlfn.XLOOKUP($B:$B,'Compilado 2023'!$B:$B,'Compilado 2023'!U:U)</f>
        <v>0</v>
      </c>
      <c r="U78" s="106">
        <f>_xlfn.XLOOKUP($B:$B,'Compilado 2023'!$B:$B,'Compilado 2023'!V:V)</f>
        <v>0</v>
      </c>
      <c r="V78" s="57"/>
      <c r="W78" s="106">
        <f>_xlfn.XLOOKUP($B:$B,'Compilado 2023'!$B:$B,'Compilado 2023'!X:X)</f>
        <v>0</v>
      </c>
      <c r="X78" s="106">
        <f>_xlfn.XLOOKUP($B:$B,'Compilado 2023'!$B:$B,'Compilado 2023'!Y:Y)</f>
        <v>0</v>
      </c>
      <c r="Y78" s="106">
        <f>_xlfn.XLOOKUP($B:$B,'Compilado 2023'!$B:$B,'Compilado 2023'!Z:Z)</f>
        <v>0</v>
      </c>
      <c r="AA78" s="208">
        <v>45122</v>
      </c>
    </row>
    <row r="79" spans="1:27" hidden="1" x14ac:dyDescent="0.2">
      <c r="A79" s="17" t="str">
        <f t="shared" ca="1" si="28"/>
        <v>Realizado</v>
      </c>
      <c r="B79" s="17">
        <v>44911</v>
      </c>
      <c r="C79" s="19">
        <f t="shared" si="23"/>
        <v>116080.44</v>
      </c>
      <c r="D79" s="35">
        <f>_xlfn.XLOOKUP($B:$B,'Compilado 2023'!$B:$B,'Compilado 2023'!D:D)</f>
        <v>116080.44</v>
      </c>
      <c r="E79" s="35">
        <f>_xlfn.XLOOKUP($B:$B,'Compilado 2023'!$B:$B,'Compilado 2023'!E:E)</f>
        <v>0</v>
      </c>
      <c r="F79" s="18">
        <f>_xlfn.XLOOKUP($B:$B,'Compilado 2023'!$B:$B,'Compilado 2023'!F:F)</f>
        <v>397</v>
      </c>
      <c r="G79" s="18">
        <f>_xlfn.XLOOKUP($B:$B,'Compilado 2023'!$B:$B,'Compilado 2023'!G:G)</f>
        <v>476</v>
      </c>
      <c r="H79" s="35">
        <f t="shared" si="24"/>
        <v>292.39405541561712</v>
      </c>
      <c r="I79" s="19">
        <f t="shared" si="25"/>
        <v>1188.9329032258063</v>
      </c>
      <c r="J79" s="122">
        <f t="shared" si="26"/>
        <v>97.634138718048078</v>
      </c>
      <c r="K79" s="18">
        <f>_xlfn.XLOOKUP($B:$B,'Compilado 2023'!$B:$B,'Compilado 2023'!K:K)</f>
        <v>6406</v>
      </c>
      <c r="L79" s="54">
        <f t="shared" si="27"/>
        <v>6.1973150171714016E-2</v>
      </c>
      <c r="M79" s="149"/>
      <c r="N79" s="106">
        <f>_xlfn.XLOOKUP($B:$B,'Compilado 2023'!$B:$B,'Compilado 2023'!N:N)</f>
        <v>700.56</v>
      </c>
      <c r="O79" s="106">
        <f>_xlfn.XLOOKUP($B:$B,'Compilado 2023'!$B:$B,'Compilado 2023'!O:O)</f>
        <v>436.76</v>
      </c>
      <c r="P79" s="106">
        <f>_xlfn.XLOOKUP($B:$B,'Compilado 2023'!$B:$B,'Compilado 2023'!P:P)</f>
        <v>0</v>
      </c>
      <c r="Q79" s="106">
        <f>_xlfn.XLOOKUP($B:$B,'Compilado 2023'!$B:$B,'Compilado 2023'!Q:Q)</f>
        <v>51.612903225806448</v>
      </c>
      <c r="R79" s="106">
        <f>_xlfn.XLOOKUP($B:$B,'Compilado 2023'!$B:$B,'Compilado 2023'!R:R)</f>
        <v>0</v>
      </c>
      <c r="S79" s="106">
        <f>_xlfn.XLOOKUP($B:$B,'Compilado 2023'!$B:$B,'Compilado 2023'!T:T)</f>
        <v>0</v>
      </c>
      <c r="T79" s="106">
        <f>_xlfn.XLOOKUP($B:$B,'Compilado 2023'!$B:$B,'Compilado 2023'!U:U)</f>
        <v>0</v>
      </c>
      <c r="U79" s="106">
        <f>_xlfn.XLOOKUP($B:$B,'Compilado 2023'!$B:$B,'Compilado 2023'!V:V)</f>
        <v>0</v>
      </c>
      <c r="V79" s="57"/>
      <c r="W79" s="106">
        <f>_xlfn.XLOOKUP($B:$B,'Compilado 2023'!$B:$B,'Compilado 2023'!X:X)</f>
        <v>0</v>
      </c>
      <c r="X79" s="106">
        <f>_xlfn.XLOOKUP($B:$B,'Compilado 2023'!$B:$B,'Compilado 2023'!Y:Y)</f>
        <v>0</v>
      </c>
      <c r="Y79" s="106">
        <f>_xlfn.XLOOKUP($B:$B,'Compilado 2023'!$B:$B,'Compilado 2023'!Z:Z)</f>
        <v>0</v>
      </c>
      <c r="AA79" s="208">
        <v>45123</v>
      </c>
    </row>
    <row r="80" spans="1:27" hidden="1" x14ac:dyDescent="0.2">
      <c r="A80" s="17" t="str">
        <f t="shared" ca="1" si="28"/>
        <v>Realizado</v>
      </c>
      <c r="B80" s="17">
        <v>44912</v>
      </c>
      <c r="C80" s="19">
        <f t="shared" si="23"/>
        <v>89484.36</v>
      </c>
      <c r="D80" s="35">
        <f>_xlfn.XLOOKUP($B:$B,'Compilado 2023'!$B:$B,'Compilado 2023'!D:D)</f>
        <v>89484.36</v>
      </c>
      <c r="E80" s="35">
        <f>_xlfn.XLOOKUP($B:$B,'Compilado 2023'!$B:$B,'Compilado 2023'!E:E)</f>
        <v>0</v>
      </c>
      <c r="F80" s="18">
        <f>_xlfn.XLOOKUP($B:$B,'Compilado 2023'!$B:$B,'Compilado 2023'!F:F)</f>
        <v>293</v>
      </c>
      <c r="G80" s="18">
        <f>_xlfn.XLOOKUP($B:$B,'Compilado 2023'!$B:$B,'Compilado 2023'!G:G)</f>
        <v>355</v>
      </c>
      <c r="H80" s="35">
        <f t="shared" si="24"/>
        <v>305.40737201365187</v>
      </c>
      <c r="I80" s="19">
        <f t="shared" si="25"/>
        <v>1028.2029032258065</v>
      </c>
      <c r="J80" s="122">
        <f t="shared" si="26"/>
        <v>87.029865135819492</v>
      </c>
      <c r="K80" s="18">
        <f>_xlfn.XLOOKUP($B:$B,'Compilado 2023'!$B:$B,'Compilado 2023'!K:K)</f>
        <v>4992</v>
      </c>
      <c r="L80" s="54">
        <f t="shared" si="27"/>
        <v>5.8693910256410256E-2</v>
      </c>
      <c r="M80" s="149"/>
      <c r="N80" s="106">
        <f>_xlfn.XLOOKUP($B:$B,'Compilado 2023'!$B:$B,'Compilado 2023'!N:N)</f>
        <v>502.86</v>
      </c>
      <c r="O80" s="106">
        <f>_xlfn.XLOOKUP($B:$B,'Compilado 2023'!$B:$B,'Compilado 2023'!O:O)</f>
        <v>473.73</v>
      </c>
      <c r="P80" s="106">
        <f>_xlfn.XLOOKUP($B:$B,'Compilado 2023'!$B:$B,'Compilado 2023'!P:P)</f>
        <v>0</v>
      </c>
      <c r="Q80" s="106">
        <f>_xlfn.XLOOKUP($B:$B,'Compilado 2023'!$B:$B,'Compilado 2023'!Q:Q)</f>
        <v>51.612903225806448</v>
      </c>
      <c r="R80" s="106">
        <f>_xlfn.XLOOKUP($B:$B,'Compilado 2023'!$B:$B,'Compilado 2023'!R:R)</f>
        <v>0</v>
      </c>
      <c r="S80" s="106">
        <f>_xlfn.XLOOKUP($B:$B,'Compilado 2023'!$B:$B,'Compilado 2023'!T:T)</f>
        <v>0</v>
      </c>
      <c r="T80" s="106">
        <f>_xlfn.XLOOKUP($B:$B,'Compilado 2023'!$B:$B,'Compilado 2023'!U:U)</f>
        <v>0</v>
      </c>
      <c r="U80" s="106">
        <f>_xlfn.XLOOKUP($B:$B,'Compilado 2023'!$B:$B,'Compilado 2023'!V:V)</f>
        <v>0</v>
      </c>
      <c r="V80" s="57"/>
      <c r="W80" s="106">
        <f>_xlfn.XLOOKUP($B:$B,'Compilado 2023'!$B:$B,'Compilado 2023'!X:X)</f>
        <v>0</v>
      </c>
      <c r="X80" s="106">
        <f>_xlfn.XLOOKUP($B:$B,'Compilado 2023'!$B:$B,'Compilado 2023'!Y:Y)</f>
        <v>0</v>
      </c>
      <c r="Y80" s="106">
        <f>_xlfn.XLOOKUP($B:$B,'Compilado 2023'!$B:$B,'Compilado 2023'!Z:Z)</f>
        <v>0</v>
      </c>
      <c r="AA80" s="208">
        <v>45124</v>
      </c>
    </row>
    <row r="81" spans="1:27" hidden="1" x14ac:dyDescent="0.2">
      <c r="A81" s="17" t="str">
        <f t="shared" ca="1" si="28"/>
        <v>Realizado</v>
      </c>
      <c r="B81" s="17">
        <v>44913</v>
      </c>
      <c r="C81" s="19">
        <f t="shared" si="23"/>
        <v>65863.39</v>
      </c>
      <c r="D81" s="35">
        <f>_xlfn.XLOOKUP($B:$B,'Compilado 2023'!$B:$B,'Compilado 2023'!D:D)</f>
        <v>65816.350000000006</v>
      </c>
      <c r="E81" s="35">
        <f>_xlfn.XLOOKUP($B:$B,'Compilado 2023'!$B:$B,'Compilado 2023'!E:E)</f>
        <v>47.04</v>
      </c>
      <c r="F81" s="18">
        <f>_xlfn.XLOOKUP($B:$B,'Compilado 2023'!$B:$B,'Compilado 2023'!F:F)</f>
        <v>209</v>
      </c>
      <c r="G81" s="18">
        <f>_xlfn.XLOOKUP($B:$B,'Compilado 2023'!$B:$B,'Compilado 2023'!G:G)</f>
        <v>256</v>
      </c>
      <c r="H81" s="35">
        <f t="shared" si="24"/>
        <v>315.13583732057418</v>
      </c>
      <c r="I81" s="19">
        <f t="shared" si="25"/>
        <v>1117.9829032258062</v>
      </c>
      <c r="J81" s="122">
        <f t="shared" si="26"/>
        <v>58.912698763066096</v>
      </c>
      <c r="K81" s="18">
        <f>_xlfn.XLOOKUP($B:$B,'Compilado 2023'!$B:$B,'Compilado 2023'!K:K)</f>
        <v>4201</v>
      </c>
      <c r="L81" s="54">
        <f t="shared" si="27"/>
        <v>4.9750059509640565E-2</v>
      </c>
      <c r="M81" s="149"/>
      <c r="N81" s="106">
        <f>_xlfn.XLOOKUP($B:$B,'Compilado 2023'!$B:$B,'Compilado 2023'!N:N)</f>
        <v>549.71</v>
      </c>
      <c r="O81" s="106">
        <f>_xlfn.XLOOKUP($B:$B,'Compilado 2023'!$B:$B,'Compilado 2023'!O:O)</f>
        <v>516.66</v>
      </c>
      <c r="P81" s="106">
        <f>_xlfn.XLOOKUP($B:$B,'Compilado 2023'!$B:$B,'Compilado 2023'!P:P)</f>
        <v>0</v>
      </c>
      <c r="Q81" s="106">
        <f>_xlfn.XLOOKUP($B:$B,'Compilado 2023'!$B:$B,'Compilado 2023'!Q:Q)</f>
        <v>51.612903225806448</v>
      </c>
      <c r="R81" s="106">
        <f>_xlfn.XLOOKUP($B:$B,'Compilado 2023'!$B:$B,'Compilado 2023'!R:R)</f>
        <v>0</v>
      </c>
      <c r="S81" s="106">
        <f>_xlfn.XLOOKUP($B:$B,'Compilado 2023'!$B:$B,'Compilado 2023'!T:T)</f>
        <v>0</v>
      </c>
      <c r="T81" s="106">
        <f>_xlfn.XLOOKUP($B:$B,'Compilado 2023'!$B:$B,'Compilado 2023'!U:U)</f>
        <v>0</v>
      </c>
      <c r="U81" s="106">
        <f>_xlfn.XLOOKUP($B:$B,'Compilado 2023'!$B:$B,'Compilado 2023'!V:V)</f>
        <v>0</v>
      </c>
      <c r="V81" s="57"/>
      <c r="W81" s="106">
        <f>_xlfn.XLOOKUP($B:$B,'Compilado 2023'!$B:$B,'Compilado 2023'!X:X)</f>
        <v>0</v>
      </c>
      <c r="X81" s="106">
        <f>_xlfn.XLOOKUP($B:$B,'Compilado 2023'!$B:$B,'Compilado 2023'!Y:Y)</f>
        <v>0</v>
      </c>
      <c r="Y81" s="106">
        <f>_xlfn.XLOOKUP($B:$B,'Compilado 2023'!$B:$B,'Compilado 2023'!Z:Z)</f>
        <v>0</v>
      </c>
      <c r="AA81" s="208">
        <v>45125</v>
      </c>
    </row>
    <row r="82" spans="1:27" hidden="1" x14ac:dyDescent="0.2">
      <c r="A82" s="17" t="str">
        <f t="shared" ca="1" si="28"/>
        <v>Realizado</v>
      </c>
      <c r="B82" s="17">
        <v>44914</v>
      </c>
      <c r="C82" s="19">
        <f t="shared" si="23"/>
        <v>213431.53</v>
      </c>
      <c r="D82" s="35">
        <f>_xlfn.XLOOKUP($B:$B,'Compilado 2023'!$B:$B,'Compilado 2023'!D:D)</f>
        <v>213390.42</v>
      </c>
      <c r="E82" s="35">
        <f>_xlfn.XLOOKUP($B:$B,'Compilado 2023'!$B:$B,'Compilado 2023'!E:E)</f>
        <v>41.11</v>
      </c>
      <c r="F82" s="18">
        <f>_xlfn.XLOOKUP($B:$B,'Compilado 2023'!$B:$B,'Compilado 2023'!F:F)</f>
        <v>654</v>
      </c>
      <c r="G82" s="18">
        <f>_xlfn.XLOOKUP($B:$B,'Compilado 2023'!$B:$B,'Compilado 2023'!G:G)</f>
        <v>821</v>
      </c>
      <c r="H82" s="35">
        <f t="shared" si="24"/>
        <v>326.34790519877674</v>
      </c>
      <c r="I82" s="19">
        <f t="shared" si="25"/>
        <v>1708.2329032258065</v>
      </c>
      <c r="J82" s="122">
        <f t="shared" si="26"/>
        <v>124.94287494226253</v>
      </c>
      <c r="K82" s="18">
        <f>_xlfn.XLOOKUP($B:$B,'Compilado 2023'!$B:$B,'Compilado 2023'!K:K)</f>
        <v>0</v>
      </c>
      <c r="L82" s="54">
        <f t="shared" si="27"/>
        <v>0</v>
      </c>
      <c r="M82" s="149"/>
      <c r="N82" s="106">
        <f>_xlfn.XLOOKUP($B:$B,'Compilado 2023'!$B:$B,'Compilado 2023'!N:N)</f>
        <v>1090.8900000000001</v>
      </c>
      <c r="O82" s="106">
        <f>_xlfn.XLOOKUP($B:$B,'Compilado 2023'!$B:$B,'Compilado 2023'!O:O)</f>
        <v>565.73</v>
      </c>
      <c r="P82" s="106">
        <f>_xlfn.XLOOKUP($B:$B,'Compilado 2023'!$B:$B,'Compilado 2023'!P:P)</f>
        <v>0</v>
      </c>
      <c r="Q82" s="106">
        <f>_xlfn.XLOOKUP($B:$B,'Compilado 2023'!$B:$B,'Compilado 2023'!Q:Q)</f>
        <v>51.612903225806448</v>
      </c>
      <c r="R82" s="106">
        <f>_xlfn.XLOOKUP($B:$B,'Compilado 2023'!$B:$B,'Compilado 2023'!R:R)</f>
        <v>0</v>
      </c>
      <c r="S82" s="106">
        <f>_xlfn.XLOOKUP($B:$B,'Compilado 2023'!$B:$B,'Compilado 2023'!T:T)</f>
        <v>0</v>
      </c>
      <c r="T82" s="106">
        <f>_xlfn.XLOOKUP($B:$B,'Compilado 2023'!$B:$B,'Compilado 2023'!U:U)</f>
        <v>0</v>
      </c>
      <c r="U82" s="106">
        <f>_xlfn.XLOOKUP($B:$B,'Compilado 2023'!$B:$B,'Compilado 2023'!V:V)</f>
        <v>0</v>
      </c>
      <c r="V82" s="57"/>
      <c r="W82" s="106">
        <f>_xlfn.XLOOKUP($B:$B,'Compilado 2023'!$B:$B,'Compilado 2023'!X:X)</f>
        <v>0</v>
      </c>
      <c r="X82" s="106">
        <f>_xlfn.XLOOKUP($B:$B,'Compilado 2023'!$B:$B,'Compilado 2023'!Y:Y)</f>
        <v>0</v>
      </c>
      <c r="Y82" s="106">
        <f>_xlfn.XLOOKUP($B:$B,'Compilado 2023'!$B:$B,'Compilado 2023'!Z:Z)</f>
        <v>0</v>
      </c>
      <c r="AA82" s="208">
        <v>45126</v>
      </c>
    </row>
    <row r="83" spans="1:27" hidden="1" x14ac:dyDescent="0.2">
      <c r="A83" s="17" t="str">
        <f t="shared" ca="1" si="28"/>
        <v>Realizado</v>
      </c>
      <c r="B83" s="17">
        <v>44915</v>
      </c>
      <c r="C83" s="19">
        <f t="shared" si="23"/>
        <v>196362.28</v>
      </c>
      <c r="D83" s="35">
        <f>_xlfn.XLOOKUP($B:$B,'Compilado 2023'!$B:$B,'Compilado 2023'!D:D)</f>
        <v>196362.28</v>
      </c>
      <c r="E83" s="35">
        <f>_xlfn.XLOOKUP($B:$B,'Compilado 2023'!$B:$B,'Compilado 2023'!E:E)</f>
        <v>0</v>
      </c>
      <c r="F83" s="18">
        <f>_xlfn.XLOOKUP($B:$B,'Compilado 2023'!$B:$B,'Compilado 2023'!F:F)</f>
        <v>597</v>
      </c>
      <c r="G83" s="18">
        <f>_xlfn.XLOOKUP($B:$B,'Compilado 2023'!$B:$B,'Compilado 2023'!G:G)</f>
        <v>807</v>
      </c>
      <c r="H83" s="35">
        <f t="shared" si="24"/>
        <v>328.91504187604687</v>
      </c>
      <c r="I83" s="19">
        <f t="shared" si="25"/>
        <v>1753.6329032258063</v>
      </c>
      <c r="J83" s="122">
        <f t="shared" si="26"/>
        <v>111.97456413984463</v>
      </c>
      <c r="K83" s="18">
        <f>_xlfn.XLOOKUP($B:$B,'Compilado 2023'!$B:$B,'Compilado 2023'!K:K)</f>
        <v>8120</v>
      </c>
      <c r="L83" s="54">
        <f t="shared" si="27"/>
        <v>7.3522167487684725E-2</v>
      </c>
      <c r="M83" s="149"/>
      <c r="N83" s="106">
        <f>_xlfn.XLOOKUP($B:$B,'Compilado 2023'!$B:$B,'Compilado 2023'!N:N)</f>
        <v>1149.32</v>
      </c>
      <c r="O83" s="106">
        <f>_xlfn.XLOOKUP($B:$B,'Compilado 2023'!$B:$B,'Compilado 2023'!O:O)</f>
        <v>552.70000000000005</v>
      </c>
      <c r="P83" s="106">
        <f>_xlfn.XLOOKUP($B:$B,'Compilado 2023'!$B:$B,'Compilado 2023'!P:P)</f>
        <v>0</v>
      </c>
      <c r="Q83" s="106">
        <f>_xlfn.XLOOKUP($B:$B,'Compilado 2023'!$B:$B,'Compilado 2023'!Q:Q)</f>
        <v>51.612903225806448</v>
      </c>
      <c r="R83" s="106">
        <f>_xlfn.XLOOKUP($B:$B,'Compilado 2023'!$B:$B,'Compilado 2023'!R:R)</f>
        <v>0</v>
      </c>
      <c r="S83" s="106">
        <f>_xlfn.XLOOKUP($B:$B,'Compilado 2023'!$B:$B,'Compilado 2023'!T:T)</f>
        <v>0</v>
      </c>
      <c r="T83" s="106">
        <f>_xlfn.XLOOKUP($B:$B,'Compilado 2023'!$B:$B,'Compilado 2023'!U:U)</f>
        <v>0</v>
      </c>
      <c r="U83" s="106">
        <f>_xlfn.XLOOKUP($B:$B,'Compilado 2023'!$B:$B,'Compilado 2023'!V:V)</f>
        <v>0</v>
      </c>
      <c r="V83" s="57"/>
      <c r="W83" s="106">
        <f>_xlfn.XLOOKUP($B:$B,'Compilado 2023'!$B:$B,'Compilado 2023'!X:X)</f>
        <v>0</v>
      </c>
      <c r="X83" s="106">
        <f>_xlfn.XLOOKUP($B:$B,'Compilado 2023'!$B:$B,'Compilado 2023'!Y:Y)</f>
        <v>0</v>
      </c>
      <c r="Y83" s="106">
        <f>_xlfn.XLOOKUP($B:$B,'Compilado 2023'!$B:$B,'Compilado 2023'!Z:Z)</f>
        <v>0</v>
      </c>
      <c r="AA83" s="208">
        <v>45127</v>
      </c>
    </row>
    <row r="84" spans="1:27" hidden="1" x14ac:dyDescent="0.2">
      <c r="A84" s="17" t="str">
        <f t="shared" ca="1" si="28"/>
        <v>Realizado</v>
      </c>
      <c r="B84" s="17">
        <v>44916</v>
      </c>
      <c r="C84" s="19">
        <f t="shared" si="23"/>
        <v>208403.15</v>
      </c>
      <c r="D84" s="35">
        <f>_xlfn.XLOOKUP($B:$B,'Compilado 2023'!$B:$B,'Compilado 2023'!D:D)</f>
        <v>208358.09</v>
      </c>
      <c r="E84" s="35">
        <f>_xlfn.XLOOKUP($B:$B,'Compilado 2023'!$B:$B,'Compilado 2023'!E:E)</f>
        <v>45.06</v>
      </c>
      <c r="F84" s="18">
        <f>_xlfn.XLOOKUP($B:$B,'Compilado 2023'!$B:$B,'Compilado 2023'!F:F)</f>
        <v>635</v>
      </c>
      <c r="G84" s="18">
        <f>_xlfn.XLOOKUP($B:$B,'Compilado 2023'!$B:$B,'Compilado 2023'!G:G)</f>
        <v>866</v>
      </c>
      <c r="H84" s="35">
        <f t="shared" si="24"/>
        <v>328.19393700787401</v>
      </c>
      <c r="I84" s="19">
        <f t="shared" si="25"/>
        <v>2013.4029032258063</v>
      </c>
      <c r="J84" s="122">
        <f t="shared" si="26"/>
        <v>103.50792167136716</v>
      </c>
      <c r="K84" s="18">
        <f>_xlfn.XLOOKUP($B:$B,'Compilado 2023'!$B:$B,'Compilado 2023'!K:K)</f>
        <v>8565</v>
      </c>
      <c r="L84" s="54">
        <f t="shared" si="27"/>
        <v>7.4138937536485691E-2</v>
      </c>
      <c r="M84" s="149"/>
      <c r="N84" s="106">
        <f>_xlfn.XLOOKUP($B:$B,'Compilado 2023'!$B:$B,'Compilado 2023'!N:N)</f>
        <v>1403.22</v>
      </c>
      <c r="O84" s="106">
        <f>_xlfn.XLOOKUP($B:$B,'Compilado 2023'!$B:$B,'Compilado 2023'!O:O)</f>
        <v>558.57000000000005</v>
      </c>
      <c r="P84" s="106">
        <f>_xlfn.XLOOKUP($B:$B,'Compilado 2023'!$B:$B,'Compilado 2023'!P:P)</f>
        <v>0</v>
      </c>
      <c r="Q84" s="106">
        <f>_xlfn.XLOOKUP($B:$B,'Compilado 2023'!$B:$B,'Compilado 2023'!Q:Q)</f>
        <v>51.612903225806448</v>
      </c>
      <c r="R84" s="106">
        <f>_xlfn.XLOOKUP($B:$B,'Compilado 2023'!$B:$B,'Compilado 2023'!R:R)</f>
        <v>0</v>
      </c>
      <c r="S84" s="106">
        <f>_xlfn.XLOOKUP($B:$B,'Compilado 2023'!$B:$B,'Compilado 2023'!T:T)</f>
        <v>0</v>
      </c>
      <c r="T84" s="106">
        <f>_xlfn.XLOOKUP($B:$B,'Compilado 2023'!$B:$B,'Compilado 2023'!U:U)</f>
        <v>0</v>
      </c>
      <c r="U84" s="106">
        <f>_xlfn.XLOOKUP($B:$B,'Compilado 2023'!$B:$B,'Compilado 2023'!V:V)</f>
        <v>0</v>
      </c>
      <c r="V84" s="57"/>
      <c r="W84" s="106">
        <f>_xlfn.XLOOKUP($B:$B,'Compilado 2023'!$B:$B,'Compilado 2023'!X:X)</f>
        <v>0</v>
      </c>
      <c r="X84" s="106">
        <f>_xlfn.XLOOKUP($B:$B,'Compilado 2023'!$B:$B,'Compilado 2023'!Y:Y)</f>
        <v>0</v>
      </c>
      <c r="Y84" s="106">
        <f>_xlfn.XLOOKUP($B:$B,'Compilado 2023'!$B:$B,'Compilado 2023'!Z:Z)</f>
        <v>0</v>
      </c>
      <c r="AA84" s="208">
        <v>45128</v>
      </c>
    </row>
    <row r="85" spans="1:27" hidden="1" x14ac:dyDescent="0.2">
      <c r="A85" s="17" t="str">
        <f t="shared" ca="1" si="28"/>
        <v>Realizado</v>
      </c>
      <c r="B85" s="17">
        <v>44917</v>
      </c>
      <c r="C85" s="19">
        <f t="shared" si="23"/>
        <v>235235.42</v>
      </c>
      <c r="D85" s="35">
        <f>_xlfn.XLOOKUP($B:$B,'Compilado 2023'!$B:$B,'Compilado 2023'!D:D)</f>
        <v>235161.69</v>
      </c>
      <c r="E85" s="35">
        <f>_xlfn.XLOOKUP($B:$B,'Compilado 2023'!$B:$B,'Compilado 2023'!E:E)</f>
        <v>73.73</v>
      </c>
      <c r="F85" s="18">
        <f>_xlfn.XLOOKUP($B:$B,'Compilado 2023'!$B:$B,'Compilado 2023'!F:F)</f>
        <v>717</v>
      </c>
      <c r="G85" s="18">
        <f>_xlfn.XLOOKUP($B:$B,'Compilado 2023'!$B:$B,'Compilado 2023'!G:G)</f>
        <v>943</v>
      </c>
      <c r="H85" s="35">
        <f t="shared" si="24"/>
        <v>328.08287308228734</v>
      </c>
      <c r="I85" s="19">
        <f t="shared" si="25"/>
        <v>3008.0329032258064</v>
      </c>
      <c r="J85" s="122">
        <f t="shared" si="26"/>
        <v>78.202409204943933</v>
      </c>
      <c r="K85" s="18">
        <f>_xlfn.XLOOKUP($B:$B,'Compilado 2023'!$B:$B,'Compilado 2023'!K:K)</f>
        <v>8198</v>
      </c>
      <c r="L85" s="54">
        <f t="shared" si="27"/>
        <v>8.7460356184435234E-2</v>
      </c>
      <c r="M85" s="149"/>
      <c r="N85" s="106">
        <f>_xlfn.XLOOKUP($B:$B,'Compilado 2023'!$B:$B,'Compilado 2023'!N:N)</f>
        <v>2078.35</v>
      </c>
      <c r="O85" s="106">
        <f>_xlfn.XLOOKUP($B:$B,'Compilado 2023'!$B:$B,'Compilado 2023'!O:O)</f>
        <v>878.07</v>
      </c>
      <c r="P85" s="106">
        <f>_xlfn.XLOOKUP($B:$B,'Compilado 2023'!$B:$B,'Compilado 2023'!P:P)</f>
        <v>0</v>
      </c>
      <c r="Q85" s="106">
        <f>_xlfn.XLOOKUP($B:$B,'Compilado 2023'!$B:$B,'Compilado 2023'!Q:Q)</f>
        <v>51.612903225806448</v>
      </c>
      <c r="R85" s="106">
        <f>_xlfn.XLOOKUP($B:$B,'Compilado 2023'!$B:$B,'Compilado 2023'!R:R)</f>
        <v>0</v>
      </c>
      <c r="S85" s="106">
        <f>_xlfn.XLOOKUP($B:$B,'Compilado 2023'!$B:$B,'Compilado 2023'!T:T)</f>
        <v>0</v>
      </c>
      <c r="T85" s="106">
        <f>_xlfn.XLOOKUP($B:$B,'Compilado 2023'!$B:$B,'Compilado 2023'!U:U)</f>
        <v>0</v>
      </c>
      <c r="U85" s="106">
        <f>_xlfn.XLOOKUP($B:$B,'Compilado 2023'!$B:$B,'Compilado 2023'!V:V)</f>
        <v>0</v>
      </c>
      <c r="V85" s="57"/>
      <c r="W85" s="106">
        <f>_xlfn.XLOOKUP($B:$B,'Compilado 2023'!$B:$B,'Compilado 2023'!X:X)</f>
        <v>0</v>
      </c>
      <c r="X85" s="106">
        <f>_xlfn.XLOOKUP($B:$B,'Compilado 2023'!$B:$B,'Compilado 2023'!Y:Y)</f>
        <v>0</v>
      </c>
      <c r="Y85" s="106">
        <f>_xlfn.XLOOKUP($B:$B,'Compilado 2023'!$B:$B,'Compilado 2023'!Z:Z)</f>
        <v>0</v>
      </c>
      <c r="AA85" s="208">
        <v>45129</v>
      </c>
    </row>
    <row r="86" spans="1:27" hidden="1" x14ac:dyDescent="0.2">
      <c r="A86" s="17" t="str">
        <f t="shared" ca="1" si="28"/>
        <v>Realizado</v>
      </c>
      <c r="B86" s="17">
        <v>44918</v>
      </c>
      <c r="C86" s="19">
        <f t="shared" si="23"/>
        <v>272208.45</v>
      </c>
      <c r="D86" s="35">
        <f>_xlfn.XLOOKUP($B:$B,'Compilado 2023'!$B:$B,'Compilado 2023'!D:D)</f>
        <v>272208.45</v>
      </c>
      <c r="E86" s="35">
        <f>_xlfn.XLOOKUP($B:$B,'Compilado 2023'!$B:$B,'Compilado 2023'!E:E)</f>
        <v>0</v>
      </c>
      <c r="F86" s="18">
        <f>_xlfn.XLOOKUP($B:$B,'Compilado 2023'!$B:$B,'Compilado 2023'!F:F)</f>
        <v>844</v>
      </c>
      <c r="G86" s="18">
        <f>_xlfn.XLOOKUP($B:$B,'Compilado 2023'!$B:$B,'Compilado 2023'!G:G)</f>
        <v>1071</v>
      </c>
      <c r="H86" s="35">
        <f t="shared" si="24"/>
        <v>322.52186018957349</v>
      </c>
      <c r="I86" s="19">
        <f t="shared" si="25"/>
        <v>2593.5629032258062</v>
      </c>
      <c r="J86" s="122">
        <f t="shared" si="26"/>
        <v>104.9554069660058</v>
      </c>
      <c r="K86" s="18">
        <f>_xlfn.XLOOKUP($B:$B,'Compilado 2023'!$B:$B,'Compilado 2023'!K:K)</f>
        <v>7850</v>
      </c>
      <c r="L86" s="54">
        <f t="shared" si="27"/>
        <v>0.10751592356687899</v>
      </c>
      <c r="M86" s="149"/>
      <c r="N86" s="106">
        <f>_xlfn.XLOOKUP($B:$B,'Compilado 2023'!$B:$B,'Compilado 2023'!N:N)</f>
        <v>1644.76</v>
      </c>
      <c r="O86" s="106">
        <f>_xlfn.XLOOKUP($B:$B,'Compilado 2023'!$B:$B,'Compilado 2023'!O:O)</f>
        <v>897.19</v>
      </c>
      <c r="P86" s="106">
        <f>_xlfn.XLOOKUP($B:$B,'Compilado 2023'!$B:$B,'Compilado 2023'!P:P)</f>
        <v>0</v>
      </c>
      <c r="Q86" s="106">
        <f>_xlfn.XLOOKUP($B:$B,'Compilado 2023'!$B:$B,'Compilado 2023'!Q:Q)</f>
        <v>51.612903225806448</v>
      </c>
      <c r="R86" s="106">
        <f>_xlfn.XLOOKUP($B:$B,'Compilado 2023'!$B:$B,'Compilado 2023'!R:R)</f>
        <v>0</v>
      </c>
      <c r="S86" s="106">
        <f>_xlfn.XLOOKUP($B:$B,'Compilado 2023'!$B:$B,'Compilado 2023'!T:T)</f>
        <v>0</v>
      </c>
      <c r="T86" s="106">
        <f>_xlfn.XLOOKUP($B:$B,'Compilado 2023'!$B:$B,'Compilado 2023'!U:U)</f>
        <v>0</v>
      </c>
      <c r="U86" s="106">
        <f>_xlfn.XLOOKUP($B:$B,'Compilado 2023'!$B:$B,'Compilado 2023'!V:V)</f>
        <v>0</v>
      </c>
      <c r="V86" s="57"/>
      <c r="W86" s="106">
        <f>_xlfn.XLOOKUP($B:$B,'Compilado 2023'!$B:$B,'Compilado 2023'!X:X)</f>
        <v>0</v>
      </c>
      <c r="X86" s="106">
        <f>_xlfn.XLOOKUP($B:$B,'Compilado 2023'!$B:$B,'Compilado 2023'!Y:Y)</f>
        <v>0</v>
      </c>
      <c r="Y86" s="106">
        <f>_xlfn.XLOOKUP($B:$B,'Compilado 2023'!$B:$B,'Compilado 2023'!Z:Z)</f>
        <v>0</v>
      </c>
      <c r="AA86" s="208">
        <v>45130</v>
      </c>
    </row>
    <row r="87" spans="1:27" hidden="1" x14ac:dyDescent="0.2">
      <c r="A87" s="17" t="str">
        <f t="shared" ca="1" si="28"/>
        <v>Realizado</v>
      </c>
      <c r="B87" s="17">
        <v>44919</v>
      </c>
      <c r="C87" s="19">
        <f t="shared" si="23"/>
        <v>266775.34999999998</v>
      </c>
      <c r="D87" s="35">
        <f>_xlfn.XLOOKUP($B:$B,'Compilado 2023'!$B:$B,'Compilado 2023'!D:D)</f>
        <v>266684.13</v>
      </c>
      <c r="E87" s="35">
        <f>_xlfn.XLOOKUP($B:$B,'Compilado 2023'!$B:$B,'Compilado 2023'!E:E)</f>
        <v>91.22</v>
      </c>
      <c r="F87" s="18">
        <f>_xlfn.XLOOKUP($B:$B,'Compilado 2023'!$B:$B,'Compilado 2023'!F:F)</f>
        <v>817</v>
      </c>
      <c r="G87" s="18">
        <f>_xlfn.XLOOKUP($B:$B,'Compilado 2023'!$B:$B,'Compilado 2023'!G:G)</f>
        <v>1038</v>
      </c>
      <c r="H87" s="35">
        <f t="shared" si="24"/>
        <v>326.5304161566707</v>
      </c>
      <c r="I87" s="19">
        <f t="shared" si="25"/>
        <v>1885.5629032258064</v>
      </c>
      <c r="J87" s="122">
        <f t="shared" si="26"/>
        <v>141.48313458204061</v>
      </c>
      <c r="K87" s="18">
        <f>_xlfn.XLOOKUP($B:$B,'Compilado 2023'!$B:$B,'Compilado 2023'!K:K)</f>
        <v>4618</v>
      </c>
      <c r="L87" s="54">
        <f t="shared" si="27"/>
        <v>0.1769164140320485</v>
      </c>
      <c r="M87" s="149"/>
      <c r="N87" s="106">
        <f>_xlfn.XLOOKUP($B:$B,'Compilado 2023'!$B:$B,'Compilado 2023'!N:N)</f>
        <v>1185.98</v>
      </c>
      <c r="O87" s="106">
        <f>_xlfn.XLOOKUP($B:$B,'Compilado 2023'!$B:$B,'Compilado 2023'!O:O)</f>
        <v>647.97</v>
      </c>
      <c r="P87" s="106">
        <f>_xlfn.XLOOKUP($B:$B,'Compilado 2023'!$B:$B,'Compilado 2023'!P:P)</f>
        <v>0</v>
      </c>
      <c r="Q87" s="106">
        <f>_xlfn.XLOOKUP($B:$B,'Compilado 2023'!$B:$B,'Compilado 2023'!Q:Q)</f>
        <v>51.612903225806448</v>
      </c>
      <c r="R87" s="106">
        <f>_xlfn.XLOOKUP($B:$B,'Compilado 2023'!$B:$B,'Compilado 2023'!R:R)</f>
        <v>0</v>
      </c>
      <c r="S87" s="106">
        <f>_xlfn.XLOOKUP($B:$B,'Compilado 2023'!$B:$B,'Compilado 2023'!T:T)</f>
        <v>0</v>
      </c>
      <c r="T87" s="106">
        <f>_xlfn.XLOOKUP($B:$B,'Compilado 2023'!$B:$B,'Compilado 2023'!U:U)</f>
        <v>0</v>
      </c>
      <c r="U87" s="106">
        <f>_xlfn.XLOOKUP($B:$B,'Compilado 2023'!$B:$B,'Compilado 2023'!V:V)</f>
        <v>0</v>
      </c>
      <c r="V87" s="57"/>
      <c r="W87" s="106">
        <f>_xlfn.XLOOKUP($B:$B,'Compilado 2023'!$B:$B,'Compilado 2023'!X:X)</f>
        <v>0</v>
      </c>
      <c r="X87" s="106">
        <f>_xlfn.XLOOKUP($B:$B,'Compilado 2023'!$B:$B,'Compilado 2023'!Y:Y)</f>
        <v>0</v>
      </c>
      <c r="Y87" s="106">
        <f>_xlfn.XLOOKUP($B:$B,'Compilado 2023'!$B:$B,'Compilado 2023'!Z:Z)</f>
        <v>0</v>
      </c>
      <c r="AA87" s="208">
        <v>45131</v>
      </c>
    </row>
    <row r="88" spans="1:27" hidden="1" x14ac:dyDescent="0.2">
      <c r="A88" s="17" t="str">
        <f t="shared" ca="1" si="28"/>
        <v>Realizado</v>
      </c>
      <c r="B88" s="17">
        <v>44920</v>
      </c>
      <c r="C88" s="19">
        <f t="shared" si="23"/>
        <v>59416.770000000004</v>
      </c>
      <c r="D88" s="35">
        <f>_xlfn.XLOOKUP($B:$B,'Compilado 2023'!$B:$B,'Compilado 2023'!D:D)</f>
        <v>59393.62</v>
      </c>
      <c r="E88" s="35">
        <f>_xlfn.XLOOKUP($B:$B,'Compilado 2023'!$B:$B,'Compilado 2023'!E:E)</f>
        <v>23.15</v>
      </c>
      <c r="F88" s="18">
        <f>_xlfn.XLOOKUP($B:$B,'Compilado 2023'!$B:$B,'Compilado 2023'!F:F)</f>
        <v>193</v>
      </c>
      <c r="G88" s="18">
        <f>_xlfn.XLOOKUP($B:$B,'Compilado 2023'!$B:$B,'Compilado 2023'!G:G)</f>
        <v>238</v>
      </c>
      <c r="H88" s="35">
        <f t="shared" si="24"/>
        <v>307.85891191709845</v>
      </c>
      <c r="I88" s="19">
        <f t="shared" si="25"/>
        <v>1061.9329032258063</v>
      </c>
      <c r="J88" s="122">
        <f t="shared" si="26"/>
        <v>55.951529347580447</v>
      </c>
      <c r="K88" s="18">
        <f>_xlfn.XLOOKUP($B:$B,'Compilado 2023'!$B:$B,'Compilado 2023'!K:K)</f>
        <v>3644</v>
      </c>
      <c r="L88" s="54">
        <f t="shared" si="27"/>
        <v>5.2963776070252468E-2</v>
      </c>
      <c r="M88" s="149"/>
      <c r="N88" s="106">
        <f>_xlfn.XLOOKUP($B:$B,'Compilado 2023'!$B:$B,'Compilado 2023'!N:N)</f>
        <v>665.14</v>
      </c>
      <c r="O88" s="106">
        <f>_xlfn.XLOOKUP($B:$B,'Compilado 2023'!$B:$B,'Compilado 2023'!O:O)</f>
        <v>345.18</v>
      </c>
      <c r="P88" s="106">
        <f>_xlfn.XLOOKUP($B:$B,'Compilado 2023'!$B:$B,'Compilado 2023'!P:P)</f>
        <v>0</v>
      </c>
      <c r="Q88" s="106">
        <f>_xlfn.XLOOKUP($B:$B,'Compilado 2023'!$B:$B,'Compilado 2023'!Q:Q)</f>
        <v>51.612903225806448</v>
      </c>
      <c r="R88" s="106">
        <f>_xlfn.XLOOKUP($B:$B,'Compilado 2023'!$B:$B,'Compilado 2023'!R:R)</f>
        <v>0</v>
      </c>
      <c r="S88" s="106">
        <f>_xlfn.XLOOKUP($B:$B,'Compilado 2023'!$B:$B,'Compilado 2023'!T:T)</f>
        <v>0</v>
      </c>
      <c r="T88" s="106">
        <f>_xlfn.XLOOKUP($B:$B,'Compilado 2023'!$B:$B,'Compilado 2023'!U:U)</f>
        <v>0</v>
      </c>
      <c r="U88" s="106">
        <f>_xlfn.XLOOKUP($B:$B,'Compilado 2023'!$B:$B,'Compilado 2023'!V:V)</f>
        <v>0</v>
      </c>
      <c r="V88" s="57"/>
      <c r="W88" s="106">
        <f>_xlfn.XLOOKUP($B:$B,'Compilado 2023'!$B:$B,'Compilado 2023'!X:X)</f>
        <v>0</v>
      </c>
      <c r="X88" s="106">
        <f>_xlfn.XLOOKUP($B:$B,'Compilado 2023'!$B:$B,'Compilado 2023'!Y:Y)</f>
        <v>0</v>
      </c>
      <c r="Y88" s="106">
        <f>_xlfn.XLOOKUP($B:$B,'Compilado 2023'!$B:$B,'Compilado 2023'!Z:Z)</f>
        <v>0</v>
      </c>
      <c r="AA88" s="208">
        <v>45132</v>
      </c>
    </row>
    <row r="89" spans="1:27" hidden="1" x14ac:dyDescent="0.2">
      <c r="A89" s="17" t="str">
        <f t="shared" ca="1" si="28"/>
        <v>Realizado</v>
      </c>
      <c r="B89" s="17">
        <v>44921</v>
      </c>
      <c r="C89" s="19">
        <f t="shared" si="23"/>
        <v>76654.78</v>
      </c>
      <c r="D89" s="35">
        <f>_xlfn.XLOOKUP($B:$B,'Compilado 2023'!$B:$B,'Compilado 2023'!D:D)</f>
        <v>76654.78</v>
      </c>
      <c r="E89" s="35">
        <f>_xlfn.XLOOKUP($B:$B,'Compilado 2023'!$B:$B,'Compilado 2023'!E:E)</f>
        <v>0</v>
      </c>
      <c r="F89" s="18">
        <f>_xlfn.XLOOKUP($B:$B,'Compilado 2023'!$B:$B,'Compilado 2023'!F:F)</f>
        <v>256</v>
      </c>
      <c r="G89" s="18">
        <f>_xlfn.XLOOKUP($B:$B,'Compilado 2023'!$B:$B,'Compilado 2023'!G:G)</f>
        <v>306</v>
      </c>
      <c r="H89" s="35">
        <f t="shared" si="24"/>
        <v>299.432734375</v>
      </c>
      <c r="I89" s="19">
        <f t="shared" si="25"/>
        <v>1961.6629032258063</v>
      </c>
      <c r="J89" s="122">
        <f t="shared" si="26"/>
        <v>39.076428408748015</v>
      </c>
      <c r="K89" s="18">
        <f>_xlfn.XLOOKUP($B:$B,'Compilado 2023'!$B:$B,'Compilado 2023'!K:K)</f>
        <v>7683</v>
      </c>
      <c r="L89" s="54">
        <f t="shared" si="27"/>
        <v>3.3320317584276976E-2</v>
      </c>
      <c r="M89" s="149"/>
      <c r="N89" s="106">
        <f>_xlfn.XLOOKUP($B:$B,'Compilado 2023'!$B:$B,'Compilado 2023'!N:N)</f>
        <v>1624.1</v>
      </c>
      <c r="O89" s="106">
        <f>_xlfn.XLOOKUP($B:$B,'Compilado 2023'!$B:$B,'Compilado 2023'!O:O)</f>
        <v>285.95</v>
      </c>
      <c r="P89" s="106">
        <f>_xlfn.XLOOKUP($B:$B,'Compilado 2023'!$B:$B,'Compilado 2023'!P:P)</f>
        <v>0</v>
      </c>
      <c r="Q89" s="106">
        <f>_xlfn.XLOOKUP($B:$B,'Compilado 2023'!$B:$B,'Compilado 2023'!Q:Q)</f>
        <v>51.612903225806448</v>
      </c>
      <c r="R89" s="106">
        <f>_xlfn.XLOOKUP($B:$B,'Compilado 2023'!$B:$B,'Compilado 2023'!R:R)</f>
        <v>0</v>
      </c>
      <c r="S89" s="106">
        <f>_xlfn.XLOOKUP($B:$B,'Compilado 2023'!$B:$B,'Compilado 2023'!T:T)</f>
        <v>0</v>
      </c>
      <c r="T89" s="106">
        <f>_xlfn.XLOOKUP($B:$B,'Compilado 2023'!$B:$B,'Compilado 2023'!U:U)</f>
        <v>0</v>
      </c>
      <c r="U89" s="106">
        <f>_xlfn.XLOOKUP($B:$B,'Compilado 2023'!$B:$B,'Compilado 2023'!V:V)</f>
        <v>0</v>
      </c>
      <c r="V89" s="57"/>
      <c r="W89" s="106">
        <f>_xlfn.XLOOKUP($B:$B,'Compilado 2023'!$B:$B,'Compilado 2023'!X:X)</f>
        <v>0</v>
      </c>
      <c r="X89" s="106">
        <f>_xlfn.XLOOKUP($B:$B,'Compilado 2023'!$B:$B,'Compilado 2023'!Y:Y)</f>
        <v>0</v>
      </c>
      <c r="Y89" s="106">
        <f>_xlfn.XLOOKUP($B:$B,'Compilado 2023'!$B:$B,'Compilado 2023'!Z:Z)</f>
        <v>0</v>
      </c>
      <c r="AA89" s="208">
        <v>45133</v>
      </c>
    </row>
    <row r="90" spans="1:27" hidden="1" x14ac:dyDescent="0.2">
      <c r="A90" s="17" t="str">
        <f t="shared" ca="1" si="28"/>
        <v>Realizado</v>
      </c>
      <c r="B90" s="17">
        <v>44922</v>
      </c>
      <c r="C90" s="19">
        <f t="shared" si="23"/>
        <v>69194.400000000009</v>
      </c>
      <c r="D90" s="35">
        <f>_xlfn.XLOOKUP($B:$B,'Compilado 2023'!$B:$B,'Compilado 2023'!D:D)</f>
        <v>69162.710000000006</v>
      </c>
      <c r="E90" s="35">
        <f>_xlfn.XLOOKUP($B:$B,'Compilado 2023'!$B:$B,'Compilado 2023'!E:E)</f>
        <v>31.69</v>
      </c>
      <c r="F90" s="18">
        <f>_xlfn.XLOOKUP($B:$B,'Compilado 2023'!$B:$B,'Compilado 2023'!F:F)</f>
        <v>225</v>
      </c>
      <c r="G90" s="18">
        <f>_xlfn.XLOOKUP($B:$B,'Compilado 2023'!$B:$B,'Compilado 2023'!G:G)</f>
        <v>314</v>
      </c>
      <c r="H90" s="35">
        <f t="shared" si="24"/>
        <v>307.53066666666672</v>
      </c>
      <c r="I90" s="19">
        <f t="shared" si="25"/>
        <v>1232.4529032258065</v>
      </c>
      <c r="J90" s="122">
        <f t="shared" si="26"/>
        <v>56.143646397271219</v>
      </c>
      <c r="K90" s="18">
        <f>_xlfn.XLOOKUP($B:$B,'Compilado 2023'!$B:$B,'Compilado 2023'!K:K)</f>
        <v>6295</v>
      </c>
      <c r="L90" s="54">
        <f t="shared" si="27"/>
        <v>3.5742652899126294E-2</v>
      </c>
      <c r="M90" s="149"/>
      <c r="N90" s="106">
        <f>_xlfn.XLOOKUP($B:$B,'Compilado 2023'!$B:$B,'Compilado 2023'!N:N)</f>
        <v>940.44</v>
      </c>
      <c r="O90" s="106">
        <f>_xlfn.XLOOKUP($B:$B,'Compilado 2023'!$B:$B,'Compilado 2023'!O:O)</f>
        <v>240.4</v>
      </c>
      <c r="P90" s="106">
        <f>_xlfn.XLOOKUP($B:$B,'Compilado 2023'!$B:$B,'Compilado 2023'!P:P)</f>
        <v>0</v>
      </c>
      <c r="Q90" s="106">
        <f>_xlfn.XLOOKUP($B:$B,'Compilado 2023'!$B:$B,'Compilado 2023'!Q:Q)</f>
        <v>51.612903225806448</v>
      </c>
      <c r="R90" s="106">
        <f>_xlfn.XLOOKUP($B:$B,'Compilado 2023'!$B:$B,'Compilado 2023'!R:R)</f>
        <v>0</v>
      </c>
      <c r="S90" s="106">
        <f>_xlfn.XLOOKUP($B:$B,'Compilado 2023'!$B:$B,'Compilado 2023'!T:T)</f>
        <v>0</v>
      </c>
      <c r="T90" s="106">
        <f>_xlfn.XLOOKUP($B:$B,'Compilado 2023'!$B:$B,'Compilado 2023'!U:U)</f>
        <v>0</v>
      </c>
      <c r="U90" s="106">
        <f>_xlfn.XLOOKUP($B:$B,'Compilado 2023'!$B:$B,'Compilado 2023'!V:V)</f>
        <v>0</v>
      </c>
      <c r="V90" s="57"/>
      <c r="W90" s="106">
        <f>_xlfn.XLOOKUP($B:$B,'Compilado 2023'!$B:$B,'Compilado 2023'!X:X)</f>
        <v>0</v>
      </c>
      <c r="X90" s="106">
        <f>_xlfn.XLOOKUP($B:$B,'Compilado 2023'!$B:$B,'Compilado 2023'!Y:Y)</f>
        <v>0</v>
      </c>
      <c r="Y90" s="106">
        <f>_xlfn.XLOOKUP($B:$B,'Compilado 2023'!$B:$B,'Compilado 2023'!Z:Z)</f>
        <v>0</v>
      </c>
      <c r="AA90" s="208">
        <v>45134</v>
      </c>
    </row>
    <row r="91" spans="1:27" hidden="1" x14ac:dyDescent="0.2">
      <c r="A91" s="17" t="str">
        <f t="shared" ca="1" si="28"/>
        <v>Realizado</v>
      </c>
      <c r="B91" s="17">
        <v>44923</v>
      </c>
      <c r="C91" s="19">
        <f t="shared" si="23"/>
        <v>60668.97</v>
      </c>
      <c r="D91" s="35">
        <f>_xlfn.XLOOKUP($B:$B,'Compilado 2023'!$B:$B,'Compilado 2023'!D:D)</f>
        <v>60668.97</v>
      </c>
      <c r="E91" s="35">
        <f>_xlfn.XLOOKUP($B:$B,'Compilado 2023'!$B:$B,'Compilado 2023'!E:E)</f>
        <v>0</v>
      </c>
      <c r="F91" s="18">
        <f>_xlfn.XLOOKUP($B:$B,'Compilado 2023'!$B:$B,'Compilado 2023'!F:F)</f>
        <v>203</v>
      </c>
      <c r="G91" s="18">
        <f>_xlfn.XLOOKUP($B:$B,'Compilado 2023'!$B:$B,'Compilado 2023'!G:G)</f>
        <v>255</v>
      </c>
      <c r="H91" s="35">
        <f t="shared" si="24"/>
        <v>298.86192118226603</v>
      </c>
      <c r="I91" s="19">
        <f t="shared" si="25"/>
        <v>927.78290322580642</v>
      </c>
      <c r="J91" s="122">
        <f t="shared" si="26"/>
        <v>65.391342941393063</v>
      </c>
      <c r="K91" s="18">
        <f>_xlfn.XLOOKUP($B:$B,'Compilado 2023'!$B:$B,'Compilado 2023'!K:K)</f>
        <v>5511</v>
      </c>
      <c r="L91" s="54">
        <f t="shared" si="27"/>
        <v>3.6835420068953004E-2</v>
      </c>
      <c r="M91" s="149"/>
      <c r="N91" s="106">
        <f>_xlfn.XLOOKUP($B:$B,'Compilado 2023'!$B:$B,'Compilado 2023'!N:N)</f>
        <v>661.43</v>
      </c>
      <c r="O91" s="106">
        <f>_xlfn.XLOOKUP($B:$B,'Compilado 2023'!$B:$B,'Compilado 2023'!O:O)</f>
        <v>214.74</v>
      </c>
      <c r="P91" s="106">
        <f>_xlfn.XLOOKUP($B:$B,'Compilado 2023'!$B:$B,'Compilado 2023'!P:P)</f>
        <v>0</v>
      </c>
      <c r="Q91" s="106">
        <f>_xlfn.XLOOKUP($B:$B,'Compilado 2023'!$B:$B,'Compilado 2023'!Q:Q)</f>
        <v>51.612903225806448</v>
      </c>
      <c r="R91" s="106">
        <f>_xlfn.XLOOKUP($B:$B,'Compilado 2023'!$B:$B,'Compilado 2023'!R:R)</f>
        <v>0</v>
      </c>
      <c r="S91" s="106">
        <f>_xlfn.XLOOKUP($B:$B,'Compilado 2023'!$B:$B,'Compilado 2023'!T:T)</f>
        <v>0</v>
      </c>
      <c r="T91" s="106">
        <f>_xlfn.XLOOKUP($B:$B,'Compilado 2023'!$B:$B,'Compilado 2023'!U:U)</f>
        <v>0</v>
      </c>
      <c r="U91" s="106">
        <f>_xlfn.XLOOKUP($B:$B,'Compilado 2023'!$B:$B,'Compilado 2023'!V:V)</f>
        <v>0</v>
      </c>
      <c r="V91" s="57"/>
      <c r="W91" s="106">
        <f>_xlfn.XLOOKUP($B:$B,'Compilado 2023'!$B:$B,'Compilado 2023'!X:X)</f>
        <v>0</v>
      </c>
      <c r="X91" s="106">
        <f>_xlfn.XLOOKUP($B:$B,'Compilado 2023'!$B:$B,'Compilado 2023'!Y:Y)</f>
        <v>0</v>
      </c>
      <c r="Y91" s="106">
        <f>_xlfn.XLOOKUP($B:$B,'Compilado 2023'!$B:$B,'Compilado 2023'!Z:Z)</f>
        <v>0</v>
      </c>
      <c r="AA91" s="208">
        <v>45135</v>
      </c>
    </row>
    <row r="92" spans="1:27" hidden="1" x14ac:dyDescent="0.2">
      <c r="A92" s="17" t="str">
        <f t="shared" ca="1" si="28"/>
        <v>Realizado</v>
      </c>
      <c r="B92" s="17">
        <v>44924</v>
      </c>
      <c r="C92" s="19">
        <f t="shared" si="23"/>
        <v>50730.98</v>
      </c>
      <c r="D92" s="35">
        <f>_xlfn.XLOOKUP($B:$B,'Compilado 2023'!$B:$B,'Compilado 2023'!D:D)</f>
        <v>50673.86</v>
      </c>
      <c r="E92" s="35">
        <f>_xlfn.XLOOKUP($B:$B,'Compilado 2023'!$B:$B,'Compilado 2023'!E:E)</f>
        <v>57.12</v>
      </c>
      <c r="F92" s="18">
        <f>_xlfn.XLOOKUP($B:$B,'Compilado 2023'!$B:$B,'Compilado 2023'!F:F)</f>
        <v>168</v>
      </c>
      <c r="G92" s="18">
        <f>_xlfn.XLOOKUP($B:$B,'Compilado 2023'!$B:$B,'Compilado 2023'!G:G)</f>
        <v>209</v>
      </c>
      <c r="H92" s="35">
        <f t="shared" si="24"/>
        <v>301.97011904761905</v>
      </c>
      <c r="I92" s="19">
        <f t="shared" si="25"/>
        <v>732.49290322580646</v>
      </c>
      <c r="J92" s="122">
        <f t="shared" si="26"/>
        <v>69.257981581237388</v>
      </c>
      <c r="K92" s="18">
        <f>_xlfn.XLOOKUP($B:$B,'Compilado 2023'!$B:$B,'Compilado 2023'!K:K)</f>
        <v>4715</v>
      </c>
      <c r="L92" s="54">
        <f t="shared" si="27"/>
        <v>3.5630965005302224E-2</v>
      </c>
      <c r="M92" s="149"/>
      <c r="N92" s="106">
        <f>_xlfn.XLOOKUP($B:$B,'Compilado 2023'!$B:$B,'Compilado 2023'!N:N)</f>
        <v>499.29</v>
      </c>
      <c r="O92" s="106">
        <f>_xlfn.XLOOKUP($B:$B,'Compilado 2023'!$B:$B,'Compilado 2023'!O:O)</f>
        <v>181.59</v>
      </c>
      <c r="P92" s="106">
        <f>_xlfn.XLOOKUP($B:$B,'Compilado 2023'!$B:$B,'Compilado 2023'!P:P)</f>
        <v>0</v>
      </c>
      <c r="Q92" s="106">
        <f>_xlfn.XLOOKUP($B:$B,'Compilado 2023'!$B:$B,'Compilado 2023'!Q:Q)</f>
        <v>51.612903225806448</v>
      </c>
      <c r="R92" s="106">
        <f>_xlfn.XLOOKUP($B:$B,'Compilado 2023'!$B:$B,'Compilado 2023'!R:R)</f>
        <v>0</v>
      </c>
      <c r="S92" s="106">
        <f>_xlfn.XLOOKUP($B:$B,'Compilado 2023'!$B:$B,'Compilado 2023'!T:T)</f>
        <v>0</v>
      </c>
      <c r="T92" s="106">
        <f>_xlfn.XLOOKUP($B:$B,'Compilado 2023'!$B:$B,'Compilado 2023'!U:U)</f>
        <v>0</v>
      </c>
      <c r="U92" s="106">
        <f>_xlfn.XLOOKUP($B:$B,'Compilado 2023'!$B:$B,'Compilado 2023'!V:V)</f>
        <v>0</v>
      </c>
      <c r="V92" s="57"/>
      <c r="W92" s="106">
        <f>_xlfn.XLOOKUP($B:$B,'Compilado 2023'!$B:$B,'Compilado 2023'!X:X)</f>
        <v>0</v>
      </c>
      <c r="X92" s="106">
        <f>_xlfn.XLOOKUP($B:$B,'Compilado 2023'!$B:$B,'Compilado 2023'!Y:Y)</f>
        <v>0</v>
      </c>
      <c r="Y92" s="106">
        <f>_xlfn.XLOOKUP($B:$B,'Compilado 2023'!$B:$B,'Compilado 2023'!Z:Z)</f>
        <v>0</v>
      </c>
      <c r="AA92" s="208">
        <v>45136</v>
      </c>
    </row>
    <row r="93" spans="1:27" hidden="1" x14ac:dyDescent="0.2">
      <c r="A93" s="17" t="str">
        <f t="shared" ca="1" si="28"/>
        <v>Realizado</v>
      </c>
      <c r="B93" s="17">
        <v>44925</v>
      </c>
      <c r="C93" s="19">
        <f t="shared" si="23"/>
        <v>62888.12</v>
      </c>
      <c r="D93" s="35">
        <f>_xlfn.XLOOKUP($B:$B,'Compilado 2023'!$B:$B,'Compilado 2023'!D:D)</f>
        <v>62888.12</v>
      </c>
      <c r="E93" s="35">
        <f>_xlfn.XLOOKUP($B:$B,'Compilado 2023'!$B:$B,'Compilado 2023'!E:E)</f>
        <v>0</v>
      </c>
      <c r="F93" s="18">
        <f>_xlfn.XLOOKUP($B:$B,'Compilado 2023'!$B:$B,'Compilado 2023'!F:F)</f>
        <v>122</v>
      </c>
      <c r="G93" s="18">
        <f>_xlfn.XLOOKUP($B:$B,'Compilado 2023'!$B:$B,'Compilado 2023'!G:G)</f>
        <v>298</v>
      </c>
      <c r="H93" s="35">
        <f t="shared" si="24"/>
        <v>515.47639344262302</v>
      </c>
      <c r="I93" s="19">
        <f t="shared" si="25"/>
        <v>526.47290322580648</v>
      </c>
      <c r="J93" s="122">
        <f t="shared" si="26"/>
        <v>119.4517697200971</v>
      </c>
      <c r="K93" s="18">
        <f>_xlfn.XLOOKUP($B:$B,'Compilado 2023'!$B:$B,'Compilado 2023'!K:K)</f>
        <v>3751</v>
      </c>
      <c r="L93" s="54">
        <f t="shared" si="27"/>
        <v>3.2524660090642497E-2</v>
      </c>
      <c r="M93" s="149"/>
      <c r="N93" s="106">
        <f>_xlfn.XLOOKUP($B:$B,'Compilado 2023'!$B:$B,'Compilado 2023'!N:N)</f>
        <v>316.07</v>
      </c>
      <c r="O93" s="106">
        <f>_xlfn.XLOOKUP($B:$B,'Compilado 2023'!$B:$B,'Compilado 2023'!O:O)</f>
        <v>158.79</v>
      </c>
      <c r="P93" s="106">
        <f>_xlfn.XLOOKUP($B:$B,'Compilado 2023'!$B:$B,'Compilado 2023'!P:P)</f>
        <v>0</v>
      </c>
      <c r="Q93" s="106">
        <f>_xlfn.XLOOKUP($B:$B,'Compilado 2023'!$B:$B,'Compilado 2023'!Q:Q)</f>
        <v>51.612903225806448</v>
      </c>
      <c r="R93" s="106">
        <f>_xlfn.XLOOKUP($B:$B,'Compilado 2023'!$B:$B,'Compilado 2023'!R:R)</f>
        <v>0</v>
      </c>
      <c r="S93" s="106">
        <f>_xlfn.XLOOKUP($B:$B,'Compilado 2023'!$B:$B,'Compilado 2023'!T:T)</f>
        <v>0</v>
      </c>
      <c r="T93" s="106">
        <f>_xlfn.XLOOKUP($B:$B,'Compilado 2023'!$B:$B,'Compilado 2023'!U:U)</f>
        <v>0</v>
      </c>
      <c r="U93" s="106">
        <f>_xlfn.XLOOKUP($B:$B,'Compilado 2023'!$B:$B,'Compilado 2023'!V:V)</f>
        <v>0</v>
      </c>
      <c r="V93" s="57"/>
      <c r="W93" s="106">
        <f>_xlfn.XLOOKUP($B:$B,'Compilado 2023'!$B:$B,'Compilado 2023'!X:X)</f>
        <v>0</v>
      </c>
      <c r="X93" s="106">
        <f>_xlfn.XLOOKUP($B:$B,'Compilado 2023'!$B:$B,'Compilado 2023'!Y:Y)</f>
        <v>0</v>
      </c>
      <c r="Y93" s="106">
        <f>_xlfn.XLOOKUP($B:$B,'Compilado 2023'!$B:$B,'Compilado 2023'!Z:Z)</f>
        <v>0</v>
      </c>
      <c r="AA93" s="208">
        <v>45137</v>
      </c>
    </row>
    <row r="94" spans="1:27" hidden="1" x14ac:dyDescent="0.2">
      <c r="A94" s="17" t="str">
        <f t="shared" ca="1" si="28"/>
        <v>Realizado</v>
      </c>
      <c r="B94" s="17">
        <v>44926</v>
      </c>
      <c r="C94" s="19">
        <f t="shared" si="23"/>
        <v>27474.32</v>
      </c>
      <c r="D94" s="35">
        <f>_xlfn.XLOOKUP($B:$B,'Compilado 2023'!$B:$B,'Compilado 2023'!D:D)</f>
        <v>27474.32</v>
      </c>
      <c r="E94" s="35">
        <f>_xlfn.XLOOKUP($B:$B,'Compilado 2023'!$B:$B,'Compilado 2023'!E:E)</f>
        <v>0</v>
      </c>
      <c r="F94" s="18">
        <f>_xlfn.XLOOKUP($B:$B,'Compilado 2023'!$B:$B,'Compilado 2023'!F:F)</f>
        <v>75</v>
      </c>
      <c r="G94" s="18">
        <f>_xlfn.XLOOKUP($B:$B,'Compilado 2023'!$B:$B,'Compilado 2023'!G:G)</f>
        <v>93</v>
      </c>
      <c r="H94" s="35">
        <f t="shared" si="24"/>
        <v>366.32426666666669</v>
      </c>
      <c r="I94" s="19">
        <f t="shared" si="25"/>
        <v>382.37290322580645</v>
      </c>
      <c r="J94" s="122">
        <f t="shared" si="26"/>
        <v>71.852162557071466</v>
      </c>
      <c r="K94" s="18">
        <f>_xlfn.XLOOKUP($B:$B,'Compilado 2023'!$B:$B,'Compilado 2023'!K:K)</f>
        <v>1968</v>
      </c>
      <c r="L94" s="54">
        <f t="shared" si="27"/>
        <v>3.8109756097560975E-2</v>
      </c>
      <c r="M94" s="149"/>
      <c r="N94" s="106">
        <f>_xlfn.XLOOKUP($B:$B,'Compilado 2023'!$B:$B,'Compilado 2023'!N:N)</f>
        <v>205.7</v>
      </c>
      <c r="O94" s="106">
        <f>_xlfn.XLOOKUP($B:$B,'Compilado 2023'!$B:$B,'Compilado 2023'!O:O)</f>
        <v>125.06</v>
      </c>
      <c r="P94" s="106">
        <f>_xlfn.XLOOKUP($B:$B,'Compilado 2023'!$B:$B,'Compilado 2023'!P:P)</f>
        <v>0</v>
      </c>
      <c r="Q94" s="106">
        <f>_xlfn.XLOOKUP($B:$B,'Compilado 2023'!$B:$B,'Compilado 2023'!Q:Q)</f>
        <v>51.612903225806448</v>
      </c>
      <c r="R94" s="106">
        <f>_xlfn.XLOOKUP($B:$B,'Compilado 2023'!$B:$B,'Compilado 2023'!R:R)</f>
        <v>0</v>
      </c>
      <c r="S94" s="106">
        <f>_xlfn.XLOOKUP($B:$B,'Compilado 2023'!$B:$B,'Compilado 2023'!T:T)</f>
        <v>0</v>
      </c>
      <c r="T94" s="106">
        <f>_xlfn.XLOOKUP($B:$B,'Compilado 2023'!$B:$B,'Compilado 2023'!U:U)</f>
        <v>0</v>
      </c>
      <c r="U94" s="106">
        <f>_xlfn.XLOOKUP($B:$B,'Compilado 2023'!$B:$B,'Compilado 2023'!V:V)</f>
        <v>0</v>
      </c>
      <c r="V94" s="57"/>
      <c r="W94" s="106">
        <f>_xlfn.XLOOKUP($B:$B,'Compilado 2023'!$B:$B,'Compilado 2023'!X:X)</f>
        <v>0</v>
      </c>
      <c r="X94" s="106">
        <f>_xlfn.XLOOKUP($B:$B,'Compilado 2023'!$B:$B,'Compilado 2023'!Y:Y)</f>
        <v>0</v>
      </c>
      <c r="Y94" s="106">
        <f>_xlfn.XLOOKUP($B:$B,'Compilado 2023'!$B:$B,'Compilado 2023'!Z:Z)</f>
        <v>0</v>
      </c>
      <c r="AA94" s="208">
        <v>45138</v>
      </c>
    </row>
  </sheetData>
  <mergeCells count="3">
    <mergeCell ref="B41:D41"/>
    <mergeCell ref="B49:D49"/>
    <mergeCell ref="B57:D57"/>
  </mergeCells>
  <conditionalFormatting sqref="A64:A94">
    <cfRule type="cellIs" dxfId="24" priority="23" operator="equal">
      <formula>"Realizado"</formula>
    </cfRule>
    <cfRule type="cellIs" dxfId="23" priority="24" operator="equal">
      <formula>TODAY()</formula>
    </cfRule>
    <cfRule type="cellIs" dxfId="22" priority="25" operator="equal">
      <formula>"Realizado"</formula>
    </cfRule>
  </conditionalFormatting>
  <conditionalFormatting sqref="A63:B94">
    <cfRule type="cellIs" dxfId="21" priority="26" operator="equal">
      <formula>TODAY()</formula>
    </cfRule>
  </conditionalFormatting>
  <conditionalFormatting sqref="B4:H34">
    <cfRule type="cellIs" dxfId="20" priority="57" operator="equal">
      <formula>TODAY()</formula>
    </cfRule>
  </conditionalFormatting>
  <conditionalFormatting sqref="C65:D93">
    <cfRule type="cellIs" dxfId="19" priority="21" operator="equal">
      <formula>$A$1</formula>
    </cfRule>
    <cfRule type="cellIs" dxfId="18" priority="22" operator="equal">
      <formula>TODAY()</formula>
    </cfRule>
  </conditionalFormatting>
  <conditionalFormatting sqref="C64:H94">
    <cfRule type="cellIs" dxfId="17" priority="1" operator="equal">
      <formula>TODAY()</formula>
    </cfRule>
  </conditionalFormatting>
  <conditionalFormatting sqref="C94:H94">
    <cfRule type="cellIs" dxfId="16" priority="18" operator="equal">
      <formula>$A$1</formula>
    </cfRule>
  </conditionalFormatting>
  <conditionalFormatting sqref="C46:L46">
    <cfRule type="cellIs" dxfId="15" priority="55" operator="lessThan">
      <formula>0</formula>
    </cfRule>
  </conditionalFormatting>
  <conditionalFormatting sqref="C47:L47">
    <cfRule type="cellIs" dxfId="14" priority="36" operator="lessThan">
      <formula>0</formula>
    </cfRule>
  </conditionalFormatting>
  <conditionalFormatting sqref="C53:L53">
    <cfRule type="cellIs" dxfId="13" priority="53" operator="lessThan">
      <formula>0</formula>
    </cfRule>
  </conditionalFormatting>
  <conditionalFormatting sqref="C54:L54">
    <cfRule type="cellIs" dxfId="12" priority="37" operator="lessThan">
      <formula>0</formula>
    </cfRule>
  </conditionalFormatting>
  <conditionalFormatting sqref="C61:L61">
    <cfRule type="cellIs" dxfId="11" priority="41" operator="lessThan">
      <formula>0</formula>
    </cfRule>
  </conditionalFormatting>
  <conditionalFormatting sqref="C62:L62">
    <cfRule type="cellIs" dxfId="10" priority="38" operator="lessThan">
      <formula>0</formula>
    </cfRule>
  </conditionalFormatting>
  <conditionalFormatting sqref="N4:Q34">
    <cfRule type="cellIs" dxfId="9" priority="72" operator="equal">
      <formula>TODAY()</formula>
    </cfRule>
  </conditionalFormatting>
  <conditionalFormatting sqref="N64:U94">
    <cfRule type="cellIs" dxfId="8" priority="5" operator="equal">
      <formula>TODAY()</formula>
    </cfRule>
  </conditionalFormatting>
  <conditionalFormatting sqref="R4 R5:S34">
    <cfRule type="cellIs" dxfId="7" priority="71" operator="equal">
      <formula>TODAY()</formula>
    </cfRule>
  </conditionalFormatting>
  <conditionalFormatting sqref="S4:U34">
    <cfRule type="cellIs" dxfId="6" priority="62" operator="equal">
      <formula>TODAY()</formula>
    </cfRule>
  </conditionalFormatting>
  <conditionalFormatting sqref="W4:Y34">
    <cfRule type="cellIs" dxfId="5" priority="60" operator="equal">
      <formula>TODAY()</formula>
    </cfRule>
  </conditionalFormatting>
  <conditionalFormatting sqref="W64:Y94">
    <cfRule type="cellIs" dxfId="4" priority="3" operator="equal">
      <formula>TODAY()</formula>
    </cfRule>
  </conditionalFormatting>
  <conditionalFormatting sqref="AA4:AA34">
    <cfRule type="cellIs" dxfId="3" priority="65" operator="equal">
      <formula>TODAY()</formula>
    </cfRule>
  </conditionalFormatting>
  <conditionalFormatting sqref="AA64:AA94">
    <cfRule type="cellIs" dxfId="2" priority="19" operator="equal">
      <formula>TODAY()</formula>
    </cfRule>
  </conditionalFormatting>
  <printOptions horizontalCentered="1" gridLines="1"/>
  <pageMargins left="0.7" right="0.7" top="0.75" bottom="0.75" header="0" footer="0"/>
  <pageSetup paperSize="9" fitToWidth="0" pageOrder="overThenDown" orientation="landscape" cellComments="atEnd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361AB-8BD1-4799-84DF-27310388B755}">
  <sheetPr codeName="Planilha17"/>
  <dimension ref="A1:AB14"/>
  <sheetViews>
    <sheetView showGridLines="0" workbookViewId="0">
      <selection activeCell="F14" sqref="F14"/>
    </sheetView>
  </sheetViews>
  <sheetFormatPr defaultRowHeight="12.75" x14ac:dyDescent="0.2"/>
  <cols>
    <col min="1" max="1" width="9.42578125" bestFit="1" customWidth="1"/>
    <col min="2" max="2" width="3" bestFit="1" customWidth="1"/>
    <col min="3" max="3" width="5.140625" bestFit="1" customWidth="1"/>
    <col min="5" max="5" width="12.85546875" bestFit="1" customWidth="1"/>
    <col min="6" max="6" width="17.28515625" bestFit="1" customWidth="1"/>
    <col min="7" max="7" width="16.85546875" bestFit="1" customWidth="1"/>
    <col min="8" max="8" width="12.140625" bestFit="1" customWidth="1"/>
    <col min="9" max="9" width="13" bestFit="1" customWidth="1"/>
    <col min="10" max="10" width="10" bestFit="1" customWidth="1"/>
    <col min="11" max="11" width="15.42578125" bestFit="1" customWidth="1"/>
    <col min="12" max="12" width="17.28515625" bestFit="1" customWidth="1"/>
    <col min="13" max="13" width="14.28515625" bestFit="1" customWidth="1"/>
    <col min="14" max="14" width="13.42578125" bestFit="1" customWidth="1"/>
    <col min="15" max="15" width="15.28515625" bestFit="1" customWidth="1"/>
    <col min="17" max="17" width="14.28515625" bestFit="1" customWidth="1"/>
    <col min="18" max="18" width="14.5703125" bestFit="1" customWidth="1"/>
    <col min="19" max="19" width="9.85546875" bestFit="1" customWidth="1"/>
    <col min="20" max="20" width="13.28515625" bestFit="1" customWidth="1"/>
    <col min="21" max="21" width="13.5703125" bestFit="1" customWidth="1"/>
    <col min="22" max="22" width="13.42578125" bestFit="1" customWidth="1"/>
    <col min="23" max="23" width="11.140625" bestFit="1" customWidth="1"/>
    <col min="25" max="25" width="11.28515625" bestFit="1" customWidth="1"/>
    <col min="26" max="26" width="13.42578125" bestFit="1" customWidth="1"/>
    <col min="27" max="27" width="11.140625" bestFit="1" customWidth="1"/>
  </cols>
  <sheetData>
    <row r="1" spans="1:28" ht="17.25" thickBot="1" x14ac:dyDescent="0.4">
      <c r="A1" s="110" t="s">
        <v>23</v>
      </c>
      <c r="B1">
        <v>1</v>
      </c>
      <c r="C1" s="110" t="s">
        <v>197</v>
      </c>
      <c r="E1" s="86" t="s">
        <v>153</v>
      </c>
      <c r="F1" s="86" t="s">
        <v>75</v>
      </c>
      <c r="G1" s="86" t="s">
        <v>154</v>
      </c>
      <c r="H1" s="86" t="s">
        <v>77</v>
      </c>
      <c r="I1" s="86" t="s">
        <v>78</v>
      </c>
      <c r="J1" s="86" t="s">
        <v>79</v>
      </c>
      <c r="K1" s="86" t="s">
        <v>80</v>
      </c>
      <c r="L1" s="86" t="s">
        <v>81</v>
      </c>
      <c r="M1" s="86" t="s">
        <v>82</v>
      </c>
      <c r="N1" s="86" t="s">
        <v>40</v>
      </c>
      <c r="O1" s="86" t="s">
        <v>83</v>
      </c>
      <c r="Q1" s="86" t="s">
        <v>85</v>
      </c>
      <c r="R1" s="86" t="s">
        <v>155</v>
      </c>
      <c r="S1" s="86" t="s">
        <v>87</v>
      </c>
      <c r="T1" s="86" t="s">
        <v>88</v>
      </c>
      <c r="U1" s="86" t="s">
        <v>89</v>
      </c>
      <c r="V1" s="86" t="s">
        <v>91</v>
      </c>
      <c r="W1" s="86" t="s">
        <v>92</v>
      </c>
      <c r="X1" s="86"/>
      <c r="Y1" s="86" t="s">
        <v>88</v>
      </c>
      <c r="Z1" s="86" t="s">
        <v>91</v>
      </c>
      <c r="AA1" s="86" t="s">
        <v>92</v>
      </c>
      <c r="AB1" s="37"/>
    </row>
    <row r="2" spans="1:28" ht="13.5" thickTop="1" x14ac:dyDescent="0.2">
      <c r="A2" s="110" t="s">
        <v>24</v>
      </c>
      <c r="B2">
        <v>2</v>
      </c>
      <c r="C2" s="110" t="s">
        <v>198</v>
      </c>
      <c r="E2" s="112">
        <v>44562</v>
      </c>
      <c r="F2" s="113">
        <v>734495.29000000015</v>
      </c>
      <c r="G2" s="113">
        <v>734200.77000000014</v>
      </c>
      <c r="H2" s="113">
        <v>294.52000000000004</v>
      </c>
      <c r="I2" s="114">
        <v>2545</v>
      </c>
      <c r="J2" s="114">
        <v>3082</v>
      </c>
      <c r="K2" s="113">
        <f>F2/I2</f>
        <v>288.60325736738707</v>
      </c>
      <c r="L2" s="113">
        <f>SUM(Q2:W2)</f>
        <v>19520.620000000003</v>
      </c>
      <c r="M2" s="116">
        <f>F2/L2</f>
        <v>37.626637371149073</v>
      </c>
      <c r="N2" s="114">
        <v>102098</v>
      </c>
      <c r="O2" s="115">
        <f>I2/N2</f>
        <v>2.4927030891888184E-2</v>
      </c>
      <c r="Q2" s="113">
        <v>10242.200000000001</v>
      </c>
      <c r="R2" s="113">
        <v>7678.42</v>
      </c>
      <c r="S2" s="113">
        <v>0</v>
      </c>
      <c r="T2" s="113">
        <v>1600</v>
      </c>
      <c r="U2" s="113">
        <v>0</v>
      </c>
    </row>
    <row r="3" spans="1:28" x14ac:dyDescent="0.2">
      <c r="A3" s="110" t="s">
        <v>25</v>
      </c>
      <c r="B3">
        <v>3</v>
      </c>
      <c r="C3" s="110" t="s">
        <v>199</v>
      </c>
      <c r="E3" s="112">
        <v>44593</v>
      </c>
      <c r="F3" s="113">
        <v>932931.16999999981</v>
      </c>
      <c r="G3" s="113">
        <v>932586.94999999984</v>
      </c>
      <c r="H3" s="113">
        <v>344.22</v>
      </c>
      <c r="I3" s="114">
        <v>3110</v>
      </c>
      <c r="J3" s="114">
        <v>3819</v>
      </c>
      <c r="K3" s="113">
        <f t="shared" ref="K3:K13" si="0">F3/I3</f>
        <v>299.97786816720253</v>
      </c>
      <c r="L3" s="113">
        <f t="shared" ref="L3:L13" si="1">SUM(Q3:W3)</f>
        <v>26595.17</v>
      </c>
      <c r="M3" s="116">
        <f t="shared" ref="M3:M13" si="2">F3/L3</f>
        <v>35.078969978383292</v>
      </c>
      <c r="N3" s="114">
        <v>99193</v>
      </c>
      <c r="O3" s="115">
        <f t="shared" ref="O3:O14" si="3">I3/N3</f>
        <v>3.1353018862218099E-2</v>
      </c>
      <c r="Q3" s="113">
        <v>13137.250000000002</v>
      </c>
      <c r="R3" s="113">
        <v>11857.919999999996</v>
      </c>
      <c r="S3" s="113"/>
      <c r="T3" s="113">
        <v>1600</v>
      </c>
      <c r="U3" s="113">
        <v>0</v>
      </c>
    </row>
    <row r="4" spans="1:28" x14ac:dyDescent="0.2">
      <c r="A4" s="110" t="s">
        <v>26</v>
      </c>
      <c r="B4">
        <v>4</v>
      </c>
      <c r="C4" s="110" t="s">
        <v>200</v>
      </c>
      <c r="E4" s="112">
        <v>44621</v>
      </c>
      <c r="F4" s="113">
        <v>1077514.7199999997</v>
      </c>
      <c r="G4" s="113">
        <v>1077261.3400000001</v>
      </c>
      <c r="H4" s="113">
        <v>253.38</v>
      </c>
      <c r="I4" s="114">
        <v>3901</v>
      </c>
      <c r="J4" s="114">
        <v>5161</v>
      </c>
      <c r="K4" s="113">
        <f t="shared" si="0"/>
        <v>276.21500128172255</v>
      </c>
      <c r="L4" s="113">
        <f t="shared" si="1"/>
        <v>16759.53</v>
      </c>
      <c r="M4" s="116">
        <f t="shared" si="2"/>
        <v>64.292657371656588</v>
      </c>
      <c r="N4" s="114">
        <v>111082</v>
      </c>
      <c r="O4" s="115">
        <f t="shared" si="3"/>
        <v>3.5118200968653784E-2</v>
      </c>
      <c r="Q4" s="113">
        <v>6581.9399999999987</v>
      </c>
      <c r="R4" s="113">
        <v>8577.5899999999983</v>
      </c>
      <c r="S4" s="113"/>
      <c r="T4" s="113">
        <v>1600</v>
      </c>
      <c r="U4" s="113">
        <v>0</v>
      </c>
    </row>
    <row r="5" spans="1:28" x14ac:dyDescent="0.2">
      <c r="A5" s="110" t="s">
        <v>27</v>
      </c>
      <c r="B5">
        <v>5</v>
      </c>
      <c r="C5" s="110" t="s">
        <v>201</v>
      </c>
      <c r="E5" s="112">
        <v>44652</v>
      </c>
      <c r="F5" s="113">
        <v>1192462.82</v>
      </c>
      <c r="G5" s="113">
        <v>1192151.3600000003</v>
      </c>
      <c r="H5" s="113">
        <v>311.45999999999998</v>
      </c>
      <c r="I5" s="114">
        <v>4346</v>
      </c>
      <c r="J5" s="114">
        <v>5861</v>
      </c>
      <c r="K5" s="113">
        <f t="shared" si="0"/>
        <v>274.38168890934196</v>
      </c>
      <c r="L5" s="113">
        <f t="shared" si="1"/>
        <v>20747.850000000006</v>
      </c>
      <c r="M5" s="116">
        <f t="shared" si="2"/>
        <v>57.474042852632913</v>
      </c>
      <c r="N5" s="114">
        <v>111118</v>
      </c>
      <c r="O5" s="115">
        <f t="shared" si="3"/>
        <v>3.9111575082344897E-2</v>
      </c>
      <c r="Q5" s="113">
        <v>13826.570000000005</v>
      </c>
      <c r="R5" s="113">
        <v>5321.2799999999988</v>
      </c>
      <c r="S5" s="113"/>
      <c r="T5" s="113">
        <v>1600</v>
      </c>
      <c r="U5" s="113">
        <v>0</v>
      </c>
    </row>
    <row r="6" spans="1:28" x14ac:dyDescent="0.2">
      <c r="A6" s="110" t="s">
        <v>8</v>
      </c>
      <c r="B6">
        <v>7</v>
      </c>
      <c r="C6" s="110" t="s">
        <v>202</v>
      </c>
      <c r="E6" s="112">
        <v>44682</v>
      </c>
      <c r="F6" s="113">
        <v>2504733.5500000003</v>
      </c>
      <c r="G6" s="113">
        <v>2504557.9200000004</v>
      </c>
      <c r="H6" s="113">
        <v>175.63000000000002</v>
      </c>
      <c r="I6" s="114">
        <v>8271</v>
      </c>
      <c r="J6" s="114">
        <v>10149</v>
      </c>
      <c r="K6" s="113">
        <f t="shared" si="0"/>
        <v>302.83321847418694</v>
      </c>
      <c r="L6" s="113">
        <f t="shared" si="1"/>
        <v>23421.310000000005</v>
      </c>
      <c r="M6" s="116">
        <f t="shared" si="2"/>
        <v>106.94250449697304</v>
      </c>
      <c r="N6" s="114">
        <v>145178</v>
      </c>
      <c r="O6" s="115">
        <f t="shared" si="3"/>
        <v>5.6971441954015073E-2</v>
      </c>
      <c r="Q6" s="113">
        <v>14885.130000000001</v>
      </c>
      <c r="R6" s="113">
        <v>6936.1800000000021</v>
      </c>
      <c r="S6" s="113"/>
      <c r="T6" s="113">
        <v>1600</v>
      </c>
      <c r="U6" s="113">
        <v>0</v>
      </c>
    </row>
    <row r="7" spans="1:28" x14ac:dyDescent="0.2">
      <c r="A7" s="110" t="s">
        <v>4</v>
      </c>
      <c r="B7">
        <v>6</v>
      </c>
      <c r="C7" s="110" t="s">
        <v>203</v>
      </c>
      <c r="E7" s="112">
        <v>44713</v>
      </c>
      <c r="F7" s="113">
        <v>1505467.4300000004</v>
      </c>
      <c r="G7" s="113">
        <v>1505191.8399999999</v>
      </c>
      <c r="H7" s="113">
        <v>275.59000000000003</v>
      </c>
      <c r="I7" s="114">
        <v>4940</v>
      </c>
      <c r="J7" s="114">
        <v>5814</v>
      </c>
      <c r="K7" s="113">
        <f t="shared" si="0"/>
        <v>304.75049190283409</v>
      </c>
      <c r="L7" s="113">
        <f t="shared" si="1"/>
        <v>28107.670000000006</v>
      </c>
      <c r="M7" s="116">
        <f t="shared" si="2"/>
        <v>53.560733778360145</v>
      </c>
      <c r="N7" s="114">
        <v>103782</v>
      </c>
      <c r="O7" s="115">
        <f t="shared" si="3"/>
        <v>4.7599776454491143E-2</v>
      </c>
      <c r="Q7" s="113">
        <v>17906.95</v>
      </c>
      <c r="R7" s="113">
        <v>8600.720000000003</v>
      </c>
      <c r="S7" s="113"/>
      <c r="T7" s="113">
        <v>1600</v>
      </c>
      <c r="U7" s="113">
        <v>0</v>
      </c>
    </row>
    <row r="8" spans="1:28" x14ac:dyDescent="0.2">
      <c r="A8" s="110" t="s">
        <v>8</v>
      </c>
      <c r="B8">
        <v>7</v>
      </c>
      <c r="C8" s="110" t="s">
        <v>202</v>
      </c>
      <c r="E8" s="112">
        <v>44743</v>
      </c>
      <c r="F8" s="113">
        <v>1090274.3299999998</v>
      </c>
      <c r="G8" s="113">
        <v>1089982.27</v>
      </c>
      <c r="H8" s="113">
        <v>292.05999999999995</v>
      </c>
      <c r="I8" s="114">
        <v>3930</v>
      </c>
      <c r="J8" s="114">
        <v>4989</v>
      </c>
      <c r="K8" s="113">
        <f t="shared" si="0"/>
        <v>277.4234936386768</v>
      </c>
      <c r="L8" s="113">
        <f t="shared" si="1"/>
        <v>22770.15</v>
      </c>
      <c r="M8" s="116">
        <f t="shared" si="2"/>
        <v>47.881736835286539</v>
      </c>
      <c r="N8" s="114">
        <v>106442</v>
      </c>
      <c r="O8" s="115">
        <f t="shared" si="3"/>
        <v>3.6921515942954848E-2</v>
      </c>
      <c r="Q8" s="113">
        <v>14506.720000000001</v>
      </c>
      <c r="R8" s="113">
        <v>6663.4299999999985</v>
      </c>
      <c r="S8" s="113"/>
      <c r="T8" s="113">
        <v>1600</v>
      </c>
      <c r="U8" s="113">
        <v>0</v>
      </c>
    </row>
    <row r="9" spans="1:28" x14ac:dyDescent="0.2">
      <c r="A9" s="110" t="s">
        <v>17</v>
      </c>
      <c r="B9">
        <v>8</v>
      </c>
      <c r="C9" s="110" t="s">
        <v>204</v>
      </c>
      <c r="E9" s="112">
        <v>44774</v>
      </c>
      <c r="F9" s="113">
        <v>1423209.8800000001</v>
      </c>
      <c r="G9" s="113">
        <v>1423009.2</v>
      </c>
      <c r="H9" s="113">
        <v>200.68</v>
      </c>
      <c r="I9" s="114">
        <v>5306</v>
      </c>
      <c r="J9" s="114">
        <v>6585</v>
      </c>
      <c r="K9" s="113">
        <f t="shared" si="0"/>
        <v>268.22651338107806</v>
      </c>
      <c r="L9" s="113">
        <f t="shared" si="1"/>
        <v>28933.86</v>
      </c>
      <c r="M9" s="116">
        <f t="shared" si="2"/>
        <v>49.188386202186642</v>
      </c>
      <c r="N9" s="114">
        <v>119198</v>
      </c>
      <c r="O9" s="115">
        <f>I9/N9</f>
        <v>4.4514169700833904E-2</v>
      </c>
      <c r="Q9" s="113">
        <v>17331.889999999996</v>
      </c>
      <c r="R9" s="113">
        <v>10001.970000000003</v>
      </c>
      <c r="S9" s="113"/>
      <c r="T9" s="113">
        <v>1600</v>
      </c>
      <c r="U9" s="113">
        <v>0</v>
      </c>
    </row>
    <row r="10" spans="1:28" x14ac:dyDescent="0.2">
      <c r="A10" s="110" t="s">
        <v>28</v>
      </c>
      <c r="B10">
        <v>9</v>
      </c>
      <c r="C10" s="110" t="s">
        <v>205</v>
      </c>
      <c r="E10" s="112">
        <v>44805</v>
      </c>
      <c r="F10" s="113">
        <v>1500212.96</v>
      </c>
      <c r="G10" s="113">
        <v>1500070.37</v>
      </c>
      <c r="H10" s="113">
        <v>142.59</v>
      </c>
      <c r="I10" s="114">
        <v>5790</v>
      </c>
      <c r="J10" s="114">
        <v>8221</v>
      </c>
      <c r="K10" s="113">
        <f t="shared" si="0"/>
        <v>259.10413816925734</v>
      </c>
      <c r="L10" s="113">
        <f t="shared" si="1"/>
        <v>29743.859999999997</v>
      </c>
      <c r="M10" s="116">
        <f>F10/L10</f>
        <v>50.437736057122379</v>
      </c>
      <c r="N10" s="114">
        <v>126979</v>
      </c>
      <c r="O10" s="115">
        <f t="shared" si="3"/>
        <v>4.5598091022925051E-2</v>
      </c>
      <c r="Q10" s="113">
        <v>19357.749999999996</v>
      </c>
      <c r="R10" s="113">
        <v>8786.11</v>
      </c>
      <c r="S10" s="113"/>
      <c r="T10" s="113">
        <v>1600</v>
      </c>
      <c r="U10" s="113">
        <v>0</v>
      </c>
    </row>
    <row r="11" spans="1:28" x14ac:dyDescent="0.2">
      <c r="A11" s="110" t="s">
        <v>29</v>
      </c>
      <c r="B11">
        <v>10</v>
      </c>
      <c r="C11" s="110" t="s">
        <v>206</v>
      </c>
      <c r="E11" s="112">
        <v>44835</v>
      </c>
      <c r="F11" s="113">
        <v>1430837.0399999998</v>
      </c>
      <c r="G11" s="113">
        <v>1430558.34</v>
      </c>
      <c r="H11" s="113">
        <v>278.70000000000005</v>
      </c>
      <c r="I11" s="114">
        <v>4869</v>
      </c>
      <c r="J11" s="114">
        <v>6539</v>
      </c>
      <c r="K11" s="113">
        <f t="shared" si="0"/>
        <v>293.86671595810225</v>
      </c>
      <c r="L11" s="113">
        <f t="shared" si="1"/>
        <v>23580.86</v>
      </c>
      <c r="M11" s="116">
        <f t="shared" si="2"/>
        <v>60.677898940072573</v>
      </c>
      <c r="N11" s="114">
        <v>121907</v>
      </c>
      <c r="O11" s="115">
        <f t="shared" si="3"/>
        <v>3.9940282346378794E-2</v>
      </c>
      <c r="Q11" s="113">
        <v>11720.549999999997</v>
      </c>
      <c r="R11" s="113">
        <v>10260.310000000001</v>
      </c>
      <c r="S11" s="113"/>
      <c r="T11" s="113">
        <v>1600</v>
      </c>
      <c r="U11" s="113">
        <v>0</v>
      </c>
    </row>
    <row r="12" spans="1:28" x14ac:dyDescent="0.2">
      <c r="A12" s="110" t="s">
        <v>30</v>
      </c>
      <c r="B12">
        <v>11</v>
      </c>
      <c r="C12" s="110" t="s">
        <v>207</v>
      </c>
      <c r="E12" s="112">
        <v>44866</v>
      </c>
      <c r="F12" s="113">
        <v>1836530.5</v>
      </c>
      <c r="G12" s="113">
        <v>1836180.64</v>
      </c>
      <c r="H12" s="113">
        <v>349.86</v>
      </c>
      <c r="I12" s="114">
        <v>6556</v>
      </c>
      <c r="J12" s="114">
        <v>9839</v>
      </c>
      <c r="K12" s="113">
        <f t="shared" si="0"/>
        <v>280.12972849298353</v>
      </c>
      <c r="L12" s="113">
        <f t="shared" si="1"/>
        <v>30832.940000000002</v>
      </c>
      <c r="M12" s="116">
        <f t="shared" si="2"/>
        <v>59.563911193677924</v>
      </c>
      <c r="N12" s="114">
        <v>140667</v>
      </c>
      <c r="O12" s="115">
        <f t="shared" si="3"/>
        <v>4.6606524629088555E-2</v>
      </c>
      <c r="Q12" s="113">
        <v>18279.2</v>
      </c>
      <c r="R12" s="113">
        <v>10953.74</v>
      </c>
      <c r="S12" s="113"/>
      <c r="T12" s="113">
        <v>1600</v>
      </c>
      <c r="U12" s="113">
        <v>0</v>
      </c>
    </row>
    <row r="13" spans="1:28" x14ac:dyDescent="0.2">
      <c r="A13" s="110" t="s">
        <v>31</v>
      </c>
      <c r="B13">
        <v>12</v>
      </c>
      <c r="C13" s="110" t="s">
        <v>208</v>
      </c>
      <c r="E13" s="112">
        <v>44896</v>
      </c>
      <c r="F13" s="113">
        <v>3470256.77</v>
      </c>
      <c r="G13" s="113">
        <v>3469620.04</v>
      </c>
      <c r="H13" s="113">
        <v>636.73</v>
      </c>
      <c r="I13" s="114">
        <v>10887</v>
      </c>
      <c r="J13" s="114">
        <v>14826</v>
      </c>
      <c r="K13" s="113">
        <f t="shared" si="0"/>
        <v>318.75234408009555</v>
      </c>
      <c r="L13" s="113">
        <f t="shared" si="1"/>
        <v>36999.419999999991</v>
      </c>
      <c r="M13" s="116">
        <f t="shared" si="2"/>
        <v>93.792193769523976</v>
      </c>
      <c r="N13" s="114">
        <v>178840</v>
      </c>
      <c r="O13" s="115">
        <f t="shared" si="3"/>
        <v>6.0875643032878547E-2</v>
      </c>
      <c r="Q13" s="113">
        <v>23225.849999999995</v>
      </c>
      <c r="R13" s="113">
        <v>11146.819999999998</v>
      </c>
      <c r="S13" s="113"/>
      <c r="T13" s="113">
        <v>1600</v>
      </c>
      <c r="U13" s="113">
        <v>1026.75</v>
      </c>
    </row>
    <row r="14" spans="1:28" x14ac:dyDescent="0.2">
      <c r="F14" s="159">
        <f>SUM(F2:F13)</f>
        <v>18698926.460000001</v>
      </c>
      <c r="G14" s="159">
        <f>SUM(G2:G13)</f>
        <v>18695371.039999999</v>
      </c>
      <c r="H14" s="159">
        <f>SUM(H2:H13)</f>
        <v>3555.42</v>
      </c>
      <c r="I14" s="156">
        <f>SUM(I2:I13)</f>
        <v>64451</v>
      </c>
      <c r="J14" s="156">
        <f>SUM(J2:J13)</f>
        <v>84885</v>
      </c>
      <c r="K14" s="113">
        <f>F14/I14</f>
        <v>290.12624257187633</v>
      </c>
      <c r="L14" s="159">
        <f>SUM(L2:L13)</f>
        <v>308013.24</v>
      </c>
      <c r="M14" s="116">
        <f>F14/L14</f>
        <v>60.708190531030425</v>
      </c>
      <c r="N14" s="156">
        <f>SUM(N2:N13)</f>
        <v>1466484</v>
      </c>
      <c r="O14" s="115">
        <f t="shared" si="3"/>
        <v>4.3949337326557945E-2</v>
      </c>
      <c r="Q14" s="159">
        <f>SUM(Q2:Q13)</f>
        <v>181002.00000000003</v>
      </c>
      <c r="R14" s="159">
        <f t="shared" ref="R14:W14" si="4">SUM(R2:R13)</f>
        <v>106784.48999999999</v>
      </c>
      <c r="S14" s="159">
        <f t="shared" si="4"/>
        <v>0</v>
      </c>
      <c r="T14" s="159">
        <f t="shared" si="4"/>
        <v>19200</v>
      </c>
      <c r="U14" s="159">
        <f t="shared" si="4"/>
        <v>1026.75</v>
      </c>
      <c r="V14" s="159">
        <f t="shared" si="4"/>
        <v>0</v>
      </c>
      <c r="W14" s="159">
        <f t="shared" si="4"/>
        <v>0</v>
      </c>
    </row>
  </sheetData>
  <autoFilter ref="E1:AA1" xr:uid="{A6984A03-C8DD-4BF8-A773-10DC876F7A29}">
    <sortState xmlns:xlrd2="http://schemas.microsoft.com/office/spreadsheetml/2017/richdata2" ref="E2:AA9">
      <sortCondition ref="E1"/>
    </sortState>
  </autoFilter>
  <phoneticPr fontId="9" type="noConversion"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BF944-6A63-4E49-AFE9-783DFD168C5C}">
  <sheetPr>
    <outlinePr summaryBelow="0" summaryRight="0"/>
  </sheetPr>
  <dimension ref="A1:AG732"/>
  <sheetViews>
    <sheetView showGridLines="0" workbookViewId="0">
      <pane ySplit="2" topLeftCell="A3" activePane="bottomLeft" state="frozen"/>
      <selection activeCell="I11" sqref="I11"/>
      <selection pane="bottomLeft" activeCell="I11" sqref="I11"/>
    </sheetView>
  </sheetViews>
  <sheetFormatPr defaultColWidth="0" defaultRowHeight="12.75" outlineLevelCol="1" x14ac:dyDescent="0.2"/>
  <cols>
    <col min="1" max="1" width="12.28515625" bestFit="1" customWidth="1"/>
    <col min="2" max="2" width="10.42578125" bestFit="1" customWidth="1"/>
    <col min="3" max="3" width="13.5703125" bestFit="1" customWidth="1"/>
    <col min="4" max="4" width="12.42578125" customWidth="1" outlineLevel="1"/>
    <col min="5" max="5" width="11" customWidth="1" outlineLevel="1"/>
    <col min="6" max="6" width="6.85546875" customWidth="1" outlineLevel="1"/>
    <col min="7" max="7" width="11.140625" customWidth="1" outlineLevel="1"/>
    <col min="8" max="10" width="10.28515625" customWidth="1" outlineLevel="1"/>
    <col min="11" max="11" width="8.140625" customWidth="1" outlineLevel="1"/>
    <col min="12" max="12" width="4.7109375" bestFit="1" customWidth="1"/>
    <col min="13" max="13" width="9.85546875" customWidth="1" outlineLevel="1"/>
    <col min="14" max="14" width="10.28515625" customWidth="1" outlineLevel="1"/>
    <col min="15" max="15" width="8.140625" customWidth="1" outlineLevel="1"/>
    <col min="16" max="16" width="4" customWidth="1"/>
    <col min="17" max="17" width="105.7109375" bestFit="1" customWidth="1"/>
    <col min="18" max="23" width="60.42578125" hidden="1" customWidth="1"/>
    <col min="24" max="24" width="8.140625" hidden="1" customWidth="1"/>
    <col min="25" max="26" width="0" hidden="1" customWidth="1"/>
    <col min="27" max="33" width="60.42578125" hidden="1" customWidth="1"/>
    <col min="34" max="16384" width="12.5703125" hidden="1"/>
  </cols>
  <sheetData>
    <row r="1" spans="1:17" ht="61.5" thickBot="1" x14ac:dyDescent="0.25">
      <c r="A1" s="5">
        <f ca="1">TODAY()</f>
        <v>45834</v>
      </c>
      <c r="B1" s="39"/>
      <c r="C1" s="3"/>
      <c r="D1" s="4" t="s">
        <v>71</v>
      </c>
      <c r="E1" s="3"/>
      <c r="F1" s="3"/>
      <c r="G1" s="3"/>
      <c r="H1" s="3"/>
      <c r="I1" s="3"/>
      <c r="J1" s="3"/>
      <c r="K1" s="3"/>
      <c r="L1" s="55" t="s">
        <v>72</v>
      </c>
      <c r="M1" s="4" t="s">
        <v>72</v>
      </c>
      <c r="N1" s="3"/>
      <c r="O1" s="3"/>
      <c r="P1" s="3"/>
      <c r="Q1" s="67" t="s">
        <v>73</v>
      </c>
    </row>
    <row r="2" spans="1:17" s="2" customFormat="1" ht="16.5" x14ac:dyDescent="0.35">
      <c r="A2" s="151" t="s">
        <v>74</v>
      </c>
      <c r="B2" s="151" t="s">
        <v>20</v>
      </c>
      <c r="C2" s="151" t="s">
        <v>76</v>
      </c>
      <c r="D2" s="151" t="s">
        <v>85</v>
      </c>
      <c r="E2" s="151" t="s">
        <v>155</v>
      </c>
      <c r="F2" s="152" t="s">
        <v>87</v>
      </c>
      <c r="G2" s="152" t="s">
        <v>88</v>
      </c>
      <c r="H2" s="152" t="s">
        <v>89</v>
      </c>
      <c r="I2" s="152" t="s">
        <v>90</v>
      </c>
      <c r="J2" s="152" t="s">
        <v>91</v>
      </c>
      <c r="K2" s="152" t="s">
        <v>92</v>
      </c>
      <c r="L2" s="56"/>
      <c r="M2" s="151" t="s">
        <v>88</v>
      </c>
      <c r="N2" s="151" t="s">
        <v>91</v>
      </c>
      <c r="O2" s="151" t="s">
        <v>92</v>
      </c>
      <c r="P2" s="38"/>
      <c r="Q2" s="68" t="s">
        <v>93</v>
      </c>
    </row>
    <row r="3" spans="1:17" s="2" customFormat="1" x14ac:dyDescent="0.2">
      <c r="A3" s="16" t="str">
        <f t="shared" ref="A3:A66" si="0">TEXT(B3,"DDDD")</f>
        <v>sábado</v>
      </c>
      <c r="B3" s="17">
        <v>44562</v>
      </c>
      <c r="C3" s="52">
        <f>IFERROR(_xlfn.XLOOKUP($B:$B,'Estatísticos Mensais'!$A:$A,'Estatísticos Mensais'!C:C),0)</f>
        <v>5604.5</v>
      </c>
      <c r="D3" s="69">
        <f>IFERROR(_xlfn.XLOOKUP($B:$B,Google!A:A,Google!C:C,),0)</f>
        <v>301.44</v>
      </c>
      <c r="E3" s="70" t="e">
        <f>SUMIF(#REF!,'Compilado 2023 (2)'!$B:$B,#REF!)</f>
        <v>#REF!</v>
      </c>
      <c r="F3" s="70">
        <v>0</v>
      </c>
      <c r="G3" s="70">
        <f ca="1">_xlfn.XLOOKUP(B:B,'E-mail'!A:A,'E-mail'!C:C)</f>
        <v>51.612903225806448</v>
      </c>
      <c r="H3" s="70">
        <f>IFERROR(_xlfn.XLOOKUP($B:$B,#REF!,#REF!),0)</f>
        <v>0</v>
      </c>
      <c r="I3" s="70">
        <v>0</v>
      </c>
      <c r="J3" s="70">
        <v>0</v>
      </c>
      <c r="K3" s="70">
        <v>0</v>
      </c>
      <c r="L3" s="59"/>
      <c r="M3" s="70">
        <v>0</v>
      </c>
      <c r="N3" s="70">
        <v>0</v>
      </c>
      <c r="O3" s="70">
        <v>0</v>
      </c>
      <c r="P3" s="38"/>
      <c r="Q3" s="40"/>
    </row>
    <row r="4" spans="1:17" s="2" customFormat="1" x14ac:dyDescent="0.2">
      <c r="A4" s="16" t="str">
        <f t="shared" si="0"/>
        <v>domingo</v>
      </c>
      <c r="B4" s="17">
        <f>B3+1</f>
        <v>44563</v>
      </c>
      <c r="C4" s="52">
        <f>IFERROR(_xlfn.XLOOKUP($B:$B,'Estatísticos Mensais'!$A:$A,'Estatísticos Mensais'!C:C),0)</f>
        <v>14542.06</v>
      </c>
      <c r="D4" s="69">
        <f>IFERROR(_xlfn.XLOOKUP($B:$B,Google!A:A,Google!C:C,),0)</f>
        <v>407.29</v>
      </c>
      <c r="E4" s="70" t="e">
        <f>SUMIF(#REF!,'Compilado 2023 (2)'!$B:$B,#REF!)</f>
        <v>#REF!</v>
      </c>
      <c r="F4" s="70">
        <v>0</v>
      </c>
      <c r="G4" s="70">
        <f ca="1">_xlfn.XLOOKUP(B:B,'E-mail'!A:A,'E-mail'!C:C)</f>
        <v>51.612903225806448</v>
      </c>
      <c r="H4" s="70">
        <f>IFERROR(_xlfn.XLOOKUP($B:$B,#REF!,#REF!),0)</f>
        <v>0</v>
      </c>
      <c r="I4" s="70">
        <v>0</v>
      </c>
      <c r="J4" s="70">
        <v>0</v>
      </c>
      <c r="K4" s="70">
        <v>0</v>
      </c>
      <c r="L4" s="59"/>
      <c r="M4" s="70">
        <v>0</v>
      </c>
      <c r="N4" s="70">
        <v>0</v>
      </c>
      <c r="O4" s="70">
        <v>0</v>
      </c>
      <c r="P4" s="38"/>
      <c r="Q4" s="40"/>
    </row>
    <row r="5" spans="1:17" s="2" customFormat="1" x14ac:dyDescent="0.2">
      <c r="A5" s="16" t="str">
        <f t="shared" si="0"/>
        <v>segunda-feira</v>
      </c>
      <c r="B5" s="17">
        <f t="shared" ref="B5:B68" si="1">B4+1</f>
        <v>44564</v>
      </c>
      <c r="C5" s="52">
        <f>IFERROR(_xlfn.XLOOKUP($B:$B,'Estatísticos Mensais'!$A:$A,'Estatísticos Mensais'!C:C),0)</f>
        <v>32070.35</v>
      </c>
      <c r="D5" s="69">
        <f>IFERROR(_xlfn.XLOOKUP($B:$B,Google!A:A,Google!C:C,),0)</f>
        <v>282.47000000000003</v>
      </c>
      <c r="E5" s="70" t="e">
        <f>SUMIF(#REF!,'Compilado 2023 (2)'!$B:$B,#REF!)</f>
        <v>#REF!</v>
      </c>
      <c r="F5" s="70">
        <v>0</v>
      </c>
      <c r="G5" s="70">
        <f ca="1">_xlfn.XLOOKUP(B:B,'E-mail'!A:A,'E-mail'!C:C)</f>
        <v>51.612903225806448</v>
      </c>
      <c r="H5" s="70">
        <f>IFERROR(_xlfn.XLOOKUP($B:$B,#REF!,#REF!),0)</f>
        <v>0</v>
      </c>
      <c r="I5" s="70">
        <v>0</v>
      </c>
      <c r="J5" s="70">
        <v>0</v>
      </c>
      <c r="K5" s="70">
        <v>0</v>
      </c>
      <c r="L5" s="59"/>
      <c r="M5" s="70">
        <v>0</v>
      </c>
      <c r="N5" s="70">
        <v>0</v>
      </c>
      <c r="O5" s="70">
        <v>0</v>
      </c>
      <c r="P5" s="38"/>
      <c r="Q5" s="40"/>
    </row>
    <row r="6" spans="1:17" s="2" customFormat="1" x14ac:dyDescent="0.2">
      <c r="A6" s="16" t="str">
        <f t="shared" si="0"/>
        <v>terça-feira</v>
      </c>
      <c r="B6" s="17">
        <f t="shared" si="1"/>
        <v>44565</v>
      </c>
      <c r="C6" s="52">
        <f>IFERROR(_xlfn.XLOOKUP($B:$B,'Estatísticos Mensais'!$A:$A,'Estatísticos Mensais'!C:C),0)</f>
        <v>29496.3</v>
      </c>
      <c r="D6" s="69">
        <f>IFERROR(_xlfn.XLOOKUP($B:$B,Google!A:A,Google!C:C,),0)</f>
        <v>0</v>
      </c>
      <c r="E6" s="70" t="e">
        <f>SUMIF(#REF!,'Compilado 2023 (2)'!$B:$B,#REF!)</f>
        <v>#REF!</v>
      </c>
      <c r="F6" s="70">
        <v>0</v>
      </c>
      <c r="G6" s="70">
        <f ca="1">_xlfn.XLOOKUP(B:B,'E-mail'!A:A,'E-mail'!C:C)</f>
        <v>51.612903225806448</v>
      </c>
      <c r="H6" s="70">
        <f>IFERROR(_xlfn.XLOOKUP($B:$B,#REF!,#REF!),0)</f>
        <v>0</v>
      </c>
      <c r="I6" s="70">
        <v>0</v>
      </c>
      <c r="J6" s="70">
        <v>0</v>
      </c>
      <c r="K6" s="70">
        <v>0</v>
      </c>
      <c r="L6" s="59"/>
      <c r="M6" s="70">
        <v>0</v>
      </c>
      <c r="N6" s="70">
        <v>0</v>
      </c>
      <c r="O6" s="70">
        <v>0</v>
      </c>
      <c r="P6" s="38"/>
      <c r="Q6" s="40"/>
    </row>
    <row r="7" spans="1:17" s="2" customFormat="1" x14ac:dyDescent="0.2">
      <c r="A7" s="16" t="str">
        <f t="shared" si="0"/>
        <v>quarta-feira</v>
      </c>
      <c r="B7" s="17">
        <f t="shared" si="1"/>
        <v>44566</v>
      </c>
      <c r="C7" s="52">
        <f>IFERROR(_xlfn.XLOOKUP($B:$B,'Estatísticos Mensais'!$A:$A,'Estatísticos Mensais'!C:C),0)</f>
        <v>31936.07</v>
      </c>
      <c r="D7" s="69">
        <f>IFERROR(_xlfn.XLOOKUP($B:$B,Google!A:A,Google!C:C,),0)</f>
        <v>0</v>
      </c>
      <c r="E7" s="70" t="e">
        <f>SUMIF(#REF!,'Compilado 2023 (2)'!$B:$B,#REF!)</f>
        <v>#REF!</v>
      </c>
      <c r="F7" s="70">
        <v>0</v>
      </c>
      <c r="G7" s="70">
        <f ca="1">_xlfn.XLOOKUP(B:B,'E-mail'!A:A,'E-mail'!C:C)</f>
        <v>51.612903225806448</v>
      </c>
      <c r="H7" s="70">
        <f>IFERROR(_xlfn.XLOOKUP($B:$B,#REF!,#REF!),0)</f>
        <v>0</v>
      </c>
      <c r="I7" s="70">
        <v>0</v>
      </c>
      <c r="J7" s="70">
        <v>0</v>
      </c>
      <c r="K7" s="70">
        <v>0</v>
      </c>
      <c r="L7" s="59"/>
      <c r="M7" s="70">
        <v>0</v>
      </c>
      <c r="N7" s="70">
        <v>0</v>
      </c>
      <c r="O7" s="70">
        <v>0</v>
      </c>
      <c r="P7" s="38"/>
      <c r="Q7" s="40"/>
    </row>
    <row r="8" spans="1:17" s="2" customFormat="1" x14ac:dyDescent="0.2">
      <c r="A8" s="16" t="str">
        <f t="shared" si="0"/>
        <v>quinta-feira</v>
      </c>
      <c r="B8" s="17">
        <f t="shared" si="1"/>
        <v>44567</v>
      </c>
      <c r="C8" s="52">
        <f>IFERROR(_xlfn.XLOOKUP($B:$B,'Estatísticos Mensais'!$A:$A,'Estatísticos Mensais'!C:C),0)</f>
        <v>31305.439999999999</v>
      </c>
      <c r="D8" s="69">
        <f>IFERROR(_xlfn.XLOOKUP($B:$B,Google!A:A,Google!C:C,),0)</f>
        <v>0</v>
      </c>
      <c r="E8" s="70" t="e">
        <f>SUMIF(#REF!,'Compilado 2023 (2)'!$B:$B,#REF!)</f>
        <v>#REF!</v>
      </c>
      <c r="F8" s="70">
        <v>0</v>
      </c>
      <c r="G8" s="70">
        <f ca="1">_xlfn.XLOOKUP(B:B,'E-mail'!A:A,'E-mail'!C:C)</f>
        <v>51.612903225806448</v>
      </c>
      <c r="H8" s="70">
        <f>IFERROR(_xlfn.XLOOKUP($B:$B,#REF!,#REF!),0)</f>
        <v>0</v>
      </c>
      <c r="I8" s="70">
        <v>0</v>
      </c>
      <c r="J8" s="70">
        <v>0</v>
      </c>
      <c r="K8" s="70">
        <v>0</v>
      </c>
      <c r="L8" s="59"/>
      <c r="M8" s="70">
        <v>0</v>
      </c>
      <c r="N8" s="70">
        <v>0</v>
      </c>
      <c r="O8" s="70">
        <v>0</v>
      </c>
      <c r="P8" s="38"/>
      <c r="Q8" s="40"/>
    </row>
    <row r="9" spans="1:17" s="2" customFormat="1" x14ac:dyDescent="0.2">
      <c r="A9" s="16" t="str">
        <f t="shared" si="0"/>
        <v>sexta-feira</v>
      </c>
      <c r="B9" s="17">
        <f t="shared" si="1"/>
        <v>44568</v>
      </c>
      <c r="C9" s="52">
        <f>IFERROR(_xlfn.XLOOKUP($B:$B,'Estatísticos Mensais'!$A:$A,'Estatísticos Mensais'!C:C),0)</f>
        <v>23900.41</v>
      </c>
      <c r="D9" s="69">
        <f>IFERROR(_xlfn.XLOOKUP($B:$B,Google!A:A,Google!C:C,),0)</f>
        <v>0</v>
      </c>
      <c r="E9" s="70" t="e">
        <f>SUMIF(#REF!,'Compilado 2023 (2)'!$B:$B,#REF!)</f>
        <v>#REF!</v>
      </c>
      <c r="F9" s="70">
        <v>0</v>
      </c>
      <c r="G9" s="70">
        <f ca="1">_xlfn.XLOOKUP(B:B,'E-mail'!A:A,'E-mail'!C:C)</f>
        <v>51.612903225806448</v>
      </c>
      <c r="H9" s="70">
        <f>IFERROR(_xlfn.XLOOKUP($B:$B,#REF!,#REF!),0)</f>
        <v>0</v>
      </c>
      <c r="I9" s="70">
        <v>0</v>
      </c>
      <c r="J9" s="70">
        <v>0</v>
      </c>
      <c r="K9" s="70">
        <v>0</v>
      </c>
      <c r="L9" s="59"/>
      <c r="M9" s="70">
        <v>0</v>
      </c>
      <c r="N9" s="70">
        <v>0</v>
      </c>
      <c r="O9" s="70">
        <v>0</v>
      </c>
      <c r="P9" s="38"/>
      <c r="Q9" s="40"/>
    </row>
    <row r="10" spans="1:17" s="2" customFormat="1" x14ac:dyDescent="0.2">
      <c r="A10" s="16" t="str">
        <f t="shared" si="0"/>
        <v>sábado</v>
      </c>
      <c r="B10" s="17">
        <f t="shared" si="1"/>
        <v>44569</v>
      </c>
      <c r="C10" s="52">
        <f>IFERROR(_xlfn.XLOOKUP($B:$B,'Estatísticos Mensais'!$A:$A,'Estatísticos Mensais'!C:C),0)</f>
        <v>11298.96</v>
      </c>
      <c r="D10" s="69">
        <f>IFERROR(_xlfn.XLOOKUP($B:$B,Google!A:A,Google!C:C,),0)</f>
        <v>0</v>
      </c>
      <c r="E10" s="70" t="e">
        <f>SUMIF(#REF!,'Compilado 2023 (2)'!$B:$B,#REF!)</f>
        <v>#REF!</v>
      </c>
      <c r="F10" s="70">
        <v>0</v>
      </c>
      <c r="G10" s="70">
        <f ca="1">_xlfn.XLOOKUP(B:B,'E-mail'!A:A,'E-mail'!C:C)</f>
        <v>51.612903225806448</v>
      </c>
      <c r="H10" s="70">
        <f>IFERROR(_xlfn.XLOOKUP($B:$B,#REF!,#REF!),0)</f>
        <v>0</v>
      </c>
      <c r="I10" s="70">
        <v>0</v>
      </c>
      <c r="J10" s="70">
        <v>0</v>
      </c>
      <c r="K10" s="70">
        <v>0</v>
      </c>
      <c r="L10" s="59"/>
      <c r="M10" s="70">
        <v>0</v>
      </c>
      <c r="N10" s="70">
        <v>0</v>
      </c>
      <c r="O10" s="70">
        <v>0</v>
      </c>
      <c r="P10" s="38"/>
      <c r="Q10" s="40"/>
    </row>
    <row r="11" spans="1:17" s="2" customFormat="1" x14ac:dyDescent="0.2">
      <c r="A11" s="16" t="str">
        <f t="shared" si="0"/>
        <v>domingo</v>
      </c>
      <c r="B11" s="17">
        <f t="shared" si="1"/>
        <v>44570</v>
      </c>
      <c r="C11" s="52">
        <f>IFERROR(_xlfn.XLOOKUP($B:$B,'Estatísticos Mensais'!$A:$A,'Estatísticos Mensais'!C:C),0)</f>
        <v>11796.75</v>
      </c>
      <c r="D11" s="69">
        <f>IFERROR(_xlfn.XLOOKUP($B:$B,Google!A:A,Google!C:C,),0)</f>
        <v>0</v>
      </c>
      <c r="E11" s="70" t="e">
        <f>SUMIF(#REF!,'Compilado 2023 (2)'!$B:$B,#REF!)</f>
        <v>#REF!</v>
      </c>
      <c r="F11" s="70">
        <v>0</v>
      </c>
      <c r="G11" s="70">
        <f ca="1">_xlfn.XLOOKUP(B:B,'E-mail'!A:A,'E-mail'!C:C)</f>
        <v>51.612903225806448</v>
      </c>
      <c r="H11" s="70">
        <f>IFERROR(_xlfn.XLOOKUP($B:$B,#REF!,#REF!),0)</f>
        <v>0</v>
      </c>
      <c r="I11" s="70">
        <v>0</v>
      </c>
      <c r="J11" s="70">
        <v>0</v>
      </c>
      <c r="K11" s="70">
        <v>0</v>
      </c>
      <c r="L11" s="59"/>
      <c r="M11" s="70">
        <v>0</v>
      </c>
      <c r="N11" s="70">
        <v>0</v>
      </c>
      <c r="O11" s="70">
        <v>0</v>
      </c>
      <c r="P11" s="38"/>
      <c r="Q11" s="40"/>
    </row>
    <row r="12" spans="1:17" s="2" customFormat="1" x14ac:dyDescent="0.2">
      <c r="A12" s="16" t="str">
        <f t="shared" si="0"/>
        <v>segunda-feira</v>
      </c>
      <c r="B12" s="17">
        <f t="shared" si="1"/>
        <v>44571</v>
      </c>
      <c r="C12" s="52">
        <f>IFERROR(_xlfn.XLOOKUP($B:$B,'Estatísticos Mensais'!$A:$A,'Estatísticos Mensais'!C:C),0)</f>
        <v>30538.06</v>
      </c>
      <c r="D12" s="69">
        <f>IFERROR(_xlfn.XLOOKUP($B:$B,Google!A:A,Google!C:C,),0)</f>
        <v>0</v>
      </c>
      <c r="E12" s="70" t="e">
        <f>SUMIF(#REF!,'Compilado 2023 (2)'!$B:$B,#REF!)</f>
        <v>#REF!</v>
      </c>
      <c r="F12" s="70">
        <v>0</v>
      </c>
      <c r="G12" s="70">
        <f ca="1">_xlfn.XLOOKUP(B:B,'E-mail'!A:A,'E-mail'!C:C)</f>
        <v>51.612903225806448</v>
      </c>
      <c r="H12" s="70">
        <f>IFERROR(_xlfn.XLOOKUP($B:$B,#REF!,#REF!),0)</f>
        <v>0</v>
      </c>
      <c r="I12" s="70">
        <v>0</v>
      </c>
      <c r="J12" s="70">
        <v>0</v>
      </c>
      <c r="K12" s="70">
        <v>0</v>
      </c>
      <c r="L12" s="59"/>
      <c r="M12" s="70">
        <v>0</v>
      </c>
      <c r="N12" s="70">
        <v>0</v>
      </c>
      <c r="O12" s="70">
        <v>0</v>
      </c>
      <c r="P12" s="38"/>
      <c r="Q12" s="40"/>
    </row>
    <row r="13" spans="1:17" s="2" customFormat="1" x14ac:dyDescent="0.2">
      <c r="A13" s="16" t="str">
        <f t="shared" si="0"/>
        <v>terça-feira</v>
      </c>
      <c r="B13" s="17">
        <f t="shared" si="1"/>
        <v>44572</v>
      </c>
      <c r="C13" s="52">
        <f>IFERROR(_xlfn.XLOOKUP($B:$B,'Estatísticos Mensais'!$A:$A,'Estatísticos Mensais'!C:C),0)</f>
        <v>23086.73</v>
      </c>
      <c r="D13" s="69">
        <f>IFERROR(_xlfn.XLOOKUP($B:$B,Google!A:A,Google!C:C,),0)</f>
        <v>528.15</v>
      </c>
      <c r="E13" s="70" t="e">
        <f>SUMIF(#REF!,'Compilado 2023 (2)'!$B:$B,#REF!)</f>
        <v>#REF!</v>
      </c>
      <c r="F13" s="70">
        <v>0</v>
      </c>
      <c r="G13" s="70">
        <f ca="1">_xlfn.XLOOKUP(B:B,'E-mail'!A:A,'E-mail'!C:C)</f>
        <v>51.612903225806448</v>
      </c>
      <c r="H13" s="70">
        <f>IFERROR(_xlfn.XLOOKUP($B:$B,#REF!,#REF!),0)</f>
        <v>0</v>
      </c>
      <c r="I13" s="70">
        <v>0</v>
      </c>
      <c r="J13" s="70">
        <v>0</v>
      </c>
      <c r="K13" s="70">
        <v>0</v>
      </c>
      <c r="L13" s="59"/>
      <c r="M13" s="70">
        <v>0</v>
      </c>
      <c r="N13" s="70">
        <v>0</v>
      </c>
      <c r="O13" s="70">
        <v>0</v>
      </c>
      <c r="P13" s="38"/>
      <c r="Q13" s="40"/>
    </row>
    <row r="14" spans="1:17" s="2" customFormat="1" x14ac:dyDescent="0.2">
      <c r="A14" s="16" t="str">
        <f t="shared" si="0"/>
        <v>quarta-feira</v>
      </c>
      <c r="B14" s="17">
        <f t="shared" si="1"/>
        <v>44573</v>
      </c>
      <c r="C14" s="52">
        <f>IFERROR(_xlfn.XLOOKUP($B:$B,'Estatísticos Mensais'!$A:$A,'Estatísticos Mensais'!C:C),0)</f>
        <v>27521.47</v>
      </c>
      <c r="D14" s="69">
        <f>IFERROR(_xlfn.XLOOKUP($B:$B,Google!A:A,Google!C:C,),0)</f>
        <v>663.54</v>
      </c>
      <c r="E14" s="70" t="e">
        <f>SUMIF(#REF!,'Compilado 2023 (2)'!$B:$B,#REF!)</f>
        <v>#REF!</v>
      </c>
      <c r="F14" s="70">
        <v>0</v>
      </c>
      <c r="G14" s="70">
        <f ca="1">_xlfn.XLOOKUP(B:B,'E-mail'!A:A,'E-mail'!C:C)</f>
        <v>51.612903225806448</v>
      </c>
      <c r="H14" s="70">
        <f>IFERROR(_xlfn.XLOOKUP($B:$B,#REF!,#REF!),0)</f>
        <v>0</v>
      </c>
      <c r="I14" s="70">
        <v>0</v>
      </c>
      <c r="J14" s="70">
        <v>0</v>
      </c>
      <c r="K14" s="70">
        <v>0</v>
      </c>
      <c r="L14" s="59"/>
      <c r="M14" s="70">
        <v>0</v>
      </c>
      <c r="N14" s="70">
        <v>0</v>
      </c>
      <c r="O14" s="70">
        <v>0</v>
      </c>
      <c r="P14" s="38"/>
      <c r="Q14" s="40"/>
    </row>
    <row r="15" spans="1:17" s="2" customFormat="1" x14ac:dyDescent="0.2">
      <c r="A15" s="16" t="str">
        <f t="shared" si="0"/>
        <v>quinta-feira</v>
      </c>
      <c r="B15" s="17">
        <f t="shared" si="1"/>
        <v>44574</v>
      </c>
      <c r="C15" s="52">
        <f>IFERROR(_xlfn.XLOOKUP($B:$B,'Estatísticos Mensais'!$A:$A,'Estatísticos Mensais'!C:C),0)</f>
        <v>29283.95</v>
      </c>
      <c r="D15" s="69">
        <f>IFERROR(_xlfn.XLOOKUP($B:$B,Google!A:A,Google!C:C,),0)</f>
        <v>629.92999999999995</v>
      </c>
      <c r="E15" s="70" t="e">
        <f>SUMIF(#REF!,'Compilado 2023 (2)'!$B:$B,#REF!)</f>
        <v>#REF!</v>
      </c>
      <c r="F15" s="70">
        <v>0</v>
      </c>
      <c r="G15" s="70">
        <f ca="1">_xlfn.XLOOKUP(B:B,'E-mail'!A:A,'E-mail'!C:C)</f>
        <v>51.612903225806448</v>
      </c>
      <c r="H15" s="70">
        <f>IFERROR(_xlfn.XLOOKUP($B:$B,#REF!,#REF!),0)</f>
        <v>0</v>
      </c>
      <c r="I15" s="70">
        <v>0</v>
      </c>
      <c r="J15" s="70">
        <v>0</v>
      </c>
      <c r="K15" s="70">
        <v>0</v>
      </c>
      <c r="L15" s="59"/>
      <c r="M15" s="70">
        <v>0</v>
      </c>
      <c r="N15" s="70">
        <v>0</v>
      </c>
      <c r="O15" s="70">
        <v>0</v>
      </c>
      <c r="P15" s="38"/>
      <c r="Q15" s="40"/>
    </row>
    <row r="16" spans="1:17" s="2" customFormat="1" x14ac:dyDescent="0.2">
      <c r="A16" s="16" t="str">
        <f t="shared" si="0"/>
        <v>sexta-feira</v>
      </c>
      <c r="B16" s="17">
        <f t="shared" si="1"/>
        <v>44575</v>
      </c>
      <c r="C16" s="52">
        <f>IFERROR(_xlfn.XLOOKUP($B:$B,'Estatísticos Mensais'!$A:$A,'Estatísticos Mensais'!C:C),0)</f>
        <v>29457.77</v>
      </c>
      <c r="D16" s="69">
        <f>IFERROR(_xlfn.XLOOKUP($B:$B,Google!A:A,Google!C:C,),0)</f>
        <v>542.01</v>
      </c>
      <c r="E16" s="70" t="e">
        <f>SUMIF(#REF!,'Compilado 2023 (2)'!$B:$B,#REF!)</f>
        <v>#REF!</v>
      </c>
      <c r="F16" s="70">
        <v>0</v>
      </c>
      <c r="G16" s="70">
        <f ca="1">_xlfn.XLOOKUP(B:B,'E-mail'!A:A,'E-mail'!C:C)</f>
        <v>51.612903225806448</v>
      </c>
      <c r="H16" s="70">
        <f>IFERROR(_xlfn.XLOOKUP($B:$B,#REF!,#REF!),0)</f>
        <v>0</v>
      </c>
      <c r="I16" s="70">
        <v>0</v>
      </c>
      <c r="J16" s="70">
        <v>0</v>
      </c>
      <c r="K16" s="70">
        <v>0</v>
      </c>
      <c r="L16" s="59"/>
      <c r="M16" s="70">
        <v>0</v>
      </c>
      <c r="N16" s="70">
        <v>0</v>
      </c>
      <c r="O16" s="70">
        <v>0</v>
      </c>
      <c r="P16" s="38"/>
      <c r="Q16" s="40"/>
    </row>
    <row r="17" spans="1:17" s="2" customFormat="1" x14ac:dyDescent="0.2">
      <c r="A17" s="16" t="str">
        <f t="shared" si="0"/>
        <v>sábado</v>
      </c>
      <c r="B17" s="17">
        <f t="shared" si="1"/>
        <v>44576</v>
      </c>
      <c r="C17" s="52">
        <f>IFERROR(_xlfn.XLOOKUP($B:$B,'Estatísticos Mensais'!$A:$A,'Estatísticos Mensais'!C:C),0)</f>
        <v>17288.830000000002</v>
      </c>
      <c r="D17" s="69">
        <f>IFERROR(_xlfn.XLOOKUP($B:$B,Google!A:A,Google!C:C,),0)</f>
        <v>504.22</v>
      </c>
      <c r="E17" s="70" t="e">
        <f>SUMIF(#REF!,'Compilado 2023 (2)'!$B:$B,#REF!)</f>
        <v>#REF!</v>
      </c>
      <c r="F17" s="70">
        <v>0</v>
      </c>
      <c r="G17" s="70">
        <f ca="1">_xlfn.XLOOKUP(B:B,'E-mail'!A:A,'E-mail'!C:C)</f>
        <v>51.612903225806448</v>
      </c>
      <c r="H17" s="70">
        <f>IFERROR(_xlfn.XLOOKUP($B:$B,#REF!,#REF!),0)</f>
        <v>0</v>
      </c>
      <c r="I17" s="70">
        <v>0</v>
      </c>
      <c r="J17" s="70">
        <v>0</v>
      </c>
      <c r="K17" s="70">
        <v>0</v>
      </c>
      <c r="L17" s="59"/>
      <c r="M17" s="70">
        <v>0</v>
      </c>
      <c r="N17" s="70">
        <v>0</v>
      </c>
      <c r="O17" s="70">
        <v>0</v>
      </c>
      <c r="P17" s="38"/>
      <c r="Q17" s="40"/>
    </row>
    <row r="18" spans="1:17" s="2" customFormat="1" x14ac:dyDescent="0.2">
      <c r="A18" s="16" t="str">
        <f t="shared" si="0"/>
        <v>domingo</v>
      </c>
      <c r="B18" s="17">
        <f t="shared" si="1"/>
        <v>44577</v>
      </c>
      <c r="C18" s="52">
        <f>IFERROR(_xlfn.XLOOKUP($B:$B,'Estatísticos Mensais'!$A:$A,'Estatísticos Mensais'!C:C),0)</f>
        <v>16479.939999999999</v>
      </c>
      <c r="D18" s="69">
        <f>IFERROR(_xlfn.XLOOKUP($B:$B,Google!A:A,Google!C:C,),0)</f>
        <v>367.86</v>
      </c>
      <c r="E18" s="70" t="e">
        <f>SUMIF(#REF!,'Compilado 2023 (2)'!$B:$B,#REF!)</f>
        <v>#REF!</v>
      </c>
      <c r="F18" s="70">
        <v>0</v>
      </c>
      <c r="G18" s="70">
        <f ca="1">_xlfn.XLOOKUP(B:B,'E-mail'!A:A,'E-mail'!C:C)</f>
        <v>51.612903225806448</v>
      </c>
      <c r="H18" s="70">
        <f>IFERROR(_xlfn.XLOOKUP($B:$B,#REF!,#REF!),0)</f>
        <v>0</v>
      </c>
      <c r="I18" s="70">
        <v>0</v>
      </c>
      <c r="J18" s="70">
        <v>0</v>
      </c>
      <c r="K18" s="70">
        <v>0</v>
      </c>
      <c r="L18" s="59"/>
      <c r="M18" s="70">
        <v>0</v>
      </c>
      <c r="N18" s="70">
        <v>0</v>
      </c>
      <c r="O18" s="70">
        <v>0</v>
      </c>
      <c r="P18" s="38"/>
      <c r="Q18" s="40"/>
    </row>
    <row r="19" spans="1:17" s="2" customFormat="1" x14ac:dyDescent="0.2">
      <c r="A19" s="16" t="str">
        <f t="shared" si="0"/>
        <v>segunda-feira</v>
      </c>
      <c r="B19" s="17">
        <f t="shared" si="1"/>
        <v>44578</v>
      </c>
      <c r="C19" s="52">
        <f>IFERROR(_xlfn.XLOOKUP($B:$B,'Estatísticos Mensais'!$A:$A,'Estatísticos Mensais'!C:C),0)</f>
        <v>29037.33</v>
      </c>
      <c r="D19" s="69">
        <f>IFERROR(_xlfn.XLOOKUP($B:$B,Google!A:A,Google!C:C,),0)</f>
        <v>558.91999999999996</v>
      </c>
      <c r="E19" s="70" t="e">
        <f>SUMIF(#REF!,'Compilado 2023 (2)'!$B:$B,#REF!)</f>
        <v>#REF!</v>
      </c>
      <c r="F19" s="70">
        <v>0</v>
      </c>
      <c r="G19" s="70">
        <f ca="1">_xlfn.XLOOKUP(B:B,'E-mail'!A:A,'E-mail'!C:C)</f>
        <v>51.612903225806448</v>
      </c>
      <c r="H19" s="70">
        <f>IFERROR(_xlfn.XLOOKUP($B:$B,#REF!,#REF!),0)</f>
        <v>0</v>
      </c>
      <c r="I19" s="70">
        <v>0</v>
      </c>
      <c r="J19" s="70">
        <v>0</v>
      </c>
      <c r="K19" s="70">
        <v>0</v>
      </c>
      <c r="L19" s="59"/>
      <c r="M19" s="70">
        <v>0</v>
      </c>
      <c r="N19" s="70">
        <v>0</v>
      </c>
      <c r="O19" s="70">
        <v>0</v>
      </c>
      <c r="P19" s="38"/>
      <c r="Q19" s="40"/>
    </row>
    <row r="20" spans="1:17" s="2" customFormat="1" x14ac:dyDescent="0.2">
      <c r="A20" s="16" t="str">
        <f t="shared" si="0"/>
        <v>terça-feira</v>
      </c>
      <c r="B20" s="17">
        <f t="shared" si="1"/>
        <v>44579</v>
      </c>
      <c r="C20" s="52">
        <f>IFERROR(_xlfn.XLOOKUP($B:$B,'Estatísticos Mensais'!$A:$A,'Estatísticos Mensais'!C:C),0)</f>
        <v>23704.3</v>
      </c>
      <c r="D20" s="69">
        <f>IFERROR(_xlfn.XLOOKUP($B:$B,Google!A:A,Google!C:C,),0)</f>
        <v>520.02</v>
      </c>
      <c r="E20" s="70" t="e">
        <f>SUMIF(#REF!,'Compilado 2023 (2)'!$B:$B,#REF!)</f>
        <v>#REF!</v>
      </c>
      <c r="F20" s="70">
        <v>0</v>
      </c>
      <c r="G20" s="70">
        <f ca="1">_xlfn.XLOOKUP(B:B,'E-mail'!A:A,'E-mail'!C:C)</f>
        <v>51.612903225806448</v>
      </c>
      <c r="H20" s="70">
        <f>IFERROR(_xlfn.XLOOKUP($B:$B,#REF!,#REF!),0)</f>
        <v>0</v>
      </c>
      <c r="I20" s="70">
        <v>0</v>
      </c>
      <c r="J20" s="70">
        <v>0</v>
      </c>
      <c r="K20" s="70">
        <v>0</v>
      </c>
      <c r="L20" s="59"/>
      <c r="M20" s="70">
        <v>0</v>
      </c>
      <c r="N20" s="70">
        <v>0</v>
      </c>
      <c r="O20" s="70">
        <v>0</v>
      </c>
      <c r="P20" s="38"/>
      <c r="Q20" s="40"/>
    </row>
    <row r="21" spans="1:17" s="2" customFormat="1" x14ac:dyDescent="0.2">
      <c r="A21" s="16" t="str">
        <f t="shared" si="0"/>
        <v>quarta-feira</v>
      </c>
      <c r="B21" s="17">
        <f t="shared" si="1"/>
        <v>44580</v>
      </c>
      <c r="C21" s="52">
        <f>IFERROR(_xlfn.XLOOKUP($B:$B,'Estatísticos Mensais'!$A:$A,'Estatísticos Mensais'!C:C),0)</f>
        <v>30324.67</v>
      </c>
      <c r="D21" s="69">
        <f>IFERROR(_xlfn.XLOOKUP($B:$B,Google!A:A,Google!C:C,),0)</f>
        <v>488.86</v>
      </c>
      <c r="E21" s="70" t="e">
        <f>SUMIF(#REF!,'Compilado 2023 (2)'!$B:$B,#REF!)</f>
        <v>#REF!</v>
      </c>
      <c r="F21" s="70">
        <v>0</v>
      </c>
      <c r="G21" s="70">
        <f ca="1">_xlfn.XLOOKUP(B:B,'E-mail'!A:A,'E-mail'!C:C)</f>
        <v>51.612903225806448</v>
      </c>
      <c r="H21" s="70">
        <f>IFERROR(_xlfn.XLOOKUP($B:$B,#REF!,#REF!),0)</f>
        <v>0</v>
      </c>
      <c r="I21" s="70">
        <v>0</v>
      </c>
      <c r="J21" s="70">
        <v>0</v>
      </c>
      <c r="K21" s="70">
        <v>0</v>
      </c>
      <c r="L21" s="59"/>
      <c r="M21" s="70">
        <v>0</v>
      </c>
      <c r="N21" s="70">
        <v>0</v>
      </c>
      <c r="O21" s="70">
        <v>0</v>
      </c>
      <c r="P21" s="38"/>
      <c r="Q21" s="40"/>
    </row>
    <row r="22" spans="1:17" s="2" customFormat="1" x14ac:dyDescent="0.2">
      <c r="A22" s="16" t="str">
        <f t="shared" si="0"/>
        <v>quinta-feira</v>
      </c>
      <c r="B22" s="17">
        <f t="shared" si="1"/>
        <v>44581</v>
      </c>
      <c r="C22" s="52">
        <f>IFERROR(_xlfn.XLOOKUP($B:$B,'Estatísticos Mensais'!$A:$A,'Estatísticos Mensais'!C:C),0)</f>
        <v>23211.75</v>
      </c>
      <c r="D22" s="69">
        <f>IFERROR(_xlfn.XLOOKUP($B:$B,Google!A:A,Google!C:C,),0)</f>
        <v>409.9</v>
      </c>
      <c r="E22" s="70" t="e">
        <f>SUMIF(#REF!,'Compilado 2023 (2)'!$B:$B,#REF!)</f>
        <v>#REF!</v>
      </c>
      <c r="F22" s="70">
        <v>0</v>
      </c>
      <c r="G22" s="70">
        <f ca="1">_xlfn.XLOOKUP(B:B,'E-mail'!A:A,'E-mail'!C:C)</f>
        <v>51.612903225806448</v>
      </c>
      <c r="H22" s="70">
        <f>IFERROR(_xlfn.XLOOKUP($B:$B,#REF!,#REF!),0)</f>
        <v>0</v>
      </c>
      <c r="I22" s="70">
        <v>0</v>
      </c>
      <c r="J22" s="70">
        <v>0</v>
      </c>
      <c r="K22" s="70">
        <v>0</v>
      </c>
      <c r="L22" s="59"/>
      <c r="M22" s="70">
        <v>0</v>
      </c>
      <c r="N22" s="70">
        <v>0</v>
      </c>
      <c r="O22" s="70">
        <v>0</v>
      </c>
      <c r="P22" s="38"/>
      <c r="Q22" s="40"/>
    </row>
    <row r="23" spans="1:17" s="2" customFormat="1" x14ac:dyDescent="0.2">
      <c r="A23" s="16" t="str">
        <f t="shared" si="0"/>
        <v>sexta-feira</v>
      </c>
      <c r="B23" s="17">
        <f t="shared" si="1"/>
        <v>44582</v>
      </c>
      <c r="C23" s="52">
        <f>IFERROR(_xlfn.XLOOKUP($B:$B,'Estatísticos Mensais'!$A:$A,'Estatísticos Mensais'!C:C),0)</f>
        <v>28164.080000000002</v>
      </c>
      <c r="D23" s="69">
        <f>IFERROR(_xlfn.XLOOKUP($B:$B,Google!A:A,Google!C:C,),0)</f>
        <v>367.89</v>
      </c>
      <c r="E23" s="70" t="e">
        <f>SUMIF(#REF!,'Compilado 2023 (2)'!$B:$B,#REF!)</f>
        <v>#REF!</v>
      </c>
      <c r="F23" s="70">
        <v>0</v>
      </c>
      <c r="G23" s="70">
        <f ca="1">_xlfn.XLOOKUP(B:B,'E-mail'!A:A,'E-mail'!C:C)</f>
        <v>51.612903225806448</v>
      </c>
      <c r="H23" s="70">
        <f>IFERROR(_xlfn.XLOOKUP($B:$B,#REF!,#REF!),0)</f>
        <v>0</v>
      </c>
      <c r="I23" s="70">
        <v>0</v>
      </c>
      <c r="J23" s="70">
        <v>0</v>
      </c>
      <c r="K23" s="70">
        <v>0</v>
      </c>
      <c r="L23" s="59"/>
      <c r="M23" s="70">
        <v>0</v>
      </c>
      <c r="N23" s="70">
        <v>0</v>
      </c>
      <c r="O23" s="70">
        <v>0</v>
      </c>
      <c r="P23" s="38"/>
      <c r="Q23" s="40"/>
    </row>
    <row r="24" spans="1:17" s="2" customFormat="1" x14ac:dyDescent="0.2">
      <c r="A24" s="16" t="str">
        <f t="shared" si="0"/>
        <v>sábado</v>
      </c>
      <c r="B24" s="17">
        <f t="shared" si="1"/>
        <v>44583</v>
      </c>
      <c r="C24" s="52">
        <f>IFERROR(_xlfn.XLOOKUP($B:$B,'Estatísticos Mensais'!$A:$A,'Estatísticos Mensais'!C:C),0)</f>
        <v>17544.060000000001</v>
      </c>
      <c r="D24" s="69">
        <f>IFERROR(_xlfn.XLOOKUP($B:$B,Google!A:A,Google!C:C,),0)</f>
        <v>240.31</v>
      </c>
      <c r="E24" s="70" t="e">
        <f>SUMIF(#REF!,'Compilado 2023 (2)'!$B:$B,#REF!)</f>
        <v>#REF!</v>
      </c>
      <c r="F24" s="70">
        <v>0</v>
      </c>
      <c r="G24" s="70">
        <f ca="1">_xlfn.XLOOKUP(B:B,'E-mail'!A:A,'E-mail'!C:C)</f>
        <v>51.612903225806448</v>
      </c>
      <c r="H24" s="70">
        <f>IFERROR(_xlfn.XLOOKUP($B:$B,#REF!,#REF!),0)</f>
        <v>0</v>
      </c>
      <c r="I24" s="70">
        <v>0</v>
      </c>
      <c r="J24" s="70">
        <v>0</v>
      </c>
      <c r="K24" s="70">
        <v>0</v>
      </c>
      <c r="L24" s="59"/>
      <c r="M24" s="70">
        <v>0</v>
      </c>
      <c r="N24" s="70">
        <v>0</v>
      </c>
      <c r="O24" s="70">
        <v>0</v>
      </c>
      <c r="P24" s="38"/>
      <c r="Q24" s="40"/>
    </row>
    <row r="25" spans="1:17" s="2" customFormat="1" x14ac:dyDescent="0.2">
      <c r="A25" s="16" t="str">
        <f t="shared" si="0"/>
        <v>domingo</v>
      </c>
      <c r="B25" s="17">
        <f t="shared" si="1"/>
        <v>44584</v>
      </c>
      <c r="C25" s="52">
        <f>IFERROR(_xlfn.XLOOKUP($B:$B,'Estatísticos Mensais'!$A:$A,'Estatísticos Mensais'!C:C),0)</f>
        <v>13039.53</v>
      </c>
      <c r="D25" s="69">
        <f>IFERROR(_xlfn.XLOOKUP($B:$B,Google!A:A,Google!C:C,),0)</f>
        <v>195.31</v>
      </c>
      <c r="E25" s="70" t="e">
        <f>SUMIF(#REF!,'Compilado 2023 (2)'!$B:$B,#REF!)</f>
        <v>#REF!</v>
      </c>
      <c r="F25" s="70">
        <v>0</v>
      </c>
      <c r="G25" s="70">
        <f ca="1">_xlfn.XLOOKUP(B:B,'E-mail'!A:A,'E-mail'!C:C)</f>
        <v>51.612903225806448</v>
      </c>
      <c r="H25" s="70">
        <f>IFERROR(_xlfn.XLOOKUP($B:$B,#REF!,#REF!),0)</f>
        <v>0</v>
      </c>
      <c r="I25" s="70">
        <v>0</v>
      </c>
      <c r="J25" s="70">
        <v>0</v>
      </c>
      <c r="K25" s="70">
        <v>0</v>
      </c>
      <c r="L25" s="59"/>
      <c r="M25" s="70">
        <v>0</v>
      </c>
      <c r="N25" s="70">
        <v>0</v>
      </c>
      <c r="O25" s="70">
        <v>0</v>
      </c>
      <c r="P25" s="38"/>
      <c r="Q25" s="40"/>
    </row>
    <row r="26" spans="1:17" s="2" customFormat="1" x14ac:dyDescent="0.2">
      <c r="A26" s="16" t="str">
        <f t="shared" si="0"/>
        <v>segunda-feira</v>
      </c>
      <c r="B26" s="17">
        <f t="shared" si="1"/>
        <v>44585</v>
      </c>
      <c r="C26" s="52">
        <f>IFERROR(_xlfn.XLOOKUP($B:$B,'Estatísticos Mensais'!$A:$A,'Estatísticos Mensais'!C:C),0)</f>
        <v>22746.44</v>
      </c>
      <c r="D26" s="69">
        <f>IFERROR(_xlfn.XLOOKUP($B:$B,Google!A:A,Google!C:C,),0)</f>
        <v>368.09</v>
      </c>
      <c r="E26" s="70" t="e">
        <f>SUMIF(#REF!,'Compilado 2023 (2)'!$B:$B,#REF!)</f>
        <v>#REF!</v>
      </c>
      <c r="F26" s="70">
        <v>0</v>
      </c>
      <c r="G26" s="70">
        <f ca="1">_xlfn.XLOOKUP(B:B,'E-mail'!A:A,'E-mail'!C:C)</f>
        <v>51.612903225806448</v>
      </c>
      <c r="H26" s="70">
        <f>IFERROR(_xlfn.XLOOKUP($B:$B,#REF!,#REF!),0)</f>
        <v>0</v>
      </c>
      <c r="I26" s="70">
        <v>0</v>
      </c>
      <c r="J26" s="70">
        <v>0</v>
      </c>
      <c r="K26" s="70">
        <v>0</v>
      </c>
      <c r="L26" s="59"/>
      <c r="M26" s="70">
        <v>0</v>
      </c>
      <c r="N26" s="70">
        <v>0</v>
      </c>
      <c r="O26" s="70">
        <v>0</v>
      </c>
      <c r="P26" s="38"/>
      <c r="Q26" s="40"/>
    </row>
    <row r="27" spans="1:17" s="2" customFormat="1" x14ac:dyDescent="0.2">
      <c r="A27" s="16" t="str">
        <f t="shared" si="0"/>
        <v>terça-feira</v>
      </c>
      <c r="B27" s="17">
        <f t="shared" si="1"/>
        <v>44586</v>
      </c>
      <c r="C27" s="52">
        <f>IFERROR(_xlfn.XLOOKUP($B:$B,'Estatísticos Mensais'!$A:$A,'Estatísticos Mensais'!C:C),0)</f>
        <v>22863.53</v>
      </c>
      <c r="D27" s="69">
        <f>IFERROR(_xlfn.XLOOKUP($B:$B,Google!A:A,Google!C:C,),0)</f>
        <v>350.74</v>
      </c>
      <c r="E27" s="70" t="e">
        <f>SUMIF(#REF!,'Compilado 2023 (2)'!$B:$B,#REF!)</f>
        <v>#REF!</v>
      </c>
      <c r="F27" s="70">
        <v>0</v>
      </c>
      <c r="G27" s="70">
        <f ca="1">_xlfn.XLOOKUP(B:B,'E-mail'!A:A,'E-mail'!C:C)</f>
        <v>51.612903225806448</v>
      </c>
      <c r="H27" s="70">
        <f>IFERROR(_xlfn.XLOOKUP($B:$B,#REF!,#REF!),0)</f>
        <v>0</v>
      </c>
      <c r="I27" s="70">
        <v>0</v>
      </c>
      <c r="J27" s="70">
        <v>0</v>
      </c>
      <c r="K27" s="70">
        <v>0</v>
      </c>
      <c r="L27" s="59"/>
      <c r="M27" s="70">
        <v>0</v>
      </c>
      <c r="N27" s="70">
        <v>0</v>
      </c>
      <c r="O27" s="70">
        <v>0</v>
      </c>
      <c r="P27" s="38"/>
      <c r="Q27" s="40"/>
    </row>
    <row r="28" spans="1:17" s="2" customFormat="1" x14ac:dyDescent="0.2">
      <c r="A28" s="16" t="str">
        <f t="shared" si="0"/>
        <v>quarta-feira</v>
      </c>
      <c r="B28" s="17">
        <f t="shared" si="1"/>
        <v>44587</v>
      </c>
      <c r="C28" s="52">
        <f>IFERROR(_xlfn.XLOOKUP($B:$B,'Estatísticos Mensais'!$A:$A,'Estatísticos Mensais'!C:C),0)</f>
        <v>31040.799999999999</v>
      </c>
      <c r="D28" s="69">
        <f>IFERROR(_xlfn.XLOOKUP($B:$B,Google!A:A,Google!C:C,),0)</f>
        <v>412.58</v>
      </c>
      <c r="E28" s="70" t="e">
        <f>SUMIF(#REF!,'Compilado 2023 (2)'!$B:$B,#REF!)</f>
        <v>#REF!</v>
      </c>
      <c r="F28" s="70">
        <v>0</v>
      </c>
      <c r="G28" s="70">
        <f ca="1">_xlfn.XLOOKUP(B:B,'E-mail'!A:A,'E-mail'!C:C)</f>
        <v>51.612903225806448</v>
      </c>
      <c r="H28" s="70">
        <f>IFERROR(_xlfn.XLOOKUP($B:$B,#REF!,#REF!),0)</f>
        <v>0</v>
      </c>
      <c r="I28" s="70">
        <v>0</v>
      </c>
      <c r="J28" s="70">
        <v>0</v>
      </c>
      <c r="K28" s="70">
        <v>0</v>
      </c>
      <c r="L28" s="59"/>
      <c r="M28" s="70">
        <v>0</v>
      </c>
      <c r="N28" s="70">
        <v>0</v>
      </c>
      <c r="O28" s="70">
        <v>0</v>
      </c>
      <c r="P28" s="38"/>
      <c r="Q28" s="40"/>
    </row>
    <row r="29" spans="1:17" s="2" customFormat="1" x14ac:dyDescent="0.2">
      <c r="A29" s="16" t="str">
        <f t="shared" si="0"/>
        <v>quinta-feira</v>
      </c>
      <c r="B29" s="17">
        <f t="shared" si="1"/>
        <v>44588</v>
      </c>
      <c r="C29" s="52">
        <f>IFERROR(_xlfn.XLOOKUP($B:$B,'Estatísticos Mensais'!$A:$A,'Estatísticos Mensais'!C:C),0)</f>
        <v>27183.93</v>
      </c>
      <c r="D29" s="69">
        <f>IFERROR(_xlfn.XLOOKUP($B:$B,Google!A:A,Google!C:C,),0)</f>
        <v>483.31</v>
      </c>
      <c r="E29" s="70" t="e">
        <f>SUMIF(#REF!,'Compilado 2023 (2)'!$B:$B,#REF!)</f>
        <v>#REF!</v>
      </c>
      <c r="F29" s="70">
        <v>0</v>
      </c>
      <c r="G29" s="70">
        <f ca="1">_xlfn.XLOOKUP(B:B,'E-mail'!A:A,'E-mail'!C:C)</f>
        <v>51.612903225806448</v>
      </c>
      <c r="H29" s="70">
        <f>IFERROR(_xlfn.XLOOKUP($B:$B,#REF!,#REF!),0)</f>
        <v>0</v>
      </c>
      <c r="I29" s="70">
        <v>0</v>
      </c>
      <c r="J29" s="70">
        <v>0</v>
      </c>
      <c r="K29" s="70">
        <v>0</v>
      </c>
      <c r="L29" s="59"/>
      <c r="M29" s="70">
        <v>0</v>
      </c>
      <c r="N29" s="70">
        <v>0</v>
      </c>
      <c r="O29" s="70">
        <v>0</v>
      </c>
      <c r="P29" s="38"/>
      <c r="Q29" s="40"/>
    </row>
    <row r="30" spans="1:17" s="2" customFormat="1" x14ac:dyDescent="0.2">
      <c r="A30" s="16" t="str">
        <f t="shared" si="0"/>
        <v>sexta-feira</v>
      </c>
      <c r="B30" s="17">
        <f t="shared" si="1"/>
        <v>44589</v>
      </c>
      <c r="C30" s="52">
        <f>IFERROR(_xlfn.XLOOKUP($B:$B,'Estatísticos Mensais'!$A:$A,'Estatísticos Mensais'!C:C),0)</f>
        <v>34248.76</v>
      </c>
      <c r="D30" s="69">
        <f>IFERROR(_xlfn.XLOOKUP($B:$B,Google!A:A,Google!C:C,),0)</f>
        <v>463.92</v>
      </c>
      <c r="E30" s="70" t="e">
        <f>SUMIF(#REF!,'Compilado 2023 (2)'!$B:$B,#REF!)</f>
        <v>#REF!</v>
      </c>
      <c r="F30" s="70">
        <v>0</v>
      </c>
      <c r="G30" s="70">
        <f ca="1">_xlfn.XLOOKUP(B:B,'E-mail'!A:A,'E-mail'!C:C)</f>
        <v>51.612903225806448</v>
      </c>
      <c r="H30" s="70">
        <f>IFERROR(_xlfn.XLOOKUP($B:$B,#REF!,#REF!),0)</f>
        <v>0</v>
      </c>
      <c r="I30" s="70">
        <v>0</v>
      </c>
      <c r="J30" s="70">
        <v>0</v>
      </c>
      <c r="K30" s="70">
        <v>0</v>
      </c>
      <c r="L30" s="59"/>
      <c r="M30" s="70">
        <v>0</v>
      </c>
      <c r="N30" s="70">
        <v>0</v>
      </c>
      <c r="O30" s="70">
        <v>0</v>
      </c>
      <c r="P30" s="38"/>
      <c r="Q30" s="40"/>
    </row>
    <row r="31" spans="1:17" s="2" customFormat="1" x14ac:dyDescent="0.2">
      <c r="A31" s="16" t="str">
        <f t="shared" si="0"/>
        <v>sábado</v>
      </c>
      <c r="B31" s="17">
        <f t="shared" si="1"/>
        <v>44590</v>
      </c>
      <c r="C31" s="52">
        <f>IFERROR(_xlfn.XLOOKUP($B:$B,'Estatísticos Mensais'!$A:$A,'Estatísticos Mensais'!C:C),0)</f>
        <v>19991.099999999999</v>
      </c>
      <c r="D31" s="69">
        <f>IFERROR(_xlfn.XLOOKUP($B:$B,Google!A:A,Google!C:C,),0)</f>
        <v>338.09</v>
      </c>
      <c r="E31" s="70" t="e">
        <f>SUMIF(#REF!,'Compilado 2023 (2)'!$B:$B,#REF!)</f>
        <v>#REF!</v>
      </c>
      <c r="F31" s="70">
        <v>0</v>
      </c>
      <c r="G31" s="70">
        <f ca="1">_xlfn.XLOOKUP(B:B,'E-mail'!A:A,'E-mail'!C:C)</f>
        <v>51.612903225806448</v>
      </c>
      <c r="H31" s="70">
        <f>IFERROR(_xlfn.XLOOKUP($B:$B,#REF!,#REF!),0)</f>
        <v>0</v>
      </c>
      <c r="I31" s="70">
        <v>0</v>
      </c>
      <c r="J31" s="70">
        <v>0</v>
      </c>
      <c r="K31" s="70">
        <v>0</v>
      </c>
      <c r="L31" s="59"/>
      <c r="M31" s="70">
        <v>0</v>
      </c>
      <c r="N31" s="70">
        <v>0</v>
      </c>
      <c r="O31" s="70">
        <v>0</v>
      </c>
      <c r="P31" s="38"/>
      <c r="Q31" s="40"/>
    </row>
    <row r="32" spans="1:17" s="2" customFormat="1" x14ac:dyDescent="0.2">
      <c r="A32" s="16" t="str">
        <f t="shared" si="0"/>
        <v>domingo</v>
      </c>
      <c r="B32" s="17">
        <f t="shared" si="1"/>
        <v>44591</v>
      </c>
      <c r="C32" s="52">
        <f>IFERROR(_xlfn.XLOOKUP($B:$B,'Estatísticos Mensais'!$A:$A,'Estatísticos Mensais'!C:C),0)</f>
        <v>12825.9</v>
      </c>
      <c r="D32" s="69">
        <f>IFERROR(_xlfn.XLOOKUP($B:$B,Google!A:A,Google!C:C,),0)</f>
        <v>259.91000000000003</v>
      </c>
      <c r="E32" s="70" t="e">
        <f>SUMIF(#REF!,'Compilado 2023 (2)'!$B:$B,#REF!)</f>
        <v>#REF!</v>
      </c>
      <c r="F32" s="70">
        <v>0</v>
      </c>
      <c r="G32" s="70">
        <f ca="1">_xlfn.XLOOKUP(B:B,'E-mail'!A:A,'E-mail'!C:C)</f>
        <v>51.612903225806448</v>
      </c>
      <c r="H32" s="70">
        <f>IFERROR(_xlfn.XLOOKUP($B:$B,#REF!,#REF!),0)</f>
        <v>0</v>
      </c>
      <c r="I32" s="70">
        <v>0</v>
      </c>
      <c r="J32" s="70">
        <v>0</v>
      </c>
      <c r="K32" s="70">
        <v>0</v>
      </c>
      <c r="L32" s="59"/>
      <c r="M32" s="70">
        <v>0</v>
      </c>
      <c r="N32" s="70">
        <v>0</v>
      </c>
      <c r="O32" s="70">
        <v>0</v>
      </c>
      <c r="P32" s="38"/>
      <c r="Q32" s="40"/>
    </row>
    <row r="33" spans="1:17" s="2" customFormat="1" x14ac:dyDescent="0.2">
      <c r="A33" s="16" t="str">
        <f t="shared" si="0"/>
        <v>segunda-feira</v>
      </c>
      <c r="B33" s="17">
        <f t="shared" si="1"/>
        <v>44592</v>
      </c>
      <c r="C33" s="52">
        <f>IFERROR(_xlfn.XLOOKUP($B:$B,'Estatísticos Mensais'!$A:$A,'Estatísticos Mensais'!C:C),0)</f>
        <v>32667</v>
      </c>
      <c r="D33" s="69">
        <f>IFERROR(_xlfn.XLOOKUP($B:$B,Google!A:A,Google!C:C,),0)</f>
        <v>557.44000000000005</v>
      </c>
      <c r="E33" s="70" t="e">
        <f>SUMIF(#REF!,'Compilado 2023 (2)'!$B:$B,#REF!)</f>
        <v>#REF!</v>
      </c>
      <c r="F33" s="70">
        <v>0</v>
      </c>
      <c r="G33" s="70">
        <f ca="1">_xlfn.XLOOKUP(B:B,'E-mail'!A:A,'E-mail'!C:C)</f>
        <v>51.612903225806448</v>
      </c>
      <c r="H33" s="70">
        <f>IFERROR(_xlfn.XLOOKUP($B:$B,#REF!,#REF!),0)</f>
        <v>0</v>
      </c>
      <c r="I33" s="70">
        <v>0</v>
      </c>
      <c r="J33" s="70">
        <v>0</v>
      </c>
      <c r="K33" s="70">
        <v>0</v>
      </c>
      <c r="L33" s="59"/>
      <c r="M33" s="70">
        <v>0</v>
      </c>
      <c r="N33" s="70">
        <v>0</v>
      </c>
      <c r="O33" s="70">
        <v>0</v>
      </c>
      <c r="P33" s="38"/>
      <c r="Q33" s="40"/>
    </row>
    <row r="34" spans="1:17" s="2" customFormat="1" x14ac:dyDescent="0.2">
      <c r="A34" s="16" t="str">
        <f t="shared" si="0"/>
        <v>terça-feira</v>
      </c>
      <c r="B34" s="17">
        <f t="shared" si="1"/>
        <v>44593</v>
      </c>
      <c r="C34" s="52">
        <f>IFERROR(_xlfn.XLOOKUP($B:$B,'Estatísticos Mensais'!$A:$A,'Estatísticos Mensais'!C:C),0)</f>
        <v>34692.58</v>
      </c>
      <c r="D34" s="69">
        <f>IFERROR(_xlfn.XLOOKUP($B:$B,Google!A:A,Google!C:C,),0)</f>
        <v>588.03</v>
      </c>
      <c r="E34" s="70" t="e">
        <f>SUMIF(#REF!,'Compilado 2023 (2)'!$B:$B,#REF!)</f>
        <v>#REF!</v>
      </c>
      <c r="F34" s="70">
        <v>0</v>
      </c>
      <c r="G34" s="70">
        <f ca="1">_xlfn.XLOOKUP(B:B,'E-mail'!A:A,'E-mail'!C:C)</f>
        <v>57.142857142857146</v>
      </c>
      <c r="H34" s="70">
        <f>IFERROR(_xlfn.XLOOKUP($B:$B,#REF!,#REF!),0)</f>
        <v>0</v>
      </c>
      <c r="I34" s="70">
        <v>0</v>
      </c>
      <c r="J34" s="70">
        <v>0</v>
      </c>
      <c r="K34" s="70">
        <v>0</v>
      </c>
      <c r="L34" s="59"/>
      <c r="M34" s="70">
        <v>0</v>
      </c>
      <c r="N34" s="70">
        <v>0</v>
      </c>
      <c r="O34" s="70">
        <v>0</v>
      </c>
      <c r="P34" s="38"/>
      <c r="Q34" s="40"/>
    </row>
    <row r="35" spans="1:17" s="2" customFormat="1" x14ac:dyDescent="0.2">
      <c r="A35" s="16" t="str">
        <f t="shared" si="0"/>
        <v>quarta-feira</v>
      </c>
      <c r="B35" s="17">
        <f t="shared" si="1"/>
        <v>44594</v>
      </c>
      <c r="C35" s="52">
        <f>IFERROR(_xlfn.XLOOKUP($B:$B,'Estatísticos Mensais'!$A:$A,'Estatísticos Mensais'!C:C),0)</f>
        <v>34513.9</v>
      </c>
      <c r="D35" s="69">
        <f>IFERROR(_xlfn.XLOOKUP($B:$B,Google!A:A,Google!C:C,),0)</f>
        <v>566.9</v>
      </c>
      <c r="E35" s="70" t="e">
        <f>SUMIF(#REF!,'Compilado 2023 (2)'!$B:$B,#REF!)</f>
        <v>#REF!</v>
      </c>
      <c r="F35" s="70">
        <v>0</v>
      </c>
      <c r="G35" s="70">
        <f ca="1">_xlfn.XLOOKUP(B:B,'E-mail'!A:A,'E-mail'!C:C)</f>
        <v>57.142857142857146</v>
      </c>
      <c r="H35" s="70">
        <f>IFERROR(_xlfn.XLOOKUP($B:$B,#REF!,#REF!),0)</f>
        <v>0</v>
      </c>
      <c r="I35" s="70">
        <v>0</v>
      </c>
      <c r="J35" s="70">
        <v>0</v>
      </c>
      <c r="K35" s="70">
        <v>0</v>
      </c>
      <c r="L35" s="59"/>
      <c r="M35" s="70">
        <v>0</v>
      </c>
      <c r="N35" s="70">
        <v>0</v>
      </c>
      <c r="O35" s="70">
        <v>0</v>
      </c>
      <c r="P35" s="38"/>
      <c r="Q35" s="40"/>
    </row>
    <row r="36" spans="1:17" s="2" customFormat="1" x14ac:dyDescent="0.2">
      <c r="A36" s="16" t="str">
        <f t="shared" si="0"/>
        <v>quinta-feira</v>
      </c>
      <c r="B36" s="17">
        <f t="shared" si="1"/>
        <v>44595</v>
      </c>
      <c r="C36" s="52">
        <f>IFERROR(_xlfn.XLOOKUP($B:$B,'Estatísticos Mensais'!$A:$A,'Estatísticos Mensais'!C:C),0)</f>
        <v>34177.800000000003</v>
      </c>
      <c r="D36" s="69">
        <f>IFERROR(_xlfn.XLOOKUP($B:$B,Google!A:A,Google!C:C,),0)</f>
        <v>568.38</v>
      </c>
      <c r="E36" s="70" t="e">
        <f>SUMIF(#REF!,'Compilado 2023 (2)'!$B:$B,#REF!)</f>
        <v>#REF!</v>
      </c>
      <c r="F36" s="70">
        <v>0</v>
      </c>
      <c r="G36" s="70">
        <f ca="1">_xlfn.XLOOKUP(B:B,'E-mail'!A:A,'E-mail'!C:C)</f>
        <v>57.142857142857146</v>
      </c>
      <c r="H36" s="70">
        <f>IFERROR(_xlfn.XLOOKUP($B:$B,#REF!,#REF!),0)</f>
        <v>0</v>
      </c>
      <c r="I36" s="70">
        <v>0</v>
      </c>
      <c r="J36" s="70">
        <v>0</v>
      </c>
      <c r="K36" s="70">
        <v>0</v>
      </c>
      <c r="L36" s="59"/>
      <c r="M36" s="70">
        <v>0</v>
      </c>
      <c r="N36" s="70">
        <v>0</v>
      </c>
      <c r="O36" s="70">
        <v>0</v>
      </c>
      <c r="P36" s="38"/>
      <c r="Q36" s="40"/>
    </row>
    <row r="37" spans="1:17" s="2" customFormat="1" x14ac:dyDescent="0.2">
      <c r="A37" s="16" t="str">
        <f t="shared" si="0"/>
        <v>sexta-feira</v>
      </c>
      <c r="B37" s="17">
        <f t="shared" si="1"/>
        <v>44596</v>
      </c>
      <c r="C37" s="52">
        <f>IFERROR(_xlfn.XLOOKUP($B:$B,'Estatísticos Mensais'!$A:$A,'Estatísticos Mensais'!C:C),0)</f>
        <v>43437.4</v>
      </c>
      <c r="D37" s="69">
        <f>IFERROR(_xlfn.XLOOKUP($B:$B,Google!A:A,Google!C:C,),0)</f>
        <v>469.63</v>
      </c>
      <c r="E37" s="70" t="e">
        <f>SUMIF(#REF!,'Compilado 2023 (2)'!$B:$B,#REF!)</f>
        <v>#REF!</v>
      </c>
      <c r="F37" s="70">
        <v>0</v>
      </c>
      <c r="G37" s="70">
        <f ca="1">_xlfn.XLOOKUP(B:B,'E-mail'!A:A,'E-mail'!C:C)</f>
        <v>57.142857142857146</v>
      </c>
      <c r="H37" s="70">
        <f>IFERROR(_xlfn.XLOOKUP($B:$B,#REF!,#REF!),0)</f>
        <v>0</v>
      </c>
      <c r="I37" s="70">
        <v>0</v>
      </c>
      <c r="J37" s="70">
        <v>0</v>
      </c>
      <c r="K37" s="70">
        <v>0</v>
      </c>
      <c r="L37" s="59"/>
      <c r="M37" s="70">
        <v>0</v>
      </c>
      <c r="N37" s="70">
        <v>0</v>
      </c>
      <c r="O37" s="70">
        <v>0</v>
      </c>
      <c r="P37" s="38"/>
      <c r="Q37" s="40"/>
    </row>
    <row r="38" spans="1:17" s="2" customFormat="1" x14ac:dyDescent="0.2">
      <c r="A38" s="16" t="str">
        <f t="shared" si="0"/>
        <v>sábado</v>
      </c>
      <c r="B38" s="17">
        <f t="shared" si="1"/>
        <v>44597</v>
      </c>
      <c r="C38" s="52">
        <f>IFERROR(_xlfn.XLOOKUP($B:$B,'Estatísticos Mensais'!$A:$A,'Estatísticos Mensais'!C:C),0)</f>
        <v>19563.78</v>
      </c>
      <c r="D38" s="69">
        <f>IFERROR(_xlfn.XLOOKUP($B:$B,Google!A:A,Google!C:C,),0)</f>
        <v>384.26</v>
      </c>
      <c r="E38" s="70" t="e">
        <f>SUMIF(#REF!,'Compilado 2023 (2)'!$B:$B,#REF!)</f>
        <v>#REF!</v>
      </c>
      <c r="F38" s="70">
        <v>0</v>
      </c>
      <c r="G38" s="70">
        <f ca="1">_xlfn.XLOOKUP(B:B,'E-mail'!A:A,'E-mail'!C:C)</f>
        <v>57.142857142857146</v>
      </c>
      <c r="H38" s="70">
        <f>IFERROR(_xlfn.XLOOKUP($B:$B,#REF!,#REF!),0)</f>
        <v>0</v>
      </c>
      <c r="I38" s="70">
        <v>0</v>
      </c>
      <c r="J38" s="70">
        <v>0</v>
      </c>
      <c r="K38" s="70">
        <v>0</v>
      </c>
      <c r="L38" s="59"/>
      <c r="M38" s="70">
        <v>0</v>
      </c>
      <c r="N38" s="70">
        <v>0</v>
      </c>
      <c r="O38" s="70">
        <v>0</v>
      </c>
      <c r="P38" s="38"/>
      <c r="Q38" s="40"/>
    </row>
    <row r="39" spans="1:17" s="2" customFormat="1" x14ac:dyDescent="0.2">
      <c r="A39" s="16" t="str">
        <f t="shared" si="0"/>
        <v>domingo</v>
      </c>
      <c r="B39" s="17">
        <f t="shared" si="1"/>
        <v>44598</v>
      </c>
      <c r="C39" s="52">
        <f>IFERROR(_xlfn.XLOOKUP($B:$B,'Estatísticos Mensais'!$A:$A,'Estatísticos Mensais'!C:C),0)</f>
        <v>16604.64</v>
      </c>
      <c r="D39" s="69">
        <f>IFERROR(_xlfn.XLOOKUP($B:$B,Google!A:A,Google!C:C,),0)</f>
        <v>325.14999999999998</v>
      </c>
      <c r="E39" s="70" t="e">
        <f>SUMIF(#REF!,'Compilado 2023 (2)'!$B:$B,#REF!)</f>
        <v>#REF!</v>
      </c>
      <c r="F39" s="70">
        <v>0</v>
      </c>
      <c r="G39" s="70">
        <f ca="1">_xlfn.XLOOKUP(B:B,'E-mail'!A:A,'E-mail'!C:C)</f>
        <v>57.142857142857146</v>
      </c>
      <c r="H39" s="70">
        <f>IFERROR(_xlfn.XLOOKUP($B:$B,#REF!,#REF!),0)</f>
        <v>0</v>
      </c>
      <c r="I39" s="70">
        <v>0</v>
      </c>
      <c r="J39" s="70">
        <v>0</v>
      </c>
      <c r="K39" s="70">
        <v>0</v>
      </c>
      <c r="L39" s="59"/>
      <c r="M39" s="70">
        <v>0</v>
      </c>
      <c r="N39" s="70">
        <v>0</v>
      </c>
      <c r="O39" s="70">
        <v>0</v>
      </c>
      <c r="P39" s="38"/>
      <c r="Q39" s="40"/>
    </row>
    <row r="40" spans="1:17" s="2" customFormat="1" x14ac:dyDescent="0.2">
      <c r="A40" s="16" t="str">
        <f t="shared" si="0"/>
        <v>segunda-feira</v>
      </c>
      <c r="B40" s="17">
        <f t="shared" si="1"/>
        <v>44599</v>
      </c>
      <c r="C40" s="52">
        <f>IFERROR(_xlfn.XLOOKUP($B:$B,'Estatísticos Mensais'!$A:$A,'Estatísticos Mensais'!C:C),0)</f>
        <v>33000.32</v>
      </c>
      <c r="D40" s="69">
        <f>IFERROR(_xlfn.XLOOKUP($B:$B,Google!A:A,Google!C:C,),0)</f>
        <v>629.72</v>
      </c>
      <c r="E40" s="70" t="e">
        <f>SUMIF(#REF!,'Compilado 2023 (2)'!$B:$B,#REF!)</f>
        <v>#REF!</v>
      </c>
      <c r="F40" s="70">
        <v>0</v>
      </c>
      <c r="G40" s="70">
        <f ca="1">_xlfn.XLOOKUP(B:B,'E-mail'!A:A,'E-mail'!C:C)</f>
        <v>57.142857142857146</v>
      </c>
      <c r="H40" s="70">
        <f>IFERROR(_xlfn.XLOOKUP($B:$B,#REF!,#REF!),0)</f>
        <v>0</v>
      </c>
      <c r="I40" s="70">
        <v>0</v>
      </c>
      <c r="J40" s="70">
        <v>0</v>
      </c>
      <c r="K40" s="70">
        <v>0</v>
      </c>
      <c r="L40" s="59"/>
      <c r="M40" s="70">
        <v>0</v>
      </c>
      <c r="N40" s="70">
        <v>0</v>
      </c>
      <c r="O40" s="70">
        <v>0</v>
      </c>
      <c r="P40" s="38"/>
      <c r="Q40" s="40"/>
    </row>
    <row r="41" spans="1:17" s="2" customFormat="1" x14ac:dyDescent="0.2">
      <c r="A41" s="16" t="str">
        <f t="shared" si="0"/>
        <v>terça-feira</v>
      </c>
      <c r="B41" s="17">
        <f t="shared" si="1"/>
        <v>44600</v>
      </c>
      <c r="C41" s="52">
        <f>IFERROR(_xlfn.XLOOKUP($B:$B,'Estatísticos Mensais'!$A:$A,'Estatísticos Mensais'!C:C),0)</f>
        <v>44882.03</v>
      </c>
      <c r="D41" s="69">
        <f>IFERROR(_xlfn.XLOOKUP($B:$B,Google!A:A,Google!C:C,),0)</f>
        <v>571.84</v>
      </c>
      <c r="E41" s="70" t="e">
        <f>SUMIF(#REF!,'Compilado 2023 (2)'!$B:$B,#REF!)</f>
        <v>#REF!</v>
      </c>
      <c r="F41" s="70">
        <v>0</v>
      </c>
      <c r="G41" s="70">
        <f ca="1">_xlfn.XLOOKUP(B:B,'E-mail'!A:A,'E-mail'!C:C)</f>
        <v>57.142857142857146</v>
      </c>
      <c r="H41" s="70">
        <f>IFERROR(_xlfn.XLOOKUP($B:$B,#REF!,#REF!),0)</f>
        <v>0</v>
      </c>
      <c r="I41" s="70">
        <v>0</v>
      </c>
      <c r="J41" s="70">
        <v>0</v>
      </c>
      <c r="K41" s="70">
        <v>0</v>
      </c>
      <c r="L41" s="59"/>
      <c r="M41" s="70">
        <v>0</v>
      </c>
      <c r="N41" s="70">
        <v>0</v>
      </c>
      <c r="O41" s="70">
        <v>0</v>
      </c>
      <c r="P41" s="38"/>
      <c r="Q41" s="40"/>
    </row>
    <row r="42" spans="1:17" s="2" customFormat="1" x14ac:dyDescent="0.2">
      <c r="A42" s="16" t="str">
        <f t="shared" si="0"/>
        <v>quarta-feira</v>
      </c>
      <c r="B42" s="17">
        <f t="shared" si="1"/>
        <v>44601</v>
      </c>
      <c r="C42" s="52">
        <f>IFERROR(_xlfn.XLOOKUP($B:$B,'Estatísticos Mensais'!$A:$A,'Estatísticos Mensais'!C:C),0)</f>
        <v>35475.599999999999</v>
      </c>
      <c r="D42" s="69">
        <f>IFERROR(_xlfn.XLOOKUP($B:$B,Google!A:A,Google!C:C,),0)</f>
        <v>566.54</v>
      </c>
      <c r="E42" s="70" t="e">
        <f>SUMIF(#REF!,'Compilado 2023 (2)'!$B:$B,#REF!)</f>
        <v>#REF!</v>
      </c>
      <c r="F42" s="70">
        <v>0</v>
      </c>
      <c r="G42" s="70">
        <f ca="1">_xlfn.XLOOKUP(B:B,'E-mail'!A:A,'E-mail'!C:C)</f>
        <v>57.142857142857146</v>
      </c>
      <c r="H42" s="70">
        <f>IFERROR(_xlfn.XLOOKUP($B:$B,#REF!,#REF!),0)</f>
        <v>0</v>
      </c>
      <c r="I42" s="70">
        <v>0</v>
      </c>
      <c r="J42" s="70">
        <v>0</v>
      </c>
      <c r="K42" s="70">
        <v>0</v>
      </c>
      <c r="L42" s="59"/>
      <c r="M42" s="70">
        <v>0</v>
      </c>
      <c r="N42" s="70">
        <v>0</v>
      </c>
      <c r="O42" s="70">
        <v>0</v>
      </c>
      <c r="P42" s="38"/>
      <c r="Q42" s="40"/>
    </row>
    <row r="43" spans="1:17" s="2" customFormat="1" x14ac:dyDescent="0.2">
      <c r="A43" s="16" t="str">
        <f t="shared" si="0"/>
        <v>quinta-feira</v>
      </c>
      <c r="B43" s="17">
        <f t="shared" si="1"/>
        <v>44602</v>
      </c>
      <c r="C43" s="52">
        <f>IFERROR(_xlfn.XLOOKUP($B:$B,'Estatísticos Mensais'!$A:$A,'Estatísticos Mensais'!C:C),0)</f>
        <v>32915.71</v>
      </c>
      <c r="D43" s="69">
        <f>IFERROR(_xlfn.XLOOKUP($B:$B,Google!A:A,Google!C:C,),0)</f>
        <v>588.33000000000004</v>
      </c>
      <c r="E43" s="70" t="e">
        <f>SUMIF(#REF!,'Compilado 2023 (2)'!$B:$B,#REF!)</f>
        <v>#REF!</v>
      </c>
      <c r="F43" s="70">
        <v>0</v>
      </c>
      <c r="G43" s="70">
        <f ca="1">_xlfn.XLOOKUP(B:B,'E-mail'!A:A,'E-mail'!C:C)</f>
        <v>57.142857142857146</v>
      </c>
      <c r="H43" s="70">
        <f>IFERROR(_xlfn.XLOOKUP($B:$B,#REF!,#REF!),0)</f>
        <v>0</v>
      </c>
      <c r="I43" s="70">
        <v>0</v>
      </c>
      <c r="J43" s="70">
        <v>0</v>
      </c>
      <c r="K43" s="70">
        <v>0</v>
      </c>
      <c r="L43" s="59"/>
      <c r="M43" s="70">
        <v>0</v>
      </c>
      <c r="N43" s="70">
        <v>0</v>
      </c>
      <c r="O43" s="70">
        <v>0</v>
      </c>
      <c r="P43" s="38"/>
      <c r="Q43" s="40"/>
    </row>
    <row r="44" spans="1:17" s="2" customFormat="1" x14ac:dyDescent="0.2">
      <c r="A44" s="16" t="str">
        <f t="shared" si="0"/>
        <v>sexta-feira</v>
      </c>
      <c r="B44" s="17">
        <f t="shared" si="1"/>
        <v>44603</v>
      </c>
      <c r="C44" s="52">
        <f>IFERROR(_xlfn.XLOOKUP($B:$B,'Estatísticos Mensais'!$A:$A,'Estatísticos Mensais'!C:C),0)</f>
        <v>35576.080000000002</v>
      </c>
      <c r="D44" s="69">
        <f>IFERROR(_xlfn.XLOOKUP($B:$B,Google!A:A,Google!C:C,),0)</f>
        <v>437.91</v>
      </c>
      <c r="E44" s="70" t="e">
        <f>SUMIF(#REF!,'Compilado 2023 (2)'!$B:$B,#REF!)</f>
        <v>#REF!</v>
      </c>
      <c r="F44" s="70">
        <v>0</v>
      </c>
      <c r="G44" s="70">
        <f ca="1">_xlfn.XLOOKUP(B:B,'E-mail'!A:A,'E-mail'!C:C)</f>
        <v>57.142857142857146</v>
      </c>
      <c r="H44" s="70">
        <f>IFERROR(_xlfn.XLOOKUP($B:$B,#REF!,#REF!),0)</f>
        <v>0</v>
      </c>
      <c r="I44" s="70">
        <v>0</v>
      </c>
      <c r="J44" s="70">
        <v>0</v>
      </c>
      <c r="K44" s="70">
        <v>0</v>
      </c>
      <c r="L44" s="59"/>
      <c r="M44" s="70">
        <v>0</v>
      </c>
      <c r="N44" s="70">
        <v>0</v>
      </c>
      <c r="O44" s="70">
        <v>0</v>
      </c>
      <c r="P44" s="38"/>
      <c r="Q44" s="40"/>
    </row>
    <row r="45" spans="1:17" s="2" customFormat="1" x14ac:dyDescent="0.2">
      <c r="A45" s="16" t="str">
        <f t="shared" si="0"/>
        <v>sábado</v>
      </c>
      <c r="B45" s="17">
        <f t="shared" si="1"/>
        <v>44604</v>
      </c>
      <c r="C45" s="52">
        <f>IFERROR(_xlfn.XLOOKUP($B:$B,'Estatísticos Mensais'!$A:$A,'Estatísticos Mensais'!C:C),0)</f>
        <v>24216.17</v>
      </c>
      <c r="D45" s="69">
        <f>IFERROR(_xlfn.XLOOKUP($B:$B,Google!A:A,Google!C:C,),0)</f>
        <v>362.67</v>
      </c>
      <c r="E45" s="70" t="e">
        <f>SUMIF(#REF!,'Compilado 2023 (2)'!$B:$B,#REF!)</f>
        <v>#REF!</v>
      </c>
      <c r="F45" s="70">
        <v>0</v>
      </c>
      <c r="G45" s="70">
        <f ca="1">_xlfn.XLOOKUP(B:B,'E-mail'!A:A,'E-mail'!C:C)</f>
        <v>57.142857142857146</v>
      </c>
      <c r="H45" s="70">
        <f>IFERROR(_xlfn.XLOOKUP($B:$B,#REF!,#REF!),0)</f>
        <v>0</v>
      </c>
      <c r="I45" s="70">
        <v>0</v>
      </c>
      <c r="J45" s="70">
        <v>0</v>
      </c>
      <c r="K45" s="70">
        <v>0</v>
      </c>
      <c r="L45" s="59"/>
      <c r="M45" s="70">
        <v>0</v>
      </c>
      <c r="N45" s="70">
        <v>0</v>
      </c>
      <c r="O45" s="70">
        <v>0</v>
      </c>
      <c r="P45" s="38"/>
      <c r="Q45" s="40"/>
    </row>
    <row r="46" spans="1:17" s="2" customFormat="1" x14ac:dyDescent="0.2">
      <c r="A46" s="16" t="str">
        <f t="shared" si="0"/>
        <v>domingo</v>
      </c>
      <c r="B46" s="17">
        <f t="shared" si="1"/>
        <v>44605</v>
      </c>
      <c r="C46" s="52">
        <f>IFERROR(_xlfn.XLOOKUP($B:$B,'Estatísticos Mensais'!$A:$A,'Estatísticos Mensais'!C:C),0)</f>
        <v>17251.7</v>
      </c>
      <c r="D46" s="69">
        <f>IFERROR(_xlfn.XLOOKUP($B:$B,Google!A:A,Google!C:C,),0)</f>
        <v>394.01</v>
      </c>
      <c r="E46" s="70" t="e">
        <f>SUMIF(#REF!,'Compilado 2023 (2)'!$B:$B,#REF!)</f>
        <v>#REF!</v>
      </c>
      <c r="F46" s="70">
        <v>0</v>
      </c>
      <c r="G46" s="70">
        <f ca="1">_xlfn.XLOOKUP(B:B,'E-mail'!A:A,'E-mail'!C:C)</f>
        <v>57.142857142857146</v>
      </c>
      <c r="H46" s="70">
        <f>IFERROR(_xlfn.XLOOKUP($B:$B,#REF!,#REF!),0)</f>
        <v>0</v>
      </c>
      <c r="I46" s="70">
        <v>0</v>
      </c>
      <c r="J46" s="70">
        <v>0</v>
      </c>
      <c r="K46" s="70">
        <v>0</v>
      </c>
      <c r="L46" s="59"/>
      <c r="M46" s="70">
        <v>0</v>
      </c>
      <c r="N46" s="70">
        <v>0</v>
      </c>
      <c r="O46" s="70">
        <v>0</v>
      </c>
      <c r="P46" s="38"/>
      <c r="Q46" s="40"/>
    </row>
    <row r="47" spans="1:17" s="2" customFormat="1" x14ac:dyDescent="0.2">
      <c r="A47" s="16" t="str">
        <f t="shared" si="0"/>
        <v>segunda-feira</v>
      </c>
      <c r="B47" s="17">
        <f t="shared" si="1"/>
        <v>44606</v>
      </c>
      <c r="C47" s="52">
        <f>IFERROR(_xlfn.XLOOKUP($B:$B,'Estatísticos Mensais'!$A:$A,'Estatísticos Mensais'!C:C),0)</f>
        <v>49152.92</v>
      </c>
      <c r="D47" s="69">
        <f>IFERROR(_xlfn.XLOOKUP($B:$B,Google!A:A,Google!C:C,),0)</f>
        <v>206.89</v>
      </c>
      <c r="E47" s="70" t="e">
        <f>SUMIF(#REF!,'Compilado 2023 (2)'!$B:$B,#REF!)</f>
        <v>#REF!</v>
      </c>
      <c r="F47" s="70">
        <v>0</v>
      </c>
      <c r="G47" s="70">
        <f ca="1">_xlfn.XLOOKUP(B:B,'E-mail'!A:A,'E-mail'!C:C)</f>
        <v>57.142857142857146</v>
      </c>
      <c r="H47" s="70">
        <f>IFERROR(_xlfn.XLOOKUP($B:$B,#REF!,#REF!),0)</f>
        <v>0</v>
      </c>
      <c r="I47" s="70">
        <v>0</v>
      </c>
      <c r="J47" s="70">
        <v>0</v>
      </c>
      <c r="K47" s="70">
        <v>0</v>
      </c>
      <c r="L47" s="59"/>
      <c r="M47" s="70">
        <v>0</v>
      </c>
      <c r="N47" s="70">
        <v>0</v>
      </c>
      <c r="O47" s="70">
        <v>0</v>
      </c>
      <c r="P47" s="38"/>
      <c r="Q47" s="40"/>
    </row>
    <row r="48" spans="1:17" s="2" customFormat="1" x14ac:dyDescent="0.2">
      <c r="A48" s="16" t="str">
        <f t="shared" si="0"/>
        <v>terça-feira</v>
      </c>
      <c r="B48" s="17">
        <f t="shared" si="1"/>
        <v>44607</v>
      </c>
      <c r="C48" s="52">
        <f>IFERROR(_xlfn.XLOOKUP($B:$B,'Estatísticos Mensais'!$A:$A,'Estatísticos Mensais'!C:C),0)</f>
        <v>37487.620000000003</v>
      </c>
      <c r="D48" s="69">
        <f>IFERROR(_xlfn.XLOOKUP($B:$B,Google!A:A,Google!C:C,),0)</f>
        <v>0</v>
      </c>
      <c r="E48" s="70" t="e">
        <f>SUMIF(#REF!,'Compilado 2023 (2)'!$B:$B,#REF!)</f>
        <v>#REF!</v>
      </c>
      <c r="F48" s="70">
        <v>0</v>
      </c>
      <c r="G48" s="70">
        <f ca="1">_xlfn.XLOOKUP(B:B,'E-mail'!A:A,'E-mail'!C:C)</f>
        <v>57.142857142857146</v>
      </c>
      <c r="H48" s="70">
        <f>IFERROR(_xlfn.XLOOKUP($B:$B,#REF!,#REF!),0)</f>
        <v>0</v>
      </c>
      <c r="I48" s="70">
        <v>0</v>
      </c>
      <c r="J48" s="70">
        <v>0</v>
      </c>
      <c r="K48" s="70">
        <v>0</v>
      </c>
      <c r="L48" s="59"/>
      <c r="M48" s="70">
        <v>0</v>
      </c>
      <c r="N48" s="70">
        <v>0</v>
      </c>
      <c r="O48" s="70">
        <v>0</v>
      </c>
      <c r="P48" s="38"/>
      <c r="Q48" s="40"/>
    </row>
    <row r="49" spans="1:17" s="2" customFormat="1" x14ac:dyDescent="0.2">
      <c r="A49" s="16" t="str">
        <f t="shared" si="0"/>
        <v>quarta-feira</v>
      </c>
      <c r="B49" s="17">
        <f t="shared" si="1"/>
        <v>44608</v>
      </c>
      <c r="C49" s="52">
        <f>IFERROR(_xlfn.XLOOKUP($B:$B,'Estatísticos Mensais'!$A:$A,'Estatísticos Mensais'!C:C),0)</f>
        <v>34466.01</v>
      </c>
      <c r="D49" s="69">
        <f>IFERROR(_xlfn.XLOOKUP($B:$B,Google!A:A,Google!C:C,),0)</f>
        <v>462.14</v>
      </c>
      <c r="E49" s="70" t="e">
        <f>SUMIF(#REF!,'Compilado 2023 (2)'!$B:$B,#REF!)</f>
        <v>#REF!</v>
      </c>
      <c r="F49" s="70">
        <v>0</v>
      </c>
      <c r="G49" s="70">
        <f ca="1">_xlfn.XLOOKUP(B:B,'E-mail'!A:A,'E-mail'!C:C)</f>
        <v>57.142857142857146</v>
      </c>
      <c r="H49" s="70">
        <f>IFERROR(_xlfn.XLOOKUP($B:$B,#REF!,#REF!),0)</f>
        <v>0</v>
      </c>
      <c r="I49" s="70">
        <v>0</v>
      </c>
      <c r="J49" s="70">
        <v>0</v>
      </c>
      <c r="K49" s="70">
        <v>0</v>
      </c>
      <c r="L49" s="59"/>
      <c r="M49" s="70">
        <v>0</v>
      </c>
      <c r="N49" s="70">
        <v>0</v>
      </c>
      <c r="O49" s="70">
        <v>0</v>
      </c>
      <c r="P49" s="38"/>
      <c r="Q49" s="40"/>
    </row>
    <row r="50" spans="1:17" s="2" customFormat="1" x14ac:dyDescent="0.2">
      <c r="A50" s="16" t="str">
        <f t="shared" si="0"/>
        <v>quinta-feira</v>
      </c>
      <c r="B50" s="17">
        <f t="shared" si="1"/>
        <v>44609</v>
      </c>
      <c r="C50" s="52">
        <f>IFERROR(_xlfn.XLOOKUP($B:$B,'Estatísticos Mensais'!$A:$A,'Estatísticos Mensais'!C:C),0)</f>
        <v>48035.64</v>
      </c>
      <c r="D50" s="69">
        <f>IFERROR(_xlfn.XLOOKUP($B:$B,Google!A:A,Google!C:C,),0)</f>
        <v>757.83</v>
      </c>
      <c r="E50" s="70" t="e">
        <f>SUMIF(#REF!,'Compilado 2023 (2)'!$B:$B,#REF!)</f>
        <v>#REF!</v>
      </c>
      <c r="F50" s="70">
        <v>0</v>
      </c>
      <c r="G50" s="70">
        <f ca="1">_xlfn.XLOOKUP(B:B,'E-mail'!A:A,'E-mail'!C:C)</f>
        <v>57.142857142857146</v>
      </c>
      <c r="H50" s="70">
        <f>IFERROR(_xlfn.XLOOKUP($B:$B,#REF!,#REF!),0)</f>
        <v>0</v>
      </c>
      <c r="I50" s="70">
        <v>0</v>
      </c>
      <c r="J50" s="70">
        <v>0</v>
      </c>
      <c r="K50" s="70">
        <v>0</v>
      </c>
      <c r="L50" s="59"/>
      <c r="M50" s="70">
        <v>0</v>
      </c>
      <c r="N50" s="70">
        <v>0</v>
      </c>
      <c r="O50" s="70">
        <v>0</v>
      </c>
      <c r="P50" s="38"/>
      <c r="Q50" s="40"/>
    </row>
    <row r="51" spans="1:17" s="2" customFormat="1" x14ac:dyDescent="0.2">
      <c r="A51" s="16" t="str">
        <f t="shared" si="0"/>
        <v>sexta-feira</v>
      </c>
      <c r="B51" s="17">
        <f t="shared" si="1"/>
        <v>44610</v>
      </c>
      <c r="C51" s="52">
        <f>IFERROR(_xlfn.XLOOKUP($B:$B,'Estatísticos Mensais'!$A:$A,'Estatísticos Mensais'!C:C),0)</f>
        <v>48202.37</v>
      </c>
      <c r="D51" s="69">
        <f>IFERROR(_xlfn.XLOOKUP($B:$B,Google!A:A,Google!C:C,),0)</f>
        <v>606.80999999999995</v>
      </c>
      <c r="E51" s="70" t="e">
        <f>SUMIF(#REF!,'Compilado 2023 (2)'!$B:$B,#REF!)</f>
        <v>#REF!</v>
      </c>
      <c r="F51" s="70">
        <v>0</v>
      </c>
      <c r="G51" s="70">
        <f ca="1">_xlfn.XLOOKUP(B:B,'E-mail'!A:A,'E-mail'!C:C)</f>
        <v>57.142857142857146</v>
      </c>
      <c r="H51" s="70">
        <f>IFERROR(_xlfn.XLOOKUP($B:$B,#REF!,#REF!),0)</f>
        <v>0</v>
      </c>
      <c r="I51" s="70">
        <v>0</v>
      </c>
      <c r="J51" s="70">
        <v>0</v>
      </c>
      <c r="K51" s="70">
        <v>0</v>
      </c>
      <c r="L51" s="59"/>
      <c r="M51" s="70">
        <v>0</v>
      </c>
      <c r="N51" s="70">
        <v>0</v>
      </c>
      <c r="O51" s="70">
        <v>0</v>
      </c>
      <c r="P51" s="38"/>
      <c r="Q51" s="40"/>
    </row>
    <row r="52" spans="1:17" s="2" customFormat="1" x14ac:dyDescent="0.2">
      <c r="A52" s="16" t="str">
        <f t="shared" si="0"/>
        <v>sábado</v>
      </c>
      <c r="B52" s="17">
        <f t="shared" si="1"/>
        <v>44611</v>
      </c>
      <c r="C52" s="52">
        <f>IFERROR(_xlfn.XLOOKUP($B:$B,'Estatísticos Mensais'!$A:$A,'Estatísticos Mensais'!C:C),0)</f>
        <v>22149.7</v>
      </c>
      <c r="D52" s="69">
        <f>IFERROR(_xlfn.XLOOKUP($B:$B,Google!A:A,Google!C:C,),0)</f>
        <v>444.23</v>
      </c>
      <c r="E52" s="70" t="e">
        <f>SUMIF(#REF!,'Compilado 2023 (2)'!$B:$B,#REF!)</f>
        <v>#REF!</v>
      </c>
      <c r="F52" s="70">
        <v>0</v>
      </c>
      <c r="G52" s="70">
        <f ca="1">_xlfn.XLOOKUP(B:B,'E-mail'!A:A,'E-mail'!C:C)</f>
        <v>57.142857142857146</v>
      </c>
      <c r="H52" s="70">
        <f>IFERROR(_xlfn.XLOOKUP($B:$B,#REF!,#REF!),0)</f>
        <v>0</v>
      </c>
      <c r="I52" s="70">
        <v>0</v>
      </c>
      <c r="J52" s="70">
        <v>0</v>
      </c>
      <c r="K52" s="70">
        <v>0</v>
      </c>
      <c r="L52" s="59"/>
      <c r="M52" s="70">
        <v>0</v>
      </c>
      <c r="N52" s="70">
        <v>0</v>
      </c>
      <c r="O52" s="70">
        <v>0</v>
      </c>
      <c r="P52" s="38"/>
      <c r="Q52" s="40"/>
    </row>
    <row r="53" spans="1:17" s="2" customFormat="1" x14ac:dyDescent="0.2">
      <c r="A53" s="16" t="str">
        <f t="shared" si="0"/>
        <v>domingo</v>
      </c>
      <c r="B53" s="17">
        <f t="shared" si="1"/>
        <v>44612</v>
      </c>
      <c r="C53" s="52">
        <f>IFERROR(_xlfn.XLOOKUP($B:$B,'Estatísticos Mensais'!$A:$A,'Estatísticos Mensais'!C:C),0)</f>
        <v>18486.900000000001</v>
      </c>
      <c r="D53" s="69">
        <f>IFERROR(_xlfn.XLOOKUP($B:$B,Google!A:A,Google!C:C,),0)</f>
        <v>458.07</v>
      </c>
      <c r="E53" s="70" t="e">
        <f>SUMIF(#REF!,'Compilado 2023 (2)'!$B:$B,#REF!)</f>
        <v>#REF!</v>
      </c>
      <c r="F53" s="70">
        <v>0</v>
      </c>
      <c r="G53" s="70">
        <f ca="1">_xlfn.XLOOKUP(B:B,'E-mail'!A:A,'E-mail'!C:C)</f>
        <v>57.142857142857146</v>
      </c>
      <c r="H53" s="70">
        <f>IFERROR(_xlfn.XLOOKUP($B:$B,#REF!,#REF!),0)</f>
        <v>0</v>
      </c>
      <c r="I53" s="70">
        <v>0</v>
      </c>
      <c r="J53" s="70">
        <v>0</v>
      </c>
      <c r="K53" s="70">
        <v>0</v>
      </c>
      <c r="L53" s="59"/>
      <c r="M53" s="70">
        <v>0</v>
      </c>
      <c r="N53" s="70">
        <v>0</v>
      </c>
      <c r="O53" s="70">
        <v>0</v>
      </c>
      <c r="P53" s="38"/>
      <c r="Q53" s="40"/>
    </row>
    <row r="54" spans="1:17" s="2" customFormat="1" x14ac:dyDescent="0.2">
      <c r="A54" s="16" t="str">
        <f t="shared" si="0"/>
        <v>segunda-feira</v>
      </c>
      <c r="B54" s="17">
        <f t="shared" si="1"/>
        <v>44613</v>
      </c>
      <c r="C54" s="52">
        <f>IFERROR(_xlfn.XLOOKUP($B:$B,'Estatísticos Mensais'!$A:$A,'Estatísticos Mensais'!C:C),0)</f>
        <v>29736.11</v>
      </c>
      <c r="D54" s="69">
        <f>IFERROR(_xlfn.XLOOKUP($B:$B,Google!A:A,Google!C:C,),0)</f>
        <v>616.54</v>
      </c>
      <c r="E54" s="70" t="e">
        <f>SUMIF(#REF!,'Compilado 2023 (2)'!$B:$B,#REF!)</f>
        <v>#REF!</v>
      </c>
      <c r="F54" s="70">
        <v>0</v>
      </c>
      <c r="G54" s="70">
        <f ca="1">_xlfn.XLOOKUP(B:B,'E-mail'!A:A,'E-mail'!C:C)</f>
        <v>57.142857142857146</v>
      </c>
      <c r="H54" s="70">
        <f>IFERROR(_xlfn.XLOOKUP($B:$B,#REF!,#REF!),0)</f>
        <v>0</v>
      </c>
      <c r="I54" s="70">
        <v>0</v>
      </c>
      <c r="J54" s="70">
        <v>0</v>
      </c>
      <c r="K54" s="70">
        <v>0</v>
      </c>
      <c r="L54" s="59"/>
      <c r="M54" s="70">
        <v>0</v>
      </c>
      <c r="N54" s="70">
        <v>0</v>
      </c>
      <c r="O54" s="70">
        <v>0</v>
      </c>
      <c r="P54" s="38"/>
      <c r="Q54" s="40"/>
    </row>
    <row r="55" spans="1:17" s="2" customFormat="1" x14ac:dyDescent="0.2">
      <c r="A55" s="16" t="str">
        <f t="shared" si="0"/>
        <v>terça-feira</v>
      </c>
      <c r="B55" s="17">
        <f t="shared" si="1"/>
        <v>44614</v>
      </c>
      <c r="C55" s="52">
        <f>IFERROR(_xlfn.XLOOKUP($B:$B,'Estatísticos Mensais'!$A:$A,'Estatísticos Mensais'!C:C),0)</f>
        <v>41774.85</v>
      </c>
      <c r="D55" s="69">
        <f>IFERROR(_xlfn.XLOOKUP($B:$B,Google!A:A,Google!C:C,),0)</f>
        <v>563.65</v>
      </c>
      <c r="E55" s="70" t="e">
        <f>SUMIF(#REF!,'Compilado 2023 (2)'!$B:$B,#REF!)</f>
        <v>#REF!</v>
      </c>
      <c r="F55" s="70">
        <v>0</v>
      </c>
      <c r="G55" s="70">
        <f ca="1">_xlfn.XLOOKUP(B:B,'E-mail'!A:A,'E-mail'!C:C)</f>
        <v>57.142857142857146</v>
      </c>
      <c r="H55" s="70">
        <f>IFERROR(_xlfn.XLOOKUP($B:$B,#REF!,#REF!),0)</f>
        <v>0</v>
      </c>
      <c r="I55" s="70">
        <v>0</v>
      </c>
      <c r="J55" s="70">
        <v>0</v>
      </c>
      <c r="K55" s="70">
        <v>0</v>
      </c>
      <c r="L55" s="59"/>
      <c r="M55" s="70">
        <v>0</v>
      </c>
      <c r="N55" s="70">
        <v>0</v>
      </c>
      <c r="O55" s="70">
        <v>0</v>
      </c>
      <c r="P55" s="38"/>
      <c r="Q55" s="40"/>
    </row>
    <row r="56" spans="1:17" s="2" customFormat="1" x14ac:dyDescent="0.2">
      <c r="A56" s="16" t="str">
        <f t="shared" si="0"/>
        <v>quarta-feira</v>
      </c>
      <c r="B56" s="17">
        <f t="shared" si="1"/>
        <v>44615</v>
      </c>
      <c r="C56" s="52">
        <f>IFERROR(_xlfn.XLOOKUP($B:$B,'Estatísticos Mensais'!$A:$A,'Estatísticos Mensais'!C:C),0)</f>
        <v>36378.120000000003</v>
      </c>
      <c r="D56" s="69">
        <f>IFERROR(_xlfn.XLOOKUP($B:$B,Google!A:A,Google!C:C,),0)</f>
        <v>500.55</v>
      </c>
      <c r="E56" s="70" t="e">
        <f>SUMIF(#REF!,'Compilado 2023 (2)'!$B:$B,#REF!)</f>
        <v>#REF!</v>
      </c>
      <c r="F56" s="70">
        <v>0</v>
      </c>
      <c r="G56" s="70">
        <f ca="1">_xlfn.XLOOKUP(B:B,'E-mail'!A:A,'E-mail'!C:C)</f>
        <v>57.142857142857146</v>
      </c>
      <c r="H56" s="70">
        <f>IFERROR(_xlfn.XLOOKUP($B:$B,#REF!,#REF!),0)</f>
        <v>0</v>
      </c>
      <c r="I56" s="70">
        <v>0</v>
      </c>
      <c r="J56" s="70">
        <v>0</v>
      </c>
      <c r="K56" s="70">
        <v>0</v>
      </c>
      <c r="L56" s="59"/>
      <c r="M56" s="70">
        <v>0</v>
      </c>
      <c r="N56" s="70">
        <v>0</v>
      </c>
      <c r="O56" s="70">
        <v>0</v>
      </c>
      <c r="P56" s="38"/>
      <c r="Q56" s="40"/>
    </row>
    <row r="57" spans="1:17" s="2" customFormat="1" x14ac:dyDescent="0.2">
      <c r="A57" s="16" t="str">
        <f t="shared" si="0"/>
        <v>quinta-feira</v>
      </c>
      <c r="B57" s="17">
        <f t="shared" si="1"/>
        <v>44616</v>
      </c>
      <c r="C57" s="52">
        <f>IFERROR(_xlfn.XLOOKUP($B:$B,'Estatísticos Mensais'!$A:$A,'Estatísticos Mensais'!C:C),0)</f>
        <v>47748.09</v>
      </c>
      <c r="D57" s="69">
        <f>IFERROR(_xlfn.XLOOKUP($B:$B,Google!A:A,Google!C:C,),0)</f>
        <v>547.71</v>
      </c>
      <c r="E57" s="70" t="e">
        <f>SUMIF(#REF!,'Compilado 2023 (2)'!$B:$B,#REF!)</f>
        <v>#REF!</v>
      </c>
      <c r="F57" s="70">
        <v>0</v>
      </c>
      <c r="G57" s="70">
        <f ca="1">_xlfn.XLOOKUP(B:B,'E-mail'!A:A,'E-mail'!C:C)</f>
        <v>57.142857142857146</v>
      </c>
      <c r="H57" s="70">
        <f>IFERROR(_xlfn.XLOOKUP($B:$B,#REF!,#REF!),0)</f>
        <v>0</v>
      </c>
      <c r="I57" s="70">
        <v>0</v>
      </c>
      <c r="J57" s="70">
        <v>0</v>
      </c>
      <c r="K57" s="70">
        <v>0</v>
      </c>
      <c r="L57" s="59"/>
      <c r="M57" s="70">
        <v>0</v>
      </c>
      <c r="N57" s="70">
        <v>0</v>
      </c>
      <c r="O57" s="70">
        <v>0</v>
      </c>
      <c r="P57" s="38"/>
      <c r="Q57" s="40"/>
    </row>
    <row r="58" spans="1:17" s="2" customFormat="1" x14ac:dyDescent="0.2">
      <c r="A58" s="16" t="str">
        <f t="shared" si="0"/>
        <v>sexta-feira</v>
      </c>
      <c r="B58" s="17">
        <f t="shared" si="1"/>
        <v>44617</v>
      </c>
      <c r="C58" s="52">
        <f>IFERROR(_xlfn.XLOOKUP($B:$B,'Estatísticos Mensais'!$A:$A,'Estatísticos Mensais'!C:C),0)</f>
        <v>52533.82</v>
      </c>
      <c r="D58" s="69">
        <f>IFERROR(_xlfn.XLOOKUP($B:$B,Google!A:A,Google!C:C,),0)</f>
        <v>407.17</v>
      </c>
      <c r="E58" s="70" t="e">
        <f>SUMIF(#REF!,'Compilado 2023 (2)'!$B:$B,#REF!)</f>
        <v>#REF!</v>
      </c>
      <c r="F58" s="70">
        <v>0</v>
      </c>
      <c r="G58" s="70">
        <f ca="1">_xlfn.XLOOKUP(B:B,'E-mail'!A:A,'E-mail'!C:C)</f>
        <v>57.142857142857146</v>
      </c>
      <c r="H58" s="70">
        <f>IFERROR(_xlfn.XLOOKUP($B:$B,#REF!,#REF!),0)</f>
        <v>0</v>
      </c>
      <c r="I58" s="70">
        <v>0</v>
      </c>
      <c r="J58" s="70">
        <v>0</v>
      </c>
      <c r="K58" s="70">
        <v>0</v>
      </c>
      <c r="L58" s="59"/>
      <c r="M58" s="70">
        <v>0</v>
      </c>
      <c r="N58" s="70">
        <v>0</v>
      </c>
      <c r="O58" s="70">
        <v>0</v>
      </c>
      <c r="P58" s="38"/>
      <c r="Q58" s="40"/>
    </row>
    <row r="59" spans="1:17" s="2" customFormat="1" x14ac:dyDescent="0.2">
      <c r="A59" s="16" t="str">
        <f t="shared" si="0"/>
        <v>sábado</v>
      </c>
      <c r="B59" s="17">
        <f t="shared" si="1"/>
        <v>44618</v>
      </c>
      <c r="C59" s="52">
        <f>IFERROR(_xlfn.XLOOKUP($B:$B,'Estatísticos Mensais'!$A:$A,'Estatísticos Mensais'!C:C),0)</f>
        <v>24602.11</v>
      </c>
      <c r="D59" s="69">
        <f>IFERROR(_xlfn.XLOOKUP($B:$B,Google!A:A,Google!C:C,),0)</f>
        <v>391.77</v>
      </c>
      <c r="E59" s="70" t="e">
        <f>SUMIF(#REF!,'Compilado 2023 (2)'!$B:$B,#REF!)</f>
        <v>#REF!</v>
      </c>
      <c r="F59" s="70">
        <v>0</v>
      </c>
      <c r="G59" s="70">
        <f ca="1">_xlfn.XLOOKUP(B:B,'E-mail'!A:A,'E-mail'!C:C)</f>
        <v>57.142857142857146</v>
      </c>
      <c r="H59" s="70">
        <f>IFERROR(_xlfn.XLOOKUP($B:$B,#REF!,#REF!),0)</f>
        <v>0</v>
      </c>
      <c r="I59" s="70">
        <v>0</v>
      </c>
      <c r="J59" s="70">
        <v>0</v>
      </c>
      <c r="K59" s="70">
        <v>0</v>
      </c>
      <c r="L59" s="59"/>
      <c r="M59" s="70">
        <v>0</v>
      </c>
      <c r="N59" s="70">
        <v>0</v>
      </c>
      <c r="O59" s="70">
        <v>0</v>
      </c>
      <c r="P59" s="38"/>
      <c r="Q59" s="40"/>
    </row>
    <row r="60" spans="1:17" s="2" customFormat="1" x14ac:dyDescent="0.2">
      <c r="A60" s="16" t="str">
        <f t="shared" si="0"/>
        <v>domingo</v>
      </c>
      <c r="B60" s="17">
        <f t="shared" si="1"/>
        <v>44619</v>
      </c>
      <c r="C60" s="52">
        <f>IFERROR(_xlfn.XLOOKUP($B:$B,'Estatísticos Mensais'!$A:$A,'Estatísticos Mensais'!C:C),0)</f>
        <v>14697.45</v>
      </c>
      <c r="D60" s="69">
        <f>IFERROR(_xlfn.XLOOKUP($B:$B,Google!A:A,Google!C:C,),0)</f>
        <v>308.87</v>
      </c>
      <c r="E60" s="70" t="e">
        <f>SUMIF(#REF!,'Compilado 2023 (2)'!$B:$B,#REF!)</f>
        <v>#REF!</v>
      </c>
      <c r="F60" s="70">
        <v>0</v>
      </c>
      <c r="G60" s="70">
        <f ca="1">_xlfn.XLOOKUP(B:B,'E-mail'!A:A,'E-mail'!C:C)</f>
        <v>57.142857142857146</v>
      </c>
      <c r="H60" s="70">
        <f>IFERROR(_xlfn.XLOOKUP($B:$B,#REF!,#REF!),0)</f>
        <v>0</v>
      </c>
      <c r="I60" s="70">
        <v>0</v>
      </c>
      <c r="J60" s="70">
        <v>0</v>
      </c>
      <c r="K60" s="70">
        <v>0</v>
      </c>
      <c r="L60" s="59"/>
      <c r="M60" s="70">
        <v>0</v>
      </c>
      <c r="N60" s="70">
        <v>0</v>
      </c>
      <c r="O60" s="70">
        <v>0</v>
      </c>
      <c r="P60" s="38"/>
      <c r="Q60" s="40"/>
    </row>
    <row r="61" spans="1:17" s="2" customFormat="1" x14ac:dyDescent="0.2">
      <c r="A61" s="16" t="str">
        <f t="shared" si="0"/>
        <v>segunda-feira</v>
      </c>
      <c r="B61" s="17">
        <f t="shared" si="1"/>
        <v>44620</v>
      </c>
      <c r="C61" s="52">
        <f>IFERROR(_xlfn.XLOOKUP($B:$B,'Estatísticos Mensais'!$A:$A,'Estatísticos Mensais'!C:C),0)</f>
        <v>20827.53</v>
      </c>
      <c r="D61" s="69">
        <f>IFERROR(_xlfn.XLOOKUP($B:$B,Google!A:A,Google!C:C,),0)</f>
        <v>411.65</v>
      </c>
      <c r="E61" s="70" t="e">
        <f>SUMIF(#REF!,'Compilado 2023 (2)'!$B:$B,#REF!)</f>
        <v>#REF!</v>
      </c>
      <c r="F61" s="70">
        <v>0</v>
      </c>
      <c r="G61" s="70">
        <f ca="1">_xlfn.XLOOKUP(B:B,'E-mail'!A:A,'E-mail'!C:C)</f>
        <v>57.142857142857146</v>
      </c>
      <c r="H61" s="70">
        <f>IFERROR(_xlfn.XLOOKUP($B:$B,#REF!,#REF!),0)</f>
        <v>0</v>
      </c>
      <c r="I61" s="70">
        <v>0</v>
      </c>
      <c r="J61" s="70">
        <v>0</v>
      </c>
      <c r="K61" s="70">
        <v>0</v>
      </c>
      <c r="L61" s="59"/>
      <c r="M61" s="70">
        <v>0</v>
      </c>
      <c r="N61" s="70">
        <v>0</v>
      </c>
      <c r="O61" s="70">
        <v>0</v>
      </c>
      <c r="P61" s="38"/>
      <c r="Q61" s="40"/>
    </row>
    <row r="62" spans="1:17" s="2" customFormat="1" x14ac:dyDescent="0.2">
      <c r="A62" s="16" t="str">
        <f t="shared" si="0"/>
        <v>terça-feira</v>
      </c>
      <c r="B62" s="17">
        <f t="shared" si="1"/>
        <v>44621</v>
      </c>
      <c r="C62" s="52">
        <f>IFERROR(_xlfn.XLOOKUP($B:$B,'Estatísticos Mensais'!$A:$A,'Estatísticos Mensais'!C:C),0)</f>
        <v>26424.45</v>
      </c>
      <c r="D62" s="69">
        <f>IFERROR(_xlfn.XLOOKUP($B:$B,Google!A:A,Google!C:C,),0)</f>
        <v>435.4</v>
      </c>
      <c r="E62" s="70" t="e">
        <f>SUMIF(#REF!,'Compilado 2023 (2)'!$B:$B,#REF!)</f>
        <v>#REF!</v>
      </c>
      <c r="F62" s="70">
        <v>0</v>
      </c>
      <c r="G62" s="70">
        <f ca="1">_xlfn.XLOOKUP(B:B,'E-mail'!A:A,'E-mail'!C:C)</f>
        <v>51.612903225806448</v>
      </c>
      <c r="H62" s="70">
        <f>IFERROR(_xlfn.XLOOKUP($B:$B,#REF!,#REF!),0)</f>
        <v>0</v>
      </c>
      <c r="I62" s="70">
        <v>0</v>
      </c>
      <c r="J62" s="70">
        <v>0</v>
      </c>
      <c r="K62" s="70">
        <v>0</v>
      </c>
      <c r="L62" s="59"/>
      <c r="M62" s="70">
        <v>0</v>
      </c>
      <c r="N62" s="70">
        <v>0</v>
      </c>
      <c r="O62" s="70">
        <v>0</v>
      </c>
      <c r="P62" s="38"/>
      <c r="Q62" s="40"/>
    </row>
    <row r="63" spans="1:17" s="2" customFormat="1" x14ac:dyDescent="0.2">
      <c r="A63" s="16" t="str">
        <f t="shared" si="0"/>
        <v>quarta-feira</v>
      </c>
      <c r="B63" s="17">
        <f t="shared" si="1"/>
        <v>44622</v>
      </c>
      <c r="C63" s="52">
        <f>IFERROR(_xlfn.XLOOKUP($B:$B,'Estatísticos Mensais'!$A:$A,'Estatísticos Mensais'!C:C),0)</f>
        <v>33508.92</v>
      </c>
      <c r="D63" s="69">
        <f>IFERROR(_xlfn.XLOOKUP($B:$B,Google!A:A,Google!C:C,),0)</f>
        <v>466.11</v>
      </c>
      <c r="E63" s="70" t="e">
        <f>SUMIF(#REF!,'Compilado 2023 (2)'!$B:$B,#REF!)</f>
        <v>#REF!</v>
      </c>
      <c r="F63" s="70">
        <v>0</v>
      </c>
      <c r="G63" s="70">
        <f ca="1">_xlfn.XLOOKUP(B:B,'E-mail'!A:A,'E-mail'!C:C)</f>
        <v>51.612903225806448</v>
      </c>
      <c r="H63" s="70">
        <f>IFERROR(_xlfn.XLOOKUP($B:$B,#REF!,#REF!),0)</f>
        <v>0</v>
      </c>
      <c r="I63" s="70">
        <v>0</v>
      </c>
      <c r="J63" s="70">
        <v>0</v>
      </c>
      <c r="K63" s="70">
        <v>0</v>
      </c>
      <c r="L63" s="59"/>
      <c r="M63" s="70">
        <v>0</v>
      </c>
      <c r="N63" s="70">
        <v>0</v>
      </c>
      <c r="O63" s="70">
        <v>0</v>
      </c>
      <c r="P63" s="38"/>
      <c r="Q63" s="40"/>
    </row>
    <row r="64" spans="1:17" s="2" customFormat="1" x14ac:dyDescent="0.2">
      <c r="A64" s="16" t="str">
        <f t="shared" si="0"/>
        <v>quinta-feira</v>
      </c>
      <c r="B64" s="17">
        <f t="shared" si="1"/>
        <v>44623</v>
      </c>
      <c r="C64" s="52">
        <f>IFERROR(_xlfn.XLOOKUP($B:$B,'Estatísticos Mensais'!$A:$A,'Estatísticos Mensais'!C:C),0)</f>
        <v>38636.53</v>
      </c>
      <c r="D64" s="69">
        <f>IFERROR(_xlfn.XLOOKUP($B:$B,Google!A:A,Google!C:C,),0)</f>
        <v>506.61</v>
      </c>
      <c r="E64" s="70" t="e">
        <f>SUMIF(#REF!,'Compilado 2023 (2)'!$B:$B,#REF!)</f>
        <v>#REF!</v>
      </c>
      <c r="F64" s="70">
        <v>0</v>
      </c>
      <c r="G64" s="70">
        <f ca="1">_xlfn.XLOOKUP(B:B,'E-mail'!A:A,'E-mail'!C:C)</f>
        <v>51.612903225806448</v>
      </c>
      <c r="H64" s="70">
        <f>IFERROR(_xlfn.XLOOKUP($B:$B,#REF!,#REF!),0)</f>
        <v>0</v>
      </c>
      <c r="I64" s="70">
        <v>0</v>
      </c>
      <c r="J64" s="70">
        <v>0</v>
      </c>
      <c r="K64" s="70">
        <v>0</v>
      </c>
      <c r="L64" s="59"/>
      <c r="M64" s="70">
        <v>0</v>
      </c>
      <c r="N64" s="70">
        <v>0</v>
      </c>
      <c r="O64" s="70">
        <v>0</v>
      </c>
      <c r="P64" s="38"/>
      <c r="Q64" s="40"/>
    </row>
    <row r="65" spans="1:17" s="2" customFormat="1" x14ac:dyDescent="0.2">
      <c r="A65" s="16" t="str">
        <f t="shared" si="0"/>
        <v>sexta-feira</v>
      </c>
      <c r="B65" s="17">
        <f t="shared" si="1"/>
        <v>44624</v>
      </c>
      <c r="C65" s="52">
        <f>IFERROR(_xlfn.XLOOKUP($B:$B,'Estatísticos Mensais'!$A:$A,'Estatísticos Mensais'!C:C),0)</f>
        <v>34579.99</v>
      </c>
      <c r="D65" s="69">
        <f>IFERROR(_xlfn.XLOOKUP($B:$B,Google!A:A,Google!C:C,),0)</f>
        <v>519.73</v>
      </c>
      <c r="E65" s="70" t="e">
        <f>SUMIF(#REF!,'Compilado 2023 (2)'!$B:$B,#REF!)</f>
        <v>#REF!</v>
      </c>
      <c r="F65" s="70">
        <v>0</v>
      </c>
      <c r="G65" s="70">
        <f ca="1">_xlfn.XLOOKUP(B:B,'E-mail'!A:A,'E-mail'!C:C)</f>
        <v>51.612903225806448</v>
      </c>
      <c r="H65" s="70">
        <f>IFERROR(_xlfn.XLOOKUP($B:$B,#REF!,#REF!),0)</f>
        <v>0</v>
      </c>
      <c r="I65" s="70">
        <v>0</v>
      </c>
      <c r="J65" s="70">
        <v>0</v>
      </c>
      <c r="K65" s="70">
        <v>0</v>
      </c>
      <c r="L65" s="59"/>
      <c r="M65" s="70">
        <v>0</v>
      </c>
      <c r="N65" s="70">
        <v>0</v>
      </c>
      <c r="O65" s="70">
        <v>0</v>
      </c>
      <c r="P65" s="38"/>
      <c r="Q65" s="40"/>
    </row>
    <row r="66" spans="1:17" s="2" customFormat="1" x14ac:dyDescent="0.2">
      <c r="A66" s="16" t="str">
        <f t="shared" si="0"/>
        <v>sábado</v>
      </c>
      <c r="B66" s="17">
        <f t="shared" si="1"/>
        <v>44625</v>
      </c>
      <c r="C66" s="52">
        <f>IFERROR(_xlfn.XLOOKUP($B:$B,'Estatísticos Mensais'!$A:$A,'Estatísticos Mensais'!C:C),0)</f>
        <v>20933.25</v>
      </c>
      <c r="D66" s="69">
        <f>IFERROR(_xlfn.XLOOKUP($B:$B,Google!A:A,Google!C:C,),0)</f>
        <v>407.41</v>
      </c>
      <c r="E66" s="70" t="e">
        <f>SUMIF(#REF!,'Compilado 2023 (2)'!$B:$B,#REF!)</f>
        <v>#REF!</v>
      </c>
      <c r="F66" s="70">
        <v>0</v>
      </c>
      <c r="G66" s="70">
        <f ca="1">_xlfn.XLOOKUP(B:B,'E-mail'!A:A,'E-mail'!C:C)</f>
        <v>51.612903225806448</v>
      </c>
      <c r="H66" s="70">
        <f>IFERROR(_xlfn.XLOOKUP($B:$B,#REF!,#REF!),0)</f>
        <v>0</v>
      </c>
      <c r="I66" s="70">
        <v>0</v>
      </c>
      <c r="J66" s="70">
        <v>0</v>
      </c>
      <c r="K66" s="70">
        <v>0</v>
      </c>
      <c r="L66" s="59"/>
      <c r="M66" s="70">
        <v>0</v>
      </c>
      <c r="N66" s="70">
        <v>0</v>
      </c>
      <c r="O66" s="70">
        <v>0</v>
      </c>
      <c r="P66" s="38"/>
      <c r="Q66" s="40"/>
    </row>
    <row r="67" spans="1:17" s="2" customFormat="1" x14ac:dyDescent="0.2">
      <c r="A67" s="16" t="str">
        <f t="shared" ref="A67:A130" si="2">TEXT(B67,"DDDD")</f>
        <v>domingo</v>
      </c>
      <c r="B67" s="17">
        <f t="shared" si="1"/>
        <v>44626</v>
      </c>
      <c r="C67" s="52">
        <f>IFERROR(_xlfn.XLOOKUP($B:$B,'Estatísticos Mensais'!$A:$A,'Estatísticos Mensais'!C:C),0)</f>
        <v>20161.580000000002</v>
      </c>
      <c r="D67" s="69">
        <f>IFERROR(_xlfn.XLOOKUP($B:$B,Google!A:A,Google!C:C,),0)</f>
        <v>406.66</v>
      </c>
      <c r="E67" s="70" t="e">
        <f>SUMIF(#REF!,'Compilado 2023 (2)'!$B:$B,#REF!)</f>
        <v>#REF!</v>
      </c>
      <c r="F67" s="70">
        <v>0</v>
      </c>
      <c r="G67" s="70">
        <f ca="1">_xlfn.XLOOKUP(B:B,'E-mail'!A:A,'E-mail'!C:C)</f>
        <v>51.612903225806448</v>
      </c>
      <c r="H67" s="70">
        <f>IFERROR(_xlfn.XLOOKUP($B:$B,#REF!,#REF!),0)</f>
        <v>0</v>
      </c>
      <c r="I67" s="70">
        <v>0</v>
      </c>
      <c r="J67" s="70">
        <v>0</v>
      </c>
      <c r="K67" s="70">
        <v>0</v>
      </c>
      <c r="L67" s="59"/>
      <c r="M67" s="70">
        <v>0</v>
      </c>
      <c r="N67" s="70">
        <v>0</v>
      </c>
      <c r="O67" s="70">
        <v>0</v>
      </c>
      <c r="P67" s="38"/>
      <c r="Q67" s="40"/>
    </row>
    <row r="68" spans="1:17" s="2" customFormat="1" x14ac:dyDescent="0.2">
      <c r="A68" s="16" t="str">
        <f t="shared" si="2"/>
        <v>segunda-feira</v>
      </c>
      <c r="B68" s="17">
        <f t="shared" si="1"/>
        <v>44627</v>
      </c>
      <c r="C68" s="52">
        <f>IFERROR(_xlfn.XLOOKUP($B:$B,'Estatísticos Mensais'!$A:$A,'Estatísticos Mensais'!C:C),0)</f>
        <v>53461.25</v>
      </c>
      <c r="D68" s="69">
        <f>IFERROR(_xlfn.XLOOKUP($B:$B,Google!A:A,Google!C:C,),0)</f>
        <v>557.52</v>
      </c>
      <c r="E68" s="70" t="e">
        <f>SUMIF(#REF!,'Compilado 2023 (2)'!$B:$B,#REF!)</f>
        <v>#REF!</v>
      </c>
      <c r="F68" s="70">
        <v>0</v>
      </c>
      <c r="G68" s="70">
        <f ca="1">_xlfn.XLOOKUP(B:B,'E-mail'!A:A,'E-mail'!C:C)</f>
        <v>51.612903225806448</v>
      </c>
      <c r="H68" s="70">
        <f>IFERROR(_xlfn.XLOOKUP($B:$B,#REF!,#REF!),0)</f>
        <v>0</v>
      </c>
      <c r="I68" s="70">
        <v>0</v>
      </c>
      <c r="J68" s="70">
        <v>0</v>
      </c>
      <c r="K68" s="70">
        <v>0</v>
      </c>
      <c r="L68" s="59"/>
      <c r="M68" s="70">
        <v>0</v>
      </c>
      <c r="N68" s="70">
        <v>0</v>
      </c>
      <c r="O68" s="70">
        <v>0</v>
      </c>
      <c r="P68" s="38"/>
      <c r="Q68" s="40"/>
    </row>
    <row r="69" spans="1:17" s="2" customFormat="1" x14ac:dyDescent="0.2">
      <c r="A69" s="16" t="str">
        <f t="shared" si="2"/>
        <v>terça-feira</v>
      </c>
      <c r="B69" s="17">
        <f t="shared" ref="B69:B132" si="3">B68+1</f>
        <v>44628</v>
      </c>
      <c r="C69" s="52">
        <f>IFERROR(_xlfn.XLOOKUP($B:$B,'Estatísticos Mensais'!$A:$A,'Estatísticos Mensais'!C:C),0)</f>
        <v>69122.89</v>
      </c>
      <c r="D69" s="69">
        <f>IFERROR(_xlfn.XLOOKUP($B:$B,Google!A:A,Google!C:C,),0)</f>
        <v>507.35</v>
      </c>
      <c r="E69" s="70" t="e">
        <f>SUMIF(#REF!,'Compilado 2023 (2)'!$B:$B,#REF!)</f>
        <v>#REF!</v>
      </c>
      <c r="F69" s="70">
        <v>0</v>
      </c>
      <c r="G69" s="70">
        <f ca="1">_xlfn.XLOOKUP(B:B,'E-mail'!A:A,'E-mail'!C:C)</f>
        <v>51.612903225806448</v>
      </c>
      <c r="H69" s="70">
        <f>IFERROR(_xlfn.XLOOKUP($B:$B,#REF!,#REF!),0)</f>
        <v>0</v>
      </c>
      <c r="I69" s="70">
        <v>0</v>
      </c>
      <c r="J69" s="70">
        <v>0</v>
      </c>
      <c r="K69" s="70">
        <v>0</v>
      </c>
      <c r="L69" s="59"/>
      <c r="M69" s="70">
        <v>0</v>
      </c>
      <c r="N69" s="70">
        <v>0</v>
      </c>
      <c r="O69" s="70">
        <v>0</v>
      </c>
      <c r="P69" s="38"/>
      <c r="Q69" s="40"/>
    </row>
    <row r="70" spans="1:17" s="2" customFormat="1" x14ac:dyDescent="0.2">
      <c r="A70" s="16" t="str">
        <f t="shared" si="2"/>
        <v>quarta-feira</v>
      </c>
      <c r="B70" s="17">
        <f t="shared" si="3"/>
        <v>44629</v>
      </c>
      <c r="C70" s="52">
        <f>IFERROR(_xlfn.XLOOKUP($B:$B,'Estatísticos Mensais'!$A:$A,'Estatísticos Mensais'!C:C),0)</f>
        <v>39587.160000000003</v>
      </c>
      <c r="D70" s="69">
        <f>IFERROR(_xlfn.XLOOKUP($B:$B,Google!A:A,Google!C:C,),0)</f>
        <v>483.98</v>
      </c>
      <c r="E70" s="70" t="e">
        <f>SUMIF(#REF!,'Compilado 2023 (2)'!$B:$B,#REF!)</f>
        <v>#REF!</v>
      </c>
      <c r="F70" s="70">
        <v>0</v>
      </c>
      <c r="G70" s="70">
        <f ca="1">_xlfn.XLOOKUP(B:B,'E-mail'!A:A,'E-mail'!C:C)</f>
        <v>51.612903225806448</v>
      </c>
      <c r="H70" s="70">
        <f>IFERROR(_xlfn.XLOOKUP($B:$B,#REF!,#REF!),0)</f>
        <v>0</v>
      </c>
      <c r="I70" s="70">
        <v>0</v>
      </c>
      <c r="J70" s="70">
        <v>0</v>
      </c>
      <c r="K70" s="70">
        <v>0</v>
      </c>
      <c r="L70" s="59"/>
      <c r="M70" s="70">
        <v>0</v>
      </c>
      <c r="N70" s="70">
        <v>0</v>
      </c>
      <c r="O70" s="70">
        <v>0</v>
      </c>
      <c r="P70" s="38"/>
      <c r="Q70" s="40"/>
    </row>
    <row r="71" spans="1:17" s="2" customFormat="1" x14ac:dyDescent="0.2">
      <c r="A71" s="16" t="str">
        <f t="shared" si="2"/>
        <v>quinta-feira</v>
      </c>
      <c r="B71" s="17">
        <f t="shared" si="3"/>
        <v>44630</v>
      </c>
      <c r="C71" s="52">
        <f>IFERROR(_xlfn.XLOOKUP($B:$B,'Estatísticos Mensais'!$A:$A,'Estatísticos Mensais'!C:C),0)</f>
        <v>28431.84</v>
      </c>
      <c r="D71" s="69">
        <f>IFERROR(_xlfn.XLOOKUP($B:$B,Google!A:A,Google!C:C,),0)</f>
        <v>460.88</v>
      </c>
      <c r="E71" s="70" t="e">
        <f>SUMIF(#REF!,'Compilado 2023 (2)'!$B:$B,#REF!)</f>
        <v>#REF!</v>
      </c>
      <c r="F71" s="70">
        <v>0</v>
      </c>
      <c r="G71" s="70">
        <f ca="1">_xlfn.XLOOKUP(B:B,'E-mail'!A:A,'E-mail'!C:C)</f>
        <v>51.612903225806448</v>
      </c>
      <c r="H71" s="70">
        <f>IFERROR(_xlfn.XLOOKUP($B:$B,#REF!,#REF!),0)</f>
        <v>0</v>
      </c>
      <c r="I71" s="70">
        <v>0</v>
      </c>
      <c r="J71" s="70">
        <v>0</v>
      </c>
      <c r="K71" s="70">
        <v>0</v>
      </c>
      <c r="L71" s="59"/>
      <c r="M71" s="70">
        <v>0</v>
      </c>
      <c r="N71" s="70">
        <v>0</v>
      </c>
      <c r="O71" s="70">
        <v>0</v>
      </c>
      <c r="P71" s="38"/>
      <c r="Q71" s="40"/>
    </row>
    <row r="72" spans="1:17" s="2" customFormat="1" x14ac:dyDescent="0.2">
      <c r="A72" s="16" t="str">
        <f t="shared" si="2"/>
        <v>sexta-feira</v>
      </c>
      <c r="B72" s="17">
        <f t="shared" si="3"/>
        <v>44631</v>
      </c>
      <c r="C72" s="52">
        <f>IFERROR(_xlfn.XLOOKUP($B:$B,'Estatísticos Mensais'!$A:$A,'Estatísticos Mensais'!C:C),0)</f>
        <v>31452.85</v>
      </c>
      <c r="D72" s="69">
        <f>IFERROR(_xlfn.XLOOKUP($B:$B,Google!A:A,Google!C:C,),0)</f>
        <v>454.94</v>
      </c>
      <c r="E72" s="70" t="e">
        <f>SUMIF(#REF!,'Compilado 2023 (2)'!$B:$B,#REF!)</f>
        <v>#REF!</v>
      </c>
      <c r="F72" s="70">
        <v>0</v>
      </c>
      <c r="G72" s="70">
        <f ca="1">_xlfn.XLOOKUP(B:B,'E-mail'!A:A,'E-mail'!C:C)</f>
        <v>51.612903225806448</v>
      </c>
      <c r="H72" s="70">
        <f>IFERROR(_xlfn.XLOOKUP($B:$B,#REF!,#REF!),0)</f>
        <v>0</v>
      </c>
      <c r="I72" s="70">
        <v>0</v>
      </c>
      <c r="J72" s="70">
        <v>0</v>
      </c>
      <c r="K72" s="70">
        <v>0</v>
      </c>
      <c r="L72" s="59"/>
      <c r="M72" s="70">
        <v>0</v>
      </c>
      <c r="N72" s="70">
        <v>0</v>
      </c>
      <c r="O72" s="70">
        <v>0</v>
      </c>
      <c r="P72" s="38"/>
      <c r="Q72" s="40"/>
    </row>
    <row r="73" spans="1:17" s="2" customFormat="1" x14ac:dyDescent="0.2">
      <c r="A73" s="16" t="str">
        <f t="shared" si="2"/>
        <v>sábado</v>
      </c>
      <c r="B73" s="17">
        <f t="shared" si="3"/>
        <v>44632</v>
      </c>
      <c r="C73" s="52">
        <f>IFERROR(_xlfn.XLOOKUP($B:$B,'Estatísticos Mensais'!$A:$A,'Estatísticos Mensais'!C:C),0)</f>
        <v>20794.89</v>
      </c>
      <c r="D73" s="69">
        <f>IFERROR(_xlfn.XLOOKUP($B:$B,Google!A:A,Google!C:C,),0)</f>
        <v>277.64999999999998</v>
      </c>
      <c r="E73" s="70" t="e">
        <f>SUMIF(#REF!,'Compilado 2023 (2)'!$B:$B,#REF!)</f>
        <v>#REF!</v>
      </c>
      <c r="F73" s="70">
        <v>0</v>
      </c>
      <c r="G73" s="70">
        <f ca="1">_xlfn.XLOOKUP(B:B,'E-mail'!A:A,'E-mail'!C:C)</f>
        <v>51.612903225806448</v>
      </c>
      <c r="H73" s="70">
        <f>IFERROR(_xlfn.XLOOKUP($B:$B,#REF!,#REF!),0)</f>
        <v>0</v>
      </c>
      <c r="I73" s="70">
        <v>0</v>
      </c>
      <c r="J73" s="70">
        <v>0</v>
      </c>
      <c r="K73" s="70">
        <v>0</v>
      </c>
      <c r="L73" s="59"/>
      <c r="M73" s="70">
        <v>0</v>
      </c>
      <c r="N73" s="70">
        <v>0</v>
      </c>
      <c r="O73" s="70">
        <v>0</v>
      </c>
      <c r="P73" s="38"/>
      <c r="Q73" s="40"/>
    </row>
    <row r="74" spans="1:17" s="2" customFormat="1" x14ac:dyDescent="0.2">
      <c r="A74" s="16" t="str">
        <f t="shared" si="2"/>
        <v>domingo</v>
      </c>
      <c r="B74" s="17">
        <f t="shared" si="3"/>
        <v>44633</v>
      </c>
      <c r="C74" s="52">
        <f>IFERROR(_xlfn.XLOOKUP($B:$B,'Estatísticos Mensais'!$A:$A,'Estatísticos Mensais'!C:C),0)</f>
        <v>21368.78</v>
      </c>
      <c r="D74" s="69">
        <f>IFERROR(_xlfn.XLOOKUP($B:$B,Google!A:A,Google!C:C,),0)</f>
        <v>0</v>
      </c>
      <c r="E74" s="70" t="e">
        <f>SUMIF(#REF!,'Compilado 2023 (2)'!$B:$B,#REF!)</f>
        <v>#REF!</v>
      </c>
      <c r="F74" s="70">
        <v>0</v>
      </c>
      <c r="G74" s="70">
        <f ca="1">_xlfn.XLOOKUP(B:B,'E-mail'!A:A,'E-mail'!C:C)</f>
        <v>51.612903225806448</v>
      </c>
      <c r="H74" s="70">
        <f>IFERROR(_xlfn.XLOOKUP($B:$B,#REF!,#REF!),0)</f>
        <v>0</v>
      </c>
      <c r="I74" s="70">
        <v>0</v>
      </c>
      <c r="J74" s="70">
        <v>0</v>
      </c>
      <c r="K74" s="70">
        <v>0</v>
      </c>
      <c r="L74" s="59"/>
      <c r="M74" s="70">
        <v>0</v>
      </c>
      <c r="N74" s="70">
        <v>0</v>
      </c>
      <c r="O74" s="70">
        <v>0</v>
      </c>
      <c r="P74" s="38"/>
      <c r="Q74" s="40"/>
    </row>
    <row r="75" spans="1:17" s="2" customFormat="1" x14ac:dyDescent="0.2">
      <c r="A75" s="16" t="str">
        <f t="shared" si="2"/>
        <v>segunda-feira</v>
      </c>
      <c r="B75" s="17">
        <f t="shared" si="3"/>
        <v>44634</v>
      </c>
      <c r="C75" s="52">
        <f>IFERROR(_xlfn.XLOOKUP($B:$B,'Estatísticos Mensais'!$A:$A,'Estatísticos Mensais'!C:C),0)</f>
        <v>55459.98</v>
      </c>
      <c r="D75" s="69">
        <f>IFERROR(_xlfn.XLOOKUP($B:$B,Google!A:A,Google!C:C,),0)</f>
        <v>0</v>
      </c>
      <c r="E75" s="70" t="e">
        <f>SUMIF(#REF!,'Compilado 2023 (2)'!$B:$B,#REF!)</f>
        <v>#REF!</v>
      </c>
      <c r="F75" s="70">
        <v>0</v>
      </c>
      <c r="G75" s="70">
        <f ca="1">_xlfn.XLOOKUP(B:B,'E-mail'!A:A,'E-mail'!C:C)</f>
        <v>51.612903225806448</v>
      </c>
      <c r="H75" s="70">
        <f>IFERROR(_xlfn.XLOOKUP($B:$B,#REF!,#REF!),0)</f>
        <v>0</v>
      </c>
      <c r="I75" s="70">
        <v>0</v>
      </c>
      <c r="J75" s="70">
        <v>0</v>
      </c>
      <c r="K75" s="70">
        <v>0</v>
      </c>
      <c r="L75" s="59"/>
      <c r="M75" s="70">
        <v>0</v>
      </c>
      <c r="N75" s="70">
        <v>0</v>
      </c>
      <c r="O75" s="70">
        <v>0</v>
      </c>
      <c r="P75" s="38"/>
      <c r="Q75" s="40"/>
    </row>
    <row r="76" spans="1:17" s="2" customFormat="1" x14ac:dyDescent="0.2">
      <c r="A76" s="16" t="str">
        <f t="shared" si="2"/>
        <v>terça-feira</v>
      </c>
      <c r="B76" s="17">
        <f t="shared" si="3"/>
        <v>44635</v>
      </c>
      <c r="C76" s="52">
        <f>IFERROR(_xlfn.XLOOKUP($B:$B,'Estatísticos Mensais'!$A:$A,'Estatísticos Mensais'!C:C),0)</f>
        <v>40873.85</v>
      </c>
      <c r="D76" s="69">
        <f>IFERROR(_xlfn.XLOOKUP($B:$B,Google!A:A,Google!C:C,),0)</f>
        <v>0</v>
      </c>
      <c r="E76" s="70" t="e">
        <f>SUMIF(#REF!,'Compilado 2023 (2)'!$B:$B,#REF!)</f>
        <v>#REF!</v>
      </c>
      <c r="F76" s="70">
        <v>0</v>
      </c>
      <c r="G76" s="70">
        <f ca="1">_xlfn.XLOOKUP(B:B,'E-mail'!A:A,'E-mail'!C:C)</f>
        <v>51.612903225806448</v>
      </c>
      <c r="H76" s="70">
        <f>IFERROR(_xlfn.XLOOKUP($B:$B,#REF!,#REF!),0)</f>
        <v>0</v>
      </c>
      <c r="I76" s="70">
        <v>0</v>
      </c>
      <c r="J76" s="70">
        <v>0</v>
      </c>
      <c r="K76" s="70">
        <v>0</v>
      </c>
      <c r="L76" s="59"/>
      <c r="M76" s="70">
        <v>0</v>
      </c>
      <c r="N76" s="70">
        <v>0</v>
      </c>
      <c r="O76" s="70">
        <v>0</v>
      </c>
      <c r="P76" s="38"/>
      <c r="Q76" s="40"/>
    </row>
    <row r="77" spans="1:17" s="2" customFormat="1" x14ac:dyDescent="0.2">
      <c r="A77" s="16" t="str">
        <f t="shared" si="2"/>
        <v>quarta-feira</v>
      </c>
      <c r="B77" s="17">
        <f t="shared" si="3"/>
        <v>44636</v>
      </c>
      <c r="C77" s="52">
        <f>IFERROR(_xlfn.XLOOKUP($B:$B,'Estatísticos Mensais'!$A:$A,'Estatísticos Mensais'!C:C),0)</f>
        <v>46762.31</v>
      </c>
      <c r="D77" s="69">
        <f>IFERROR(_xlfn.XLOOKUP($B:$B,Google!A:A,Google!C:C,),0)</f>
        <v>0</v>
      </c>
      <c r="E77" s="70" t="e">
        <f>SUMIF(#REF!,'Compilado 2023 (2)'!$B:$B,#REF!)</f>
        <v>#REF!</v>
      </c>
      <c r="F77" s="70">
        <v>0</v>
      </c>
      <c r="G77" s="70">
        <f ca="1">_xlfn.XLOOKUP(B:B,'E-mail'!A:A,'E-mail'!C:C)</f>
        <v>51.612903225806448</v>
      </c>
      <c r="H77" s="70">
        <f>IFERROR(_xlfn.XLOOKUP($B:$B,#REF!,#REF!),0)</f>
        <v>0</v>
      </c>
      <c r="I77" s="70">
        <v>0</v>
      </c>
      <c r="J77" s="70">
        <v>0</v>
      </c>
      <c r="K77" s="70">
        <v>0</v>
      </c>
      <c r="L77" s="59"/>
      <c r="M77" s="70">
        <v>0</v>
      </c>
      <c r="N77" s="70">
        <v>0</v>
      </c>
      <c r="O77" s="70">
        <v>0</v>
      </c>
      <c r="P77" s="38"/>
      <c r="Q77" s="40"/>
    </row>
    <row r="78" spans="1:17" s="2" customFormat="1" x14ac:dyDescent="0.2">
      <c r="A78" s="16" t="str">
        <f t="shared" si="2"/>
        <v>quinta-feira</v>
      </c>
      <c r="B78" s="17">
        <f t="shared" si="3"/>
        <v>44637</v>
      </c>
      <c r="C78" s="52">
        <f>IFERROR(_xlfn.XLOOKUP($B:$B,'Estatísticos Mensais'!$A:$A,'Estatísticos Mensais'!C:C),0)</f>
        <v>37297.300000000003</v>
      </c>
      <c r="D78" s="69">
        <f>IFERROR(_xlfn.XLOOKUP($B:$B,Google!A:A,Google!C:C,),0)</f>
        <v>0</v>
      </c>
      <c r="E78" s="70" t="e">
        <f>SUMIF(#REF!,'Compilado 2023 (2)'!$B:$B,#REF!)</f>
        <v>#REF!</v>
      </c>
      <c r="F78" s="70">
        <v>0</v>
      </c>
      <c r="G78" s="70">
        <f ca="1">_xlfn.XLOOKUP(B:B,'E-mail'!A:A,'E-mail'!C:C)</f>
        <v>51.612903225806448</v>
      </c>
      <c r="H78" s="70">
        <f>IFERROR(_xlfn.XLOOKUP($B:$B,#REF!,#REF!),0)</f>
        <v>0</v>
      </c>
      <c r="I78" s="70">
        <v>0</v>
      </c>
      <c r="J78" s="70">
        <v>0</v>
      </c>
      <c r="K78" s="70">
        <v>0</v>
      </c>
      <c r="L78" s="59"/>
      <c r="M78" s="70">
        <v>0</v>
      </c>
      <c r="N78" s="70">
        <v>0</v>
      </c>
      <c r="O78" s="70">
        <v>0</v>
      </c>
      <c r="P78" s="38"/>
      <c r="Q78" s="40"/>
    </row>
    <row r="79" spans="1:17" s="2" customFormat="1" x14ac:dyDescent="0.2">
      <c r="A79" s="16" t="str">
        <f t="shared" si="2"/>
        <v>sexta-feira</v>
      </c>
      <c r="B79" s="17">
        <f t="shared" si="3"/>
        <v>44638</v>
      </c>
      <c r="C79" s="52">
        <f>IFERROR(_xlfn.XLOOKUP($B:$B,'Estatísticos Mensais'!$A:$A,'Estatísticos Mensais'!C:C),0)</f>
        <v>38120.74</v>
      </c>
      <c r="D79" s="69">
        <f>IFERROR(_xlfn.XLOOKUP($B:$B,Google!A:A,Google!C:C,),0)</f>
        <v>0</v>
      </c>
      <c r="E79" s="70" t="e">
        <f>SUMIF(#REF!,'Compilado 2023 (2)'!$B:$B,#REF!)</f>
        <v>#REF!</v>
      </c>
      <c r="F79" s="70">
        <v>0</v>
      </c>
      <c r="G79" s="70">
        <f ca="1">_xlfn.XLOOKUP(B:B,'E-mail'!A:A,'E-mail'!C:C)</f>
        <v>51.612903225806448</v>
      </c>
      <c r="H79" s="70">
        <f>IFERROR(_xlfn.XLOOKUP($B:$B,#REF!,#REF!),0)</f>
        <v>0</v>
      </c>
      <c r="I79" s="70">
        <v>0</v>
      </c>
      <c r="J79" s="70">
        <v>0</v>
      </c>
      <c r="K79" s="70">
        <v>0</v>
      </c>
      <c r="L79" s="59"/>
      <c r="M79" s="70">
        <v>0</v>
      </c>
      <c r="N79" s="70">
        <v>0</v>
      </c>
      <c r="O79" s="70">
        <v>0</v>
      </c>
      <c r="P79" s="38"/>
      <c r="Q79" s="40"/>
    </row>
    <row r="80" spans="1:17" s="2" customFormat="1" x14ac:dyDescent="0.2">
      <c r="A80" s="16" t="str">
        <f t="shared" si="2"/>
        <v>sábado</v>
      </c>
      <c r="B80" s="17">
        <f t="shared" si="3"/>
        <v>44639</v>
      </c>
      <c r="C80" s="52">
        <f>IFERROR(_xlfn.XLOOKUP($B:$B,'Estatísticos Mensais'!$A:$A,'Estatísticos Mensais'!C:C),0)</f>
        <v>21362.15</v>
      </c>
      <c r="D80" s="69">
        <f>IFERROR(_xlfn.XLOOKUP($B:$B,Google!A:A,Google!C:C,),0)</f>
        <v>0</v>
      </c>
      <c r="E80" s="70" t="e">
        <f>SUMIF(#REF!,'Compilado 2023 (2)'!$B:$B,#REF!)</f>
        <v>#REF!</v>
      </c>
      <c r="F80" s="70">
        <v>0</v>
      </c>
      <c r="G80" s="70">
        <f ca="1">_xlfn.XLOOKUP(B:B,'E-mail'!A:A,'E-mail'!C:C)</f>
        <v>51.612903225806448</v>
      </c>
      <c r="H80" s="70">
        <f>IFERROR(_xlfn.XLOOKUP($B:$B,#REF!,#REF!),0)</f>
        <v>0</v>
      </c>
      <c r="I80" s="70">
        <v>0</v>
      </c>
      <c r="J80" s="70">
        <v>0</v>
      </c>
      <c r="K80" s="70">
        <v>0</v>
      </c>
      <c r="L80" s="59"/>
      <c r="M80" s="70">
        <v>0</v>
      </c>
      <c r="N80" s="70">
        <v>0</v>
      </c>
      <c r="O80" s="70">
        <v>0</v>
      </c>
      <c r="P80" s="38"/>
      <c r="Q80" s="40"/>
    </row>
    <row r="81" spans="1:17" s="2" customFormat="1" x14ac:dyDescent="0.2">
      <c r="A81" s="16" t="str">
        <f t="shared" si="2"/>
        <v>domingo</v>
      </c>
      <c r="B81" s="17">
        <f t="shared" si="3"/>
        <v>44640</v>
      </c>
      <c r="C81" s="52">
        <f>IFERROR(_xlfn.XLOOKUP($B:$B,'Estatísticos Mensais'!$A:$A,'Estatísticos Mensais'!C:C),0)</f>
        <v>18319.2</v>
      </c>
      <c r="D81" s="69">
        <f>IFERROR(_xlfn.XLOOKUP($B:$B,Google!A:A,Google!C:C,),0)</f>
        <v>0</v>
      </c>
      <c r="E81" s="70" t="e">
        <f>SUMIF(#REF!,'Compilado 2023 (2)'!$B:$B,#REF!)</f>
        <v>#REF!</v>
      </c>
      <c r="F81" s="70">
        <v>0</v>
      </c>
      <c r="G81" s="70">
        <f ca="1">_xlfn.XLOOKUP(B:B,'E-mail'!A:A,'E-mail'!C:C)</f>
        <v>51.612903225806448</v>
      </c>
      <c r="H81" s="70">
        <f>IFERROR(_xlfn.XLOOKUP($B:$B,#REF!,#REF!),0)</f>
        <v>0</v>
      </c>
      <c r="I81" s="70">
        <v>0</v>
      </c>
      <c r="J81" s="70">
        <v>0</v>
      </c>
      <c r="K81" s="70">
        <v>0</v>
      </c>
      <c r="L81" s="59"/>
      <c r="M81" s="70">
        <v>0</v>
      </c>
      <c r="N81" s="70">
        <v>0</v>
      </c>
      <c r="O81" s="70">
        <v>0</v>
      </c>
      <c r="P81" s="38"/>
      <c r="Q81" s="40"/>
    </row>
    <row r="82" spans="1:17" s="2" customFormat="1" x14ac:dyDescent="0.2">
      <c r="A82" s="16" t="str">
        <f t="shared" si="2"/>
        <v>segunda-feira</v>
      </c>
      <c r="B82" s="17">
        <f t="shared" si="3"/>
        <v>44641</v>
      </c>
      <c r="C82" s="52">
        <f>IFERROR(_xlfn.XLOOKUP($B:$B,'Estatísticos Mensais'!$A:$A,'Estatísticos Mensais'!C:C),0)</f>
        <v>34908.94</v>
      </c>
      <c r="D82" s="69">
        <f>IFERROR(_xlfn.XLOOKUP($B:$B,Google!A:A,Google!C:C,),0)</f>
        <v>0</v>
      </c>
      <c r="E82" s="70" t="e">
        <f>SUMIF(#REF!,'Compilado 2023 (2)'!$B:$B,#REF!)</f>
        <v>#REF!</v>
      </c>
      <c r="F82" s="70">
        <v>0</v>
      </c>
      <c r="G82" s="70">
        <f ca="1">_xlfn.XLOOKUP(B:B,'E-mail'!A:A,'E-mail'!C:C)</f>
        <v>51.612903225806448</v>
      </c>
      <c r="H82" s="70">
        <f>IFERROR(_xlfn.XLOOKUP($B:$B,#REF!,#REF!),0)</f>
        <v>0</v>
      </c>
      <c r="I82" s="70">
        <v>0</v>
      </c>
      <c r="J82" s="70">
        <v>0</v>
      </c>
      <c r="K82" s="70">
        <v>0</v>
      </c>
      <c r="L82" s="59"/>
      <c r="M82" s="70">
        <v>0</v>
      </c>
      <c r="N82" s="70">
        <v>0</v>
      </c>
      <c r="O82" s="70">
        <v>0</v>
      </c>
      <c r="P82" s="38"/>
      <c r="Q82" s="40"/>
    </row>
    <row r="83" spans="1:17" s="2" customFormat="1" x14ac:dyDescent="0.2">
      <c r="A83" s="16" t="str">
        <f t="shared" si="2"/>
        <v>terça-feira</v>
      </c>
      <c r="B83" s="17">
        <f t="shared" si="3"/>
        <v>44642</v>
      </c>
      <c r="C83" s="52">
        <f>IFERROR(_xlfn.XLOOKUP($B:$B,'Estatísticos Mensais'!$A:$A,'Estatísticos Mensais'!C:C),0)</f>
        <v>32690.080000000002</v>
      </c>
      <c r="D83" s="69">
        <f>IFERROR(_xlfn.XLOOKUP($B:$B,Google!A:A,Google!C:C,),0)</f>
        <v>0</v>
      </c>
      <c r="E83" s="70" t="e">
        <f>SUMIF(#REF!,'Compilado 2023 (2)'!$B:$B,#REF!)</f>
        <v>#REF!</v>
      </c>
      <c r="F83" s="70">
        <v>0</v>
      </c>
      <c r="G83" s="70">
        <f ca="1">_xlfn.XLOOKUP(B:B,'E-mail'!A:A,'E-mail'!C:C)</f>
        <v>51.612903225806448</v>
      </c>
      <c r="H83" s="70">
        <f>IFERROR(_xlfn.XLOOKUP($B:$B,#REF!,#REF!),0)</f>
        <v>0</v>
      </c>
      <c r="I83" s="70">
        <v>0</v>
      </c>
      <c r="J83" s="70">
        <v>0</v>
      </c>
      <c r="K83" s="70">
        <v>0</v>
      </c>
      <c r="L83" s="59"/>
      <c r="M83" s="70">
        <v>0</v>
      </c>
      <c r="N83" s="70">
        <v>0</v>
      </c>
      <c r="O83" s="70">
        <v>0</v>
      </c>
      <c r="P83" s="38"/>
      <c r="Q83" s="40"/>
    </row>
    <row r="84" spans="1:17" s="2" customFormat="1" x14ac:dyDescent="0.2">
      <c r="A84" s="16" t="str">
        <f t="shared" si="2"/>
        <v>quarta-feira</v>
      </c>
      <c r="B84" s="17">
        <f t="shared" si="3"/>
        <v>44643</v>
      </c>
      <c r="C84" s="52">
        <f>IFERROR(_xlfn.XLOOKUP($B:$B,'Estatísticos Mensais'!$A:$A,'Estatísticos Mensais'!C:C),0)</f>
        <v>35608.58</v>
      </c>
      <c r="D84" s="69">
        <f>IFERROR(_xlfn.XLOOKUP($B:$B,Google!A:A,Google!C:C,),0)</f>
        <v>0</v>
      </c>
      <c r="E84" s="70" t="e">
        <f>SUMIF(#REF!,'Compilado 2023 (2)'!$B:$B,#REF!)</f>
        <v>#REF!</v>
      </c>
      <c r="F84" s="70">
        <v>0</v>
      </c>
      <c r="G84" s="70">
        <f ca="1">_xlfn.XLOOKUP(B:B,'E-mail'!A:A,'E-mail'!C:C)</f>
        <v>51.612903225806448</v>
      </c>
      <c r="H84" s="70">
        <f>IFERROR(_xlfn.XLOOKUP($B:$B,#REF!,#REF!),0)</f>
        <v>0</v>
      </c>
      <c r="I84" s="70">
        <v>0</v>
      </c>
      <c r="J84" s="70">
        <v>0</v>
      </c>
      <c r="K84" s="70">
        <v>0</v>
      </c>
      <c r="L84" s="59"/>
      <c r="M84" s="70">
        <v>0</v>
      </c>
      <c r="N84" s="70">
        <v>0</v>
      </c>
      <c r="O84" s="70">
        <v>0</v>
      </c>
      <c r="P84" s="38"/>
      <c r="Q84" s="40"/>
    </row>
    <row r="85" spans="1:17" s="2" customFormat="1" x14ac:dyDescent="0.2">
      <c r="A85" s="16" t="str">
        <f t="shared" si="2"/>
        <v>quinta-feira</v>
      </c>
      <c r="B85" s="17">
        <f t="shared" si="3"/>
        <v>44644</v>
      </c>
      <c r="C85" s="52">
        <f>IFERROR(_xlfn.XLOOKUP($B:$B,'Estatísticos Mensais'!$A:$A,'Estatísticos Mensais'!C:C),0)</f>
        <v>29448.65</v>
      </c>
      <c r="D85" s="69">
        <f>IFERROR(_xlfn.XLOOKUP($B:$B,Google!A:A,Google!C:C,),0)</f>
        <v>0</v>
      </c>
      <c r="E85" s="70" t="e">
        <f>SUMIF(#REF!,'Compilado 2023 (2)'!$B:$B,#REF!)</f>
        <v>#REF!</v>
      </c>
      <c r="F85" s="70">
        <v>0</v>
      </c>
      <c r="G85" s="70">
        <f ca="1">_xlfn.XLOOKUP(B:B,'E-mail'!A:A,'E-mail'!C:C)</f>
        <v>51.612903225806448</v>
      </c>
      <c r="H85" s="70">
        <f>IFERROR(_xlfn.XLOOKUP($B:$B,#REF!,#REF!),0)</f>
        <v>0</v>
      </c>
      <c r="I85" s="70">
        <v>0</v>
      </c>
      <c r="J85" s="70">
        <v>0</v>
      </c>
      <c r="K85" s="70">
        <v>0</v>
      </c>
      <c r="L85" s="59"/>
      <c r="M85" s="70">
        <v>0</v>
      </c>
      <c r="N85" s="70">
        <v>0</v>
      </c>
      <c r="O85" s="70">
        <v>0</v>
      </c>
      <c r="P85" s="38"/>
      <c r="Q85" s="40"/>
    </row>
    <row r="86" spans="1:17" s="2" customFormat="1" x14ac:dyDescent="0.2">
      <c r="A86" s="16" t="str">
        <f t="shared" si="2"/>
        <v>sexta-feira</v>
      </c>
      <c r="B86" s="17">
        <f t="shared" si="3"/>
        <v>44645</v>
      </c>
      <c r="C86" s="52">
        <f>IFERROR(_xlfn.XLOOKUP($B:$B,'Estatísticos Mensais'!$A:$A,'Estatísticos Mensais'!C:C),0)</f>
        <v>31899.01</v>
      </c>
      <c r="D86" s="69">
        <f>IFERROR(_xlfn.XLOOKUP($B:$B,Google!A:A,Google!C:C,),0)</f>
        <v>0</v>
      </c>
      <c r="E86" s="70" t="e">
        <f>SUMIF(#REF!,'Compilado 2023 (2)'!$B:$B,#REF!)</f>
        <v>#REF!</v>
      </c>
      <c r="F86" s="70">
        <v>0</v>
      </c>
      <c r="G86" s="70">
        <f ca="1">_xlfn.XLOOKUP(B:B,'E-mail'!A:A,'E-mail'!C:C)</f>
        <v>51.612903225806448</v>
      </c>
      <c r="H86" s="70">
        <f>IFERROR(_xlfn.XLOOKUP($B:$B,#REF!,#REF!),0)</f>
        <v>0</v>
      </c>
      <c r="I86" s="70">
        <v>0</v>
      </c>
      <c r="J86" s="70">
        <v>0</v>
      </c>
      <c r="K86" s="70">
        <v>0</v>
      </c>
      <c r="L86" s="59"/>
      <c r="M86" s="70">
        <v>0</v>
      </c>
      <c r="N86" s="70">
        <v>0</v>
      </c>
      <c r="O86" s="70">
        <v>0</v>
      </c>
      <c r="P86" s="38"/>
      <c r="Q86" s="40"/>
    </row>
    <row r="87" spans="1:17" s="2" customFormat="1" x14ac:dyDescent="0.2">
      <c r="A87" s="16" t="str">
        <f t="shared" si="2"/>
        <v>sábado</v>
      </c>
      <c r="B87" s="17">
        <f t="shared" si="3"/>
        <v>44646</v>
      </c>
      <c r="C87" s="52">
        <f>IFERROR(_xlfn.XLOOKUP($B:$B,'Estatísticos Mensais'!$A:$A,'Estatísticos Mensais'!C:C),0)</f>
        <v>23258.31</v>
      </c>
      <c r="D87" s="69">
        <f>IFERROR(_xlfn.XLOOKUP($B:$B,Google!A:A,Google!C:C,),0)</f>
        <v>0</v>
      </c>
      <c r="E87" s="70" t="e">
        <f>SUMIF(#REF!,'Compilado 2023 (2)'!$B:$B,#REF!)</f>
        <v>#REF!</v>
      </c>
      <c r="F87" s="70">
        <v>0</v>
      </c>
      <c r="G87" s="70">
        <f ca="1">_xlfn.XLOOKUP(B:B,'E-mail'!A:A,'E-mail'!C:C)</f>
        <v>51.612903225806448</v>
      </c>
      <c r="H87" s="70">
        <f>IFERROR(_xlfn.XLOOKUP($B:$B,#REF!,#REF!),0)</f>
        <v>0</v>
      </c>
      <c r="I87" s="70">
        <v>0</v>
      </c>
      <c r="J87" s="70">
        <v>0</v>
      </c>
      <c r="K87" s="70">
        <v>0</v>
      </c>
      <c r="L87" s="59"/>
      <c r="M87" s="70">
        <v>0</v>
      </c>
      <c r="N87" s="70">
        <v>0</v>
      </c>
      <c r="O87" s="70">
        <v>0</v>
      </c>
      <c r="P87" s="38"/>
      <c r="Q87" s="40"/>
    </row>
    <row r="88" spans="1:17" s="2" customFormat="1" x14ac:dyDescent="0.2">
      <c r="A88" s="16" t="str">
        <f t="shared" si="2"/>
        <v>domingo</v>
      </c>
      <c r="B88" s="17">
        <f t="shared" si="3"/>
        <v>44647</v>
      </c>
      <c r="C88" s="52">
        <f>IFERROR(_xlfn.XLOOKUP($B:$B,'Estatísticos Mensais'!$A:$A,'Estatísticos Mensais'!C:C),0)</f>
        <v>15994.4</v>
      </c>
      <c r="D88" s="69">
        <f>IFERROR(_xlfn.XLOOKUP($B:$B,Google!A:A,Google!C:C,),0)</f>
        <v>0</v>
      </c>
      <c r="E88" s="70" t="e">
        <f>SUMIF(#REF!,'Compilado 2023 (2)'!$B:$B,#REF!)</f>
        <v>#REF!</v>
      </c>
      <c r="F88" s="70">
        <v>0</v>
      </c>
      <c r="G88" s="70">
        <f ca="1">_xlfn.XLOOKUP(B:B,'E-mail'!A:A,'E-mail'!C:C)</f>
        <v>51.612903225806448</v>
      </c>
      <c r="H88" s="70">
        <f>IFERROR(_xlfn.XLOOKUP($B:$B,#REF!,#REF!),0)</f>
        <v>0</v>
      </c>
      <c r="I88" s="70">
        <v>0</v>
      </c>
      <c r="J88" s="70">
        <v>0</v>
      </c>
      <c r="K88" s="70">
        <v>0</v>
      </c>
      <c r="L88" s="59"/>
      <c r="M88" s="70">
        <v>0</v>
      </c>
      <c r="N88" s="70">
        <v>0</v>
      </c>
      <c r="O88" s="70">
        <v>0</v>
      </c>
      <c r="P88" s="38"/>
      <c r="Q88" s="40"/>
    </row>
    <row r="89" spans="1:17" s="2" customFormat="1" x14ac:dyDescent="0.2">
      <c r="A89" s="16" t="str">
        <f t="shared" si="2"/>
        <v>segunda-feira</v>
      </c>
      <c r="B89" s="17">
        <f t="shared" si="3"/>
        <v>44648</v>
      </c>
      <c r="C89" s="52">
        <f>IFERROR(_xlfn.XLOOKUP($B:$B,'Estatísticos Mensais'!$A:$A,'Estatísticos Mensais'!C:C),0)</f>
        <v>31252.33</v>
      </c>
      <c r="D89" s="69">
        <f>IFERROR(_xlfn.XLOOKUP($B:$B,Google!A:A,Google!C:C,),0)</f>
        <v>0</v>
      </c>
      <c r="E89" s="70" t="e">
        <f>SUMIF(#REF!,'Compilado 2023 (2)'!$B:$B,#REF!)</f>
        <v>#REF!</v>
      </c>
      <c r="F89" s="70">
        <v>0</v>
      </c>
      <c r="G89" s="70">
        <f ca="1">_xlfn.XLOOKUP(B:B,'E-mail'!A:A,'E-mail'!C:C)</f>
        <v>51.612903225806448</v>
      </c>
      <c r="H89" s="70">
        <f>IFERROR(_xlfn.XLOOKUP($B:$B,#REF!,#REF!),0)</f>
        <v>0</v>
      </c>
      <c r="I89" s="70">
        <v>0</v>
      </c>
      <c r="J89" s="70">
        <v>0</v>
      </c>
      <c r="K89" s="70">
        <v>0</v>
      </c>
      <c r="L89" s="59"/>
      <c r="M89" s="70">
        <v>0</v>
      </c>
      <c r="N89" s="70">
        <v>0</v>
      </c>
      <c r="O89" s="70">
        <v>0</v>
      </c>
      <c r="P89" s="38"/>
      <c r="Q89" s="40"/>
    </row>
    <row r="90" spans="1:17" s="2" customFormat="1" x14ac:dyDescent="0.2">
      <c r="A90" s="16" t="str">
        <f t="shared" si="2"/>
        <v>terça-feira</v>
      </c>
      <c r="B90" s="17">
        <f t="shared" si="3"/>
        <v>44649</v>
      </c>
      <c r="C90" s="52">
        <f>IFERROR(_xlfn.XLOOKUP($B:$B,'Estatísticos Mensais'!$A:$A,'Estatísticos Mensais'!C:C),0)</f>
        <v>52253.94</v>
      </c>
      <c r="D90" s="69">
        <f>IFERROR(_xlfn.XLOOKUP($B:$B,Google!A:A,Google!C:C,),0)</f>
        <v>0</v>
      </c>
      <c r="E90" s="70" t="e">
        <f>SUMIF(#REF!,'Compilado 2023 (2)'!$B:$B,#REF!)</f>
        <v>#REF!</v>
      </c>
      <c r="F90" s="70">
        <v>0</v>
      </c>
      <c r="G90" s="70">
        <f ca="1">_xlfn.XLOOKUP(B:B,'E-mail'!A:A,'E-mail'!C:C)</f>
        <v>51.612903225806448</v>
      </c>
      <c r="H90" s="70">
        <f>IFERROR(_xlfn.XLOOKUP($B:$B,#REF!,#REF!),0)</f>
        <v>0</v>
      </c>
      <c r="I90" s="70">
        <v>0</v>
      </c>
      <c r="J90" s="70">
        <v>0</v>
      </c>
      <c r="K90" s="70">
        <v>0</v>
      </c>
      <c r="L90" s="59"/>
      <c r="M90" s="70">
        <v>0</v>
      </c>
      <c r="N90" s="70">
        <v>0</v>
      </c>
      <c r="O90" s="70">
        <v>0</v>
      </c>
      <c r="P90" s="38"/>
      <c r="Q90" s="40"/>
    </row>
    <row r="91" spans="1:17" s="2" customFormat="1" x14ac:dyDescent="0.2">
      <c r="A91" s="16" t="str">
        <f t="shared" si="2"/>
        <v>quarta-feira</v>
      </c>
      <c r="B91" s="17">
        <f t="shared" si="3"/>
        <v>44650</v>
      </c>
      <c r="C91" s="52">
        <f>IFERROR(_xlfn.XLOOKUP($B:$B,'Estatísticos Mensais'!$A:$A,'Estatísticos Mensais'!C:C),0)</f>
        <v>47794.42</v>
      </c>
      <c r="D91" s="69">
        <f>IFERROR(_xlfn.XLOOKUP($B:$B,Google!A:A,Google!C:C,),0)</f>
        <v>334.93</v>
      </c>
      <c r="E91" s="70" t="e">
        <f>SUMIF(#REF!,'Compilado 2023 (2)'!$B:$B,#REF!)</f>
        <v>#REF!</v>
      </c>
      <c r="F91" s="70">
        <v>0</v>
      </c>
      <c r="G91" s="70">
        <f ca="1">_xlfn.XLOOKUP(B:B,'E-mail'!A:A,'E-mail'!C:C)</f>
        <v>51.612903225806448</v>
      </c>
      <c r="H91" s="70">
        <f>IFERROR(_xlfn.XLOOKUP($B:$B,#REF!,#REF!),0)</f>
        <v>0</v>
      </c>
      <c r="I91" s="70">
        <v>0</v>
      </c>
      <c r="J91" s="70">
        <v>0</v>
      </c>
      <c r="K91" s="70">
        <v>0</v>
      </c>
      <c r="L91" s="59"/>
      <c r="M91" s="70">
        <v>0</v>
      </c>
      <c r="N91" s="70">
        <v>0</v>
      </c>
      <c r="O91" s="70">
        <v>0</v>
      </c>
      <c r="P91" s="38"/>
      <c r="Q91" s="40"/>
    </row>
    <row r="92" spans="1:17" s="2" customFormat="1" x14ac:dyDescent="0.2">
      <c r="A92" s="16" t="str">
        <f t="shared" si="2"/>
        <v>quinta-feira</v>
      </c>
      <c r="B92" s="17">
        <f t="shared" si="3"/>
        <v>44651</v>
      </c>
      <c r="C92" s="52">
        <f>IFERROR(_xlfn.XLOOKUP($B:$B,'Estatísticos Mensais'!$A:$A,'Estatísticos Mensais'!C:C),0)</f>
        <v>45492.77</v>
      </c>
      <c r="D92" s="69">
        <f>IFERROR(_xlfn.XLOOKUP($B:$B,Google!A:A,Google!C:C,),0)</f>
        <v>762.77</v>
      </c>
      <c r="E92" s="70" t="e">
        <f>SUMIF(#REF!,'Compilado 2023 (2)'!$B:$B,#REF!)</f>
        <v>#REF!</v>
      </c>
      <c r="F92" s="70">
        <v>0</v>
      </c>
      <c r="G92" s="70">
        <f ca="1">_xlfn.XLOOKUP(B:B,'E-mail'!A:A,'E-mail'!C:C)</f>
        <v>51.612903225806448</v>
      </c>
      <c r="H92" s="70">
        <f>IFERROR(_xlfn.XLOOKUP($B:$B,#REF!,#REF!),0)</f>
        <v>0</v>
      </c>
      <c r="I92" s="70">
        <v>0</v>
      </c>
      <c r="J92" s="70">
        <v>0</v>
      </c>
      <c r="K92" s="70">
        <v>0</v>
      </c>
      <c r="L92" s="59"/>
      <c r="M92" s="70">
        <v>0</v>
      </c>
      <c r="N92" s="70">
        <v>0</v>
      </c>
      <c r="O92" s="70">
        <v>0</v>
      </c>
      <c r="P92" s="38"/>
      <c r="Q92" s="40"/>
    </row>
    <row r="93" spans="1:17" s="2" customFormat="1" x14ac:dyDescent="0.2">
      <c r="A93" s="16" t="str">
        <f t="shared" si="2"/>
        <v>sexta-feira</v>
      </c>
      <c r="B93" s="17">
        <f t="shared" si="3"/>
        <v>44652</v>
      </c>
      <c r="C93" s="52">
        <f>IFERROR(_xlfn.XLOOKUP($B:$B,'Estatísticos Mensais'!$A:$A,'Estatísticos Mensais'!C:C),0)</f>
        <v>48264.800000000003</v>
      </c>
      <c r="D93" s="69">
        <f>IFERROR(_xlfn.XLOOKUP($B:$B,Google!A:A,Google!C:C,),0)</f>
        <v>462.83</v>
      </c>
      <c r="E93" s="70" t="e">
        <f>SUMIF(#REF!,'Compilado 2023 (2)'!$B:$B,#REF!)</f>
        <v>#REF!</v>
      </c>
      <c r="F93" s="70">
        <v>0</v>
      </c>
      <c r="G93" s="70">
        <f ca="1">_xlfn.XLOOKUP(B:B,'E-mail'!A:A,'E-mail'!C:C)</f>
        <v>53.333333333333336</v>
      </c>
      <c r="H93" s="70">
        <f>IFERROR(_xlfn.XLOOKUP($B:$B,#REF!,#REF!),0)</f>
        <v>0</v>
      </c>
      <c r="I93" s="70">
        <v>0</v>
      </c>
      <c r="J93" s="70">
        <v>0</v>
      </c>
      <c r="K93" s="70">
        <v>0</v>
      </c>
      <c r="L93" s="59"/>
      <c r="M93" s="70">
        <v>0</v>
      </c>
      <c r="N93" s="70">
        <v>0</v>
      </c>
      <c r="O93" s="70">
        <v>0</v>
      </c>
      <c r="P93" s="38"/>
      <c r="Q93" s="40"/>
    </row>
    <row r="94" spans="1:17" s="2" customFormat="1" x14ac:dyDescent="0.2">
      <c r="A94" s="16" t="str">
        <f t="shared" si="2"/>
        <v>sábado</v>
      </c>
      <c r="B94" s="17">
        <f t="shared" si="3"/>
        <v>44653</v>
      </c>
      <c r="C94" s="52">
        <f>IFERROR(_xlfn.XLOOKUP($B:$B,'Estatísticos Mensais'!$A:$A,'Estatísticos Mensais'!C:C),0)</f>
        <v>34589.9</v>
      </c>
      <c r="D94" s="69">
        <f>IFERROR(_xlfn.XLOOKUP($B:$B,Google!A:A,Google!C:C,),0)</f>
        <v>460.43</v>
      </c>
      <c r="E94" s="70" t="e">
        <f>SUMIF(#REF!,'Compilado 2023 (2)'!$B:$B,#REF!)</f>
        <v>#REF!</v>
      </c>
      <c r="F94" s="70">
        <v>0</v>
      </c>
      <c r="G94" s="70">
        <f ca="1">_xlfn.XLOOKUP(B:B,'E-mail'!A:A,'E-mail'!C:C)</f>
        <v>53.333333333333336</v>
      </c>
      <c r="H94" s="70">
        <f>IFERROR(_xlfn.XLOOKUP($B:$B,#REF!,#REF!),0)</f>
        <v>0</v>
      </c>
      <c r="I94" s="70">
        <v>0</v>
      </c>
      <c r="J94" s="70">
        <v>0</v>
      </c>
      <c r="K94" s="70">
        <v>0</v>
      </c>
      <c r="L94" s="59"/>
      <c r="M94" s="70">
        <v>0</v>
      </c>
      <c r="N94" s="70">
        <v>0</v>
      </c>
      <c r="O94" s="70">
        <v>0</v>
      </c>
      <c r="P94" s="38"/>
      <c r="Q94" s="40"/>
    </row>
    <row r="95" spans="1:17" s="2" customFormat="1" x14ac:dyDescent="0.2">
      <c r="A95" s="16" t="str">
        <f t="shared" si="2"/>
        <v>domingo</v>
      </c>
      <c r="B95" s="17">
        <f t="shared" si="3"/>
        <v>44654</v>
      </c>
      <c r="C95" s="52">
        <f>IFERROR(_xlfn.XLOOKUP($B:$B,'Estatísticos Mensais'!$A:$A,'Estatísticos Mensais'!C:C),0)</f>
        <v>19526.830000000002</v>
      </c>
      <c r="D95" s="69">
        <f>IFERROR(_xlfn.XLOOKUP($B:$B,Google!A:A,Google!C:C,),0)</f>
        <v>437.7</v>
      </c>
      <c r="E95" s="70" t="e">
        <f>SUMIF(#REF!,'Compilado 2023 (2)'!$B:$B,#REF!)</f>
        <v>#REF!</v>
      </c>
      <c r="F95" s="70">
        <v>0</v>
      </c>
      <c r="G95" s="70">
        <f ca="1">_xlfn.XLOOKUP(B:B,'E-mail'!A:A,'E-mail'!C:C)</f>
        <v>53.333333333333336</v>
      </c>
      <c r="H95" s="70">
        <f>IFERROR(_xlfn.XLOOKUP($B:$B,#REF!,#REF!),0)</f>
        <v>0</v>
      </c>
      <c r="I95" s="70">
        <v>0</v>
      </c>
      <c r="J95" s="70">
        <v>0</v>
      </c>
      <c r="K95" s="70">
        <v>0</v>
      </c>
      <c r="L95" s="59"/>
      <c r="M95" s="70">
        <v>0</v>
      </c>
      <c r="N95" s="70">
        <v>0</v>
      </c>
      <c r="O95" s="70">
        <v>0</v>
      </c>
      <c r="P95" s="38"/>
      <c r="Q95" s="40"/>
    </row>
    <row r="96" spans="1:17" s="2" customFormat="1" x14ac:dyDescent="0.2">
      <c r="A96" s="16" t="str">
        <f t="shared" si="2"/>
        <v>segunda-feira</v>
      </c>
      <c r="B96" s="17">
        <f t="shared" si="3"/>
        <v>44655</v>
      </c>
      <c r="C96" s="52">
        <f>IFERROR(_xlfn.XLOOKUP($B:$B,'Estatísticos Mensais'!$A:$A,'Estatísticos Mensais'!C:C),0)</f>
        <v>55338.26</v>
      </c>
      <c r="D96" s="69">
        <f>IFERROR(_xlfn.XLOOKUP($B:$B,Google!A:A,Google!C:C,),0)</f>
        <v>622.75</v>
      </c>
      <c r="E96" s="70" t="e">
        <f>SUMIF(#REF!,'Compilado 2023 (2)'!$B:$B,#REF!)</f>
        <v>#REF!</v>
      </c>
      <c r="F96" s="70">
        <v>0</v>
      </c>
      <c r="G96" s="70">
        <f ca="1">_xlfn.XLOOKUP(B:B,'E-mail'!A:A,'E-mail'!C:C)</f>
        <v>53.333333333333336</v>
      </c>
      <c r="H96" s="70">
        <f>IFERROR(_xlfn.XLOOKUP($B:$B,#REF!,#REF!),0)</f>
        <v>0</v>
      </c>
      <c r="I96" s="70">
        <v>0</v>
      </c>
      <c r="J96" s="70">
        <v>0</v>
      </c>
      <c r="K96" s="70">
        <v>0</v>
      </c>
      <c r="L96" s="59"/>
      <c r="M96" s="70">
        <v>0</v>
      </c>
      <c r="N96" s="70">
        <v>0</v>
      </c>
      <c r="O96" s="70">
        <v>0</v>
      </c>
      <c r="P96" s="38"/>
      <c r="Q96" s="40"/>
    </row>
    <row r="97" spans="1:17" s="2" customFormat="1" x14ac:dyDescent="0.2">
      <c r="A97" s="16" t="str">
        <f t="shared" si="2"/>
        <v>terça-feira</v>
      </c>
      <c r="B97" s="17">
        <f t="shared" si="3"/>
        <v>44656</v>
      </c>
      <c r="C97" s="52">
        <f>IFERROR(_xlfn.XLOOKUP($B:$B,'Estatísticos Mensais'!$A:$A,'Estatísticos Mensais'!C:C),0)</f>
        <v>37100.36</v>
      </c>
      <c r="D97" s="69">
        <f>IFERROR(_xlfn.XLOOKUP($B:$B,Google!A:A,Google!C:C,),0)</f>
        <v>568.38</v>
      </c>
      <c r="E97" s="70" t="e">
        <f>SUMIF(#REF!,'Compilado 2023 (2)'!$B:$B,#REF!)</f>
        <v>#REF!</v>
      </c>
      <c r="F97" s="70">
        <v>0</v>
      </c>
      <c r="G97" s="70">
        <f ca="1">_xlfn.XLOOKUP(B:B,'E-mail'!A:A,'E-mail'!C:C)</f>
        <v>53.333333333333336</v>
      </c>
      <c r="H97" s="70">
        <f>IFERROR(_xlfn.XLOOKUP($B:$B,#REF!,#REF!),0)</f>
        <v>0</v>
      </c>
      <c r="I97" s="70">
        <v>0</v>
      </c>
      <c r="J97" s="70">
        <v>0</v>
      </c>
      <c r="K97" s="70">
        <v>0</v>
      </c>
      <c r="L97" s="59"/>
      <c r="M97" s="70">
        <v>0</v>
      </c>
      <c r="N97" s="70">
        <v>0</v>
      </c>
      <c r="O97" s="70">
        <v>0</v>
      </c>
      <c r="P97" s="38"/>
      <c r="Q97" s="40"/>
    </row>
    <row r="98" spans="1:17" s="2" customFormat="1" x14ac:dyDescent="0.2">
      <c r="A98" s="16" t="str">
        <f t="shared" si="2"/>
        <v>quarta-feira</v>
      </c>
      <c r="B98" s="17">
        <f t="shared" si="3"/>
        <v>44657</v>
      </c>
      <c r="C98" s="52">
        <f>IFERROR(_xlfn.XLOOKUP($B:$B,'Estatísticos Mensais'!$A:$A,'Estatísticos Mensais'!C:C),0)</f>
        <v>48005.71</v>
      </c>
      <c r="D98" s="69">
        <f>IFERROR(_xlfn.XLOOKUP($B:$B,Google!A:A,Google!C:C,),0)</f>
        <v>592.04999999999995</v>
      </c>
      <c r="E98" s="70" t="e">
        <f>SUMIF(#REF!,'Compilado 2023 (2)'!$B:$B,#REF!)</f>
        <v>#REF!</v>
      </c>
      <c r="F98" s="70">
        <v>0</v>
      </c>
      <c r="G98" s="70">
        <f ca="1">_xlfn.XLOOKUP(B:B,'E-mail'!A:A,'E-mail'!C:C)</f>
        <v>53.333333333333336</v>
      </c>
      <c r="H98" s="70">
        <f>IFERROR(_xlfn.XLOOKUP($B:$B,#REF!,#REF!),0)</f>
        <v>0</v>
      </c>
      <c r="I98" s="70">
        <v>0</v>
      </c>
      <c r="J98" s="70">
        <v>0</v>
      </c>
      <c r="K98" s="70">
        <v>0</v>
      </c>
      <c r="L98" s="59"/>
      <c r="M98" s="70">
        <v>0</v>
      </c>
      <c r="N98" s="70">
        <v>0</v>
      </c>
      <c r="O98" s="70">
        <v>0</v>
      </c>
      <c r="P98" s="38"/>
      <c r="Q98" s="40"/>
    </row>
    <row r="99" spans="1:17" s="2" customFormat="1" x14ac:dyDescent="0.2">
      <c r="A99" s="16" t="str">
        <f t="shared" si="2"/>
        <v>quinta-feira</v>
      </c>
      <c r="B99" s="17">
        <f t="shared" si="3"/>
        <v>44658</v>
      </c>
      <c r="C99" s="52">
        <f>IFERROR(_xlfn.XLOOKUP($B:$B,'Estatísticos Mensais'!$A:$A,'Estatísticos Mensais'!C:C),0)</f>
        <v>48798.1</v>
      </c>
      <c r="D99" s="69">
        <f>IFERROR(_xlfn.XLOOKUP($B:$B,Google!A:A,Google!C:C,),0)</f>
        <v>578.59</v>
      </c>
      <c r="E99" s="70" t="e">
        <f>SUMIF(#REF!,'Compilado 2023 (2)'!$B:$B,#REF!)</f>
        <v>#REF!</v>
      </c>
      <c r="F99" s="70">
        <v>0</v>
      </c>
      <c r="G99" s="70">
        <f ca="1">_xlfn.XLOOKUP(B:B,'E-mail'!A:A,'E-mail'!C:C)</f>
        <v>53.333333333333336</v>
      </c>
      <c r="H99" s="70">
        <f>IFERROR(_xlfn.XLOOKUP($B:$B,#REF!,#REF!),0)</f>
        <v>0</v>
      </c>
      <c r="I99" s="70">
        <v>0</v>
      </c>
      <c r="J99" s="70">
        <v>0</v>
      </c>
      <c r="K99" s="70">
        <v>0</v>
      </c>
      <c r="L99" s="59"/>
      <c r="M99" s="70">
        <v>0</v>
      </c>
      <c r="N99" s="70">
        <v>0</v>
      </c>
      <c r="O99" s="70">
        <v>0</v>
      </c>
      <c r="P99" s="38"/>
      <c r="Q99" s="40"/>
    </row>
    <row r="100" spans="1:17" s="2" customFormat="1" x14ac:dyDescent="0.2">
      <c r="A100" s="16" t="str">
        <f t="shared" si="2"/>
        <v>sexta-feira</v>
      </c>
      <c r="B100" s="17">
        <f t="shared" si="3"/>
        <v>44659</v>
      </c>
      <c r="C100" s="52">
        <f>IFERROR(_xlfn.XLOOKUP($B:$B,'Estatísticos Mensais'!$A:$A,'Estatísticos Mensais'!C:C),0)</f>
        <v>48386.76</v>
      </c>
      <c r="D100" s="69">
        <f>IFERROR(_xlfn.XLOOKUP($B:$B,Google!A:A,Google!C:C,),0)</f>
        <v>482.64</v>
      </c>
      <c r="E100" s="70" t="e">
        <f>SUMIF(#REF!,'Compilado 2023 (2)'!$B:$B,#REF!)</f>
        <v>#REF!</v>
      </c>
      <c r="F100" s="70">
        <v>0</v>
      </c>
      <c r="G100" s="70">
        <f ca="1">_xlfn.XLOOKUP(B:B,'E-mail'!A:A,'E-mail'!C:C)</f>
        <v>53.333333333333336</v>
      </c>
      <c r="H100" s="70">
        <f>IFERROR(_xlfn.XLOOKUP($B:$B,#REF!,#REF!),0)</f>
        <v>0</v>
      </c>
      <c r="I100" s="70">
        <v>0</v>
      </c>
      <c r="J100" s="70">
        <v>0</v>
      </c>
      <c r="K100" s="70">
        <v>0</v>
      </c>
      <c r="L100" s="59"/>
      <c r="M100" s="70">
        <v>0</v>
      </c>
      <c r="N100" s="70">
        <v>0</v>
      </c>
      <c r="O100" s="70">
        <v>0</v>
      </c>
      <c r="P100" s="38"/>
      <c r="Q100" s="40"/>
    </row>
    <row r="101" spans="1:17" s="2" customFormat="1" x14ac:dyDescent="0.2">
      <c r="A101" s="16" t="str">
        <f t="shared" si="2"/>
        <v>sábado</v>
      </c>
      <c r="B101" s="17">
        <f t="shared" si="3"/>
        <v>44660</v>
      </c>
      <c r="C101" s="52">
        <f>IFERROR(_xlfn.XLOOKUP($B:$B,'Estatísticos Mensais'!$A:$A,'Estatísticos Mensais'!C:C),0)</f>
        <v>30586.2</v>
      </c>
      <c r="D101" s="69">
        <f>IFERROR(_xlfn.XLOOKUP($B:$B,Google!A:A,Google!C:C,),0)</f>
        <v>408.89</v>
      </c>
      <c r="E101" s="70" t="e">
        <f>SUMIF(#REF!,'Compilado 2023 (2)'!$B:$B,#REF!)</f>
        <v>#REF!</v>
      </c>
      <c r="F101" s="70">
        <v>0</v>
      </c>
      <c r="G101" s="70">
        <f ca="1">_xlfn.XLOOKUP(B:B,'E-mail'!A:A,'E-mail'!C:C)</f>
        <v>53.333333333333336</v>
      </c>
      <c r="H101" s="70">
        <f>IFERROR(_xlfn.XLOOKUP($B:$B,#REF!,#REF!),0)</f>
        <v>0</v>
      </c>
      <c r="I101" s="70">
        <v>0</v>
      </c>
      <c r="J101" s="70">
        <v>0</v>
      </c>
      <c r="K101" s="70">
        <v>0</v>
      </c>
      <c r="L101" s="59"/>
      <c r="M101" s="70">
        <v>0</v>
      </c>
      <c r="N101" s="70">
        <v>0</v>
      </c>
      <c r="O101" s="70">
        <v>0</v>
      </c>
      <c r="P101" s="38"/>
      <c r="Q101" s="40"/>
    </row>
    <row r="102" spans="1:17" s="2" customFormat="1" x14ac:dyDescent="0.2">
      <c r="A102" s="16" t="str">
        <f t="shared" si="2"/>
        <v>domingo</v>
      </c>
      <c r="B102" s="17">
        <f t="shared" si="3"/>
        <v>44661</v>
      </c>
      <c r="C102" s="52">
        <f>IFERROR(_xlfn.XLOOKUP($B:$B,'Estatísticos Mensais'!$A:$A,'Estatísticos Mensais'!C:C),0)</f>
        <v>24846.03</v>
      </c>
      <c r="D102" s="69">
        <f>IFERROR(_xlfn.XLOOKUP($B:$B,Google!A:A,Google!C:C,),0)</f>
        <v>421.13</v>
      </c>
      <c r="E102" s="70" t="e">
        <f>SUMIF(#REF!,'Compilado 2023 (2)'!$B:$B,#REF!)</f>
        <v>#REF!</v>
      </c>
      <c r="F102" s="70">
        <v>0</v>
      </c>
      <c r="G102" s="70">
        <f ca="1">_xlfn.XLOOKUP(B:B,'E-mail'!A:A,'E-mail'!C:C)</f>
        <v>53.333333333333336</v>
      </c>
      <c r="H102" s="70">
        <f>IFERROR(_xlfn.XLOOKUP($B:$B,#REF!,#REF!),0)</f>
        <v>0</v>
      </c>
      <c r="I102" s="70">
        <v>0</v>
      </c>
      <c r="J102" s="70">
        <v>0</v>
      </c>
      <c r="K102" s="70">
        <v>0</v>
      </c>
      <c r="L102" s="59"/>
      <c r="M102" s="70">
        <v>0</v>
      </c>
      <c r="N102" s="70">
        <v>0</v>
      </c>
      <c r="O102" s="70">
        <v>0</v>
      </c>
      <c r="P102" s="38"/>
      <c r="Q102" s="40"/>
    </row>
    <row r="103" spans="1:17" s="2" customFormat="1" x14ac:dyDescent="0.2">
      <c r="A103" s="16" t="str">
        <f t="shared" si="2"/>
        <v>segunda-feira</v>
      </c>
      <c r="B103" s="17">
        <f t="shared" si="3"/>
        <v>44662</v>
      </c>
      <c r="C103" s="52">
        <f>IFERROR(_xlfn.XLOOKUP($B:$B,'Estatísticos Mensais'!$A:$A,'Estatísticos Mensais'!C:C),0)</f>
        <v>40179.22</v>
      </c>
      <c r="D103" s="69">
        <f>IFERROR(_xlfn.XLOOKUP($B:$B,Google!A:A,Google!C:C,),0)</f>
        <v>502.41</v>
      </c>
      <c r="E103" s="70" t="e">
        <f>SUMIF(#REF!,'Compilado 2023 (2)'!$B:$B,#REF!)</f>
        <v>#REF!</v>
      </c>
      <c r="F103" s="70">
        <v>0</v>
      </c>
      <c r="G103" s="70">
        <f ca="1">_xlfn.XLOOKUP(B:B,'E-mail'!A:A,'E-mail'!C:C)</f>
        <v>53.333333333333336</v>
      </c>
      <c r="H103" s="70">
        <f>IFERROR(_xlfn.XLOOKUP($B:$B,#REF!,#REF!),0)</f>
        <v>0</v>
      </c>
      <c r="I103" s="70">
        <v>0</v>
      </c>
      <c r="J103" s="70">
        <v>0</v>
      </c>
      <c r="K103" s="70">
        <v>0</v>
      </c>
      <c r="L103" s="59"/>
      <c r="M103" s="70">
        <v>0</v>
      </c>
      <c r="N103" s="70">
        <v>0</v>
      </c>
      <c r="O103" s="70">
        <v>0</v>
      </c>
      <c r="P103" s="38"/>
      <c r="Q103" s="40"/>
    </row>
    <row r="104" spans="1:17" s="2" customFormat="1" x14ac:dyDescent="0.2">
      <c r="A104" s="16" t="str">
        <f t="shared" si="2"/>
        <v>terça-feira</v>
      </c>
      <c r="B104" s="17">
        <f t="shared" si="3"/>
        <v>44663</v>
      </c>
      <c r="C104" s="52">
        <f>IFERROR(_xlfn.XLOOKUP($B:$B,'Estatísticos Mensais'!$A:$A,'Estatísticos Mensais'!C:C),0)</f>
        <v>50744.22</v>
      </c>
      <c r="D104" s="69">
        <f>IFERROR(_xlfn.XLOOKUP($B:$B,Google!A:A,Google!C:C,),0)</f>
        <v>474.42</v>
      </c>
      <c r="E104" s="70" t="e">
        <f>SUMIF(#REF!,'Compilado 2023 (2)'!$B:$B,#REF!)</f>
        <v>#REF!</v>
      </c>
      <c r="F104" s="70">
        <v>0</v>
      </c>
      <c r="G104" s="70">
        <f ca="1">_xlfn.XLOOKUP(B:B,'E-mail'!A:A,'E-mail'!C:C)</f>
        <v>53.333333333333336</v>
      </c>
      <c r="H104" s="70">
        <f>IFERROR(_xlfn.XLOOKUP($B:$B,#REF!,#REF!),0)</f>
        <v>0</v>
      </c>
      <c r="I104" s="70">
        <v>0</v>
      </c>
      <c r="J104" s="70">
        <v>0</v>
      </c>
      <c r="K104" s="70">
        <v>0</v>
      </c>
      <c r="L104" s="59"/>
      <c r="M104" s="70">
        <v>0</v>
      </c>
      <c r="N104" s="70">
        <v>0</v>
      </c>
      <c r="O104" s="70">
        <v>0</v>
      </c>
      <c r="P104" s="38"/>
      <c r="Q104" s="40"/>
    </row>
    <row r="105" spans="1:17" s="2" customFormat="1" x14ac:dyDescent="0.2">
      <c r="A105" s="16" t="str">
        <f t="shared" si="2"/>
        <v>quarta-feira</v>
      </c>
      <c r="B105" s="17">
        <f t="shared" si="3"/>
        <v>44664</v>
      </c>
      <c r="C105" s="52">
        <f>IFERROR(_xlfn.XLOOKUP($B:$B,'Estatísticos Mensais'!$A:$A,'Estatísticos Mensais'!C:C),0)</f>
        <v>39082.35</v>
      </c>
      <c r="D105" s="69">
        <f>IFERROR(_xlfn.XLOOKUP($B:$B,Google!A:A,Google!C:C,),0)</f>
        <v>460.7</v>
      </c>
      <c r="E105" s="70" t="e">
        <f>SUMIF(#REF!,'Compilado 2023 (2)'!$B:$B,#REF!)</f>
        <v>#REF!</v>
      </c>
      <c r="F105" s="70">
        <v>0</v>
      </c>
      <c r="G105" s="70">
        <f ca="1">_xlfn.XLOOKUP(B:B,'E-mail'!A:A,'E-mail'!C:C)</f>
        <v>53.333333333333336</v>
      </c>
      <c r="H105" s="70">
        <f>IFERROR(_xlfn.XLOOKUP($B:$B,#REF!,#REF!),0)</f>
        <v>0</v>
      </c>
      <c r="I105" s="70">
        <v>0</v>
      </c>
      <c r="J105" s="70">
        <v>0</v>
      </c>
      <c r="K105" s="70">
        <v>0</v>
      </c>
      <c r="L105" s="59"/>
      <c r="M105" s="70">
        <v>0</v>
      </c>
      <c r="N105" s="70">
        <v>0</v>
      </c>
      <c r="O105" s="70">
        <v>0</v>
      </c>
      <c r="P105" s="38"/>
      <c r="Q105" s="40"/>
    </row>
    <row r="106" spans="1:17" s="2" customFormat="1" x14ac:dyDescent="0.2">
      <c r="A106" s="16" t="str">
        <f t="shared" si="2"/>
        <v>quinta-feira</v>
      </c>
      <c r="B106" s="17">
        <f t="shared" si="3"/>
        <v>44665</v>
      </c>
      <c r="C106" s="52">
        <f>IFERROR(_xlfn.XLOOKUP($B:$B,'Estatísticos Mensais'!$A:$A,'Estatísticos Mensais'!C:C),0)</f>
        <v>52344.65</v>
      </c>
      <c r="D106" s="69">
        <f>IFERROR(_xlfn.XLOOKUP($B:$B,Google!A:A,Google!C:C,),0)</f>
        <v>413.14</v>
      </c>
      <c r="E106" s="70" t="e">
        <f>SUMIF(#REF!,'Compilado 2023 (2)'!$B:$B,#REF!)</f>
        <v>#REF!</v>
      </c>
      <c r="F106" s="70">
        <v>0</v>
      </c>
      <c r="G106" s="70">
        <f ca="1">_xlfn.XLOOKUP(B:B,'E-mail'!A:A,'E-mail'!C:C)</f>
        <v>53.333333333333336</v>
      </c>
      <c r="H106" s="70">
        <f>IFERROR(_xlfn.XLOOKUP($B:$B,#REF!,#REF!),0)</f>
        <v>0</v>
      </c>
      <c r="I106" s="70">
        <v>0</v>
      </c>
      <c r="J106" s="70">
        <v>0</v>
      </c>
      <c r="K106" s="70">
        <v>0</v>
      </c>
      <c r="L106" s="59"/>
      <c r="M106" s="70">
        <v>0</v>
      </c>
      <c r="N106" s="70">
        <v>0</v>
      </c>
      <c r="O106" s="70">
        <v>0</v>
      </c>
      <c r="P106" s="38"/>
      <c r="Q106" s="40"/>
    </row>
    <row r="107" spans="1:17" s="2" customFormat="1" x14ac:dyDescent="0.2">
      <c r="A107" s="16" t="str">
        <f t="shared" si="2"/>
        <v>sexta-feira</v>
      </c>
      <c r="B107" s="17">
        <f t="shared" si="3"/>
        <v>44666</v>
      </c>
      <c r="C107" s="52">
        <f>IFERROR(_xlfn.XLOOKUP($B:$B,'Estatísticos Mensais'!$A:$A,'Estatísticos Mensais'!C:C),0)</f>
        <v>20921.53</v>
      </c>
      <c r="D107" s="69">
        <f>IFERROR(_xlfn.XLOOKUP($B:$B,Google!A:A,Google!C:C,),0)</f>
        <v>395.37</v>
      </c>
      <c r="E107" s="70" t="e">
        <f>SUMIF(#REF!,'Compilado 2023 (2)'!$B:$B,#REF!)</f>
        <v>#REF!</v>
      </c>
      <c r="F107" s="70">
        <v>0</v>
      </c>
      <c r="G107" s="70">
        <f ca="1">_xlfn.XLOOKUP(B:B,'E-mail'!A:A,'E-mail'!C:C)</f>
        <v>53.333333333333336</v>
      </c>
      <c r="H107" s="70">
        <f>IFERROR(_xlfn.XLOOKUP($B:$B,#REF!,#REF!),0)</f>
        <v>0</v>
      </c>
      <c r="I107" s="70">
        <v>0</v>
      </c>
      <c r="J107" s="70">
        <v>0</v>
      </c>
      <c r="K107" s="70">
        <v>0</v>
      </c>
      <c r="L107" s="59"/>
      <c r="M107" s="70">
        <v>0</v>
      </c>
      <c r="N107" s="70">
        <v>0</v>
      </c>
      <c r="O107" s="70">
        <v>0</v>
      </c>
      <c r="P107" s="38"/>
      <c r="Q107" s="40"/>
    </row>
    <row r="108" spans="1:17" s="2" customFormat="1" x14ac:dyDescent="0.2">
      <c r="A108" s="16" t="str">
        <f t="shared" si="2"/>
        <v>sábado</v>
      </c>
      <c r="B108" s="17">
        <f t="shared" si="3"/>
        <v>44667</v>
      </c>
      <c r="C108" s="52">
        <f>IFERROR(_xlfn.XLOOKUP($B:$B,'Estatísticos Mensais'!$A:$A,'Estatísticos Mensais'!C:C),0)</f>
        <v>27300.05</v>
      </c>
      <c r="D108" s="69">
        <f>IFERROR(_xlfn.XLOOKUP($B:$B,Google!A:A,Google!C:C,),0)</f>
        <v>440.05</v>
      </c>
      <c r="E108" s="70" t="e">
        <f>SUMIF(#REF!,'Compilado 2023 (2)'!$B:$B,#REF!)</f>
        <v>#REF!</v>
      </c>
      <c r="F108" s="70">
        <v>0</v>
      </c>
      <c r="G108" s="70">
        <f ca="1">_xlfn.XLOOKUP(B:B,'E-mail'!A:A,'E-mail'!C:C)</f>
        <v>53.333333333333336</v>
      </c>
      <c r="H108" s="70">
        <f>IFERROR(_xlfn.XLOOKUP($B:$B,#REF!,#REF!),0)</f>
        <v>0</v>
      </c>
      <c r="I108" s="70">
        <v>0</v>
      </c>
      <c r="J108" s="70">
        <v>0</v>
      </c>
      <c r="K108" s="70">
        <v>0</v>
      </c>
      <c r="L108" s="59"/>
      <c r="M108" s="70">
        <v>0</v>
      </c>
      <c r="N108" s="70">
        <v>0</v>
      </c>
      <c r="O108" s="70">
        <v>0</v>
      </c>
      <c r="P108" s="38"/>
      <c r="Q108" s="40"/>
    </row>
    <row r="109" spans="1:17" s="2" customFormat="1" x14ac:dyDescent="0.2">
      <c r="A109" s="16" t="str">
        <f t="shared" si="2"/>
        <v>domingo</v>
      </c>
      <c r="B109" s="17">
        <f t="shared" si="3"/>
        <v>44668</v>
      </c>
      <c r="C109" s="52">
        <f>IFERROR(_xlfn.XLOOKUP($B:$B,'Estatísticos Mensais'!$A:$A,'Estatísticos Mensais'!C:C),0)</f>
        <v>16409.150000000001</v>
      </c>
      <c r="D109" s="69">
        <f>IFERROR(_xlfn.XLOOKUP($B:$B,Google!A:A,Google!C:C,),0)</f>
        <v>401.75</v>
      </c>
      <c r="E109" s="70" t="e">
        <f>SUMIF(#REF!,'Compilado 2023 (2)'!$B:$B,#REF!)</f>
        <v>#REF!</v>
      </c>
      <c r="F109" s="70">
        <v>0</v>
      </c>
      <c r="G109" s="70">
        <f ca="1">_xlfn.XLOOKUP(B:B,'E-mail'!A:A,'E-mail'!C:C)</f>
        <v>53.333333333333336</v>
      </c>
      <c r="H109" s="70">
        <f>IFERROR(_xlfn.XLOOKUP($B:$B,#REF!,#REF!),0)</f>
        <v>0</v>
      </c>
      <c r="I109" s="70">
        <v>0</v>
      </c>
      <c r="J109" s="70">
        <v>0</v>
      </c>
      <c r="K109" s="70">
        <v>0</v>
      </c>
      <c r="L109" s="59"/>
      <c r="M109" s="70">
        <v>0</v>
      </c>
      <c r="N109" s="70">
        <v>0</v>
      </c>
      <c r="O109" s="70">
        <v>0</v>
      </c>
      <c r="P109" s="38"/>
      <c r="Q109" s="40"/>
    </row>
    <row r="110" spans="1:17" s="2" customFormat="1" x14ac:dyDescent="0.2">
      <c r="A110" s="16" t="str">
        <f t="shared" si="2"/>
        <v>segunda-feira</v>
      </c>
      <c r="B110" s="17">
        <f t="shared" si="3"/>
        <v>44669</v>
      </c>
      <c r="C110" s="52">
        <f>IFERROR(_xlfn.XLOOKUP($B:$B,'Estatísticos Mensais'!$A:$A,'Estatísticos Mensais'!C:C),0)</f>
        <v>33019.06</v>
      </c>
      <c r="D110" s="69">
        <f>IFERROR(_xlfn.XLOOKUP($B:$B,Google!A:A,Google!C:C,),0)</f>
        <v>491.95</v>
      </c>
      <c r="E110" s="70" t="e">
        <f>SUMIF(#REF!,'Compilado 2023 (2)'!$B:$B,#REF!)</f>
        <v>#REF!</v>
      </c>
      <c r="F110" s="70">
        <v>0</v>
      </c>
      <c r="G110" s="70">
        <f ca="1">_xlfn.XLOOKUP(B:B,'E-mail'!A:A,'E-mail'!C:C)</f>
        <v>53.333333333333336</v>
      </c>
      <c r="H110" s="70">
        <f>IFERROR(_xlfn.XLOOKUP($B:$B,#REF!,#REF!),0)</f>
        <v>0</v>
      </c>
      <c r="I110" s="70">
        <v>0</v>
      </c>
      <c r="J110" s="70">
        <v>0</v>
      </c>
      <c r="K110" s="70">
        <v>0</v>
      </c>
      <c r="L110" s="59"/>
      <c r="M110" s="70">
        <v>0</v>
      </c>
      <c r="N110" s="70">
        <v>0</v>
      </c>
      <c r="O110" s="70">
        <v>0</v>
      </c>
      <c r="P110" s="38"/>
      <c r="Q110" s="40"/>
    </row>
    <row r="111" spans="1:17" s="2" customFormat="1" x14ac:dyDescent="0.2">
      <c r="A111" s="16" t="str">
        <f t="shared" si="2"/>
        <v>terça-feira</v>
      </c>
      <c r="B111" s="17">
        <f t="shared" si="3"/>
        <v>44670</v>
      </c>
      <c r="C111" s="52">
        <f>IFERROR(_xlfn.XLOOKUP($B:$B,'Estatísticos Mensais'!$A:$A,'Estatísticos Mensais'!C:C),0)</f>
        <v>48457.27</v>
      </c>
      <c r="D111" s="69">
        <f>IFERROR(_xlfn.XLOOKUP($B:$B,Google!A:A,Google!C:C,),0)</f>
        <v>500.47</v>
      </c>
      <c r="E111" s="70" t="e">
        <f>SUMIF(#REF!,'Compilado 2023 (2)'!$B:$B,#REF!)</f>
        <v>#REF!</v>
      </c>
      <c r="F111" s="70">
        <v>0</v>
      </c>
      <c r="G111" s="70">
        <f ca="1">_xlfn.XLOOKUP(B:B,'E-mail'!A:A,'E-mail'!C:C)</f>
        <v>53.333333333333336</v>
      </c>
      <c r="H111" s="70">
        <f>IFERROR(_xlfn.XLOOKUP($B:$B,#REF!,#REF!),0)</f>
        <v>0</v>
      </c>
      <c r="I111" s="70">
        <v>0</v>
      </c>
      <c r="J111" s="70">
        <v>0</v>
      </c>
      <c r="K111" s="70">
        <v>0</v>
      </c>
      <c r="L111" s="59"/>
      <c r="M111" s="70">
        <v>0</v>
      </c>
      <c r="N111" s="70">
        <v>0</v>
      </c>
      <c r="O111" s="70">
        <v>0</v>
      </c>
      <c r="P111" s="38"/>
      <c r="Q111" s="40"/>
    </row>
    <row r="112" spans="1:17" s="2" customFormat="1" x14ac:dyDescent="0.2">
      <c r="A112" s="16" t="str">
        <f t="shared" si="2"/>
        <v>quarta-feira</v>
      </c>
      <c r="B112" s="17">
        <f t="shared" si="3"/>
        <v>44671</v>
      </c>
      <c r="C112" s="52">
        <f>IFERROR(_xlfn.XLOOKUP($B:$B,'Estatísticos Mensais'!$A:$A,'Estatísticos Mensais'!C:C),0)</f>
        <v>34555.19</v>
      </c>
      <c r="D112" s="69">
        <f>IFERROR(_xlfn.XLOOKUP($B:$B,Google!A:A,Google!C:C,),0)</f>
        <v>467.95</v>
      </c>
      <c r="E112" s="70" t="e">
        <f>SUMIF(#REF!,'Compilado 2023 (2)'!$B:$B,#REF!)</f>
        <v>#REF!</v>
      </c>
      <c r="F112" s="70">
        <v>0</v>
      </c>
      <c r="G112" s="70">
        <f ca="1">_xlfn.XLOOKUP(B:B,'E-mail'!A:A,'E-mail'!C:C)</f>
        <v>53.333333333333336</v>
      </c>
      <c r="H112" s="70">
        <f>IFERROR(_xlfn.XLOOKUP($B:$B,#REF!,#REF!),0)</f>
        <v>0</v>
      </c>
      <c r="I112" s="70">
        <v>0</v>
      </c>
      <c r="J112" s="70">
        <v>0</v>
      </c>
      <c r="K112" s="70">
        <v>0</v>
      </c>
      <c r="L112" s="59"/>
      <c r="M112" s="70">
        <v>0</v>
      </c>
      <c r="N112" s="70">
        <v>0</v>
      </c>
      <c r="O112" s="70">
        <v>0</v>
      </c>
      <c r="P112" s="38"/>
      <c r="Q112" s="40"/>
    </row>
    <row r="113" spans="1:17" s="2" customFormat="1" x14ac:dyDescent="0.2">
      <c r="A113" s="16" t="str">
        <f t="shared" si="2"/>
        <v>quinta-feira</v>
      </c>
      <c r="B113" s="17">
        <f t="shared" si="3"/>
        <v>44672</v>
      </c>
      <c r="C113" s="52">
        <f>IFERROR(_xlfn.XLOOKUP($B:$B,'Estatísticos Mensais'!$A:$A,'Estatísticos Mensais'!C:C),0)</f>
        <v>23240.240000000002</v>
      </c>
      <c r="D113" s="69">
        <f>IFERROR(_xlfn.XLOOKUP($B:$B,Google!A:A,Google!C:C,),0)</f>
        <v>411.67</v>
      </c>
      <c r="E113" s="70" t="e">
        <f>SUMIF(#REF!,'Compilado 2023 (2)'!$B:$B,#REF!)</f>
        <v>#REF!</v>
      </c>
      <c r="F113" s="70">
        <v>0</v>
      </c>
      <c r="G113" s="70">
        <f ca="1">_xlfn.XLOOKUP(B:B,'E-mail'!A:A,'E-mail'!C:C)</f>
        <v>53.333333333333336</v>
      </c>
      <c r="H113" s="70">
        <f>IFERROR(_xlfn.XLOOKUP($B:$B,#REF!,#REF!),0)</f>
        <v>0</v>
      </c>
      <c r="I113" s="70">
        <v>0</v>
      </c>
      <c r="J113" s="70">
        <v>0</v>
      </c>
      <c r="K113" s="70">
        <v>0</v>
      </c>
      <c r="L113" s="59"/>
      <c r="M113" s="70">
        <v>0</v>
      </c>
      <c r="N113" s="70">
        <v>0</v>
      </c>
      <c r="O113" s="70">
        <v>0</v>
      </c>
      <c r="P113" s="38"/>
      <c r="Q113" s="40"/>
    </row>
    <row r="114" spans="1:17" s="2" customFormat="1" x14ac:dyDescent="0.2">
      <c r="A114" s="16" t="str">
        <f t="shared" si="2"/>
        <v>sexta-feira</v>
      </c>
      <c r="B114" s="17">
        <f t="shared" si="3"/>
        <v>44673</v>
      </c>
      <c r="C114" s="52">
        <f>IFERROR(_xlfn.XLOOKUP($B:$B,'Estatísticos Mensais'!$A:$A,'Estatísticos Mensais'!C:C),0)</f>
        <v>34228.5</v>
      </c>
      <c r="D114" s="69">
        <f>IFERROR(_xlfn.XLOOKUP($B:$B,Google!A:A,Google!C:C,),0)</f>
        <v>438.18</v>
      </c>
      <c r="E114" s="70" t="e">
        <f>SUMIF(#REF!,'Compilado 2023 (2)'!$B:$B,#REF!)</f>
        <v>#REF!</v>
      </c>
      <c r="F114" s="70">
        <v>0</v>
      </c>
      <c r="G114" s="70">
        <f ca="1">_xlfn.XLOOKUP(B:B,'E-mail'!A:A,'E-mail'!C:C)</f>
        <v>53.333333333333336</v>
      </c>
      <c r="H114" s="70">
        <f>IFERROR(_xlfn.XLOOKUP($B:$B,#REF!,#REF!),0)</f>
        <v>0</v>
      </c>
      <c r="I114" s="70">
        <v>0</v>
      </c>
      <c r="J114" s="70">
        <v>0</v>
      </c>
      <c r="K114" s="70">
        <v>0</v>
      </c>
      <c r="L114" s="59"/>
      <c r="M114" s="70">
        <v>0</v>
      </c>
      <c r="N114" s="70">
        <v>0</v>
      </c>
      <c r="O114" s="70">
        <v>0</v>
      </c>
      <c r="P114" s="38"/>
      <c r="Q114" s="40"/>
    </row>
    <row r="115" spans="1:17" s="2" customFormat="1" x14ac:dyDescent="0.2">
      <c r="A115" s="16" t="str">
        <f t="shared" si="2"/>
        <v>sábado</v>
      </c>
      <c r="B115" s="17">
        <f t="shared" si="3"/>
        <v>44674</v>
      </c>
      <c r="C115" s="52">
        <f>IFERROR(_xlfn.XLOOKUP($B:$B,'Estatísticos Mensais'!$A:$A,'Estatísticos Mensais'!C:C),0)</f>
        <v>14434.7</v>
      </c>
      <c r="D115" s="69">
        <f>IFERROR(_xlfn.XLOOKUP($B:$B,Google!A:A,Google!C:C,),0)</f>
        <v>424.52</v>
      </c>
      <c r="E115" s="70" t="e">
        <f>SUMIF(#REF!,'Compilado 2023 (2)'!$B:$B,#REF!)</f>
        <v>#REF!</v>
      </c>
      <c r="F115" s="70">
        <v>0</v>
      </c>
      <c r="G115" s="70">
        <f ca="1">_xlfn.XLOOKUP(B:B,'E-mail'!A:A,'E-mail'!C:C)</f>
        <v>53.333333333333336</v>
      </c>
      <c r="H115" s="70">
        <f>IFERROR(_xlfn.XLOOKUP($B:$B,#REF!,#REF!),0)</f>
        <v>0</v>
      </c>
      <c r="I115" s="70">
        <v>0</v>
      </c>
      <c r="J115" s="70">
        <v>0</v>
      </c>
      <c r="K115" s="70">
        <v>0</v>
      </c>
      <c r="L115" s="59"/>
      <c r="M115" s="70">
        <v>0</v>
      </c>
      <c r="N115" s="70">
        <v>0</v>
      </c>
      <c r="O115" s="70">
        <v>0</v>
      </c>
      <c r="P115" s="38"/>
      <c r="Q115" s="40"/>
    </row>
    <row r="116" spans="1:17" s="2" customFormat="1" x14ac:dyDescent="0.2">
      <c r="A116" s="16" t="str">
        <f t="shared" si="2"/>
        <v>domingo</v>
      </c>
      <c r="B116" s="17">
        <f t="shared" si="3"/>
        <v>44675</v>
      </c>
      <c r="C116" s="52">
        <f>IFERROR(_xlfn.XLOOKUP($B:$B,'Estatísticos Mensais'!$A:$A,'Estatísticos Mensais'!C:C),0)</f>
        <v>22858.3</v>
      </c>
      <c r="D116" s="69">
        <f>IFERROR(_xlfn.XLOOKUP($B:$B,Google!A:A,Google!C:C,),0)</f>
        <v>330.33</v>
      </c>
      <c r="E116" s="70" t="e">
        <f>SUMIF(#REF!,'Compilado 2023 (2)'!$B:$B,#REF!)</f>
        <v>#REF!</v>
      </c>
      <c r="F116" s="70">
        <v>0</v>
      </c>
      <c r="G116" s="70">
        <f ca="1">_xlfn.XLOOKUP(B:B,'E-mail'!A:A,'E-mail'!C:C)</f>
        <v>53.333333333333336</v>
      </c>
      <c r="H116" s="70">
        <f>IFERROR(_xlfn.XLOOKUP($B:$B,#REF!,#REF!),0)</f>
        <v>0</v>
      </c>
      <c r="I116" s="70">
        <v>0</v>
      </c>
      <c r="J116" s="70">
        <v>0</v>
      </c>
      <c r="K116" s="70">
        <v>0</v>
      </c>
      <c r="L116" s="59"/>
      <c r="M116" s="70">
        <v>0</v>
      </c>
      <c r="N116" s="70">
        <v>0</v>
      </c>
      <c r="O116" s="70">
        <v>0</v>
      </c>
      <c r="P116" s="38"/>
      <c r="Q116" s="40"/>
    </row>
    <row r="117" spans="1:17" s="2" customFormat="1" x14ac:dyDescent="0.2">
      <c r="A117" s="16" t="str">
        <f t="shared" si="2"/>
        <v>segunda-feira</v>
      </c>
      <c r="B117" s="17">
        <f t="shared" si="3"/>
        <v>44676</v>
      </c>
      <c r="C117" s="52">
        <f>IFERROR(_xlfn.XLOOKUP($B:$B,'Estatísticos Mensais'!$A:$A,'Estatísticos Mensais'!C:C),0)</f>
        <v>60245.74</v>
      </c>
      <c r="D117" s="69">
        <f>IFERROR(_xlfn.XLOOKUP($B:$B,Google!A:A,Google!C:C,),0)</f>
        <v>467.18</v>
      </c>
      <c r="E117" s="70" t="e">
        <f>SUMIF(#REF!,'Compilado 2023 (2)'!$B:$B,#REF!)</f>
        <v>#REF!</v>
      </c>
      <c r="F117" s="70">
        <v>0</v>
      </c>
      <c r="G117" s="70">
        <f ca="1">_xlfn.XLOOKUP(B:B,'E-mail'!A:A,'E-mail'!C:C)</f>
        <v>53.333333333333336</v>
      </c>
      <c r="H117" s="70">
        <f>IFERROR(_xlfn.XLOOKUP($B:$B,#REF!,#REF!),0)</f>
        <v>0</v>
      </c>
      <c r="I117" s="70">
        <v>0</v>
      </c>
      <c r="J117" s="70">
        <v>0</v>
      </c>
      <c r="K117" s="70">
        <v>0</v>
      </c>
      <c r="L117" s="59"/>
      <c r="M117" s="70">
        <v>0</v>
      </c>
      <c r="N117" s="70">
        <v>0</v>
      </c>
      <c r="O117" s="70">
        <v>0</v>
      </c>
      <c r="P117" s="38"/>
      <c r="Q117" s="40"/>
    </row>
    <row r="118" spans="1:17" s="2" customFormat="1" x14ac:dyDescent="0.2">
      <c r="A118" s="16" t="str">
        <f t="shared" si="2"/>
        <v>terça-feira</v>
      </c>
      <c r="B118" s="17">
        <f t="shared" si="3"/>
        <v>44677</v>
      </c>
      <c r="C118" s="52">
        <f>IFERROR(_xlfn.XLOOKUP($B:$B,'Estatísticos Mensais'!$A:$A,'Estatísticos Mensais'!C:C),0)</f>
        <v>43606.53</v>
      </c>
      <c r="D118" s="69">
        <f>IFERROR(_xlfn.XLOOKUP($B:$B,Google!A:A,Google!C:C,),0)</f>
        <v>430.53</v>
      </c>
      <c r="E118" s="70" t="e">
        <f>SUMIF(#REF!,'Compilado 2023 (2)'!$B:$B,#REF!)</f>
        <v>#REF!</v>
      </c>
      <c r="F118" s="70">
        <v>0</v>
      </c>
      <c r="G118" s="70">
        <f ca="1">_xlfn.XLOOKUP(B:B,'E-mail'!A:A,'E-mail'!C:C)</f>
        <v>53.333333333333336</v>
      </c>
      <c r="H118" s="70">
        <f>IFERROR(_xlfn.XLOOKUP($B:$B,#REF!,#REF!),0)</f>
        <v>0</v>
      </c>
      <c r="I118" s="70">
        <v>0</v>
      </c>
      <c r="J118" s="70">
        <v>0</v>
      </c>
      <c r="K118" s="70">
        <v>0</v>
      </c>
      <c r="L118" s="59"/>
      <c r="M118" s="70">
        <v>0</v>
      </c>
      <c r="N118" s="70">
        <v>0</v>
      </c>
      <c r="O118" s="70">
        <v>0</v>
      </c>
      <c r="P118" s="38"/>
      <c r="Q118" s="40"/>
    </row>
    <row r="119" spans="1:17" s="2" customFormat="1" x14ac:dyDescent="0.2">
      <c r="A119" s="16" t="str">
        <f t="shared" si="2"/>
        <v>quarta-feira</v>
      </c>
      <c r="B119" s="17">
        <f t="shared" si="3"/>
        <v>44678</v>
      </c>
      <c r="C119" s="52">
        <f>IFERROR(_xlfn.XLOOKUP($B:$B,'Estatísticos Mensais'!$A:$A,'Estatísticos Mensais'!C:C),0)</f>
        <v>62249.99</v>
      </c>
      <c r="D119" s="69">
        <f>IFERROR(_xlfn.XLOOKUP($B:$B,Google!A:A,Google!C:C,),0)</f>
        <v>451.69</v>
      </c>
      <c r="E119" s="70" t="e">
        <f>SUMIF(#REF!,'Compilado 2023 (2)'!$B:$B,#REF!)</f>
        <v>#REF!</v>
      </c>
      <c r="F119" s="70">
        <v>0</v>
      </c>
      <c r="G119" s="70">
        <f ca="1">_xlfn.XLOOKUP(B:B,'E-mail'!A:A,'E-mail'!C:C)</f>
        <v>53.333333333333336</v>
      </c>
      <c r="H119" s="70">
        <f>IFERROR(_xlfn.XLOOKUP($B:$B,#REF!,#REF!),0)</f>
        <v>0</v>
      </c>
      <c r="I119" s="70">
        <v>0</v>
      </c>
      <c r="J119" s="70">
        <v>0</v>
      </c>
      <c r="K119" s="70">
        <v>0</v>
      </c>
      <c r="L119" s="59"/>
      <c r="M119" s="70">
        <v>0</v>
      </c>
      <c r="N119" s="70">
        <v>0</v>
      </c>
      <c r="O119" s="70">
        <v>0</v>
      </c>
      <c r="P119" s="38"/>
      <c r="Q119" s="40"/>
    </row>
    <row r="120" spans="1:17" s="2" customFormat="1" x14ac:dyDescent="0.2">
      <c r="A120" s="16" t="str">
        <f t="shared" si="2"/>
        <v>quinta-feira</v>
      </c>
      <c r="B120" s="17">
        <f t="shared" si="3"/>
        <v>44679</v>
      </c>
      <c r="C120" s="52">
        <f>IFERROR(_xlfn.XLOOKUP($B:$B,'Estatísticos Mensais'!$A:$A,'Estatísticos Mensais'!C:C),0)</f>
        <v>68393.11</v>
      </c>
      <c r="D120" s="69">
        <f>IFERROR(_xlfn.XLOOKUP($B:$B,Google!A:A,Google!C:C,),0)</f>
        <v>474.62</v>
      </c>
      <c r="E120" s="70" t="e">
        <f>SUMIF(#REF!,'Compilado 2023 (2)'!$B:$B,#REF!)</f>
        <v>#REF!</v>
      </c>
      <c r="F120" s="70">
        <v>0</v>
      </c>
      <c r="G120" s="70">
        <f ca="1">_xlfn.XLOOKUP(B:B,'E-mail'!A:A,'E-mail'!C:C)</f>
        <v>53.333333333333336</v>
      </c>
      <c r="H120" s="70">
        <f>IFERROR(_xlfn.XLOOKUP($B:$B,#REF!,#REF!),0)</f>
        <v>0</v>
      </c>
      <c r="I120" s="70">
        <v>0</v>
      </c>
      <c r="J120" s="70">
        <v>0</v>
      </c>
      <c r="K120" s="70">
        <v>0</v>
      </c>
      <c r="L120" s="59"/>
      <c r="M120" s="70">
        <v>0</v>
      </c>
      <c r="N120" s="70">
        <v>0</v>
      </c>
      <c r="O120" s="70">
        <v>0</v>
      </c>
      <c r="P120" s="38"/>
      <c r="Q120" s="40"/>
    </row>
    <row r="121" spans="1:17" s="2" customFormat="1" x14ac:dyDescent="0.2">
      <c r="A121" s="16" t="str">
        <f t="shared" si="2"/>
        <v>sexta-feira</v>
      </c>
      <c r="B121" s="17">
        <f t="shared" si="3"/>
        <v>44680</v>
      </c>
      <c r="C121" s="52">
        <f>IFERROR(_xlfn.XLOOKUP($B:$B,'Estatísticos Mensais'!$A:$A,'Estatísticos Mensais'!C:C),0)</f>
        <v>65264.76</v>
      </c>
      <c r="D121" s="69">
        <f>IFERROR(_xlfn.XLOOKUP($B:$B,Google!A:A,Google!C:C,),0)</f>
        <v>464.01</v>
      </c>
      <c r="E121" s="70" t="e">
        <f>SUMIF(#REF!,'Compilado 2023 (2)'!$B:$B,#REF!)</f>
        <v>#REF!</v>
      </c>
      <c r="F121" s="70">
        <v>0</v>
      </c>
      <c r="G121" s="70">
        <f ca="1">_xlfn.XLOOKUP(B:B,'E-mail'!A:A,'E-mail'!C:C)</f>
        <v>53.333333333333336</v>
      </c>
      <c r="H121" s="70">
        <f>IFERROR(_xlfn.XLOOKUP($B:$B,#REF!,#REF!),0)</f>
        <v>0</v>
      </c>
      <c r="I121" s="70">
        <v>0</v>
      </c>
      <c r="J121" s="70">
        <v>0</v>
      </c>
      <c r="K121" s="70">
        <v>0</v>
      </c>
      <c r="L121" s="59"/>
      <c r="M121" s="70">
        <v>0</v>
      </c>
      <c r="N121" s="70">
        <v>0</v>
      </c>
      <c r="O121" s="70">
        <v>0</v>
      </c>
      <c r="P121" s="38"/>
      <c r="Q121" s="40"/>
    </row>
    <row r="122" spans="1:17" s="2" customFormat="1" x14ac:dyDescent="0.2">
      <c r="A122" s="16" t="str">
        <f t="shared" si="2"/>
        <v>sábado</v>
      </c>
      <c r="B122" s="17">
        <f t="shared" si="3"/>
        <v>44681</v>
      </c>
      <c r="C122" s="52">
        <f>IFERROR(_xlfn.XLOOKUP($B:$B,'Estatísticos Mensais'!$A:$A,'Estatísticos Mensais'!C:C),0)</f>
        <v>39173.85</v>
      </c>
      <c r="D122" s="69">
        <f>IFERROR(_xlfn.XLOOKUP($B:$B,Google!A:A,Google!C:C,),0)</f>
        <v>350.24</v>
      </c>
      <c r="E122" s="70" t="e">
        <f>SUMIF(#REF!,'Compilado 2023 (2)'!$B:$B,#REF!)</f>
        <v>#REF!</v>
      </c>
      <c r="F122" s="70">
        <v>0</v>
      </c>
      <c r="G122" s="70">
        <f ca="1">_xlfn.XLOOKUP(B:B,'E-mail'!A:A,'E-mail'!C:C)</f>
        <v>53.333333333333336</v>
      </c>
      <c r="H122" s="70">
        <f>IFERROR(_xlfn.XLOOKUP($B:$B,#REF!,#REF!),0)</f>
        <v>0</v>
      </c>
      <c r="I122" s="70">
        <v>0</v>
      </c>
      <c r="J122" s="70">
        <v>0</v>
      </c>
      <c r="K122" s="70">
        <v>0</v>
      </c>
      <c r="L122" s="59"/>
      <c r="M122" s="70">
        <v>0</v>
      </c>
      <c r="N122" s="70">
        <v>0</v>
      </c>
      <c r="O122" s="70">
        <v>0</v>
      </c>
      <c r="P122" s="38"/>
      <c r="Q122" s="40"/>
    </row>
    <row r="123" spans="1:17" s="2" customFormat="1" x14ac:dyDescent="0.2">
      <c r="A123" s="16" t="str">
        <f t="shared" si="2"/>
        <v>domingo</v>
      </c>
      <c r="B123" s="17">
        <f t="shared" si="3"/>
        <v>44682</v>
      </c>
      <c r="C123" s="52">
        <f>IFERROR(_xlfn.XLOOKUP($B:$B,'Estatísticos Mensais'!$A:$A,'Estatísticos Mensais'!C:C),0)</f>
        <v>42378.51</v>
      </c>
      <c r="D123" s="69">
        <f>IFERROR(_xlfn.XLOOKUP($B:$B,Google!A:A,Google!C:C,),0)</f>
        <v>453.69</v>
      </c>
      <c r="E123" s="70" t="e">
        <f>SUMIF(#REF!,'Compilado 2023 (2)'!$B:$B,#REF!)</f>
        <v>#REF!</v>
      </c>
      <c r="F123" s="70">
        <v>0</v>
      </c>
      <c r="G123" s="70">
        <f ca="1">_xlfn.XLOOKUP(B:B,'E-mail'!A:A,'E-mail'!C:C)</f>
        <v>51.612903225806448</v>
      </c>
      <c r="H123" s="70">
        <f>IFERROR(_xlfn.XLOOKUP($B:$B,#REF!,#REF!),0)</f>
        <v>0</v>
      </c>
      <c r="I123" s="70">
        <v>0</v>
      </c>
      <c r="J123" s="70">
        <v>0</v>
      </c>
      <c r="K123" s="70">
        <v>0</v>
      </c>
      <c r="L123" s="59"/>
      <c r="M123" s="70">
        <v>0</v>
      </c>
      <c r="N123" s="70">
        <v>0</v>
      </c>
      <c r="O123" s="70">
        <v>0</v>
      </c>
      <c r="P123" s="38"/>
      <c r="Q123" s="40"/>
    </row>
    <row r="124" spans="1:17" s="2" customFormat="1" x14ac:dyDescent="0.2">
      <c r="A124" s="16" t="str">
        <f t="shared" si="2"/>
        <v>segunda-feira</v>
      </c>
      <c r="B124" s="17">
        <f t="shared" si="3"/>
        <v>44683</v>
      </c>
      <c r="C124" s="52">
        <f>IFERROR(_xlfn.XLOOKUP($B:$B,'Estatísticos Mensais'!$A:$A,'Estatísticos Mensais'!C:C),0)</f>
        <v>154554.23000000001</v>
      </c>
      <c r="D124" s="69">
        <f>IFERROR(_xlfn.XLOOKUP($B:$B,Google!A:A,Google!C:C,),0)</f>
        <v>482.9</v>
      </c>
      <c r="E124" s="70" t="e">
        <f>SUMIF(#REF!,'Compilado 2023 (2)'!$B:$B,#REF!)</f>
        <v>#REF!</v>
      </c>
      <c r="F124" s="70">
        <v>0</v>
      </c>
      <c r="G124" s="70">
        <f ca="1">_xlfn.XLOOKUP(B:B,'E-mail'!A:A,'E-mail'!C:C)</f>
        <v>51.612903225806448</v>
      </c>
      <c r="H124" s="70">
        <f>IFERROR(_xlfn.XLOOKUP($B:$B,#REF!,#REF!),0)</f>
        <v>0</v>
      </c>
      <c r="I124" s="70">
        <v>0</v>
      </c>
      <c r="J124" s="70">
        <v>0</v>
      </c>
      <c r="K124" s="70">
        <v>0</v>
      </c>
      <c r="L124" s="59"/>
      <c r="M124" s="70">
        <v>0</v>
      </c>
      <c r="N124" s="70">
        <v>0</v>
      </c>
      <c r="O124" s="70">
        <v>0</v>
      </c>
      <c r="P124" s="38"/>
      <c r="Q124" s="40"/>
    </row>
    <row r="125" spans="1:17" s="2" customFormat="1" x14ac:dyDescent="0.2">
      <c r="A125" s="16" t="str">
        <f t="shared" si="2"/>
        <v>terça-feira</v>
      </c>
      <c r="B125" s="17">
        <f t="shared" si="3"/>
        <v>44684</v>
      </c>
      <c r="C125" s="52">
        <f>IFERROR(_xlfn.XLOOKUP($B:$B,'Estatísticos Mensais'!$A:$A,'Estatísticos Mensais'!C:C),0)</f>
        <v>149914.43</v>
      </c>
      <c r="D125" s="69">
        <f>IFERROR(_xlfn.XLOOKUP($B:$B,Google!A:A,Google!C:C,),0)</f>
        <v>517.55999999999995</v>
      </c>
      <c r="E125" s="70" t="e">
        <f>SUMIF(#REF!,'Compilado 2023 (2)'!$B:$B,#REF!)</f>
        <v>#REF!</v>
      </c>
      <c r="F125" s="70">
        <v>0</v>
      </c>
      <c r="G125" s="70">
        <f ca="1">_xlfn.XLOOKUP(B:B,'E-mail'!A:A,'E-mail'!C:C)</f>
        <v>51.612903225806448</v>
      </c>
      <c r="H125" s="70">
        <f>IFERROR(_xlfn.XLOOKUP($B:$B,#REF!,#REF!),0)</f>
        <v>0</v>
      </c>
      <c r="I125" s="70">
        <v>0</v>
      </c>
      <c r="J125" s="70">
        <v>0</v>
      </c>
      <c r="K125" s="70">
        <v>0</v>
      </c>
      <c r="L125" s="59"/>
      <c r="M125" s="70">
        <v>0</v>
      </c>
      <c r="N125" s="70">
        <v>0</v>
      </c>
      <c r="O125" s="70">
        <v>0</v>
      </c>
      <c r="P125" s="38"/>
      <c r="Q125" s="40"/>
    </row>
    <row r="126" spans="1:17" s="2" customFormat="1" x14ac:dyDescent="0.2">
      <c r="A126" s="16" t="str">
        <f t="shared" si="2"/>
        <v>quarta-feira</v>
      </c>
      <c r="B126" s="17">
        <f t="shared" si="3"/>
        <v>44685</v>
      </c>
      <c r="C126" s="52">
        <f>IFERROR(_xlfn.XLOOKUP($B:$B,'Estatísticos Mensais'!$A:$A,'Estatísticos Mensais'!C:C),0)</f>
        <v>164851.48000000001</v>
      </c>
      <c r="D126" s="69">
        <f>IFERROR(_xlfn.XLOOKUP($B:$B,Google!A:A,Google!C:C,),0)</f>
        <v>537.1</v>
      </c>
      <c r="E126" s="70" t="e">
        <f>SUMIF(#REF!,'Compilado 2023 (2)'!$B:$B,#REF!)</f>
        <v>#REF!</v>
      </c>
      <c r="F126" s="70">
        <v>0</v>
      </c>
      <c r="G126" s="70">
        <f ca="1">_xlfn.XLOOKUP(B:B,'E-mail'!A:A,'E-mail'!C:C)</f>
        <v>51.612903225806448</v>
      </c>
      <c r="H126" s="70">
        <f>IFERROR(_xlfn.XLOOKUP($B:$B,#REF!,#REF!),0)</f>
        <v>0</v>
      </c>
      <c r="I126" s="70">
        <v>0</v>
      </c>
      <c r="J126" s="70">
        <v>0</v>
      </c>
      <c r="K126" s="70">
        <v>0</v>
      </c>
      <c r="L126" s="59"/>
      <c r="M126" s="70">
        <v>0</v>
      </c>
      <c r="N126" s="70">
        <v>0</v>
      </c>
      <c r="O126" s="70">
        <v>0</v>
      </c>
      <c r="P126" s="38"/>
      <c r="Q126" s="40"/>
    </row>
    <row r="127" spans="1:17" s="2" customFormat="1" x14ac:dyDescent="0.2">
      <c r="A127" s="16" t="str">
        <f t="shared" si="2"/>
        <v>quinta-feira</v>
      </c>
      <c r="B127" s="17">
        <f t="shared" si="3"/>
        <v>44686</v>
      </c>
      <c r="C127" s="52">
        <f>IFERROR(_xlfn.XLOOKUP($B:$B,'Estatísticos Mensais'!$A:$A,'Estatísticos Mensais'!C:C),0)</f>
        <v>187103.48</v>
      </c>
      <c r="D127" s="69">
        <f>IFERROR(_xlfn.XLOOKUP($B:$B,Google!A:A,Google!C:C,),0)</f>
        <v>512.34</v>
      </c>
      <c r="E127" s="70" t="e">
        <f>SUMIF(#REF!,'Compilado 2023 (2)'!$B:$B,#REF!)</f>
        <v>#REF!</v>
      </c>
      <c r="F127" s="70">
        <v>0</v>
      </c>
      <c r="G127" s="70">
        <f ca="1">_xlfn.XLOOKUP(B:B,'E-mail'!A:A,'E-mail'!C:C)</f>
        <v>51.612903225806448</v>
      </c>
      <c r="H127" s="70">
        <f>IFERROR(_xlfn.XLOOKUP($B:$B,#REF!,#REF!),0)</f>
        <v>0</v>
      </c>
      <c r="I127" s="70">
        <v>0</v>
      </c>
      <c r="J127" s="70">
        <v>0</v>
      </c>
      <c r="K127" s="70">
        <v>0</v>
      </c>
      <c r="L127" s="59"/>
      <c r="M127" s="70">
        <v>0</v>
      </c>
      <c r="N127" s="70">
        <v>0</v>
      </c>
      <c r="O127" s="70">
        <v>0</v>
      </c>
      <c r="P127" s="38"/>
      <c r="Q127" s="40"/>
    </row>
    <row r="128" spans="1:17" s="2" customFormat="1" x14ac:dyDescent="0.2">
      <c r="A128" s="16" t="str">
        <f t="shared" si="2"/>
        <v>sexta-feira</v>
      </c>
      <c r="B128" s="17">
        <f t="shared" si="3"/>
        <v>44687</v>
      </c>
      <c r="C128" s="52">
        <f>IFERROR(_xlfn.XLOOKUP($B:$B,'Estatísticos Mensais'!$A:$A,'Estatísticos Mensais'!C:C),0)</f>
        <v>283599.35999999999</v>
      </c>
      <c r="D128" s="69">
        <f>IFERROR(_xlfn.XLOOKUP($B:$B,Google!A:A,Google!C:C,),0)</f>
        <v>479.24</v>
      </c>
      <c r="E128" s="70" t="e">
        <f>SUMIF(#REF!,'Compilado 2023 (2)'!$B:$B,#REF!)</f>
        <v>#REF!</v>
      </c>
      <c r="F128" s="70">
        <v>0</v>
      </c>
      <c r="G128" s="70">
        <f ca="1">_xlfn.XLOOKUP(B:B,'E-mail'!A:A,'E-mail'!C:C)</f>
        <v>51.612903225806448</v>
      </c>
      <c r="H128" s="70">
        <f>IFERROR(_xlfn.XLOOKUP($B:$B,#REF!,#REF!),0)</f>
        <v>0</v>
      </c>
      <c r="I128" s="70">
        <v>0</v>
      </c>
      <c r="J128" s="70">
        <v>0</v>
      </c>
      <c r="K128" s="70">
        <v>0</v>
      </c>
      <c r="L128" s="59"/>
      <c r="M128" s="70">
        <v>0</v>
      </c>
      <c r="N128" s="70">
        <v>0</v>
      </c>
      <c r="O128" s="70">
        <v>0</v>
      </c>
      <c r="P128" s="38"/>
      <c r="Q128" s="40"/>
    </row>
    <row r="129" spans="1:17" s="2" customFormat="1" x14ac:dyDescent="0.2">
      <c r="A129" s="16" t="str">
        <f t="shared" si="2"/>
        <v>sábado</v>
      </c>
      <c r="B129" s="17">
        <f t="shared" si="3"/>
        <v>44688</v>
      </c>
      <c r="C129" s="52">
        <f>IFERROR(_xlfn.XLOOKUP($B:$B,'Estatísticos Mensais'!$A:$A,'Estatísticos Mensais'!C:C),0)</f>
        <v>328478.06</v>
      </c>
      <c r="D129" s="69">
        <f>IFERROR(_xlfn.XLOOKUP($B:$B,Google!A:A,Google!C:C,),0)</f>
        <v>506.33</v>
      </c>
      <c r="E129" s="70" t="e">
        <f>SUMIF(#REF!,'Compilado 2023 (2)'!$B:$B,#REF!)</f>
        <v>#REF!</v>
      </c>
      <c r="F129" s="70">
        <v>0</v>
      </c>
      <c r="G129" s="70">
        <f ca="1">_xlfn.XLOOKUP(B:B,'E-mail'!A:A,'E-mail'!C:C)</f>
        <v>51.612903225806448</v>
      </c>
      <c r="H129" s="70">
        <f>IFERROR(_xlfn.XLOOKUP($B:$B,#REF!,#REF!),0)</f>
        <v>0</v>
      </c>
      <c r="I129" s="70">
        <v>0</v>
      </c>
      <c r="J129" s="70">
        <v>0</v>
      </c>
      <c r="K129" s="70">
        <v>0</v>
      </c>
      <c r="L129" s="59"/>
      <c r="M129" s="70">
        <v>0</v>
      </c>
      <c r="N129" s="70">
        <v>0</v>
      </c>
      <c r="O129" s="70">
        <v>0</v>
      </c>
      <c r="P129" s="38"/>
      <c r="Q129" s="40"/>
    </row>
    <row r="130" spans="1:17" s="2" customFormat="1" x14ac:dyDescent="0.2">
      <c r="A130" s="16" t="str">
        <f t="shared" si="2"/>
        <v>domingo</v>
      </c>
      <c r="B130" s="17">
        <f t="shared" si="3"/>
        <v>44689</v>
      </c>
      <c r="C130" s="52">
        <f>IFERROR(_xlfn.XLOOKUP($B:$B,'Estatísticos Mensais'!$A:$A,'Estatísticos Mensais'!C:C),0)</f>
        <v>304478.12</v>
      </c>
      <c r="D130" s="69">
        <f>IFERROR(_xlfn.XLOOKUP($B:$B,Google!A:A,Google!C:C,),0)</f>
        <v>423.19</v>
      </c>
      <c r="E130" s="70" t="e">
        <f>SUMIF(#REF!,'Compilado 2023 (2)'!$B:$B,#REF!)</f>
        <v>#REF!</v>
      </c>
      <c r="F130" s="70">
        <v>0</v>
      </c>
      <c r="G130" s="70">
        <f ca="1">_xlfn.XLOOKUP(B:B,'E-mail'!A:A,'E-mail'!C:C)</f>
        <v>51.612903225806448</v>
      </c>
      <c r="H130" s="70">
        <f>IFERROR(_xlfn.XLOOKUP($B:$B,#REF!,#REF!),0)</f>
        <v>0</v>
      </c>
      <c r="I130" s="70">
        <v>0</v>
      </c>
      <c r="J130" s="70">
        <v>0</v>
      </c>
      <c r="K130" s="70">
        <v>0</v>
      </c>
      <c r="L130" s="59"/>
      <c r="M130" s="70">
        <v>0</v>
      </c>
      <c r="N130" s="70">
        <v>0</v>
      </c>
      <c r="O130" s="70">
        <v>0</v>
      </c>
      <c r="P130" s="38"/>
      <c r="Q130" s="40"/>
    </row>
    <row r="131" spans="1:17" s="2" customFormat="1" x14ac:dyDescent="0.2">
      <c r="A131" s="16" t="str">
        <f t="shared" ref="A131:A194" si="4">TEXT(B131,"DDDD")</f>
        <v>segunda-feira</v>
      </c>
      <c r="B131" s="17">
        <f t="shared" si="3"/>
        <v>44690</v>
      </c>
      <c r="C131" s="52">
        <f>IFERROR(_xlfn.XLOOKUP($B:$B,'Estatísticos Mensais'!$A:$A,'Estatísticos Mensais'!C:C),0)</f>
        <v>69381.47</v>
      </c>
      <c r="D131" s="69">
        <f>IFERROR(_xlfn.XLOOKUP($B:$B,Google!A:A,Google!C:C,),0)</f>
        <v>592.94000000000005</v>
      </c>
      <c r="E131" s="70" t="e">
        <f>SUMIF(#REF!,'Compilado 2023 (2)'!$B:$B,#REF!)</f>
        <v>#REF!</v>
      </c>
      <c r="F131" s="70">
        <v>0</v>
      </c>
      <c r="G131" s="70">
        <f ca="1">_xlfn.XLOOKUP(B:B,'E-mail'!A:A,'E-mail'!C:C)</f>
        <v>51.612903225806448</v>
      </c>
      <c r="H131" s="70">
        <f>IFERROR(_xlfn.XLOOKUP($B:$B,#REF!,#REF!),0)</f>
        <v>0</v>
      </c>
      <c r="I131" s="70">
        <v>0</v>
      </c>
      <c r="J131" s="70">
        <v>0</v>
      </c>
      <c r="K131" s="70">
        <v>0</v>
      </c>
      <c r="L131" s="59"/>
      <c r="M131" s="70">
        <v>0</v>
      </c>
      <c r="N131" s="70">
        <v>0</v>
      </c>
      <c r="O131" s="70">
        <v>0</v>
      </c>
      <c r="P131" s="38"/>
      <c r="Q131" s="40"/>
    </row>
    <row r="132" spans="1:17" s="2" customFormat="1" x14ac:dyDescent="0.2">
      <c r="A132" s="16" t="str">
        <f t="shared" si="4"/>
        <v>terça-feira</v>
      </c>
      <c r="B132" s="17">
        <f t="shared" si="3"/>
        <v>44691</v>
      </c>
      <c r="C132" s="52">
        <f>IFERROR(_xlfn.XLOOKUP($B:$B,'Estatísticos Mensais'!$A:$A,'Estatísticos Mensais'!C:C),0)</f>
        <v>53879.05</v>
      </c>
      <c r="D132" s="69">
        <f>IFERROR(_xlfn.XLOOKUP($B:$B,Google!A:A,Google!C:C,),0)</f>
        <v>593.99</v>
      </c>
      <c r="E132" s="70" t="e">
        <f>SUMIF(#REF!,'Compilado 2023 (2)'!$B:$B,#REF!)</f>
        <v>#REF!</v>
      </c>
      <c r="F132" s="70">
        <v>0</v>
      </c>
      <c r="G132" s="70">
        <f ca="1">_xlfn.XLOOKUP(B:B,'E-mail'!A:A,'E-mail'!C:C)</f>
        <v>51.612903225806448</v>
      </c>
      <c r="H132" s="70">
        <f>IFERROR(_xlfn.XLOOKUP($B:$B,#REF!,#REF!),0)</f>
        <v>0</v>
      </c>
      <c r="I132" s="70">
        <v>0</v>
      </c>
      <c r="J132" s="70">
        <v>0</v>
      </c>
      <c r="K132" s="70">
        <v>0</v>
      </c>
      <c r="L132" s="59"/>
      <c r="M132" s="70">
        <v>0</v>
      </c>
      <c r="N132" s="70">
        <v>0</v>
      </c>
      <c r="O132" s="70">
        <v>0</v>
      </c>
      <c r="P132" s="38"/>
      <c r="Q132" s="40"/>
    </row>
    <row r="133" spans="1:17" s="2" customFormat="1" x14ac:dyDescent="0.2">
      <c r="A133" s="16" t="str">
        <f t="shared" si="4"/>
        <v>quarta-feira</v>
      </c>
      <c r="B133" s="17">
        <f t="shared" ref="B133:B196" si="5">B132+1</f>
        <v>44692</v>
      </c>
      <c r="C133" s="52">
        <f>IFERROR(_xlfn.XLOOKUP($B:$B,'Estatísticos Mensais'!$A:$A,'Estatísticos Mensais'!C:C),0)</f>
        <v>56363.07</v>
      </c>
      <c r="D133" s="69">
        <f>IFERROR(_xlfn.XLOOKUP($B:$B,Google!A:A,Google!C:C,),0)</f>
        <v>580.54</v>
      </c>
      <c r="E133" s="70" t="e">
        <f>SUMIF(#REF!,'Compilado 2023 (2)'!$B:$B,#REF!)</f>
        <v>#REF!</v>
      </c>
      <c r="F133" s="70">
        <v>0</v>
      </c>
      <c r="G133" s="70">
        <f ca="1">_xlfn.XLOOKUP(B:B,'E-mail'!A:A,'E-mail'!C:C)</f>
        <v>51.612903225806448</v>
      </c>
      <c r="H133" s="70">
        <f>IFERROR(_xlfn.XLOOKUP($B:$B,#REF!,#REF!),0)</f>
        <v>0</v>
      </c>
      <c r="I133" s="70">
        <v>0</v>
      </c>
      <c r="J133" s="70">
        <v>0</v>
      </c>
      <c r="K133" s="70">
        <v>0</v>
      </c>
      <c r="L133" s="59"/>
      <c r="M133" s="70">
        <v>0</v>
      </c>
      <c r="N133" s="70">
        <v>0</v>
      </c>
      <c r="O133" s="70">
        <v>0</v>
      </c>
      <c r="P133" s="38"/>
      <c r="Q133" s="40"/>
    </row>
    <row r="134" spans="1:17" s="2" customFormat="1" x14ac:dyDescent="0.2">
      <c r="A134" s="16" t="str">
        <f t="shared" si="4"/>
        <v>quinta-feira</v>
      </c>
      <c r="B134" s="17">
        <f t="shared" si="5"/>
        <v>44693</v>
      </c>
      <c r="C134" s="52">
        <f>IFERROR(_xlfn.XLOOKUP($B:$B,'Estatísticos Mensais'!$A:$A,'Estatísticos Mensais'!C:C),0)</f>
        <v>51690.61</v>
      </c>
      <c r="D134" s="69">
        <f>IFERROR(_xlfn.XLOOKUP($B:$B,Google!A:A,Google!C:C,),0)</f>
        <v>517.47</v>
      </c>
      <c r="E134" s="70" t="e">
        <f>SUMIF(#REF!,'Compilado 2023 (2)'!$B:$B,#REF!)</f>
        <v>#REF!</v>
      </c>
      <c r="F134" s="70">
        <v>0</v>
      </c>
      <c r="G134" s="70">
        <f ca="1">_xlfn.XLOOKUP(B:B,'E-mail'!A:A,'E-mail'!C:C)</f>
        <v>51.612903225806448</v>
      </c>
      <c r="H134" s="70">
        <f>IFERROR(_xlfn.XLOOKUP($B:$B,#REF!,#REF!),0)</f>
        <v>0</v>
      </c>
      <c r="I134" s="70">
        <v>0</v>
      </c>
      <c r="J134" s="70">
        <v>0</v>
      </c>
      <c r="K134" s="70">
        <v>0</v>
      </c>
      <c r="L134" s="59"/>
      <c r="M134" s="70">
        <v>0</v>
      </c>
      <c r="N134" s="70">
        <v>0</v>
      </c>
      <c r="O134" s="70">
        <v>0</v>
      </c>
      <c r="P134" s="38"/>
      <c r="Q134" s="40"/>
    </row>
    <row r="135" spans="1:17" s="2" customFormat="1" x14ac:dyDescent="0.2">
      <c r="A135" s="16" t="str">
        <f t="shared" si="4"/>
        <v>sexta-feira</v>
      </c>
      <c r="B135" s="17">
        <f t="shared" si="5"/>
        <v>44694</v>
      </c>
      <c r="C135" s="52">
        <f>IFERROR(_xlfn.XLOOKUP($B:$B,'Estatísticos Mensais'!$A:$A,'Estatísticos Mensais'!C:C),0)</f>
        <v>41311.440000000002</v>
      </c>
      <c r="D135" s="69">
        <f>IFERROR(_xlfn.XLOOKUP($B:$B,Google!A:A,Google!C:C,),0)</f>
        <v>440.31</v>
      </c>
      <c r="E135" s="70" t="e">
        <f>SUMIF(#REF!,'Compilado 2023 (2)'!$B:$B,#REF!)</f>
        <v>#REF!</v>
      </c>
      <c r="F135" s="70">
        <v>0</v>
      </c>
      <c r="G135" s="70">
        <f ca="1">_xlfn.XLOOKUP(B:B,'E-mail'!A:A,'E-mail'!C:C)</f>
        <v>51.612903225806448</v>
      </c>
      <c r="H135" s="70">
        <f>IFERROR(_xlfn.XLOOKUP($B:$B,#REF!,#REF!),0)</f>
        <v>0</v>
      </c>
      <c r="I135" s="70">
        <v>0</v>
      </c>
      <c r="J135" s="70">
        <v>0</v>
      </c>
      <c r="K135" s="70">
        <v>0</v>
      </c>
      <c r="L135" s="59"/>
      <c r="M135" s="70">
        <v>0</v>
      </c>
      <c r="N135" s="70">
        <v>0</v>
      </c>
      <c r="O135" s="70">
        <v>0</v>
      </c>
      <c r="P135" s="38"/>
      <c r="Q135" s="40"/>
    </row>
    <row r="136" spans="1:17" s="2" customFormat="1" x14ac:dyDescent="0.2">
      <c r="A136" s="16" t="str">
        <f t="shared" si="4"/>
        <v>sábado</v>
      </c>
      <c r="B136" s="17">
        <f t="shared" si="5"/>
        <v>44695</v>
      </c>
      <c r="C136" s="52">
        <f>IFERROR(_xlfn.XLOOKUP($B:$B,'Estatísticos Mensais'!$A:$A,'Estatísticos Mensais'!C:C),0)</f>
        <v>33446.58</v>
      </c>
      <c r="D136" s="69">
        <f>IFERROR(_xlfn.XLOOKUP($B:$B,Google!A:A,Google!C:C,),0)</f>
        <v>488.81</v>
      </c>
      <c r="E136" s="70" t="e">
        <f>SUMIF(#REF!,'Compilado 2023 (2)'!$B:$B,#REF!)</f>
        <v>#REF!</v>
      </c>
      <c r="F136" s="70">
        <v>0</v>
      </c>
      <c r="G136" s="70">
        <f ca="1">_xlfn.XLOOKUP(B:B,'E-mail'!A:A,'E-mail'!C:C)</f>
        <v>51.612903225806448</v>
      </c>
      <c r="H136" s="70">
        <f>IFERROR(_xlfn.XLOOKUP($B:$B,#REF!,#REF!),0)</f>
        <v>0</v>
      </c>
      <c r="I136" s="70">
        <v>0</v>
      </c>
      <c r="J136" s="70">
        <v>0</v>
      </c>
      <c r="K136" s="70">
        <v>0</v>
      </c>
      <c r="L136" s="59"/>
      <c r="M136" s="70">
        <v>0</v>
      </c>
      <c r="N136" s="70">
        <v>0</v>
      </c>
      <c r="O136" s="70">
        <v>0</v>
      </c>
      <c r="P136" s="38"/>
      <c r="Q136" s="40"/>
    </row>
    <row r="137" spans="1:17" s="2" customFormat="1" x14ac:dyDescent="0.2">
      <c r="A137" s="16" t="str">
        <f t="shared" si="4"/>
        <v>domingo</v>
      </c>
      <c r="B137" s="17">
        <f t="shared" si="5"/>
        <v>44696</v>
      </c>
      <c r="C137" s="52">
        <f>IFERROR(_xlfn.XLOOKUP($B:$B,'Estatísticos Mensais'!$A:$A,'Estatísticos Mensais'!C:C),0)</f>
        <v>36932.65</v>
      </c>
      <c r="D137" s="69">
        <f>IFERROR(_xlfn.XLOOKUP($B:$B,Google!A:A,Google!C:C,),0)</f>
        <v>439.76</v>
      </c>
      <c r="E137" s="70" t="e">
        <f>SUMIF(#REF!,'Compilado 2023 (2)'!$B:$B,#REF!)</f>
        <v>#REF!</v>
      </c>
      <c r="F137" s="70">
        <v>0</v>
      </c>
      <c r="G137" s="70">
        <f ca="1">_xlfn.XLOOKUP(B:B,'E-mail'!A:A,'E-mail'!C:C)</f>
        <v>51.612903225806448</v>
      </c>
      <c r="H137" s="70">
        <f>IFERROR(_xlfn.XLOOKUP($B:$B,#REF!,#REF!),0)</f>
        <v>0</v>
      </c>
      <c r="I137" s="70">
        <v>0</v>
      </c>
      <c r="J137" s="70">
        <v>0</v>
      </c>
      <c r="K137" s="70">
        <v>0</v>
      </c>
      <c r="L137" s="59"/>
      <c r="M137" s="70">
        <v>0</v>
      </c>
      <c r="N137" s="70">
        <v>0</v>
      </c>
      <c r="O137" s="70">
        <v>0</v>
      </c>
      <c r="P137" s="38"/>
      <c r="Q137" s="40"/>
    </row>
    <row r="138" spans="1:17" s="2" customFormat="1" x14ac:dyDescent="0.2">
      <c r="A138" s="16" t="str">
        <f t="shared" si="4"/>
        <v>segunda-feira</v>
      </c>
      <c r="B138" s="17">
        <f t="shared" si="5"/>
        <v>44697</v>
      </c>
      <c r="C138" s="52">
        <f>IFERROR(_xlfn.XLOOKUP($B:$B,'Estatísticos Mensais'!$A:$A,'Estatísticos Mensais'!C:C),0)</f>
        <v>46064.13</v>
      </c>
      <c r="D138" s="69">
        <f>IFERROR(_xlfn.XLOOKUP($B:$B,Google!A:A,Google!C:C,),0)</f>
        <v>482.47</v>
      </c>
      <c r="E138" s="70" t="e">
        <f>SUMIF(#REF!,'Compilado 2023 (2)'!$B:$B,#REF!)</f>
        <v>#REF!</v>
      </c>
      <c r="F138" s="70">
        <v>0</v>
      </c>
      <c r="G138" s="70">
        <f ca="1">_xlfn.XLOOKUP(B:B,'E-mail'!A:A,'E-mail'!C:C)</f>
        <v>51.612903225806448</v>
      </c>
      <c r="H138" s="70">
        <f>IFERROR(_xlfn.XLOOKUP($B:$B,#REF!,#REF!),0)</f>
        <v>0</v>
      </c>
      <c r="I138" s="70">
        <v>0</v>
      </c>
      <c r="J138" s="70">
        <v>0</v>
      </c>
      <c r="K138" s="70">
        <v>0</v>
      </c>
      <c r="L138" s="59"/>
      <c r="M138" s="70">
        <v>0</v>
      </c>
      <c r="N138" s="70">
        <v>0</v>
      </c>
      <c r="O138" s="70">
        <v>0</v>
      </c>
      <c r="P138" s="38"/>
      <c r="Q138" s="40"/>
    </row>
    <row r="139" spans="1:17" s="2" customFormat="1" x14ac:dyDescent="0.2">
      <c r="A139" s="16" t="str">
        <f t="shared" si="4"/>
        <v>terça-feira</v>
      </c>
      <c r="B139" s="17">
        <f t="shared" si="5"/>
        <v>44698</v>
      </c>
      <c r="C139" s="52">
        <f>IFERROR(_xlfn.XLOOKUP($B:$B,'Estatísticos Mensais'!$A:$A,'Estatísticos Mensais'!C:C),0)</f>
        <v>30920.560000000001</v>
      </c>
      <c r="D139" s="69">
        <f>IFERROR(_xlfn.XLOOKUP($B:$B,Google!A:A,Google!C:C,),0)</f>
        <v>477.36</v>
      </c>
      <c r="E139" s="70" t="e">
        <f>SUMIF(#REF!,'Compilado 2023 (2)'!$B:$B,#REF!)</f>
        <v>#REF!</v>
      </c>
      <c r="F139" s="70">
        <v>0</v>
      </c>
      <c r="G139" s="70">
        <f ca="1">_xlfn.XLOOKUP(B:B,'E-mail'!A:A,'E-mail'!C:C)</f>
        <v>51.612903225806448</v>
      </c>
      <c r="H139" s="70">
        <f>IFERROR(_xlfn.XLOOKUP($B:$B,#REF!,#REF!),0)</f>
        <v>0</v>
      </c>
      <c r="I139" s="70">
        <v>0</v>
      </c>
      <c r="J139" s="70">
        <v>0</v>
      </c>
      <c r="K139" s="70">
        <v>0</v>
      </c>
      <c r="L139" s="59"/>
      <c r="M139" s="70">
        <v>0</v>
      </c>
      <c r="N139" s="70">
        <v>0</v>
      </c>
      <c r="O139" s="70">
        <v>0</v>
      </c>
      <c r="P139" s="38"/>
      <c r="Q139" s="40"/>
    </row>
    <row r="140" spans="1:17" s="2" customFormat="1" x14ac:dyDescent="0.2">
      <c r="A140" s="16" t="str">
        <f t="shared" si="4"/>
        <v>quarta-feira</v>
      </c>
      <c r="B140" s="17">
        <f t="shared" si="5"/>
        <v>44699</v>
      </c>
      <c r="C140" s="52">
        <f>IFERROR(_xlfn.XLOOKUP($B:$B,'Estatísticos Mensais'!$A:$A,'Estatísticos Mensais'!C:C),0)</f>
        <v>33336.800000000003</v>
      </c>
      <c r="D140" s="69">
        <f>IFERROR(_xlfn.XLOOKUP($B:$B,Google!A:A,Google!C:C,),0)</f>
        <v>518.32000000000005</v>
      </c>
      <c r="E140" s="70" t="e">
        <f>SUMIF(#REF!,'Compilado 2023 (2)'!$B:$B,#REF!)</f>
        <v>#REF!</v>
      </c>
      <c r="F140" s="70">
        <v>0</v>
      </c>
      <c r="G140" s="70">
        <f ca="1">_xlfn.XLOOKUP(B:B,'E-mail'!A:A,'E-mail'!C:C)</f>
        <v>51.612903225806448</v>
      </c>
      <c r="H140" s="70">
        <f>IFERROR(_xlfn.XLOOKUP($B:$B,#REF!,#REF!),0)</f>
        <v>0</v>
      </c>
      <c r="I140" s="70">
        <v>0</v>
      </c>
      <c r="J140" s="70">
        <v>0</v>
      </c>
      <c r="K140" s="70">
        <v>0</v>
      </c>
      <c r="L140" s="59"/>
      <c r="M140" s="70">
        <v>0</v>
      </c>
      <c r="N140" s="70">
        <v>0</v>
      </c>
      <c r="O140" s="70">
        <v>0</v>
      </c>
      <c r="P140" s="38"/>
      <c r="Q140" s="40"/>
    </row>
    <row r="141" spans="1:17" s="2" customFormat="1" x14ac:dyDescent="0.2">
      <c r="A141" s="16" t="str">
        <f t="shared" si="4"/>
        <v>quinta-feira</v>
      </c>
      <c r="B141" s="17">
        <f t="shared" si="5"/>
        <v>44700</v>
      </c>
      <c r="C141" s="52">
        <f>IFERROR(_xlfn.XLOOKUP($B:$B,'Estatísticos Mensais'!$A:$A,'Estatísticos Mensais'!C:C),0)</f>
        <v>39236.49</v>
      </c>
      <c r="D141" s="69">
        <f>IFERROR(_xlfn.XLOOKUP($B:$B,Google!A:A,Google!C:C,),0)</f>
        <v>593.27</v>
      </c>
      <c r="E141" s="70" t="e">
        <f>SUMIF(#REF!,'Compilado 2023 (2)'!$B:$B,#REF!)</f>
        <v>#REF!</v>
      </c>
      <c r="F141" s="70">
        <v>0</v>
      </c>
      <c r="G141" s="70">
        <f ca="1">_xlfn.XLOOKUP(B:B,'E-mail'!A:A,'E-mail'!C:C)</f>
        <v>51.612903225806448</v>
      </c>
      <c r="H141" s="70">
        <f>IFERROR(_xlfn.XLOOKUP($B:$B,#REF!,#REF!),0)</f>
        <v>0</v>
      </c>
      <c r="I141" s="70">
        <v>0</v>
      </c>
      <c r="J141" s="70">
        <v>0</v>
      </c>
      <c r="K141" s="70">
        <v>0</v>
      </c>
      <c r="L141" s="59"/>
      <c r="M141" s="70">
        <v>0</v>
      </c>
      <c r="N141" s="70">
        <v>0</v>
      </c>
      <c r="O141" s="70">
        <v>0</v>
      </c>
      <c r="P141" s="38"/>
      <c r="Q141" s="40"/>
    </row>
    <row r="142" spans="1:17" s="2" customFormat="1" x14ac:dyDescent="0.2">
      <c r="A142" s="16" t="str">
        <f t="shared" si="4"/>
        <v>sexta-feira</v>
      </c>
      <c r="B142" s="17">
        <f t="shared" si="5"/>
        <v>44701</v>
      </c>
      <c r="C142" s="52">
        <f>IFERROR(_xlfn.XLOOKUP($B:$B,'Estatísticos Mensais'!$A:$A,'Estatísticos Mensais'!C:C),0)</f>
        <v>37411.68</v>
      </c>
      <c r="D142" s="69">
        <f>IFERROR(_xlfn.XLOOKUP($B:$B,Google!A:A,Google!C:C,),0)</f>
        <v>346.19</v>
      </c>
      <c r="E142" s="70" t="e">
        <f>SUMIF(#REF!,'Compilado 2023 (2)'!$B:$B,#REF!)</f>
        <v>#REF!</v>
      </c>
      <c r="F142" s="70">
        <v>0</v>
      </c>
      <c r="G142" s="70">
        <f ca="1">_xlfn.XLOOKUP(B:B,'E-mail'!A:A,'E-mail'!C:C)</f>
        <v>51.612903225806448</v>
      </c>
      <c r="H142" s="70">
        <f>IFERROR(_xlfn.XLOOKUP($B:$B,#REF!,#REF!),0)</f>
        <v>0</v>
      </c>
      <c r="I142" s="70">
        <v>0</v>
      </c>
      <c r="J142" s="70">
        <v>0</v>
      </c>
      <c r="K142" s="70">
        <v>0</v>
      </c>
      <c r="L142" s="59"/>
      <c r="M142" s="70">
        <v>0</v>
      </c>
      <c r="N142" s="70">
        <v>0</v>
      </c>
      <c r="O142" s="70">
        <v>0</v>
      </c>
      <c r="P142" s="38"/>
      <c r="Q142" s="40"/>
    </row>
    <row r="143" spans="1:17" s="2" customFormat="1" x14ac:dyDescent="0.2">
      <c r="A143" s="16" t="str">
        <f t="shared" si="4"/>
        <v>sábado</v>
      </c>
      <c r="B143" s="17">
        <f t="shared" si="5"/>
        <v>44702</v>
      </c>
      <c r="C143" s="52">
        <f>IFERROR(_xlfn.XLOOKUP($B:$B,'Estatísticos Mensais'!$A:$A,'Estatísticos Mensais'!C:C),0)</f>
        <v>20893.580000000002</v>
      </c>
      <c r="D143" s="69">
        <f>IFERROR(_xlfn.XLOOKUP($B:$B,Google!A:A,Google!C:C,),0)</f>
        <v>383.35</v>
      </c>
      <c r="E143" s="70" t="e">
        <f>SUMIF(#REF!,'Compilado 2023 (2)'!$B:$B,#REF!)</f>
        <v>#REF!</v>
      </c>
      <c r="F143" s="70">
        <v>0</v>
      </c>
      <c r="G143" s="70">
        <f ca="1">_xlfn.XLOOKUP(B:B,'E-mail'!A:A,'E-mail'!C:C)</f>
        <v>51.612903225806448</v>
      </c>
      <c r="H143" s="70">
        <f>IFERROR(_xlfn.XLOOKUP($B:$B,#REF!,#REF!),0)</f>
        <v>0</v>
      </c>
      <c r="I143" s="70">
        <v>0</v>
      </c>
      <c r="J143" s="70">
        <v>0</v>
      </c>
      <c r="K143" s="70">
        <v>0</v>
      </c>
      <c r="L143" s="59"/>
      <c r="M143" s="70">
        <v>0</v>
      </c>
      <c r="N143" s="70">
        <v>0</v>
      </c>
      <c r="O143" s="70">
        <v>0</v>
      </c>
      <c r="P143" s="38"/>
      <c r="Q143" s="40"/>
    </row>
    <row r="144" spans="1:17" s="2" customFormat="1" x14ac:dyDescent="0.2">
      <c r="A144" s="16" t="str">
        <f t="shared" si="4"/>
        <v>domingo</v>
      </c>
      <c r="B144" s="17">
        <f t="shared" si="5"/>
        <v>44703</v>
      </c>
      <c r="C144" s="52">
        <f>IFERROR(_xlfn.XLOOKUP($B:$B,'Estatísticos Mensais'!$A:$A,'Estatísticos Mensais'!C:C),0)</f>
        <v>17382.490000000002</v>
      </c>
      <c r="D144" s="69">
        <f>IFERROR(_xlfn.XLOOKUP($B:$B,Google!A:A,Google!C:C,),0)</f>
        <v>423.01</v>
      </c>
      <c r="E144" s="70" t="e">
        <f>SUMIF(#REF!,'Compilado 2023 (2)'!$B:$B,#REF!)</f>
        <v>#REF!</v>
      </c>
      <c r="F144" s="70">
        <v>0</v>
      </c>
      <c r="G144" s="70">
        <f ca="1">_xlfn.XLOOKUP(B:B,'E-mail'!A:A,'E-mail'!C:C)</f>
        <v>51.612903225806448</v>
      </c>
      <c r="H144" s="70">
        <f>IFERROR(_xlfn.XLOOKUP($B:$B,#REF!,#REF!),0)</f>
        <v>0</v>
      </c>
      <c r="I144" s="70">
        <v>0</v>
      </c>
      <c r="J144" s="70">
        <v>0</v>
      </c>
      <c r="K144" s="70">
        <v>0</v>
      </c>
      <c r="L144" s="59"/>
      <c r="M144" s="70">
        <v>0</v>
      </c>
      <c r="N144" s="70">
        <v>0</v>
      </c>
      <c r="O144" s="70">
        <v>0</v>
      </c>
      <c r="P144" s="38"/>
      <c r="Q144" s="40"/>
    </row>
    <row r="145" spans="1:17" s="2" customFormat="1" x14ac:dyDescent="0.2">
      <c r="A145" s="16" t="str">
        <f t="shared" si="4"/>
        <v>segunda-feira</v>
      </c>
      <c r="B145" s="17">
        <f t="shared" si="5"/>
        <v>44704</v>
      </c>
      <c r="C145" s="52">
        <f>IFERROR(_xlfn.XLOOKUP($B:$B,'Estatísticos Mensais'!$A:$A,'Estatísticos Mensais'!C:C),0)</f>
        <v>51145</v>
      </c>
      <c r="D145" s="69">
        <f>IFERROR(_xlfn.XLOOKUP($B:$B,Google!A:A,Google!C:C,),0)</f>
        <v>474.63</v>
      </c>
      <c r="E145" s="70" t="e">
        <f>SUMIF(#REF!,'Compilado 2023 (2)'!$B:$B,#REF!)</f>
        <v>#REF!</v>
      </c>
      <c r="F145" s="70">
        <v>0</v>
      </c>
      <c r="G145" s="70">
        <f ca="1">_xlfn.XLOOKUP(B:B,'E-mail'!A:A,'E-mail'!C:C)</f>
        <v>51.612903225806448</v>
      </c>
      <c r="H145" s="70">
        <f>IFERROR(_xlfn.XLOOKUP($B:$B,#REF!,#REF!),0)</f>
        <v>0</v>
      </c>
      <c r="I145" s="70">
        <v>0</v>
      </c>
      <c r="J145" s="70">
        <v>0</v>
      </c>
      <c r="K145" s="70">
        <v>0</v>
      </c>
      <c r="L145" s="59"/>
      <c r="M145" s="70">
        <v>0</v>
      </c>
      <c r="N145" s="70">
        <v>0</v>
      </c>
      <c r="O145" s="70">
        <v>0</v>
      </c>
      <c r="P145" s="38"/>
      <c r="Q145" s="40"/>
    </row>
    <row r="146" spans="1:17" s="2" customFormat="1" x14ac:dyDescent="0.2">
      <c r="A146" s="16" t="str">
        <f t="shared" si="4"/>
        <v>terça-feira</v>
      </c>
      <c r="B146" s="17">
        <f t="shared" si="5"/>
        <v>44705</v>
      </c>
      <c r="C146" s="52">
        <f>IFERROR(_xlfn.XLOOKUP($B:$B,'Estatísticos Mensais'!$A:$A,'Estatísticos Mensais'!C:C),0)</f>
        <v>33726.129999999997</v>
      </c>
      <c r="D146" s="69">
        <f>IFERROR(_xlfn.XLOOKUP($B:$B,Google!A:A,Google!C:C,),0)</f>
        <v>434.55</v>
      </c>
      <c r="E146" s="70" t="e">
        <f>SUMIF(#REF!,'Compilado 2023 (2)'!$B:$B,#REF!)</f>
        <v>#REF!</v>
      </c>
      <c r="F146" s="70">
        <v>0</v>
      </c>
      <c r="G146" s="70">
        <f ca="1">_xlfn.XLOOKUP(B:B,'E-mail'!A:A,'E-mail'!C:C)</f>
        <v>51.612903225806448</v>
      </c>
      <c r="H146" s="70">
        <f>IFERROR(_xlfn.XLOOKUP($B:$B,#REF!,#REF!),0)</f>
        <v>0</v>
      </c>
      <c r="I146" s="70">
        <v>0</v>
      </c>
      <c r="J146" s="70">
        <v>0</v>
      </c>
      <c r="K146" s="70">
        <v>0</v>
      </c>
      <c r="L146" s="59"/>
      <c r="M146" s="70">
        <v>0</v>
      </c>
      <c r="N146" s="70">
        <v>0</v>
      </c>
      <c r="O146" s="70">
        <v>0</v>
      </c>
      <c r="P146" s="38"/>
      <c r="Q146" s="40"/>
    </row>
    <row r="147" spans="1:17" s="2" customFormat="1" x14ac:dyDescent="0.2">
      <c r="A147" s="16" t="str">
        <f t="shared" si="4"/>
        <v>quarta-feira</v>
      </c>
      <c r="B147" s="17">
        <f t="shared" si="5"/>
        <v>44706</v>
      </c>
      <c r="C147" s="52">
        <f>IFERROR(_xlfn.XLOOKUP($B:$B,'Estatísticos Mensais'!$A:$A,'Estatísticos Mensais'!C:C),0)</f>
        <v>38389.64</v>
      </c>
      <c r="D147" s="69">
        <f>IFERROR(_xlfn.XLOOKUP($B:$B,Google!A:A,Google!C:C,),0)</f>
        <v>434.04</v>
      </c>
      <c r="E147" s="70" t="e">
        <f>SUMIF(#REF!,'Compilado 2023 (2)'!$B:$B,#REF!)</f>
        <v>#REF!</v>
      </c>
      <c r="F147" s="70">
        <v>0</v>
      </c>
      <c r="G147" s="70">
        <f ca="1">_xlfn.XLOOKUP(B:B,'E-mail'!A:A,'E-mail'!C:C)</f>
        <v>51.612903225806448</v>
      </c>
      <c r="H147" s="70">
        <f>IFERROR(_xlfn.XLOOKUP($B:$B,#REF!,#REF!),0)</f>
        <v>0</v>
      </c>
      <c r="I147" s="70">
        <v>0</v>
      </c>
      <c r="J147" s="70">
        <v>0</v>
      </c>
      <c r="K147" s="70">
        <v>0</v>
      </c>
      <c r="L147" s="59"/>
      <c r="M147" s="70">
        <v>0</v>
      </c>
      <c r="N147" s="70">
        <v>0</v>
      </c>
      <c r="O147" s="70">
        <v>0</v>
      </c>
      <c r="P147" s="38"/>
      <c r="Q147" s="40"/>
    </row>
    <row r="148" spans="1:17" s="2" customFormat="1" x14ac:dyDescent="0.2">
      <c r="A148" s="16" t="str">
        <f t="shared" si="4"/>
        <v>quinta-feira</v>
      </c>
      <c r="B148" s="17">
        <f t="shared" si="5"/>
        <v>44707</v>
      </c>
      <c r="C148" s="52">
        <f>IFERROR(_xlfn.XLOOKUP($B:$B,'Estatísticos Mensais'!$A:$A,'Estatísticos Mensais'!C:C),0)</f>
        <v>37953.9</v>
      </c>
      <c r="D148" s="69">
        <f>IFERROR(_xlfn.XLOOKUP($B:$B,Google!A:A,Google!C:C,),0)</f>
        <v>556.23</v>
      </c>
      <c r="E148" s="70" t="e">
        <f>SUMIF(#REF!,'Compilado 2023 (2)'!$B:$B,#REF!)</f>
        <v>#REF!</v>
      </c>
      <c r="F148" s="70">
        <v>0</v>
      </c>
      <c r="G148" s="70">
        <f ca="1">_xlfn.XLOOKUP(B:B,'E-mail'!A:A,'E-mail'!C:C)</f>
        <v>51.612903225806448</v>
      </c>
      <c r="H148" s="70">
        <f>IFERROR(_xlfn.XLOOKUP($B:$B,#REF!,#REF!),0)</f>
        <v>0</v>
      </c>
      <c r="I148" s="70">
        <v>0</v>
      </c>
      <c r="J148" s="70">
        <v>0</v>
      </c>
      <c r="K148" s="70">
        <v>0</v>
      </c>
      <c r="L148" s="59"/>
      <c r="M148" s="70">
        <v>0</v>
      </c>
      <c r="N148" s="70">
        <v>0</v>
      </c>
      <c r="O148" s="70">
        <v>0</v>
      </c>
      <c r="P148" s="38"/>
      <c r="Q148" s="40"/>
    </row>
    <row r="149" spans="1:17" s="2" customFormat="1" x14ac:dyDescent="0.2">
      <c r="A149" s="16" t="str">
        <f t="shared" si="4"/>
        <v>sexta-feira</v>
      </c>
      <c r="B149" s="17">
        <f t="shared" si="5"/>
        <v>44708</v>
      </c>
      <c r="C149" s="52">
        <f>IFERROR(_xlfn.XLOOKUP($B:$B,'Estatísticos Mensais'!$A:$A,'Estatísticos Mensais'!C:C),0)</f>
        <v>39442.199999999997</v>
      </c>
      <c r="D149" s="69">
        <f>IFERROR(_xlfn.XLOOKUP($B:$B,Google!A:A,Google!C:C,),0)</f>
        <v>393.99</v>
      </c>
      <c r="E149" s="70" t="e">
        <f>SUMIF(#REF!,'Compilado 2023 (2)'!$B:$B,#REF!)</f>
        <v>#REF!</v>
      </c>
      <c r="F149" s="70">
        <v>0</v>
      </c>
      <c r="G149" s="70">
        <f ca="1">_xlfn.XLOOKUP(B:B,'E-mail'!A:A,'E-mail'!C:C)</f>
        <v>51.612903225806448</v>
      </c>
      <c r="H149" s="70">
        <f>IFERROR(_xlfn.XLOOKUP($B:$B,#REF!,#REF!),0)</f>
        <v>0</v>
      </c>
      <c r="I149" s="70">
        <v>0</v>
      </c>
      <c r="J149" s="70">
        <v>0</v>
      </c>
      <c r="K149" s="70">
        <v>0</v>
      </c>
      <c r="L149" s="59"/>
      <c r="M149" s="70">
        <v>0</v>
      </c>
      <c r="N149" s="70">
        <v>0</v>
      </c>
      <c r="O149" s="70">
        <v>0</v>
      </c>
      <c r="P149" s="38"/>
      <c r="Q149" s="40"/>
    </row>
    <row r="150" spans="1:17" s="2" customFormat="1" x14ac:dyDescent="0.2">
      <c r="A150" s="16" t="str">
        <f t="shared" si="4"/>
        <v>sábado</v>
      </c>
      <c r="B150" s="17">
        <f t="shared" si="5"/>
        <v>44709</v>
      </c>
      <c r="C150" s="52">
        <f>IFERROR(_xlfn.XLOOKUP($B:$B,'Estatísticos Mensais'!$A:$A,'Estatísticos Mensais'!C:C),0)</f>
        <v>25814.95</v>
      </c>
      <c r="D150" s="69">
        <f>IFERROR(_xlfn.XLOOKUP($B:$B,Google!A:A,Google!C:C,),0)</f>
        <v>431.65</v>
      </c>
      <c r="E150" s="70" t="e">
        <f>SUMIF(#REF!,'Compilado 2023 (2)'!$B:$B,#REF!)</f>
        <v>#REF!</v>
      </c>
      <c r="F150" s="70">
        <v>0</v>
      </c>
      <c r="G150" s="70">
        <f ca="1">_xlfn.XLOOKUP(B:B,'E-mail'!A:A,'E-mail'!C:C)</f>
        <v>51.612903225806448</v>
      </c>
      <c r="H150" s="70">
        <f>IFERROR(_xlfn.XLOOKUP($B:$B,#REF!,#REF!),0)</f>
        <v>0</v>
      </c>
      <c r="I150" s="70">
        <v>0</v>
      </c>
      <c r="J150" s="70">
        <v>0</v>
      </c>
      <c r="K150" s="70">
        <v>0</v>
      </c>
      <c r="L150" s="59"/>
      <c r="M150" s="70">
        <v>0</v>
      </c>
      <c r="N150" s="70">
        <v>0</v>
      </c>
      <c r="O150" s="70">
        <v>0</v>
      </c>
      <c r="P150" s="38"/>
      <c r="Q150" s="40"/>
    </row>
    <row r="151" spans="1:17" s="2" customFormat="1" x14ac:dyDescent="0.2">
      <c r="A151" s="16" t="str">
        <f t="shared" si="4"/>
        <v>domingo</v>
      </c>
      <c r="B151" s="17">
        <f t="shared" si="5"/>
        <v>44710</v>
      </c>
      <c r="C151" s="52">
        <f>IFERROR(_xlfn.XLOOKUP($B:$B,'Estatísticos Mensais'!$A:$A,'Estatísticos Mensais'!C:C),0)</f>
        <v>15903.98</v>
      </c>
      <c r="D151" s="69">
        <f>IFERROR(_xlfn.XLOOKUP($B:$B,Google!A:A,Google!C:C,),0)</f>
        <v>418.64</v>
      </c>
      <c r="E151" s="70" t="e">
        <f>SUMIF(#REF!,'Compilado 2023 (2)'!$B:$B,#REF!)</f>
        <v>#REF!</v>
      </c>
      <c r="F151" s="70">
        <v>0</v>
      </c>
      <c r="G151" s="70">
        <f ca="1">_xlfn.XLOOKUP(B:B,'E-mail'!A:A,'E-mail'!C:C)</f>
        <v>51.612903225806448</v>
      </c>
      <c r="H151" s="70">
        <f>IFERROR(_xlfn.XLOOKUP($B:$B,#REF!,#REF!),0)</f>
        <v>0</v>
      </c>
      <c r="I151" s="70">
        <v>0</v>
      </c>
      <c r="J151" s="70">
        <v>0</v>
      </c>
      <c r="K151" s="70">
        <v>0</v>
      </c>
      <c r="L151" s="59"/>
      <c r="M151" s="70">
        <v>0</v>
      </c>
      <c r="N151" s="70">
        <v>0</v>
      </c>
      <c r="O151" s="70">
        <v>0</v>
      </c>
      <c r="P151" s="38"/>
      <c r="Q151" s="40"/>
    </row>
    <row r="152" spans="1:17" s="2" customFormat="1" x14ac:dyDescent="0.2">
      <c r="A152" s="16" t="str">
        <f t="shared" si="4"/>
        <v>segunda-feira</v>
      </c>
      <c r="B152" s="17">
        <f t="shared" si="5"/>
        <v>44711</v>
      </c>
      <c r="C152" s="52">
        <f>IFERROR(_xlfn.XLOOKUP($B:$B,'Estatísticos Mensais'!$A:$A,'Estatísticos Mensais'!C:C),0)</f>
        <v>37897.050000000003</v>
      </c>
      <c r="D152" s="69">
        <f>IFERROR(_xlfn.XLOOKUP($B:$B,Google!A:A,Google!C:C,),0)</f>
        <v>491.48</v>
      </c>
      <c r="E152" s="70" t="e">
        <f>SUMIF(#REF!,'Compilado 2023 (2)'!$B:$B,#REF!)</f>
        <v>#REF!</v>
      </c>
      <c r="F152" s="70">
        <v>0</v>
      </c>
      <c r="G152" s="70">
        <f ca="1">_xlfn.XLOOKUP(B:B,'E-mail'!A:A,'E-mail'!C:C)</f>
        <v>51.612903225806448</v>
      </c>
      <c r="H152" s="70">
        <f>IFERROR(_xlfn.XLOOKUP($B:$B,#REF!,#REF!),0)</f>
        <v>0</v>
      </c>
      <c r="I152" s="70">
        <v>0</v>
      </c>
      <c r="J152" s="70">
        <v>0</v>
      </c>
      <c r="K152" s="70">
        <v>0</v>
      </c>
      <c r="L152" s="59"/>
      <c r="M152" s="70">
        <v>0</v>
      </c>
      <c r="N152" s="70">
        <v>0</v>
      </c>
      <c r="O152" s="70">
        <v>0</v>
      </c>
      <c r="P152" s="38"/>
      <c r="Q152" s="40"/>
    </row>
    <row r="153" spans="1:17" s="2" customFormat="1" x14ac:dyDescent="0.2">
      <c r="A153" s="16" t="str">
        <f t="shared" si="4"/>
        <v>terça-feira</v>
      </c>
      <c r="B153" s="17">
        <f t="shared" si="5"/>
        <v>44712</v>
      </c>
      <c r="C153" s="52">
        <f>IFERROR(_xlfn.XLOOKUP($B:$B,'Estatísticos Mensais'!$A:$A,'Estatísticos Mensais'!C:C),0)</f>
        <v>40676.800000000003</v>
      </c>
      <c r="D153" s="69">
        <f>IFERROR(_xlfn.XLOOKUP($B:$B,Google!A:A,Google!C:C,),0)</f>
        <v>459.78</v>
      </c>
      <c r="E153" s="70" t="e">
        <f>SUMIF(#REF!,'Compilado 2023 (2)'!$B:$B,#REF!)</f>
        <v>#REF!</v>
      </c>
      <c r="F153" s="70">
        <v>0</v>
      </c>
      <c r="G153" s="70">
        <f ca="1">_xlfn.XLOOKUP(B:B,'E-mail'!A:A,'E-mail'!C:C)</f>
        <v>51.612903225806448</v>
      </c>
      <c r="H153" s="70">
        <f>IFERROR(_xlfn.XLOOKUP($B:$B,#REF!,#REF!),0)</f>
        <v>0</v>
      </c>
      <c r="I153" s="70">
        <v>0</v>
      </c>
      <c r="J153" s="70">
        <v>0</v>
      </c>
      <c r="K153" s="70">
        <v>0</v>
      </c>
      <c r="L153" s="59"/>
      <c r="M153" s="70">
        <v>0</v>
      </c>
      <c r="N153" s="70">
        <v>0</v>
      </c>
      <c r="O153" s="70">
        <v>0</v>
      </c>
      <c r="P153" s="38"/>
      <c r="Q153" s="40"/>
    </row>
    <row r="154" spans="1:17" s="2" customFormat="1" x14ac:dyDescent="0.2">
      <c r="A154" s="16" t="str">
        <f t="shared" si="4"/>
        <v>quarta-feira</v>
      </c>
      <c r="B154" s="17">
        <f t="shared" si="5"/>
        <v>44713</v>
      </c>
      <c r="C154" s="52">
        <f>IFERROR(_xlfn.XLOOKUP($B:$B,'Estatísticos Mensais'!$A:$A,'Estatísticos Mensais'!C:C),0)</f>
        <v>49373.24</v>
      </c>
      <c r="D154" s="69">
        <f>IFERROR(_xlfn.XLOOKUP($B:$B,Google!A:A,Google!C:C,),0)</f>
        <v>534.61</v>
      </c>
      <c r="E154" s="70" t="e">
        <f>SUMIF(#REF!,'Compilado 2023 (2)'!$B:$B,#REF!)</f>
        <v>#REF!</v>
      </c>
      <c r="F154" s="70">
        <v>0</v>
      </c>
      <c r="G154" s="70">
        <f ca="1">_xlfn.XLOOKUP(B:B,'E-mail'!A:A,'E-mail'!C:C)</f>
        <v>53.333333333333336</v>
      </c>
      <c r="H154" s="70">
        <f>IFERROR(_xlfn.XLOOKUP($B:$B,#REF!,#REF!),0)</f>
        <v>0</v>
      </c>
      <c r="I154" s="70">
        <v>0</v>
      </c>
      <c r="J154" s="70">
        <v>0</v>
      </c>
      <c r="K154" s="70">
        <v>0</v>
      </c>
      <c r="L154" s="59"/>
      <c r="M154" s="70">
        <v>0</v>
      </c>
      <c r="N154" s="70">
        <v>0</v>
      </c>
      <c r="O154" s="70">
        <v>0</v>
      </c>
      <c r="P154" s="38"/>
      <c r="Q154" s="40"/>
    </row>
    <row r="155" spans="1:17" s="2" customFormat="1" x14ac:dyDescent="0.2">
      <c r="A155" s="16" t="str">
        <f t="shared" si="4"/>
        <v>quinta-feira</v>
      </c>
      <c r="B155" s="17">
        <f t="shared" si="5"/>
        <v>44714</v>
      </c>
      <c r="C155" s="52">
        <f>IFERROR(_xlfn.XLOOKUP($B:$B,'Estatísticos Mensais'!$A:$A,'Estatísticos Mensais'!C:C),0)</f>
        <v>51405.49</v>
      </c>
      <c r="D155" s="69">
        <f>IFERROR(_xlfn.XLOOKUP($B:$B,Google!A:A,Google!C:C,),0)</f>
        <v>541.01</v>
      </c>
      <c r="E155" s="70" t="e">
        <f>SUMIF(#REF!,'Compilado 2023 (2)'!$B:$B,#REF!)</f>
        <v>#REF!</v>
      </c>
      <c r="F155" s="70">
        <v>0</v>
      </c>
      <c r="G155" s="70">
        <f ca="1">_xlfn.XLOOKUP(B:B,'E-mail'!A:A,'E-mail'!C:C)</f>
        <v>53.333333333333336</v>
      </c>
      <c r="H155" s="70">
        <f>IFERROR(_xlfn.XLOOKUP($B:$B,#REF!,#REF!),0)</f>
        <v>0</v>
      </c>
      <c r="I155" s="70">
        <v>0</v>
      </c>
      <c r="J155" s="70">
        <v>0</v>
      </c>
      <c r="K155" s="70">
        <v>0</v>
      </c>
      <c r="L155" s="59"/>
      <c r="M155" s="70">
        <v>0</v>
      </c>
      <c r="N155" s="70">
        <v>0</v>
      </c>
      <c r="O155" s="70">
        <v>0</v>
      </c>
      <c r="P155" s="38"/>
      <c r="Q155" s="40"/>
    </row>
    <row r="156" spans="1:17" s="2" customFormat="1" x14ac:dyDescent="0.2">
      <c r="A156" s="16" t="str">
        <f t="shared" si="4"/>
        <v>sexta-feira</v>
      </c>
      <c r="B156" s="17">
        <f t="shared" si="5"/>
        <v>44715</v>
      </c>
      <c r="C156" s="52">
        <f>IFERROR(_xlfn.XLOOKUP($B:$B,'Estatísticos Mensais'!$A:$A,'Estatísticos Mensais'!C:C),0)</f>
        <v>50733.2</v>
      </c>
      <c r="D156" s="69">
        <f>IFERROR(_xlfn.XLOOKUP($B:$B,Google!A:A,Google!C:C,),0)</f>
        <v>609.19000000000005</v>
      </c>
      <c r="E156" s="70" t="e">
        <f>SUMIF(#REF!,'Compilado 2023 (2)'!$B:$B,#REF!)</f>
        <v>#REF!</v>
      </c>
      <c r="F156" s="70">
        <v>0</v>
      </c>
      <c r="G156" s="70">
        <f ca="1">_xlfn.XLOOKUP(B:B,'E-mail'!A:A,'E-mail'!C:C)</f>
        <v>53.333333333333336</v>
      </c>
      <c r="H156" s="70">
        <f>IFERROR(_xlfn.XLOOKUP($B:$B,#REF!,#REF!),0)</f>
        <v>0</v>
      </c>
      <c r="I156" s="70">
        <v>0</v>
      </c>
      <c r="J156" s="70">
        <v>0</v>
      </c>
      <c r="K156" s="70">
        <v>0</v>
      </c>
      <c r="L156" s="59"/>
      <c r="M156" s="70">
        <v>0</v>
      </c>
      <c r="N156" s="70">
        <v>0</v>
      </c>
      <c r="O156" s="70">
        <v>0</v>
      </c>
      <c r="P156" s="38"/>
      <c r="Q156" s="40"/>
    </row>
    <row r="157" spans="1:17" s="2" customFormat="1" x14ac:dyDescent="0.2">
      <c r="A157" s="16" t="str">
        <f t="shared" si="4"/>
        <v>sábado</v>
      </c>
      <c r="B157" s="17">
        <f t="shared" si="5"/>
        <v>44716</v>
      </c>
      <c r="C157" s="52">
        <f>IFERROR(_xlfn.XLOOKUP($B:$B,'Estatísticos Mensais'!$A:$A,'Estatísticos Mensais'!C:C),0)</f>
        <v>33834</v>
      </c>
      <c r="D157" s="69">
        <f>IFERROR(_xlfn.XLOOKUP($B:$B,Google!A:A,Google!C:C,),0)</f>
        <v>557.59</v>
      </c>
      <c r="E157" s="70" t="e">
        <f>SUMIF(#REF!,'Compilado 2023 (2)'!$B:$B,#REF!)</f>
        <v>#REF!</v>
      </c>
      <c r="F157" s="70">
        <v>0</v>
      </c>
      <c r="G157" s="70">
        <f ca="1">_xlfn.XLOOKUP(B:B,'E-mail'!A:A,'E-mail'!C:C)</f>
        <v>53.333333333333336</v>
      </c>
      <c r="H157" s="70">
        <f>IFERROR(_xlfn.XLOOKUP($B:$B,#REF!,#REF!),0)</f>
        <v>0</v>
      </c>
      <c r="I157" s="70">
        <v>0</v>
      </c>
      <c r="J157" s="70">
        <v>0</v>
      </c>
      <c r="K157" s="70">
        <v>0</v>
      </c>
      <c r="L157" s="59"/>
      <c r="M157" s="70">
        <v>0</v>
      </c>
      <c r="N157" s="70">
        <v>0</v>
      </c>
      <c r="O157" s="70">
        <v>0</v>
      </c>
      <c r="P157" s="38"/>
      <c r="Q157" s="40"/>
    </row>
    <row r="158" spans="1:17" s="2" customFormat="1" x14ac:dyDescent="0.2">
      <c r="A158" s="16" t="str">
        <f t="shared" si="4"/>
        <v>domingo</v>
      </c>
      <c r="B158" s="17">
        <f t="shared" si="5"/>
        <v>44717</v>
      </c>
      <c r="C158" s="52">
        <f>IFERROR(_xlfn.XLOOKUP($B:$B,'Estatísticos Mensais'!$A:$A,'Estatísticos Mensais'!C:C),0)</f>
        <v>25679.15</v>
      </c>
      <c r="D158" s="69">
        <f>IFERROR(_xlfn.XLOOKUP($B:$B,Google!A:A,Google!C:C,),0)</f>
        <v>533.51</v>
      </c>
      <c r="E158" s="70" t="e">
        <f>SUMIF(#REF!,'Compilado 2023 (2)'!$B:$B,#REF!)</f>
        <v>#REF!</v>
      </c>
      <c r="F158" s="70">
        <v>0</v>
      </c>
      <c r="G158" s="70">
        <f ca="1">_xlfn.XLOOKUP(B:B,'E-mail'!A:A,'E-mail'!C:C)</f>
        <v>53.333333333333336</v>
      </c>
      <c r="H158" s="70">
        <f>IFERROR(_xlfn.XLOOKUP($B:$B,#REF!,#REF!),0)</f>
        <v>0</v>
      </c>
      <c r="I158" s="70">
        <v>0</v>
      </c>
      <c r="J158" s="70">
        <v>0</v>
      </c>
      <c r="K158" s="70">
        <v>0</v>
      </c>
      <c r="L158" s="59"/>
      <c r="M158" s="70">
        <v>0</v>
      </c>
      <c r="N158" s="70">
        <v>0</v>
      </c>
      <c r="O158" s="70">
        <v>0</v>
      </c>
      <c r="P158" s="38"/>
      <c r="Q158" s="40"/>
    </row>
    <row r="159" spans="1:17" s="2" customFormat="1" x14ac:dyDescent="0.2">
      <c r="A159" s="16" t="str">
        <f t="shared" si="4"/>
        <v>segunda-feira</v>
      </c>
      <c r="B159" s="17">
        <f t="shared" si="5"/>
        <v>44718</v>
      </c>
      <c r="C159" s="52">
        <f>IFERROR(_xlfn.XLOOKUP($B:$B,'Estatísticos Mensais'!$A:$A,'Estatísticos Mensais'!C:C),0)</f>
        <v>69575.03</v>
      </c>
      <c r="D159" s="69">
        <f>IFERROR(_xlfn.XLOOKUP($B:$B,Google!A:A,Google!C:C,),0)</f>
        <v>786.05</v>
      </c>
      <c r="E159" s="70" t="e">
        <f>SUMIF(#REF!,'Compilado 2023 (2)'!$B:$B,#REF!)</f>
        <v>#REF!</v>
      </c>
      <c r="F159" s="70">
        <v>0</v>
      </c>
      <c r="G159" s="70">
        <f ca="1">_xlfn.XLOOKUP(B:B,'E-mail'!A:A,'E-mail'!C:C)</f>
        <v>53.333333333333336</v>
      </c>
      <c r="H159" s="70">
        <f>IFERROR(_xlfn.XLOOKUP($B:$B,#REF!,#REF!),0)</f>
        <v>0</v>
      </c>
      <c r="I159" s="70">
        <v>0</v>
      </c>
      <c r="J159" s="70">
        <v>0</v>
      </c>
      <c r="K159" s="70">
        <v>0</v>
      </c>
      <c r="L159" s="59"/>
      <c r="M159" s="70">
        <v>0</v>
      </c>
      <c r="N159" s="70">
        <v>0</v>
      </c>
      <c r="O159" s="70">
        <v>0</v>
      </c>
      <c r="P159" s="38"/>
      <c r="Q159" s="40"/>
    </row>
    <row r="160" spans="1:17" s="2" customFormat="1" x14ac:dyDescent="0.2">
      <c r="A160" s="16" t="str">
        <f t="shared" si="4"/>
        <v>terça-feira</v>
      </c>
      <c r="B160" s="17">
        <f t="shared" si="5"/>
        <v>44719</v>
      </c>
      <c r="C160" s="52">
        <f>IFERROR(_xlfn.XLOOKUP($B:$B,'Estatísticos Mensais'!$A:$A,'Estatísticos Mensais'!C:C),0)</f>
        <v>75026.94</v>
      </c>
      <c r="D160" s="69">
        <f>IFERROR(_xlfn.XLOOKUP($B:$B,Google!A:A,Google!C:C,),0)</f>
        <v>785.94</v>
      </c>
      <c r="E160" s="70" t="e">
        <f>SUMIF(#REF!,'Compilado 2023 (2)'!$B:$B,#REF!)</f>
        <v>#REF!</v>
      </c>
      <c r="F160" s="70">
        <v>0</v>
      </c>
      <c r="G160" s="70">
        <f ca="1">_xlfn.XLOOKUP(B:B,'E-mail'!A:A,'E-mail'!C:C)</f>
        <v>53.333333333333336</v>
      </c>
      <c r="H160" s="70">
        <f>IFERROR(_xlfn.XLOOKUP($B:$B,#REF!,#REF!),0)</f>
        <v>0</v>
      </c>
      <c r="I160" s="70">
        <v>0</v>
      </c>
      <c r="J160" s="70">
        <v>0</v>
      </c>
      <c r="K160" s="70">
        <v>0</v>
      </c>
      <c r="L160" s="59"/>
      <c r="M160" s="70">
        <v>0</v>
      </c>
      <c r="N160" s="70">
        <v>0</v>
      </c>
      <c r="O160" s="70">
        <v>0</v>
      </c>
      <c r="P160" s="38"/>
      <c r="Q160" s="40"/>
    </row>
    <row r="161" spans="1:17" s="2" customFormat="1" x14ac:dyDescent="0.2">
      <c r="A161" s="16" t="str">
        <f t="shared" si="4"/>
        <v>quarta-feira</v>
      </c>
      <c r="B161" s="17">
        <f t="shared" si="5"/>
        <v>44720</v>
      </c>
      <c r="C161" s="52">
        <f>IFERROR(_xlfn.XLOOKUP($B:$B,'Estatísticos Mensais'!$A:$A,'Estatísticos Mensais'!C:C),0)</f>
        <v>86884.65</v>
      </c>
      <c r="D161" s="69">
        <f>IFERROR(_xlfn.XLOOKUP($B:$B,Google!A:A,Google!C:C,),0)</f>
        <v>861.14</v>
      </c>
      <c r="E161" s="70" t="e">
        <f>SUMIF(#REF!,'Compilado 2023 (2)'!$B:$B,#REF!)</f>
        <v>#REF!</v>
      </c>
      <c r="F161" s="70">
        <v>0</v>
      </c>
      <c r="G161" s="70">
        <f ca="1">_xlfn.XLOOKUP(B:B,'E-mail'!A:A,'E-mail'!C:C)</f>
        <v>53.333333333333336</v>
      </c>
      <c r="H161" s="70">
        <f>IFERROR(_xlfn.XLOOKUP($B:$B,#REF!,#REF!),0)</f>
        <v>0</v>
      </c>
      <c r="I161" s="70">
        <v>0</v>
      </c>
      <c r="J161" s="70">
        <v>0</v>
      </c>
      <c r="K161" s="70">
        <v>0</v>
      </c>
      <c r="L161" s="59"/>
      <c r="M161" s="70">
        <v>0</v>
      </c>
      <c r="N161" s="70">
        <v>0</v>
      </c>
      <c r="O161" s="70">
        <v>0</v>
      </c>
      <c r="P161" s="38"/>
      <c r="Q161" s="40"/>
    </row>
    <row r="162" spans="1:17" s="2" customFormat="1" x14ac:dyDescent="0.2">
      <c r="A162" s="16" t="str">
        <f t="shared" si="4"/>
        <v>quinta-feira</v>
      </c>
      <c r="B162" s="17">
        <f t="shared" si="5"/>
        <v>44721</v>
      </c>
      <c r="C162" s="52">
        <f>IFERROR(_xlfn.XLOOKUP($B:$B,'Estatísticos Mensais'!$A:$A,'Estatísticos Mensais'!C:C),0)</f>
        <v>98945.33</v>
      </c>
      <c r="D162" s="69">
        <f>IFERROR(_xlfn.XLOOKUP($B:$B,Google!A:A,Google!C:C,),0)</f>
        <v>850.24</v>
      </c>
      <c r="E162" s="70" t="e">
        <f>SUMIF(#REF!,'Compilado 2023 (2)'!$B:$B,#REF!)</f>
        <v>#REF!</v>
      </c>
      <c r="F162" s="70">
        <v>0</v>
      </c>
      <c r="G162" s="70">
        <f ca="1">_xlfn.XLOOKUP(B:B,'E-mail'!A:A,'E-mail'!C:C)</f>
        <v>53.333333333333336</v>
      </c>
      <c r="H162" s="70">
        <f>IFERROR(_xlfn.XLOOKUP($B:$B,#REF!,#REF!),0)</f>
        <v>0</v>
      </c>
      <c r="I162" s="70">
        <v>0</v>
      </c>
      <c r="J162" s="70">
        <v>0</v>
      </c>
      <c r="K162" s="70">
        <v>0</v>
      </c>
      <c r="L162" s="59"/>
      <c r="M162" s="70">
        <v>0</v>
      </c>
      <c r="N162" s="70">
        <v>0</v>
      </c>
      <c r="O162" s="70">
        <v>0</v>
      </c>
      <c r="P162" s="38"/>
      <c r="Q162" s="40"/>
    </row>
    <row r="163" spans="1:17" s="2" customFormat="1" x14ac:dyDescent="0.2">
      <c r="A163" s="16" t="str">
        <f t="shared" si="4"/>
        <v>sexta-feira</v>
      </c>
      <c r="B163" s="17">
        <f t="shared" si="5"/>
        <v>44722</v>
      </c>
      <c r="C163" s="52">
        <f>IFERROR(_xlfn.XLOOKUP($B:$B,'Estatísticos Mensais'!$A:$A,'Estatísticos Mensais'!C:C),0)</f>
        <v>131263.9</v>
      </c>
      <c r="D163" s="69">
        <f>IFERROR(_xlfn.XLOOKUP($B:$B,Google!A:A,Google!C:C,),0)</f>
        <v>721.19</v>
      </c>
      <c r="E163" s="70" t="e">
        <f>SUMIF(#REF!,'Compilado 2023 (2)'!$B:$B,#REF!)</f>
        <v>#REF!</v>
      </c>
      <c r="F163" s="70">
        <v>0</v>
      </c>
      <c r="G163" s="70">
        <f ca="1">_xlfn.XLOOKUP(B:B,'E-mail'!A:A,'E-mail'!C:C)</f>
        <v>53.333333333333336</v>
      </c>
      <c r="H163" s="70">
        <f>IFERROR(_xlfn.XLOOKUP($B:$B,#REF!,#REF!),0)</f>
        <v>0</v>
      </c>
      <c r="I163" s="70">
        <v>0</v>
      </c>
      <c r="J163" s="70">
        <v>0</v>
      </c>
      <c r="K163" s="70">
        <v>0</v>
      </c>
      <c r="L163" s="59"/>
      <c r="M163" s="70">
        <v>0</v>
      </c>
      <c r="N163" s="70">
        <v>0</v>
      </c>
      <c r="O163" s="70">
        <v>0</v>
      </c>
      <c r="P163" s="38"/>
      <c r="Q163" s="40"/>
    </row>
    <row r="164" spans="1:17" s="2" customFormat="1" x14ac:dyDescent="0.2">
      <c r="A164" s="16" t="str">
        <f t="shared" si="4"/>
        <v>sábado</v>
      </c>
      <c r="B164" s="17">
        <f t="shared" si="5"/>
        <v>44723</v>
      </c>
      <c r="C164" s="52">
        <f>IFERROR(_xlfn.XLOOKUP($B:$B,'Estatísticos Mensais'!$A:$A,'Estatísticos Mensais'!C:C),0)</f>
        <v>107821.73</v>
      </c>
      <c r="D164" s="69">
        <f>IFERROR(_xlfn.XLOOKUP($B:$B,Google!A:A,Google!C:C,),0)</f>
        <v>681.83</v>
      </c>
      <c r="E164" s="70" t="e">
        <f>SUMIF(#REF!,'Compilado 2023 (2)'!$B:$B,#REF!)</f>
        <v>#REF!</v>
      </c>
      <c r="F164" s="70">
        <v>0</v>
      </c>
      <c r="G164" s="70">
        <f ca="1">_xlfn.XLOOKUP(B:B,'E-mail'!A:A,'E-mail'!C:C)</f>
        <v>53.333333333333336</v>
      </c>
      <c r="H164" s="70">
        <f>IFERROR(_xlfn.XLOOKUP($B:$B,#REF!,#REF!),0)</f>
        <v>0</v>
      </c>
      <c r="I164" s="70">
        <v>0</v>
      </c>
      <c r="J164" s="70">
        <v>0</v>
      </c>
      <c r="K164" s="70">
        <v>0</v>
      </c>
      <c r="L164" s="59"/>
      <c r="M164" s="70">
        <v>0</v>
      </c>
      <c r="N164" s="70">
        <v>0</v>
      </c>
      <c r="O164" s="70">
        <v>0</v>
      </c>
      <c r="P164" s="38"/>
      <c r="Q164" s="40"/>
    </row>
    <row r="165" spans="1:17" s="2" customFormat="1" x14ac:dyDescent="0.2">
      <c r="A165" s="16" t="str">
        <f t="shared" si="4"/>
        <v>domingo</v>
      </c>
      <c r="B165" s="17">
        <f t="shared" si="5"/>
        <v>44724</v>
      </c>
      <c r="C165" s="52">
        <f>IFERROR(_xlfn.XLOOKUP($B:$B,'Estatísticos Mensais'!$A:$A,'Estatísticos Mensais'!C:C),0)</f>
        <v>74115.429999999993</v>
      </c>
      <c r="D165" s="69">
        <f>IFERROR(_xlfn.XLOOKUP($B:$B,Google!A:A,Google!C:C,),0)</f>
        <v>538</v>
      </c>
      <c r="E165" s="70" t="e">
        <f>SUMIF(#REF!,'Compilado 2023 (2)'!$B:$B,#REF!)</f>
        <v>#REF!</v>
      </c>
      <c r="F165" s="70">
        <v>0</v>
      </c>
      <c r="G165" s="70">
        <f ca="1">_xlfn.XLOOKUP(B:B,'E-mail'!A:A,'E-mail'!C:C)</f>
        <v>53.333333333333336</v>
      </c>
      <c r="H165" s="70">
        <f>IFERROR(_xlfn.XLOOKUP($B:$B,#REF!,#REF!),0)</f>
        <v>0</v>
      </c>
      <c r="I165" s="70">
        <v>0</v>
      </c>
      <c r="J165" s="70">
        <v>0</v>
      </c>
      <c r="K165" s="70">
        <v>0</v>
      </c>
      <c r="L165" s="59"/>
      <c r="M165" s="70">
        <v>0</v>
      </c>
      <c r="N165" s="70">
        <v>0</v>
      </c>
      <c r="O165" s="70">
        <v>0</v>
      </c>
      <c r="P165" s="38"/>
      <c r="Q165" s="40"/>
    </row>
    <row r="166" spans="1:17" s="2" customFormat="1" x14ac:dyDescent="0.2">
      <c r="A166" s="16" t="str">
        <f t="shared" si="4"/>
        <v>segunda-feira</v>
      </c>
      <c r="B166" s="17">
        <f t="shared" si="5"/>
        <v>44725</v>
      </c>
      <c r="C166" s="52">
        <f>IFERROR(_xlfn.XLOOKUP($B:$B,'Estatísticos Mensais'!$A:$A,'Estatísticos Mensais'!C:C),0)</f>
        <v>56557</v>
      </c>
      <c r="D166" s="69">
        <f>IFERROR(_xlfn.XLOOKUP($B:$B,Google!A:A,Google!C:C,),0)</f>
        <v>737.25</v>
      </c>
      <c r="E166" s="70" t="e">
        <f>SUMIF(#REF!,'Compilado 2023 (2)'!$B:$B,#REF!)</f>
        <v>#REF!</v>
      </c>
      <c r="F166" s="70">
        <v>0</v>
      </c>
      <c r="G166" s="70">
        <f ca="1">_xlfn.XLOOKUP(B:B,'E-mail'!A:A,'E-mail'!C:C)</f>
        <v>53.333333333333336</v>
      </c>
      <c r="H166" s="70">
        <f>IFERROR(_xlfn.XLOOKUP($B:$B,#REF!,#REF!),0)</f>
        <v>0</v>
      </c>
      <c r="I166" s="70">
        <v>0</v>
      </c>
      <c r="J166" s="70">
        <v>0</v>
      </c>
      <c r="K166" s="70">
        <v>0</v>
      </c>
      <c r="L166" s="59"/>
      <c r="M166" s="70">
        <v>0</v>
      </c>
      <c r="N166" s="70">
        <v>0</v>
      </c>
      <c r="O166" s="70">
        <v>0</v>
      </c>
      <c r="P166" s="38"/>
      <c r="Q166" s="40"/>
    </row>
    <row r="167" spans="1:17" s="2" customFormat="1" x14ac:dyDescent="0.2">
      <c r="A167" s="16" t="str">
        <f t="shared" si="4"/>
        <v>terça-feira</v>
      </c>
      <c r="B167" s="17">
        <f t="shared" si="5"/>
        <v>44726</v>
      </c>
      <c r="C167" s="52">
        <f>IFERROR(_xlfn.XLOOKUP($B:$B,'Estatísticos Mensais'!$A:$A,'Estatísticos Mensais'!C:C),0)</f>
        <v>34765.64</v>
      </c>
      <c r="D167" s="69">
        <f>IFERROR(_xlfn.XLOOKUP($B:$B,Google!A:A,Google!C:C,),0)</f>
        <v>650.33000000000004</v>
      </c>
      <c r="E167" s="70" t="e">
        <f>SUMIF(#REF!,'Compilado 2023 (2)'!$B:$B,#REF!)</f>
        <v>#REF!</v>
      </c>
      <c r="F167" s="70">
        <v>0</v>
      </c>
      <c r="G167" s="70">
        <f ca="1">_xlfn.XLOOKUP(B:B,'E-mail'!A:A,'E-mail'!C:C)</f>
        <v>53.333333333333336</v>
      </c>
      <c r="H167" s="70">
        <f>IFERROR(_xlfn.XLOOKUP($B:$B,#REF!,#REF!),0)</f>
        <v>0</v>
      </c>
      <c r="I167" s="70">
        <v>0</v>
      </c>
      <c r="J167" s="70">
        <v>0</v>
      </c>
      <c r="K167" s="70">
        <v>0</v>
      </c>
      <c r="L167" s="59"/>
      <c r="M167" s="70">
        <v>0</v>
      </c>
      <c r="N167" s="70">
        <v>0</v>
      </c>
      <c r="O167" s="70">
        <v>0</v>
      </c>
      <c r="P167" s="38"/>
      <c r="Q167" s="40"/>
    </row>
    <row r="168" spans="1:17" s="2" customFormat="1" x14ac:dyDescent="0.2">
      <c r="A168" s="16" t="str">
        <f t="shared" si="4"/>
        <v>quarta-feira</v>
      </c>
      <c r="B168" s="17">
        <f t="shared" si="5"/>
        <v>44727</v>
      </c>
      <c r="C168" s="52">
        <f>IFERROR(_xlfn.XLOOKUP($B:$B,'Estatísticos Mensais'!$A:$A,'Estatísticos Mensais'!C:C),0)</f>
        <v>41865.39</v>
      </c>
      <c r="D168" s="69">
        <f>IFERROR(_xlfn.XLOOKUP($B:$B,Google!A:A,Google!C:C,),0)</f>
        <v>607.49</v>
      </c>
      <c r="E168" s="70" t="e">
        <f>SUMIF(#REF!,'Compilado 2023 (2)'!$B:$B,#REF!)</f>
        <v>#REF!</v>
      </c>
      <c r="F168" s="70">
        <v>0</v>
      </c>
      <c r="G168" s="70">
        <f ca="1">_xlfn.XLOOKUP(B:B,'E-mail'!A:A,'E-mail'!C:C)</f>
        <v>53.333333333333336</v>
      </c>
      <c r="H168" s="70">
        <f>IFERROR(_xlfn.XLOOKUP($B:$B,#REF!,#REF!),0)</f>
        <v>0</v>
      </c>
      <c r="I168" s="70">
        <v>0</v>
      </c>
      <c r="J168" s="70">
        <v>0</v>
      </c>
      <c r="K168" s="70">
        <v>0</v>
      </c>
      <c r="L168" s="59"/>
      <c r="M168" s="70">
        <v>0</v>
      </c>
      <c r="N168" s="70">
        <v>0</v>
      </c>
      <c r="O168" s="70">
        <v>0</v>
      </c>
      <c r="P168" s="38"/>
      <c r="Q168" s="40"/>
    </row>
    <row r="169" spans="1:17" s="2" customFormat="1" x14ac:dyDescent="0.2">
      <c r="A169" s="16" t="str">
        <f t="shared" si="4"/>
        <v>quinta-feira</v>
      </c>
      <c r="B169" s="17">
        <f t="shared" si="5"/>
        <v>44728</v>
      </c>
      <c r="C169" s="52">
        <f>IFERROR(_xlfn.XLOOKUP($B:$B,'Estatísticos Mensais'!$A:$A,'Estatísticos Mensais'!C:C),0)</f>
        <v>25783</v>
      </c>
      <c r="D169" s="69">
        <f>IFERROR(_xlfn.XLOOKUP($B:$B,Google!A:A,Google!C:C,),0)</f>
        <v>371.92</v>
      </c>
      <c r="E169" s="70" t="e">
        <f>SUMIF(#REF!,'Compilado 2023 (2)'!$B:$B,#REF!)</f>
        <v>#REF!</v>
      </c>
      <c r="F169" s="70">
        <v>0</v>
      </c>
      <c r="G169" s="70">
        <f ca="1">_xlfn.XLOOKUP(B:B,'E-mail'!A:A,'E-mail'!C:C)</f>
        <v>53.333333333333336</v>
      </c>
      <c r="H169" s="70">
        <f>IFERROR(_xlfn.XLOOKUP($B:$B,#REF!,#REF!),0)</f>
        <v>0</v>
      </c>
      <c r="I169" s="70">
        <v>0</v>
      </c>
      <c r="J169" s="70">
        <v>0</v>
      </c>
      <c r="K169" s="70">
        <v>0</v>
      </c>
      <c r="L169" s="59"/>
      <c r="M169" s="70">
        <v>0</v>
      </c>
      <c r="N169" s="70">
        <v>0</v>
      </c>
      <c r="O169" s="70">
        <v>0</v>
      </c>
      <c r="P169" s="38"/>
      <c r="Q169" s="40"/>
    </row>
    <row r="170" spans="1:17" s="2" customFormat="1" x14ac:dyDescent="0.2">
      <c r="A170" s="16" t="str">
        <f t="shared" si="4"/>
        <v>sexta-feira</v>
      </c>
      <c r="B170" s="17">
        <f t="shared" si="5"/>
        <v>44729</v>
      </c>
      <c r="C170" s="52">
        <f>IFERROR(_xlfn.XLOOKUP($B:$B,'Estatísticos Mensais'!$A:$A,'Estatísticos Mensais'!C:C),0)</f>
        <v>28389.99</v>
      </c>
      <c r="D170" s="69">
        <f>IFERROR(_xlfn.XLOOKUP($B:$B,Google!A:A,Google!C:C,),0)</f>
        <v>0</v>
      </c>
      <c r="E170" s="70" t="e">
        <f>SUMIF(#REF!,'Compilado 2023 (2)'!$B:$B,#REF!)</f>
        <v>#REF!</v>
      </c>
      <c r="F170" s="70">
        <v>0</v>
      </c>
      <c r="G170" s="70">
        <f ca="1">_xlfn.XLOOKUP(B:B,'E-mail'!A:A,'E-mail'!C:C)</f>
        <v>53.333333333333336</v>
      </c>
      <c r="H170" s="70">
        <f>IFERROR(_xlfn.XLOOKUP($B:$B,#REF!,#REF!),0)</f>
        <v>0</v>
      </c>
      <c r="I170" s="70">
        <v>0</v>
      </c>
      <c r="J170" s="70">
        <v>0</v>
      </c>
      <c r="K170" s="70">
        <v>0</v>
      </c>
      <c r="L170" s="59"/>
      <c r="M170" s="70">
        <v>0</v>
      </c>
      <c r="N170" s="70">
        <v>0</v>
      </c>
      <c r="O170" s="70">
        <v>0</v>
      </c>
      <c r="P170" s="38"/>
      <c r="Q170" s="40"/>
    </row>
    <row r="171" spans="1:17" s="2" customFormat="1" x14ac:dyDescent="0.2">
      <c r="A171" s="16" t="str">
        <f t="shared" si="4"/>
        <v>sábado</v>
      </c>
      <c r="B171" s="17">
        <f t="shared" si="5"/>
        <v>44730</v>
      </c>
      <c r="C171" s="52">
        <f>IFERROR(_xlfn.XLOOKUP($B:$B,'Estatísticos Mensais'!$A:$A,'Estatísticos Mensais'!C:C),0)</f>
        <v>18816.2</v>
      </c>
      <c r="D171" s="69">
        <f>IFERROR(_xlfn.XLOOKUP($B:$B,Google!A:A,Google!C:C,),0)</f>
        <v>0</v>
      </c>
      <c r="E171" s="70" t="e">
        <f>SUMIF(#REF!,'Compilado 2023 (2)'!$B:$B,#REF!)</f>
        <v>#REF!</v>
      </c>
      <c r="F171" s="70">
        <v>0</v>
      </c>
      <c r="G171" s="70">
        <f ca="1">_xlfn.XLOOKUP(B:B,'E-mail'!A:A,'E-mail'!C:C)</f>
        <v>53.333333333333336</v>
      </c>
      <c r="H171" s="70">
        <f>IFERROR(_xlfn.XLOOKUP($B:$B,#REF!,#REF!),0)</f>
        <v>0</v>
      </c>
      <c r="I171" s="70">
        <v>0</v>
      </c>
      <c r="J171" s="70">
        <v>0</v>
      </c>
      <c r="K171" s="70">
        <v>0</v>
      </c>
      <c r="L171" s="59"/>
      <c r="M171" s="70">
        <v>0</v>
      </c>
      <c r="N171" s="70">
        <v>0</v>
      </c>
      <c r="O171" s="70">
        <v>0</v>
      </c>
      <c r="P171" s="38"/>
      <c r="Q171" s="40"/>
    </row>
    <row r="172" spans="1:17" s="2" customFormat="1" x14ac:dyDescent="0.2">
      <c r="A172" s="16" t="str">
        <f t="shared" si="4"/>
        <v>domingo</v>
      </c>
      <c r="B172" s="17">
        <f t="shared" si="5"/>
        <v>44731</v>
      </c>
      <c r="C172" s="52">
        <f>IFERROR(_xlfn.XLOOKUP($B:$B,'Estatísticos Mensais'!$A:$A,'Estatísticos Mensais'!C:C),0)</f>
        <v>14410.2</v>
      </c>
      <c r="D172" s="69">
        <f>IFERROR(_xlfn.XLOOKUP($B:$B,Google!A:A,Google!C:C,),0)</f>
        <v>0</v>
      </c>
      <c r="E172" s="70" t="e">
        <f>SUMIF(#REF!,'Compilado 2023 (2)'!$B:$B,#REF!)</f>
        <v>#REF!</v>
      </c>
      <c r="F172" s="70">
        <v>0</v>
      </c>
      <c r="G172" s="70">
        <f ca="1">_xlfn.XLOOKUP(B:B,'E-mail'!A:A,'E-mail'!C:C)</f>
        <v>53.333333333333336</v>
      </c>
      <c r="H172" s="70">
        <f>IFERROR(_xlfn.XLOOKUP($B:$B,#REF!,#REF!),0)</f>
        <v>0</v>
      </c>
      <c r="I172" s="70">
        <v>0</v>
      </c>
      <c r="J172" s="70">
        <v>0</v>
      </c>
      <c r="K172" s="70">
        <v>0</v>
      </c>
      <c r="L172" s="59"/>
      <c r="M172" s="70">
        <v>0</v>
      </c>
      <c r="N172" s="70">
        <v>0</v>
      </c>
      <c r="O172" s="70">
        <v>0</v>
      </c>
      <c r="P172" s="38"/>
      <c r="Q172" s="40"/>
    </row>
    <row r="173" spans="1:17" s="2" customFormat="1" x14ac:dyDescent="0.2">
      <c r="A173" s="16" t="str">
        <f t="shared" si="4"/>
        <v>segunda-feira</v>
      </c>
      <c r="B173" s="17">
        <f t="shared" si="5"/>
        <v>44732</v>
      </c>
      <c r="C173" s="52">
        <f>IFERROR(_xlfn.XLOOKUP($B:$B,'Estatísticos Mensais'!$A:$A,'Estatísticos Mensais'!C:C),0)</f>
        <v>44265.18</v>
      </c>
      <c r="D173" s="69">
        <f>IFERROR(_xlfn.XLOOKUP($B:$B,Google!A:A,Google!C:C,),0)</f>
        <v>0</v>
      </c>
      <c r="E173" s="70" t="e">
        <f>SUMIF(#REF!,'Compilado 2023 (2)'!$B:$B,#REF!)</f>
        <v>#REF!</v>
      </c>
      <c r="F173" s="70">
        <v>0</v>
      </c>
      <c r="G173" s="70">
        <f ca="1">_xlfn.XLOOKUP(B:B,'E-mail'!A:A,'E-mail'!C:C)</f>
        <v>53.333333333333336</v>
      </c>
      <c r="H173" s="70">
        <f>IFERROR(_xlfn.XLOOKUP($B:$B,#REF!,#REF!),0)</f>
        <v>0</v>
      </c>
      <c r="I173" s="70">
        <v>0</v>
      </c>
      <c r="J173" s="70">
        <v>0</v>
      </c>
      <c r="K173" s="70">
        <v>0</v>
      </c>
      <c r="L173" s="59"/>
      <c r="M173" s="70">
        <v>0</v>
      </c>
      <c r="N173" s="70">
        <v>0</v>
      </c>
      <c r="O173" s="70">
        <v>0</v>
      </c>
      <c r="P173" s="38"/>
      <c r="Q173" s="40"/>
    </row>
    <row r="174" spans="1:17" s="2" customFormat="1" x14ac:dyDescent="0.2">
      <c r="A174" s="16" t="str">
        <f t="shared" si="4"/>
        <v>terça-feira</v>
      </c>
      <c r="B174" s="17">
        <f t="shared" si="5"/>
        <v>44733</v>
      </c>
      <c r="C174" s="52">
        <f>IFERROR(_xlfn.XLOOKUP($B:$B,'Estatísticos Mensais'!$A:$A,'Estatísticos Mensais'!C:C),0)</f>
        <v>35675.360000000001</v>
      </c>
      <c r="D174" s="69">
        <f>IFERROR(_xlfn.XLOOKUP($B:$B,Google!A:A,Google!C:C,),0)</f>
        <v>0</v>
      </c>
      <c r="E174" s="70" t="e">
        <f>SUMIF(#REF!,'Compilado 2023 (2)'!$B:$B,#REF!)</f>
        <v>#REF!</v>
      </c>
      <c r="F174" s="70">
        <v>0</v>
      </c>
      <c r="G174" s="70">
        <f ca="1">_xlfn.XLOOKUP(B:B,'E-mail'!A:A,'E-mail'!C:C)</f>
        <v>53.333333333333336</v>
      </c>
      <c r="H174" s="70">
        <f>IFERROR(_xlfn.XLOOKUP($B:$B,#REF!,#REF!),0)</f>
        <v>0</v>
      </c>
      <c r="I174" s="70">
        <v>0</v>
      </c>
      <c r="J174" s="70">
        <v>0</v>
      </c>
      <c r="K174" s="70">
        <v>0</v>
      </c>
      <c r="L174" s="59"/>
      <c r="M174" s="70">
        <v>0</v>
      </c>
      <c r="N174" s="70">
        <v>0</v>
      </c>
      <c r="O174" s="70">
        <v>0</v>
      </c>
      <c r="P174" s="38"/>
      <c r="Q174" s="40"/>
    </row>
    <row r="175" spans="1:17" s="2" customFormat="1" x14ac:dyDescent="0.2">
      <c r="A175" s="16" t="str">
        <f t="shared" si="4"/>
        <v>quarta-feira</v>
      </c>
      <c r="B175" s="17">
        <f t="shared" si="5"/>
        <v>44734</v>
      </c>
      <c r="C175" s="52">
        <f>IFERROR(_xlfn.XLOOKUP($B:$B,'Estatísticos Mensais'!$A:$A,'Estatísticos Mensais'!C:C),0)</f>
        <v>42666.17</v>
      </c>
      <c r="D175" s="69">
        <f>IFERROR(_xlfn.XLOOKUP($B:$B,Google!A:A,Google!C:C,),0)</f>
        <v>862.09</v>
      </c>
      <c r="E175" s="70" t="e">
        <f>SUMIF(#REF!,'Compilado 2023 (2)'!$B:$B,#REF!)</f>
        <v>#REF!</v>
      </c>
      <c r="F175" s="70">
        <v>0</v>
      </c>
      <c r="G175" s="70">
        <f ca="1">_xlfn.XLOOKUP(B:B,'E-mail'!A:A,'E-mail'!C:C)</f>
        <v>53.333333333333336</v>
      </c>
      <c r="H175" s="70">
        <f>IFERROR(_xlfn.XLOOKUP($B:$B,#REF!,#REF!),0)</f>
        <v>0</v>
      </c>
      <c r="I175" s="70">
        <v>0</v>
      </c>
      <c r="J175" s="70">
        <v>0</v>
      </c>
      <c r="K175" s="70">
        <v>0</v>
      </c>
      <c r="L175" s="59"/>
      <c r="M175" s="70">
        <v>0</v>
      </c>
      <c r="N175" s="70">
        <v>0</v>
      </c>
      <c r="O175" s="70">
        <v>0</v>
      </c>
      <c r="P175" s="38"/>
      <c r="Q175" s="40"/>
    </row>
    <row r="176" spans="1:17" s="2" customFormat="1" x14ac:dyDescent="0.2">
      <c r="A176" s="16" t="str">
        <f t="shared" si="4"/>
        <v>quinta-feira</v>
      </c>
      <c r="B176" s="17">
        <f t="shared" si="5"/>
        <v>44735</v>
      </c>
      <c r="C176" s="52">
        <f>IFERROR(_xlfn.XLOOKUP($B:$B,'Estatísticos Mensais'!$A:$A,'Estatísticos Mensais'!C:C),0)</f>
        <v>44815.68</v>
      </c>
      <c r="D176" s="69">
        <f>IFERROR(_xlfn.XLOOKUP($B:$B,Google!A:A,Google!C:C,),0)</f>
        <v>991.36</v>
      </c>
      <c r="E176" s="70" t="e">
        <f>SUMIF(#REF!,'Compilado 2023 (2)'!$B:$B,#REF!)</f>
        <v>#REF!</v>
      </c>
      <c r="F176" s="70">
        <v>0</v>
      </c>
      <c r="G176" s="70">
        <f ca="1">_xlfn.XLOOKUP(B:B,'E-mail'!A:A,'E-mail'!C:C)</f>
        <v>53.333333333333336</v>
      </c>
      <c r="H176" s="70">
        <f>IFERROR(_xlfn.XLOOKUP($B:$B,#REF!,#REF!),0)</f>
        <v>0</v>
      </c>
      <c r="I176" s="70">
        <v>0</v>
      </c>
      <c r="J176" s="70">
        <v>0</v>
      </c>
      <c r="K176" s="70">
        <v>0</v>
      </c>
      <c r="L176" s="59"/>
      <c r="M176" s="70">
        <v>0</v>
      </c>
      <c r="N176" s="70">
        <v>0</v>
      </c>
      <c r="O176" s="70">
        <v>0</v>
      </c>
      <c r="P176" s="38"/>
      <c r="Q176" s="40"/>
    </row>
    <row r="177" spans="1:17" s="2" customFormat="1" x14ac:dyDescent="0.2">
      <c r="A177" s="16" t="str">
        <f t="shared" si="4"/>
        <v>sexta-feira</v>
      </c>
      <c r="B177" s="17">
        <f t="shared" si="5"/>
        <v>44736</v>
      </c>
      <c r="C177" s="52">
        <f>IFERROR(_xlfn.XLOOKUP($B:$B,'Estatísticos Mensais'!$A:$A,'Estatísticos Mensais'!C:C),0)</f>
        <v>30881</v>
      </c>
      <c r="D177" s="69">
        <f>IFERROR(_xlfn.XLOOKUP($B:$B,Google!A:A,Google!C:C,),0)</f>
        <v>1041</v>
      </c>
      <c r="E177" s="70" t="e">
        <f>SUMIF(#REF!,'Compilado 2023 (2)'!$B:$B,#REF!)</f>
        <v>#REF!</v>
      </c>
      <c r="F177" s="70">
        <v>0</v>
      </c>
      <c r="G177" s="70">
        <f ca="1">_xlfn.XLOOKUP(B:B,'E-mail'!A:A,'E-mail'!C:C)</f>
        <v>53.333333333333336</v>
      </c>
      <c r="H177" s="70">
        <f>IFERROR(_xlfn.XLOOKUP($B:$B,#REF!,#REF!),0)</f>
        <v>0</v>
      </c>
      <c r="I177" s="70">
        <v>0</v>
      </c>
      <c r="J177" s="70">
        <v>0</v>
      </c>
      <c r="K177" s="70">
        <v>0</v>
      </c>
      <c r="L177" s="59"/>
      <c r="M177" s="70">
        <v>0</v>
      </c>
      <c r="N177" s="70">
        <v>0</v>
      </c>
      <c r="O177" s="70">
        <v>0</v>
      </c>
      <c r="P177" s="38"/>
      <c r="Q177" s="40"/>
    </row>
    <row r="178" spans="1:17" s="2" customFormat="1" x14ac:dyDescent="0.2">
      <c r="A178" s="16" t="str">
        <f t="shared" si="4"/>
        <v>sábado</v>
      </c>
      <c r="B178" s="17">
        <f t="shared" si="5"/>
        <v>44737</v>
      </c>
      <c r="C178" s="52">
        <f>IFERROR(_xlfn.XLOOKUP($B:$B,'Estatísticos Mensais'!$A:$A,'Estatísticos Mensais'!C:C),0)</f>
        <v>32339.3</v>
      </c>
      <c r="D178" s="69">
        <f>IFERROR(_xlfn.XLOOKUP($B:$B,Google!A:A,Google!C:C,),0)</f>
        <v>859.09</v>
      </c>
      <c r="E178" s="70" t="e">
        <f>SUMIF(#REF!,'Compilado 2023 (2)'!$B:$B,#REF!)</f>
        <v>#REF!</v>
      </c>
      <c r="F178" s="70">
        <v>0</v>
      </c>
      <c r="G178" s="70">
        <f ca="1">_xlfn.XLOOKUP(B:B,'E-mail'!A:A,'E-mail'!C:C)</f>
        <v>53.333333333333336</v>
      </c>
      <c r="H178" s="70">
        <f>IFERROR(_xlfn.XLOOKUP($B:$B,#REF!,#REF!),0)</f>
        <v>0</v>
      </c>
      <c r="I178" s="70">
        <v>0</v>
      </c>
      <c r="J178" s="70">
        <v>0</v>
      </c>
      <c r="K178" s="70">
        <v>0</v>
      </c>
      <c r="L178" s="59"/>
      <c r="M178" s="70">
        <v>0</v>
      </c>
      <c r="N178" s="70">
        <v>0</v>
      </c>
      <c r="O178" s="70">
        <v>0</v>
      </c>
      <c r="P178" s="38"/>
      <c r="Q178" s="40"/>
    </row>
    <row r="179" spans="1:17" s="2" customFormat="1" x14ac:dyDescent="0.2">
      <c r="A179" s="16" t="str">
        <f t="shared" si="4"/>
        <v>domingo</v>
      </c>
      <c r="B179" s="17">
        <f t="shared" si="5"/>
        <v>44738</v>
      </c>
      <c r="C179" s="52">
        <f>IFERROR(_xlfn.XLOOKUP($B:$B,'Estatísticos Mensais'!$A:$A,'Estatísticos Mensais'!C:C),0)</f>
        <v>22976.75</v>
      </c>
      <c r="D179" s="69">
        <f>IFERROR(_xlfn.XLOOKUP($B:$B,Google!A:A,Google!C:C,),0)</f>
        <v>720</v>
      </c>
      <c r="E179" s="70" t="e">
        <f>SUMIF(#REF!,'Compilado 2023 (2)'!$B:$B,#REF!)</f>
        <v>#REF!</v>
      </c>
      <c r="F179" s="70">
        <v>0</v>
      </c>
      <c r="G179" s="70">
        <f ca="1">_xlfn.XLOOKUP(B:B,'E-mail'!A:A,'E-mail'!C:C)</f>
        <v>53.333333333333336</v>
      </c>
      <c r="H179" s="70">
        <f>IFERROR(_xlfn.XLOOKUP($B:$B,#REF!,#REF!),0)</f>
        <v>0</v>
      </c>
      <c r="I179" s="70">
        <v>0</v>
      </c>
      <c r="J179" s="70">
        <v>0</v>
      </c>
      <c r="K179" s="70">
        <v>0</v>
      </c>
      <c r="L179" s="59"/>
      <c r="M179" s="70">
        <v>0</v>
      </c>
      <c r="N179" s="70">
        <v>0</v>
      </c>
      <c r="O179" s="70">
        <v>0</v>
      </c>
      <c r="P179" s="38"/>
      <c r="Q179" s="40"/>
    </row>
    <row r="180" spans="1:17" s="2" customFormat="1" x14ac:dyDescent="0.2">
      <c r="A180" s="16" t="str">
        <f t="shared" si="4"/>
        <v>segunda-feira</v>
      </c>
      <c r="B180" s="17">
        <f t="shared" si="5"/>
        <v>44739</v>
      </c>
      <c r="C180" s="52">
        <f>IFERROR(_xlfn.XLOOKUP($B:$B,'Estatísticos Mensais'!$A:$A,'Estatísticos Mensais'!C:C),0)</f>
        <v>42069.95</v>
      </c>
      <c r="D180" s="69">
        <f>IFERROR(_xlfn.XLOOKUP($B:$B,Google!A:A,Google!C:C,),0)</f>
        <v>886.39</v>
      </c>
      <c r="E180" s="70" t="e">
        <f>SUMIF(#REF!,'Compilado 2023 (2)'!$B:$B,#REF!)</f>
        <v>#REF!</v>
      </c>
      <c r="F180" s="70">
        <v>0</v>
      </c>
      <c r="G180" s="70">
        <f ca="1">_xlfn.XLOOKUP(B:B,'E-mail'!A:A,'E-mail'!C:C)</f>
        <v>53.333333333333336</v>
      </c>
      <c r="H180" s="70">
        <f>IFERROR(_xlfn.XLOOKUP($B:$B,#REF!,#REF!),0)</f>
        <v>0</v>
      </c>
      <c r="I180" s="70">
        <v>0</v>
      </c>
      <c r="J180" s="70">
        <v>0</v>
      </c>
      <c r="K180" s="70">
        <v>0</v>
      </c>
      <c r="L180" s="59"/>
      <c r="M180" s="70">
        <v>0</v>
      </c>
      <c r="N180" s="70">
        <v>0</v>
      </c>
      <c r="O180" s="70">
        <v>0</v>
      </c>
      <c r="P180" s="38"/>
      <c r="Q180" s="40"/>
    </row>
    <row r="181" spans="1:17" s="2" customFormat="1" x14ac:dyDescent="0.2">
      <c r="A181" s="16" t="str">
        <f t="shared" si="4"/>
        <v>terça-feira</v>
      </c>
      <c r="B181" s="17">
        <f t="shared" si="5"/>
        <v>44740</v>
      </c>
      <c r="C181" s="52">
        <f>IFERROR(_xlfn.XLOOKUP($B:$B,'Estatísticos Mensais'!$A:$A,'Estatísticos Mensais'!C:C),0)</f>
        <v>35154.35</v>
      </c>
      <c r="D181" s="69">
        <f>IFERROR(_xlfn.XLOOKUP($B:$B,Google!A:A,Google!C:C,),0)</f>
        <v>816.87</v>
      </c>
      <c r="E181" s="70" t="e">
        <f>SUMIF(#REF!,'Compilado 2023 (2)'!$B:$B,#REF!)</f>
        <v>#REF!</v>
      </c>
      <c r="F181" s="70">
        <v>0</v>
      </c>
      <c r="G181" s="70">
        <f ca="1">_xlfn.XLOOKUP(B:B,'E-mail'!A:A,'E-mail'!C:C)</f>
        <v>53.333333333333336</v>
      </c>
      <c r="H181" s="70">
        <f>IFERROR(_xlfn.XLOOKUP($B:$B,#REF!,#REF!),0)</f>
        <v>0</v>
      </c>
      <c r="I181" s="70">
        <v>0</v>
      </c>
      <c r="J181" s="70">
        <v>0</v>
      </c>
      <c r="K181" s="70">
        <v>0</v>
      </c>
      <c r="L181" s="59"/>
      <c r="M181" s="70">
        <v>0</v>
      </c>
      <c r="N181" s="70">
        <v>0</v>
      </c>
      <c r="O181" s="70">
        <v>0</v>
      </c>
      <c r="P181" s="38"/>
      <c r="Q181" s="40"/>
    </row>
    <row r="182" spans="1:17" s="2" customFormat="1" x14ac:dyDescent="0.2">
      <c r="A182" s="16" t="str">
        <f t="shared" si="4"/>
        <v>quarta-feira</v>
      </c>
      <c r="B182" s="17">
        <f t="shared" si="5"/>
        <v>44741</v>
      </c>
      <c r="C182" s="52">
        <f>IFERROR(_xlfn.XLOOKUP($B:$B,'Estatísticos Mensais'!$A:$A,'Estatísticos Mensais'!C:C),0)</f>
        <v>55177.34</v>
      </c>
      <c r="D182" s="69">
        <f>IFERROR(_xlfn.XLOOKUP($B:$B,Google!A:A,Google!C:C,),0)</f>
        <v>771.46</v>
      </c>
      <c r="E182" s="70" t="e">
        <f>SUMIF(#REF!,'Compilado 2023 (2)'!$B:$B,#REF!)</f>
        <v>#REF!</v>
      </c>
      <c r="F182" s="70">
        <v>0</v>
      </c>
      <c r="G182" s="70">
        <f ca="1">_xlfn.XLOOKUP(B:B,'E-mail'!A:A,'E-mail'!C:C)</f>
        <v>53.333333333333336</v>
      </c>
      <c r="H182" s="70">
        <f>IFERROR(_xlfn.XLOOKUP($B:$B,#REF!,#REF!),0)</f>
        <v>0</v>
      </c>
      <c r="I182" s="70">
        <v>0</v>
      </c>
      <c r="J182" s="70">
        <v>0</v>
      </c>
      <c r="K182" s="70">
        <v>0</v>
      </c>
      <c r="L182" s="59"/>
      <c r="M182" s="70">
        <v>0</v>
      </c>
      <c r="N182" s="70">
        <v>0</v>
      </c>
      <c r="O182" s="70">
        <v>0</v>
      </c>
      <c r="P182" s="38"/>
      <c r="Q182" s="40"/>
    </row>
    <row r="183" spans="1:17" s="2" customFormat="1" x14ac:dyDescent="0.2">
      <c r="A183" s="16" t="str">
        <f t="shared" si="4"/>
        <v>quinta-feira</v>
      </c>
      <c r="B183" s="17">
        <f t="shared" si="5"/>
        <v>44742</v>
      </c>
      <c r="C183" s="52">
        <f>IFERROR(_xlfn.XLOOKUP($B:$B,'Estatísticos Mensais'!$A:$A,'Estatísticos Mensais'!C:C),0)</f>
        <v>43925.25</v>
      </c>
      <c r="D183" s="69">
        <f>IFERROR(_xlfn.XLOOKUP($B:$B,Google!A:A,Google!C:C,),0)</f>
        <v>591.4</v>
      </c>
      <c r="E183" s="70" t="e">
        <f>SUMIF(#REF!,'Compilado 2023 (2)'!$B:$B,#REF!)</f>
        <v>#REF!</v>
      </c>
      <c r="F183" s="70">
        <v>0</v>
      </c>
      <c r="G183" s="70">
        <f ca="1">_xlfn.XLOOKUP(B:B,'E-mail'!A:A,'E-mail'!C:C)</f>
        <v>53.333333333333336</v>
      </c>
      <c r="H183" s="70">
        <f>IFERROR(_xlfn.XLOOKUP($B:$B,#REF!,#REF!),0)</f>
        <v>0</v>
      </c>
      <c r="I183" s="70">
        <v>0</v>
      </c>
      <c r="J183" s="70">
        <v>0</v>
      </c>
      <c r="K183" s="70">
        <v>0</v>
      </c>
      <c r="L183" s="59"/>
      <c r="M183" s="70">
        <v>0</v>
      </c>
      <c r="N183" s="70">
        <v>0</v>
      </c>
      <c r="O183" s="70">
        <v>0</v>
      </c>
      <c r="P183" s="38"/>
      <c r="Q183" s="40"/>
    </row>
    <row r="184" spans="1:17" s="2" customFormat="1" x14ac:dyDescent="0.2">
      <c r="A184" s="16" t="str">
        <f t="shared" si="4"/>
        <v>sexta-feira</v>
      </c>
      <c r="B184" s="17">
        <f t="shared" si="5"/>
        <v>44743</v>
      </c>
      <c r="C184" s="52">
        <f>IFERROR(_xlfn.XLOOKUP($B:$B,'Estatísticos Mensais'!$A:$A,'Estatísticos Mensais'!C:C),0)</f>
        <v>39442.19</v>
      </c>
      <c r="D184" s="69">
        <f>IFERROR(_xlfn.XLOOKUP($B:$B,Google!A:A,Google!C:C,),0)</f>
        <v>608.69000000000005</v>
      </c>
      <c r="E184" s="70" t="e">
        <f>SUMIF(#REF!,'Compilado 2023 (2)'!$B:$B,#REF!)</f>
        <v>#REF!</v>
      </c>
      <c r="F184" s="70">
        <v>0</v>
      </c>
      <c r="G184" s="70">
        <f ca="1">_xlfn.XLOOKUP(B:B,'E-mail'!A:A,'E-mail'!C:C)</f>
        <v>51.612903225806448</v>
      </c>
      <c r="H184" s="70">
        <f>IFERROR(_xlfn.XLOOKUP($B:$B,#REF!,#REF!),0)</f>
        <v>0</v>
      </c>
      <c r="I184" s="70">
        <v>0</v>
      </c>
      <c r="J184" s="70">
        <v>0</v>
      </c>
      <c r="K184" s="70">
        <v>0</v>
      </c>
      <c r="L184" s="59"/>
      <c r="M184" s="70">
        <v>0</v>
      </c>
      <c r="N184" s="70">
        <v>0</v>
      </c>
      <c r="O184" s="70">
        <v>0</v>
      </c>
      <c r="P184" s="38"/>
      <c r="Q184" s="40"/>
    </row>
    <row r="185" spans="1:17" s="2" customFormat="1" x14ac:dyDescent="0.2">
      <c r="A185" s="16" t="str">
        <f t="shared" si="4"/>
        <v>sábado</v>
      </c>
      <c r="B185" s="17">
        <f t="shared" si="5"/>
        <v>44744</v>
      </c>
      <c r="C185" s="52">
        <f>IFERROR(_xlfn.XLOOKUP($B:$B,'Estatísticos Mensais'!$A:$A,'Estatísticos Mensais'!C:C),0)</f>
        <v>26341.55</v>
      </c>
      <c r="D185" s="69">
        <f>IFERROR(_xlfn.XLOOKUP($B:$B,Google!A:A,Google!C:C,),0)</f>
        <v>505.8</v>
      </c>
      <c r="E185" s="70" t="e">
        <f>SUMIF(#REF!,'Compilado 2023 (2)'!$B:$B,#REF!)</f>
        <v>#REF!</v>
      </c>
      <c r="F185" s="70">
        <v>0</v>
      </c>
      <c r="G185" s="70">
        <f ca="1">_xlfn.XLOOKUP(B:B,'E-mail'!A:A,'E-mail'!C:C)</f>
        <v>51.612903225806448</v>
      </c>
      <c r="H185" s="70">
        <f>IFERROR(_xlfn.XLOOKUP($B:$B,#REF!,#REF!),0)</f>
        <v>0</v>
      </c>
      <c r="I185" s="70">
        <v>0</v>
      </c>
      <c r="J185" s="70">
        <v>0</v>
      </c>
      <c r="K185" s="70">
        <v>0</v>
      </c>
      <c r="L185" s="59"/>
      <c r="M185" s="70">
        <v>0</v>
      </c>
      <c r="N185" s="70">
        <v>0</v>
      </c>
      <c r="O185" s="70">
        <v>0</v>
      </c>
      <c r="P185" s="38"/>
      <c r="Q185" s="40"/>
    </row>
    <row r="186" spans="1:17" s="2" customFormat="1" x14ac:dyDescent="0.2">
      <c r="A186" s="16" t="str">
        <f t="shared" si="4"/>
        <v>domingo</v>
      </c>
      <c r="B186" s="17">
        <f t="shared" si="5"/>
        <v>44745</v>
      </c>
      <c r="C186" s="52">
        <f>IFERROR(_xlfn.XLOOKUP($B:$B,'Estatísticos Mensais'!$A:$A,'Estatísticos Mensais'!C:C),0)</f>
        <v>15608.35</v>
      </c>
      <c r="D186" s="69">
        <f>IFERROR(_xlfn.XLOOKUP($B:$B,Google!A:A,Google!C:C,),0)</f>
        <v>543.34</v>
      </c>
      <c r="E186" s="70" t="e">
        <f>SUMIF(#REF!,'Compilado 2023 (2)'!$B:$B,#REF!)</f>
        <v>#REF!</v>
      </c>
      <c r="F186" s="70">
        <v>0</v>
      </c>
      <c r="G186" s="70">
        <f ca="1">_xlfn.XLOOKUP(B:B,'E-mail'!A:A,'E-mail'!C:C)</f>
        <v>51.612903225806448</v>
      </c>
      <c r="H186" s="70">
        <f>IFERROR(_xlfn.XLOOKUP($B:$B,#REF!,#REF!),0)</f>
        <v>0</v>
      </c>
      <c r="I186" s="70">
        <v>0</v>
      </c>
      <c r="J186" s="70">
        <v>0</v>
      </c>
      <c r="K186" s="70">
        <v>0</v>
      </c>
      <c r="L186" s="59"/>
      <c r="M186" s="70">
        <v>0</v>
      </c>
      <c r="N186" s="70">
        <v>0</v>
      </c>
      <c r="O186" s="70">
        <v>0</v>
      </c>
      <c r="P186" s="38"/>
      <c r="Q186" s="40"/>
    </row>
    <row r="187" spans="1:17" s="2" customFormat="1" x14ac:dyDescent="0.2">
      <c r="A187" s="16" t="str">
        <f t="shared" si="4"/>
        <v>segunda-feira</v>
      </c>
      <c r="B187" s="17">
        <f t="shared" si="5"/>
        <v>44746</v>
      </c>
      <c r="C187" s="52">
        <f>IFERROR(_xlfn.XLOOKUP($B:$B,'Estatísticos Mensais'!$A:$A,'Estatísticos Mensais'!C:C),0)</f>
        <v>29378.33</v>
      </c>
      <c r="D187" s="69">
        <f>IFERROR(_xlfn.XLOOKUP($B:$B,Google!A:A,Google!C:C,),0)</f>
        <v>662.2</v>
      </c>
      <c r="E187" s="70" t="e">
        <f>SUMIF(#REF!,'Compilado 2023 (2)'!$B:$B,#REF!)</f>
        <v>#REF!</v>
      </c>
      <c r="F187" s="70">
        <v>0</v>
      </c>
      <c r="G187" s="70">
        <f ca="1">_xlfn.XLOOKUP(B:B,'E-mail'!A:A,'E-mail'!C:C)</f>
        <v>51.612903225806448</v>
      </c>
      <c r="H187" s="70">
        <f>IFERROR(_xlfn.XLOOKUP($B:$B,#REF!,#REF!),0)</f>
        <v>0</v>
      </c>
      <c r="I187" s="70">
        <v>0</v>
      </c>
      <c r="J187" s="70">
        <v>0</v>
      </c>
      <c r="K187" s="70">
        <v>0</v>
      </c>
      <c r="L187" s="59"/>
      <c r="M187" s="70">
        <v>0</v>
      </c>
      <c r="N187" s="70">
        <v>0</v>
      </c>
      <c r="O187" s="70">
        <v>0</v>
      </c>
      <c r="P187" s="38"/>
      <c r="Q187" s="40"/>
    </row>
    <row r="188" spans="1:17" s="2" customFormat="1" x14ac:dyDescent="0.2">
      <c r="A188" s="16" t="str">
        <f t="shared" si="4"/>
        <v>terça-feira</v>
      </c>
      <c r="B188" s="17">
        <f t="shared" si="5"/>
        <v>44747</v>
      </c>
      <c r="C188" s="52">
        <f>IFERROR(_xlfn.XLOOKUP($B:$B,'Estatísticos Mensais'!$A:$A,'Estatísticos Mensais'!C:C),0)</f>
        <v>36634.06</v>
      </c>
      <c r="D188" s="69">
        <f>IFERROR(_xlfn.XLOOKUP($B:$B,Google!A:A,Google!C:C,),0)</f>
        <v>612.45000000000005</v>
      </c>
      <c r="E188" s="70" t="e">
        <f>SUMIF(#REF!,'Compilado 2023 (2)'!$B:$B,#REF!)</f>
        <v>#REF!</v>
      </c>
      <c r="F188" s="70">
        <v>0</v>
      </c>
      <c r="G188" s="70">
        <f ca="1">_xlfn.XLOOKUP(B:B,'E-mail'!A:A,'E-mail'!C:C)</f>
        <v>51.612903225806448</v>
      </c>
      <c r="H188" s="70">
        <f>IFERROR(_xlfn.XLOOKUP($B:$B,#REF!,#REF!),0)</f>
        <v>0</v>
      </c>
      <c r="I188" s="70">
        <v>0</v>
      </c>
      <c r="J188" s="70">
        <v>0</v>
      </c>
      <c r="K188" s="70">
        <v>0</v>
      </c>
      <c r="L188" s="59"/>
      <c r="M188" s="70">
        <v>0</v>
      </c>
      <c r="N188" s="70">
        <v>0</v>
      </c>
      <c r="O188" s="70">
        <v>0</v>
      </c>
      <c r="P188" s="38"/>
      <c r="Q188" s="40"/>
    </row>
    <row r="189" spans="1:17" s="2" customFormat="1" x14ac:dyDescent="0.2">
      <c r="A189" s="16" t="str">
        <f t="shared" si="4"/>
        <v>quarta-feira</v>
      </c>
      <c r="B189" s="17">
        <f t="shared" si="5"/>
        <v>44748</v>
      </c>
      <c r="C189" s="52">
        <f>IFERROR(_xlfn.XLOOKUP($B:$B,'Estatísticos Mensais'!$A:$A,'Estatísticos Mensais'!C:C),0)</f>
        <v>42395.32</v>
      </c>
      <c r="D189" s="69">
        <f>IFERROR(_xlfn.XLOOKUP($B:$B,Google!A:A,Google!C:C,),0)</f>
        <v>70.27</v>
      </c>
      <c r="E189" s="70" t="e">
        <f>SUMIF(#REF!,'Compilado 2023 (2)'!$B:$B,#REF!)</f>
        <v>#REF!</v>
      </c>
      <c r="F189" s="70">
        <v>0</v>
      </c>
      <c r="G189" s="70">
        <f ca="1">_xlfn.XLOOKUP(B:B,'E-mail'!A:A,'E-mail'!C:C)</f>
        <v>51.612903225806448</v>
      </c>
      <c r="H189" s="70">
        <f>IFERROR(_xlfn.XLOOKUP($B:$B,#REF!,#REF!),0)</f>
        <v>0</v>
      </c>
      <c r="I189" s="70">
        <v>0</v>
      </c>
      <c r="J189" s="70">
        <v>0</v>
      </c>
      <c r="K189" s="70">
        <v>0</v>
      </c>
      <c r="L189" s="59"/>
      <c r="M189" s="70">
        <v>0</v>
      </c>
      <c r="N189" s="70">
        <v>0</v>
      </c>
      <c r="O189" s="70">
        <v>0</v>
      </c>
      <c r="P189" s="38"/>
      <c r="Q189" s="40"/>
    </row>
    <row r="190" spans="1:17" s="2" customFormat="1" x14ac:dyDescent="0.2">
      <c r="A190" s="16" t="str">
        <f t="shared" si="4"/>
        <v>quinta-feira</v>
      </c>
      <c r="B190" s="17">
        <f t="shared" si="5"/>
        <v>44749</v>
      </c>
      <c r="C190" s="52">
        <f>IFERROR(_xlfn.XLOOKUP($B:$B,'Estatísticos Mensais'!$A:$A,'Estatísticos Mensais'!C:C),0)</f>
        <v>37455.300000000003</v>
      </c>
      <c r="D190" s="69">
        <f>IFERROR(_xlfn.XLOOKUP($B:$B,Google!A:A,Google!C:C,),0)</f>
        <v>0</v>
      </c>
      <c r="E190" s="70" t="e">
        <f>SUMIF(#REF!,'Compilado 2023 (2)'!$B:$B,#REF!)</f>
        <v>#REF!</v>
      </c>
      <c r="F190" s="70">
        <v>0</v>
      </c>
      <c r="G190" s="70">
        <f ca="1">_xlfn.XLOOKUP(B:B,'E-mail'!A:A,'E-mail'!C:C)</f>
        <v>51.612903225806448</v>
      </c>
      <c r="H190" s="70">
        <f>IFERROR(_xlfn.XLOOKUP($B:$B,#REF!,#REF!),0)</f>
        <v>0</v>
      </c>
      <c r="I190" s="70">
        <v>0</v>
      </c>
      <c r="J190" s="70">
        <v>0</v>
      </c>
      <c r="K190" s="70">
        <v>0</v>
      </c>
      <c r="L190" s="59"/>
      <c r="M190" s="70">
        <v>0</v>
      </c>
      <c r="N190" s="70">
        <v>0</v>
      </c>
      <c r="O190" s="70">
        <v>0</v>
      </c>
      <c r="P190" s="38"/>
      <c r="Q190" s="40"/>
    </row>
    <row r="191" spans="1:17" s="2" customFormat="1" x14ac:dyDescent="0.2">
      <c r="A191" s="16" t="str">
        <f t="shared" si="4"/>
        <v>sexta-feira</v>
      </c>
      <c r="B191" s="17">
        <f t="shared" si="5"/>
        <v>44750</v>
      </c>
      <c r="C191" s="52">
        <f>IFERROR(_xlfn.XLOOKUP($B:$B,'Estatísticos Mensais'!$A:$A,'Estatísticos Mensais'!C:C),0)</f>
        <v>50186.29</v>
      </c>
      <c r="D191" s="69">
        <f>IFERROR(_xlfn.XLOOKUP($B:$B,Google!A:A,Google!C:C,),0)</f>
        <v>0</v>
      </c>
      <c r="E191" s="70" t="e">
        <f>SUMIF(#REF!,'Compilado 2023 (2)'!$B:$B,#REF!)</f>
        <v>#REF!</v>
      </c>
      <c r="F191" s="70">
        <v>0</v>
      </c>
      <c r="G191" s="70">
        <f ca="1">_xlfn.XLOOKUP(B:B,'E-mail'!A:A,'E-mail'!C:C)</f>
        <v>51.612903225806448</v>
      </c>
      <c r="H191" s="70">
        <f>IFERROR(_xlfn.XLOOKUP($B:$B,#REF!,#REF!),0)</f>
        <v>0</v>
      </c>
      <c r="I191" s="70">
        <v>0</v>
      </c>
      <c r="J191" s="70">
        <v>0</v>
      </c>
      <c r="K191" s="70">
        <v>0</v>
      </c>
      <c r="L191" s="59"/>
      <c r="M191" s="70">
        <v>0</v>
      </c>
      <c r="N191" s="70">
        <v>0</v>
      </c>
      <c r="O191" s="70">
        <v>0</v>
      </c>
      <c r="P191" s="38"/>
      <c r="Q191" s="40"/>
    </row>
    <row r="192" spans="1:17" s="2" customFormat="1" x14ac:dyDescent="0.2">
      <c r="A192" s="16" t="str">
        <f t="shared" si="4"/>
        <v>sábado</v>
      </c>
      <c r="B192" s="17">
        <f t="shared" si="5"/>
        <v>44751</v>
      </c>
      <c r="C192" s="52">
        <f>IFERROR(_xlfn.XLOOKUP($B:$B,'Estatísticos Mensais'!$A:$A,'Estatísticos Mensais'!C:C),0)</f>
        <v>28220.48</v>
      </c>
      <c r="D192" s="69">
        <f>IFERROR(_xlfn.XLOOKUP($B:$B,Google!A:A,Google!C:C,),0)</f>
        <v>0</v>
      </c>
      <c r="E192" s="70" t="e">
        <f>SUMIF(#REF!,'Compilado 2023 (2)'!$B:$B,#REF!)</f>
        <v>#REF!</v>
      </c>
      <c r="F192" s="70">
        <v>0</v>
      </c>
      <c r="G192" s="70">
        <f ca="1">_xlfn.XLOOKUP(B:B,'E-mail'!A:A,'E-mail'!C:C)</f>
        <v>51.612903225806448</v>
      </c>
      <c r="H192" s="70">
        <f>IFERROR(_xlfn.XLOOKUP($B:$B,#REF!,#REF!),0)</f>
        <v>0</v>
      </c>
      <c r="I192" s="70">
        <v>0</v>
      </c>
      <c r="J192" s="70">
        <v>0</v>
      </c>
      <c r="K192" s="70">
        <v>0</v>
      </c>
      <c r="L192" s="59"/>
      <c r="M192" s="70">
        <v>0</v>
      </c>
      <c r="N192" s="70">
        <v>0</v>
      </c>
      <c r="O192" s="70">
        <v>0</v>
      </c>
      <c r="P192" s="38"/>
      <c r="Q192" s="40"/>
    </row>
    <row r="193" spans="1:17" s="2" customFormat="1" x14ac:dyDescent="0.2">
      <c r="A193" s="16" t="str">
        <f t="shared" si="4"/>
        <v>domingo</v>
      </c>
      <c r="B193" s="17">
        <f t="shared" si="5"/>
        <v>44752</v>
      </c>
      <c r="C193" s="52">
        <f>IFERROR(_xlfn.XLOOKUP($B:$B,'Estatísticos Mensais'!$A:$A,'Estatísticos Mensais'!C:C),0)</f>
        <v>17813.48</v>
      </c>
      <c r="D193" s="69">
        <f>IFERROR(_xlfn.XLOOKUP($B:$B,Google!A:A,Google!C:C,),0)</f>
        <v>0</v>
      </c>
      <c r="E193" s="70" t="e">
        <f>SUMIF(#REF!,'Compilado 2023 (2)'!$B:$B,#REF!)</f>
        <v>#REF!</v>
      </c>
      <c r="F193" s="70">
        <v>0</v>
      </c>
      <c r="G193" s="70">
        <f ca="1">_xlfn.XLOOKUP(B:B,'E-mail'!A:A,'E-mail'!C:C)</f>
        <v>51.612903225806448</v>
      </c>
      <c r="H193" s="70">
        <f>IFERROR(_xlfn.XLOOKUP($B:$B,#REF!,#REF!),0)</f>
        <v>0</v>
      </c>
      <c r="I193" s="70">
        <v>0</v>
      </c>
      <c r="J193" s="70">
        <v>0</v>
      </c>
      <c r="K193" s="70">
        <v>0</v>
      </c>
      <c r="L193" s="59"/>
      <c r="M193" s="70">
        <v>0</v>
      </c>
      <c r="N193" s="70">
        <v>0</v>
      </c>
      <c r="O193" s="70">
        <v>0</v>
      </c>
      <c r="P193" s="38"/>
      <c r="Q193" s="40"/>
    </row>
    <row r="194" spans="1:17" s="2" customFormat="1" x14ac:dyDescent="0.2">
      <c r="A194" s="16" t="str">
        <f t="shared" si="4"/>
        <v>segunda-feira</v>
      </c>
      <c r="B194" s="17">
        <f t="shared" si="5"/>
        <v>44753</v>
      </c>
      <c r="C194" s="52">
        <f>IFERROR(_xlfn.XLOOKUP($B:$B,'Estatísticos Mensais'!$A:$A,'Estatísticos Mensais'!C:C),0)</f>
        <v>41088.559999999998</v>
      </c>
      <c r="D194" s="69">
        <f>IFERROR(_xlfn.XLOOKUP($B:$B,Google!A:A,Google!C:C,),0)</f>
        <v>0</v>
      </c>
      <c r="E194" s="70" t="e">
        <f>SUMIF(#REF!,'Compilado 2023 (2)'!$B:$B,#REF!)</f>
        <v>#REF!</v>
      </c>
      <c r="F194" s="70">
        <v>0</v>
      </c>
      <c r="G194" s="70">
        <f ca="1">_xlfn.XLOOKUP(B:B,'E-mail'!A:A,'E-mail'!C:C)</f>
        <v>51.612903225806448</v>
      </c>
      <c r="H194" s="70">
        <f>IFERROR(_xlfn.XLOOKUP($B:$B,#REF!,#REF!),0)</f>
        <v>0</v>
      </c>
      <c r="I194" s="70">
        <v>0</v>
      </c>
      <c r="J194" s="70">
        <v>0</v>
      </c>
      <c r="K194" s="70">
        <v>0</v>
      </c>
      <c r="L194" s="59"/>
      <c r="M194" s="70">
        <v>0</v>
      </c>
      <c r="N194" s="70">
        <v>0</v>
      </c>
      <c r="O194" s="70">
        <v>0</v>
      </c>
      <c r="P194" s="38"/>
      <c r="Q194" s="40"/>
    </row>
    <row r="195" spans="1:17" s="2" customFormat="1" x14ac:dyDescent="0.2">
      <c r="A195" s="16" t="str">
        <f t="shared" ref="A195:A258" si="6">TEXT(B195,"DDDD")</f>
        <v>terça-feira</v>
      </c>
      <c r="B195" s="17">
        <f t="shared" si="5"/>
        <v>44754</v>
      </c>
      <c r="C195" s="52">
        <f>IFERROR(_xlfn.XLOOKUP($B:$B,'Estatísticos Mensais'!$A:$A,'Estatísticos Mensais'!C:C),0)</f>
        <v>39520.199999999997</v>
      </c>
      <c r="D195" s="69">
        <f>IFERROR(_xlfn.XLOOKUP($B:$B,Google!A:A,Google!C:C,),0)</f>
        <v>853.98</v>
      </c>
      <c r="E195" s="70" t="e">
        <f>SUMIF(#REF!,'Compilado 2023 (2)'!$B:$B,#REF!)</f>
        <v>#REF!</v>
      </c>
      <c r="F195" s="70">
        <v>0</v>
      </c>
      <c r="G195" s="70">
        <f ca="1">_xlfn.XLOOKUP(B:B,'E-mail'!A:A,'E-mail'!C:C)</f>
        <v>51.612903225806448</v>
      </c>
      <c r="H195" s="70">
        <f>IFERROR(_xlfn.XLOOKUP($B:$B,#REF!,#REF!),0)</f>
        <v>0</v>
      </c>
      <c r="I195" s="70">
        <v>0</v>
      </c>
      <c r="J195" s="70">
        <v>0</v>
      </c>
      <c r="K195" s="70">
        <v>0</v>
      </c>
      <c r="L195" s="59"/>
      <c r="M195" s="70">
        <v>0</v>
      </c>
      <c r="N195" s="70">
        <v>0</v>
      </c>
      <c r="O195" s="70">
        <v>0</v>
      </c>
      <c r="P195" s="38"/>
      <c r="Q195" s="40"/>
    </row>
    <row r="196" spans="1:17" s="2" customFormat="1" x14ac:dyDescent="0.2">
      <c r="A196" s="16" t="str">
        <f t="shared" si="6"/>
        <v>quarta-feira</v>
      </c>
      <c r="B196" s="17">
        <f t="shared" si="5"/>
        <v>44755</v>
      </c>
      <c r="C196" s="52">
        <f>IFERROR(_xlfn.XLOOKUP($B:$B,'Estatísticos Mensais'!$A:$A,'Estatísticos Mensais'!C:C),0)</f>
        <v>29344.74</v>
      </c>
      <c r="D196" s="69">
        <f>IFERROR(_xlfn.XLOOKUP($B:$B,Google!A:A,Google!C:C,),0)</f>
        <v>788.24</v>
      </c>
      <c r="E196" s="70" t="e">
        <f>SUMIF(#REF!,'Compilado 2023 (2)'!$B:$B,#REF!)</f>
        <v>#REF!</v>
      </c>
      <c r="F196" s="70">
        <v>0</v>
      </c>
      <c r="G196" s="70">
        <f ca="1">_xlfn.XLOOKUP(B:B,'E-mail'!A:A,'E-mail'!C:C)</f>
        <v>51.612903225806448</v>
      </c>
      <c r="H196" s="70">
        <f>IFERROR(_xlfn.XLOOKUP($B:$B,#REF!,#REF!),0)</f>
        <v>0</v>
      </c>
      <c r="I196" s="70">
        <v>0</v>
      </c>
      <c r="J196" s="70">
        <v>0</v>
      </c>
      <c r="K196" s="70">
        <v>0</v>
      </c>
      <c r="L196" s="59"/>
      <c r="M196" s="70">
        <v>0</v>
      </c>
      <c r="N196" s="70">
        <v>0</v>
      </c>
      <c r="O196" s="70">
        <v>0</v>
      </c>
      <c r="P196" s="38"/>
      <c r="Q196" s="40"/>
    </row>
    <row r="197" spans="1:17" s="2" customFormat="1" x14ac:dyDescent="0.2">
      <c r="A197" s="16" t="str">
        <f t="shared" si="6"/>
        <v>quinta-feira</v>
      </c>
      <c r="B197" s="17">
        <f t="shared" ref="B197:B260" si="7">B196+1</f>
        <v>44756</v>
      </c>
      <c r="C197" s="52">
        <f>IFERROR(_xlfn.XLOOKUP($B:$B,'Estatísticos Mensais'!$A:$A,'Estatísticos Mensais'!C:C),0)</f>
        <v>43354.31</v>
      </c>
      <c r="D197" s="69">
        <f>IFERROR(_xlfn.XLOOKUP($B:$B,Google!A:A,Google!C:C,),0)</f>
        <v>644.99</v>
      </c>
      <c r="E197" s="70" t="e">
        <f>SUMIF(#REF!,'Compilado 2023 (2)'!$B:$B,#REF!)</f>
        <v>#REF!</v>
      </c>
      <c r="F197" s="70">
        <v>0</v>
      </c>
      <c r="G197" s="70">
        <f ca="1">_xlfn.XLOOKUP(B:B,'E-mail'!A:A,'E-mail'!C:C)</f>
        <v>51.612903225806448</v>
      </c>
      <c r="H197" s="70">
        <f>IFERROR(_xlfn.XLOOKUP($B:$B,#REF!,#REF!),0)</f>
        <v>0</v>
      </c>
      <c r="I197" s="70">
        <v>0</v>
      </c>
      <c r="J197" s="70">
        <v>0</v>
      </c>
      <c r="K197" s="70">
        <v>0</v>
      </c>
      <c r="L197" s="59"/>
      <c r="M197" s="70">
        <v>0</v>
      </c>
      <c r="N197" s="70">
        <v>0</v>
      </c>
      <c r="O197" s="70">
        <v>0</v>
      </c>
      <c r="P197" s="38"/>
      <c r="Q197" s="40"/>
    </row>
    <row r="198" spans="1:17" s="2" customFormat="1" x14ac:dyDescent="0.2">
      <c r="A198" s="16" t="str">
        <f t="shared" si="6"/>
        <v>sexta-feira</v>
      </c>
      <c r="B198" s="17">
        <f t="shared" si="7"/>
        <v>44757</v>
      </c>
      <c r="C198" s="52">
        <f>IFERROR(_xlfn.XLOOKUP($B:$B,'Estatísticos Mensais'!$A:$A,'Estatísticos Mensais'!C:C),0)</f>
        <v>31410.61</v>
      </c>
      <c r="D198" s="69">
        <f>IFERROR(_xlfn.XLOOKUP($B:$B,Google!A:A,Google!C:C,),0)</f>
        <v>566.66</v>
      </c>
      <c r="E198" s="70" t="e">
        <f>SUMIF(#REF!,'Compilado 2023 (2)'!$B:$B,#REF!)</f>
        <v>#REF!</v>
      </c>
      <c r="F198" s="70">
        <v>0</v>
      </c>
      <c r="G198" s="70">
        <f ca="1">_xlfn.XLOOKUP(B:B,'E-mail'!A:A,'E-mail'!C:C)</f>
        <v>51.612903225806448</v>
      </c>
      <c r="H198" s="70">
        <f>IFERROR(_xlfn.XLOOKUP($B:$B,#REF!,#REF!),0)</f>
        <v>0</v>
      </c>
      <c r="I198" s="70">
        <v>0</v>
      </c>
      <c r="J198" s="70">
        <v>0</v>
      </c>
      <c r="K198" s="70">
        <v>0</v>
      </c>
      <c r="L198" s="59"/>
      <c r="M198" s="70">
        <v>0</v>
      </c>
      <c r="N198" s="70">
        <v>0</v>
      </c>
      <c r="O198" s="70">
        <v>0</v>
      </c>
      <c r="P198" s="38"/>
      <c r="Q198" s="40"/>
    </row>
    <row r="199" spans="1:17" s="2" customFormat="1" x14ac:dyDescent="0.2">
      <c r="A199" s="16" t="str">
        <f t="shared" si="6"/>
        <v>sábado</v>
      </c>
      <c r="B199" s="17">
        <f t="shared" si="7"/>
        <v>44758</v>
      </c>
      <c r="C199" s="52">
        <f>IFERROR(_xlfn.XLOOKUP($B:$B,'Estatísticos Mensais'!$A:$A,'Estatísticos Mensais'!C:C),0)</f>
        <v>25911.83</v>
      </c>
      <c r="D199" s="69">
        <f>IFERROR(_xlfn.XLOOKUP($B:$B,Google!A:A,Google!C:C,),0)</f>
        <v>463.59</v>
      </c>
      <c r="E199" s="70" t="e">
        <f>SUMIF(#REF!,'Compilado 2023 (2)'!$B:$B,#REF!)</f>
        <v>#REF!</v>
      </c>
      <c r="F199" s="70">
        <v>0</v>
      </c>
      <c r="G199" s="70">
        <f ca="1">_xlfn.XLOOKUP(B:B,'E-mail'!A:A,'E-mail'!C:C)</f>
        <v>51.612903225806448</v>
      </c>
      <c r="H199" s="70">
        <f>IFERROR(_xlfn.XLOOKUP($B:$B,#REF!,#REF!),0)</f>
        <v>0</v>
      </c>
      <c r="I199" s="70">
        <v>0</v>
      </c>
      <c r="J199" s="70">
        <v>0</v>
      </c>
      <c r="K199" s="70">
        <v>0</v>
      </c>
      <c r="L199" s="59"/>
      <c r="M199" s="70">
        <v>0</v>
      </c>
      <c r="N199" s="70">
        <v>0</v>
      </c>
      <c r="O199" s="70">
        <v>0</v>
      </c>
      <c r="P199" s="38"/>
      <c r="Q199" s="40"/>
    </row>
    <row r="200" spans="1:17" s="2" customFormat="1" x14ac:dyDescent="0.2">
      <c r="A200" s="16" t="str">
        <f t="shared" si="6"/>
        <v>domingo</v>
      </c>
      <c r="B200" s="17">
        <f t="shared" si="7"/>
        <v>44759</v>
      </c>
      <c r="C200" s="52">
        <f>IFERROR(_xlfn.XLOOKUP($B:$B,'Estatísticos Mensais'!$A:$A,'Estatísticos Mensais'!C:C),0)</f>
        <v>16770.150000000001</v>
      </c>
      <c r="D200" s="69">
        <f>IFERROR(_xlfn.XLOOKUP($B:$B,Google!A:A,Google!C:C,),0)</f>
        <v>428.38</v>
      </c>
      <c r="E200" s="70" t="e">
        <f>SUMIF(#REF!,'Compilado 2023 (2)'!$B:$B,#REF!)</f>
        <v>#REF!</v>
      </c>
      <c r="F200" s="70">
        <v>0</v>
      </c>
      <c r="G200" s="70">
        <f ca="1">_xlfn.XLOOKUP(B:B,'E-mail'!A:A,'E-mail'!C:C)</f>
        <v>51.612903225806448</v>
      </c>
      <c r="H200" s="70">
        <f>IFERROR(_xlfn.XLOOKUP($B:$B,#REF!,#REF!),0)</f>
        <v>0</v>
      </c>
      <c r="I200" s="70">
        <v>0</v>
      </c>
      <c r="J200" s="70">
        <v>0</v>
      </c>
      <c r="K200" s="70">
        <v>0</v>
      </c>
      <c r="L200" s="59"/>
      <c r="M200" s="70">
        <v>0</v>
      </c>
      <c r="N200" s="70">
        <v>0</v>
      </c>
      <c r="O200" s="70">
        <v>0</v>
      </c>
      <c r="P200" s="38"/>
      <c r="Q200" s="40"/>
    </row>
    <row r="201" spans="1:17" s="2" customFormat="1" x14ac:dyDescent="0.2">
      <c r="A201" s="16" t="str">
        <f t="shared" si="6"/>
        <v>segunda-feira</v>
      </c>
      <c r="B201" s="17">
        <f t="shared" si="7"/>
        <v>44760</v>
      </c>
      <c r="C201" s="52">
        <f>IFERROR(_xlfn.XLOOKUP($B:$B,'Estatísticos Mensais'!$A:$A,'Estatísticos Mensais'!C:C),0)</f>
        <v>44997.21</v>
      </c>
      <c r="D201" s="69">
        <f>IFERROR(_xlfn.XLOOKUP($B:$B,Google!A:A,Google!C:C,),0)</f>
        <v>729.38</v>
      </c>
      <c r="E201" s="70" t="e">
        <f>SUMIF(#REF!,'Compilado 2023 (2)'!$B:$B,#REF!)</f>
        <v>#REF!</v>
      </c>
      <c r="F201" s="70">
        <v>0</v>
      </c>
      <c r="G201" s="70">
        <f ca="1">_xlfn.XLOOKUP(B:B,'E-mail'!A:A,'E-mail'!C:C)</f>
        <v>51.612903225806448</v>
      </c>
      <c r="H201" s="70">
        <f>IFERROR(_xlfn.XLOOKUP($B:$B,#REF!,#REF!),0)</f>
        <v>0</v>
      </c>
      <c r="I201" s="70">
        <v>0</v>
      </c>
      <c r="J201" s="70">
        <v>0</v>
      </c>
      <c r="K201" s="70">
        <v>0</v>
      </c>
      <c r="L201" s="59"/>
      <c r="M201" s="70">
        <v>0</v>
      </c>
      <c r="N201" s="70">
        <v>0</v>
      </c>
      <c r="O201" s="70">
        <v>0</v>
      </c>
      <c r="P201" s="38"/>
      <c r="Q201" s="40"/>
    </row>
    <row r="202" spans="1:17" s="2" customFormat="1" x14ac:dyDescent="0.2">
      <c r="A202" s="16" t="str">
        <f t="shared" si="6"/>
        <v>terça-feira</v>
      </c>
      <c r="B202" s="17">
        <f t="shared" si="7"/>
        <v>44761</v>
      </c>
      <c r="C202" s="52">
        <f>IFERROR(_xlfn.XLOOKUP($B:$B,'Estatísticos Mensais'!$A:$A,'Estatísticos Mensais'!C:C),0)</f>
        <v>30103.75</v>
      </c>
      <c r="D202" s="69">
        <f>IFERROR(_xlfn.XLOOKUP($B:$B,Google!A:A,Google!C:C,),0)</f>
        <v>606.92999999999995</v>
      </c>
      <c r="E202" s="70" t="e">
        <f>SUMIF(#REF!,'Compilado 2023 (2)'!$B:$B,#REF!)</f>
        <v>#REF!</v>
      </c>
      <c r="F202" s="70">
        <v>0</v>
      </c>
      <c r="G202" s="70">
        <f ca="1">_xlfn.XLOOKUP(B:B,'E-mail'!A:A,'E-mail'!C:C)</f>
        <v>51.612903225806448</v>
      </c>
      <c r="H202" s="70">
        <f>IFERROR(_xlfn.XLOOKUP($B:$B,#REF!,#REF!),0)</f>
        <v>0</v>
      </c>
      <c r="I202" s="70">
        <v>0</v>
      </c>
      <c r="J202" s="70">
        <v>0</v>
      </c>
      <c r="K202" s="70">
        <v>0</v>
      </c>
      <c r="L202" s="59"/>
      <c r="M202" s="70">
        <v>0</v>
      </c>
      <c r="N202" s="70">
        <v>0</v>
      </c>
      <c r="O202" s="70">
        <v>0</v>
      </c>
      <c r="P202" s="38"/>
      <c r="Q202" s="40"/>
    </row>
    <row r="203" spans="1:17" s="2" customFormat="1" x14ac:dyDescent="0.2">
      <c r="A203" s="16" t="str">
        <f t="shared" si="6"/>
        <v>quarta-feira</v>
      </c>
      <c r="B203" s="17">
        <f t="shared" si="7"/>
        <v>44762</v>
      </c>
      <c r="C203" s="52">
        <f>IFERROR(_xlfn.XLOOKUP($B:$B,'Estatísticos Mensais'!$A:$A,'Estatísticos Mensais'!C:C),0)</f>
        <v>38441.449999999997</v>
      </c>
      <c r="D203" s="69">
        <f>IFERROR(_xlfn.XLOOKUP($B:$B,Google!A:A,Google!C:C,),0)</f>
        <v>599.52</v>
      </c>
      <c r="E203" s="70" t="e">
        <f>SUMIF(#REF!,'Compilado 2023 (2)'!$B:$B,#REF!)</f>
        <v>#REF!</v>
      </c>
      <c r="F203" s="70">
        <v>0</v>
      </c>
      <c r="G203" s="70">
        <f ca="1">_xlfn.XLOOKUP(B:B,'E-mail'!A:A,'E-mail'!C:C)</f>
        <v>51.612903225806448</v>
      </c>
      <c r="H203" s="70">
        <f>IFERROR(_xlfn.XLOOKUP($B:$B,#REF!,#REF!),0)</f>
        <v>0</v>
      </c>
      <c r="I203" s="70">
        <v>0</v>
      </c>
      <c r="J203" s="70">
        <v>0</v>
      </c>
      <c r="K203" s="70">
        <v>0</v>
      </c>
      <c r="L203" s="59"/>
      <c r="M203" s="70">
        <v>0</v>
      </c>
      <c r="N203" s="70">
        <v>0</v>
      </c>
      <c r="O203" s="70">
        <v>0</v>
      </c>
      <c r="P203" s="38"/>
      <c r="Q203" s="40"/>
    </row>
    <row r="204" spans="1:17" s="2" customFormat="1" x14ac:dyDescent="0.2">
      <c r="A204" s="16" t="str">
        <f t="shared" si="6"/>
        <v>quinta-feira</v>
      </c>
      <c r="B204" s="17">
        <f t="shared" si="7"/>
        <v>44763</v>
      </c>
      <c r="C204" s="52">
        <f>IFERROR(_xlfn.XLOOKUP($B:$B,'Estatísticos Mensais'!$A:$A,'Estatísticos Mensais'!C:C),0)</f>
        <v>43931.29</v>
      </c>
      <c r="D204" s="69">
        <f>IFERROR(_xlfn.XLOOKUP($B:$B,Google!A:A,Google!C:C,),0)</f>
        <v>621.15</v>
      </c>
      <c r="E204" s="70" t="e">
        <f>SUMIF(#REF!,'Compilado 2023 (2)'!$B:$B,#REF!)</f>
        <v>#REF!</v>
      </c>
      <c r="F204" s="70">
        <v>0</v>
      </c>
      <c r="G204" s="70">
        <f ca="1">_xlfn.XLOOKUP(B:B,'E-mail'!A:A,'E-mail'!C:C)</f>
        <v>51.612903225806448</v>
      </c>
      <c r="H204" s="70">
        <f>IFERROR(_xlfn.XLOOKUP($B:$B,#REF!,#REF!),0)</f>
        <v>0</v>
      </c>
      <c r="I204" s="70">
        <v>0</v>
      </c>
      <c r="J204" s="70">
        <v>0</v>
      </c>
      <c r="K204" s="70">
        <v>0</v>
      </c>
      <c r="L204" s="59"/>
      <c r="M204" s="70">
        <v>0</v>
      </c>
      <c r="N204" s="70">
        <v>0</v>
      </c>
      <c r="O204" s="70">
        <v>0</v>
      </c>
      <c r="P204" s="38"/>
      <c r="Q204" s="40"/>
    </row>
    <row r="205" spans="1:17" s="2" customFormat="1" x14ac:dyDescent="0.2">
      <c r="A205" s="16" t="str">
        <f t="shared" si="6"/>
        <v>sexta-feira</v>
      </c>
      <c r="B205" s="17">
        <f t="shared" si="7"/>
        <v>44764</v>
      </c>
      <c r="C205" s="52">
        <f>IFERROR(_xlfn.XLOOKUP($B:$B,'Estatísticos Mensais'!$A:$A,'Estatísticos Mensais'!C:C),0)</f>
        <v>45932.66</v>
      </c>
      <c r="D205" s="69">
        <f>IFERROR(_xlfn.XLOOKUP($B:$B,Google!A:A,Google!C:C,),0)</f>
        <v>544</v>
      </c>
      <c r="E205" s="70" t="e">
        <f>SUMIF(#REF!,'Compilado 2023 (2)'!$B:$B,#REF!)</f>
        <v>#REF!</v>
      </c>
      <c r="F205" s="70">
        <v>0</v>
      </c>
      <c r="G205" s="70">
        <f ca="1">_xlfn.XLOOKUP(B:B,'E-mail'!A:A,'E-mail'!C:C)</f>
        <v>51.612903225806448</v>
      </c>
      <c r="H205" s="70">
        <f>IFERROR(_xlfn.XLOOKUP($B:$B,#REF!,#REF!),0)</f>
        <v>0</v>
      </c>
      <c r="I205" s="70">
        <v>0</v>
      </c>
      <c r="J205" s="70">
        <v>0</v>
      </c>
      <c r="K205" s="70">
        <v>0</v>
      </c>
      <c r="L205" s="59"/>
      <c r="M205" s="70">
        <v>0</v>
      </c>
      <c r="N205" s="70">
        <v>0</v>
      </c>
      <c r="O205" s="70">
        <v>0</v>
      </c>
      <c r="P205" s="38"/>
      <c r="Q205" s="40"/>
    </row>
    <row r="206" spans="1:17" s="2" customFormat="1" x14ac:dyDescent="0.2">
      <c r="A206" s="16" t="str">
        <f t="shared" si="6"/>
        <v>sábado</v>
      </c>
      <c r="B206" s="17">
        <f t="shared" si="7"/>
        <v>44765</v>
      </c>
      <c r="C206" s="52">
        <f>IFERROR(_xlfn.XLOOKUP($B:$B,'Estatísticos Mensais'!$A:$A,'Estatísticos Mensais'!C:C),0)</f>
        <v>29208.240000000002</v>
      </c>
      <c r="D206" s="69">
        <f>IFERROR(_xlfn.XLOOKUP($B:$B,Google!A:A,Google!C:C,),0)</f>
        <v>425.99</v>
      </c>
      <c r="E206" s="70" t="e">
        <f>SUMIF(#REF!,'Compilado 2023 (2)'!$B:$B,#REF!)</f>
        <v>#REF!</v>
      </c>
      <c r="F206" s="70">
        <v>0</v>
      </c>
      <c r="G206" s="70">
        <f ca="1">_xlfn.XLOOKUP(B:B,'E-mail'!A:A,'E-mail'!C:C)</f>
        <v>51.612903225806448</v>
      </c>
      <c r="H206" s="70">
        <f>IFERROR(_xlfn.XLOOKUP($B:$B,#REF!,#REF!),0)</f>
        <v>0</v>
      </c>
      <c r="I206" s="70">
        <v>0</v>
      </c>
      <c r="J206" s="70">
        <v>0</v>
      </c>
      <c r="K206" s="70">
        <v>0</v>
      </c>
      <c r="L206" s="59"/>
      <c r="M206" s="70">
        <v>0</v>
      </c>
      <c r="N206" s="70">
        <v>0</v>
      </c>
      <c r="O206" s="70">
        <v>0</v>
      </c>
      <c r="P206" s="38"/>
      <c r="Q206" s="40"/>
    </row>
    <row r="207" spans="1:17" s="2" customFormat="1" x14ac:dyDescent="0.2">
      <c r="A207" s="16" t="str">
        <f t="shared" si="6"/>
        <v>domingo</v>
      </c>
      <c r="B207" s="17">
        <f t="shared" si="7"/>
        <v>44766</v>
      </c>
      <c r="C207" s="52">
        <f>IFERROR(_xlfn.XLOOKUP($B:$B,'Estatísticos Mensais'!$A:$A,'Estatísticos Mensais'!C:C),0)</f>
        <v>15852.57</v>
      </c>
      <c r="D207" s="69">
        <f>IFERROR(_xlfn.XLOOKUP($B:$B,Google!A:A,Google!C:C,),0)</f>
        <v>362.66</v>
      </c>
      <c r="E207" s="70" t="e">
        <f>SUMIF(#REF!,'Compilado 2023 (2)'!$B:$B,#REF!)</f>
        <v>#REF!</v>
      </c>
      <c r="F207" s="70">
        <v>0</v>
      </c>
      <c r="G207" s="70">
        <f ca="1">_xlfn.XLOOKUP(B:B,'E-mail'!A:A,'E-mail'!C:C)</f>
        <v>51.612903225806448</v>
      </c>
      <c r="H207" s="70">
        <f>IFERROR(_xlfn.XLOOKUP($B:$B,#REF!,#REF!),0)</f>
        <v>0</v>
      </c>
      <c r="I207" s="70">
        <v>0</v>
      </c>
      <c r="J207" s="70">
        <v>0</v>
      </c>
      <c r="K207" s="70">
        <v>0</v>
      </c>
      <c r="L207" s="59"/>
      <c r="M207" s="70">
        <v>0</v>
      </c>
      <c r="N207" s="70">
        <v>0</v>
      </c>
      <c r="O207" s="70">
        <v>0</v>
      </c>
      <c r="P207" s="38"/>
      <c r="Q207" s="40"/>
    </row>
    <row r="208" spans="1:17" s="2" customFormat="1" x14ac:dyDescent="0.2">
      <c r="A208" s="16" t="str">
        <f t="shared" si="6"/>
        <v>segunda-feira</v>
      </c>
      <c r="B208" s="17">
        <f t="shared" si="7"/>
        <v>44767</v>
      </c>
      <c r="C208" s="52">
        <f>IFERROR(_xlfn.XLOOKUP($B:$B,'Estatísticos Mensais'!$A:$A,'Estatísticos Mensais'!C:C),0)</f>
        <v>42420.56</v>
      </c>
      <c r="D208" s="69">
        <f>IFERROR(_xlfn.XLOOKUP($B:$B,Google!A:A,Google!C:C,),0)</f>
        <v>725.77</v>
      </c>
      <c r="E208" s="70" t="e">
        <f>SUMIF(#REF!,'Compilado 2023 (2)'!$B:$B,#REF!)</f>
        <v>#REF!</v>
      </c>
      <c r="F208" s="70">
        <v>0</v>
      </c>
      <c r="G208" s="70">
        <f ca="1">_xlfn.XLOOKUP(B:B,'E-mail'!A:A,'E-mail'!C:C)</f>
        <v>51.612903225806448</v>
      </c>
      <c r="H208" s="70">
        <f>IFERROR(_xlfn.XLOOKUP($B:$B,#REF!,#REF!),0)</f>
        <v>0</v>
      </c>
      <c r="I208" s="70">
        <v>0</v>
      </c>
      <c r="J208" s="70">
        <v>0</v>
      </c>
      <c r="K208" s="70">
        <v>0</v>
      </c>
      <c r="L208" s="59"/>
      <c r="M208" s="70">
        <v>0</v>
      </c>
      <c r="N208" s="70">
        <v>0</v>
      </c>
      <c r="O208" s="70">
        <v>0</v>
      </c>
      <c r="P208" s="38"/>
      <c r="Q208" s="40"/>
    </row>
    <row r="209" spans="1:17" s="2" customFormat="1" x14ac:dyDescent="0.2">
      <c r="A209" s="16" t="str">
        <f t="shared" si="6"/>
        <v>terça-feira</v>
      </c>
      <c r="B209" s="17">
        <f t="shared" si="7"/>
        <v>44768</v>
      </c>
      <c r="C209" s="52">
        <f>IFERROR(_xlfn.XLOOKUP($B:$B,'Estatísticos Mensais'!$A:$A,'Estatísticos Mensais'!C:C),0)</f>
        <v>41337.86</v>
      </c>
      <c r="D209" s="69">
        <f>IFERROR(_xlfn.XLOOKUP($B:$B,Google!A:A,Google!C:C,),0)</f>
        <v>610.45000000000005</v>
      </c>
      <c r="E209" s="70" t="e">
        <f>SUMIF(#REF!,'Compilado 2023 (2)'!$B:$B,#REF!)</f>
        <v>#REF!</v>
      </c>
      <c r="F209" s="70">
        <v>0</v>
      </c>
      <c r="G209" s="70">
        <f ca="1">_xlfn.XLOOKUP(B:B,'E-mail'!A:A,'E-mail'!C:C)</f>
        <v>51.612903225806448</v>
      </c>
      <c r="H209" s="70">
        <f>IFERROR(_xlfn.XLOOKUP($B:$B,#REF!,#REF!),0)</f>
        <v>0</v>
      </c>
      <c r="I209" s="70">
        <v>0</v>
      </c>
      <c r="J209" s="70">
        <v>0</v>
      </c>
      <c r="K209" s="70">
        <v>0</v>
      </c>
      <c r="L209" s="59"/>
      <c r="M209" s="70">
        <v>0</v>
      </c>
      <c r="N209" s="70">
        <v>0</v>
      </c>
      <c r="O209" s="70">
        <v>0</v>
      </c>
      <c r="P209" s="38"/>
      <c r="Q209" s="40"/>
    </row>
    <row r="210" spans="1:17" s="2" customFormat="1" x14ac:dyDescent="0.2">
      <c r="A210" s="16" t="str">
        <f t="shared" si="6"/>
        <v>quarta-feira</v>
      </c>
      <c r="B210" s="17">
        <f t="shared" si="7"/>
        <v>44769</v>
      </c>
      <c r="C210" s="52">
        <f>IFERROR(_xlfn.XLOOKUP($B:$B,'Estatísticos Mensais'!$A:$A,'Estatísticos Mensais'!C:C),0)</f>
        <v>43697.78</v>
      </c>
      <c r="D210" s="69">
        <f>IFERROR(_xlfn.XLOOKUP($B:$B,Google!A:A,Google!C:C,),0)</f>
        <v>611.41999999999996</v>
      </c>
      <c r="E210" s="70" t="e">
        <f>SUMIF(#REF!,'Compilado 2023 (2)'!$B:$B,#REF!)</f>
        <v>#REF!</v>
      </c>
      <c r="F210" s="70">
        <v>0</v>
      </c>
      <c r="G210" s="70">
        <f ca="1">_xlfn.XLOOKUP(B:B,'E-mail'!A:A,'E-mail'!C:C)</f>
        <v>51.612903225806448</v>
      </c>
      <c r="H210" s="70">
        <f>IFERROR(_xlfn.XLOOKUP($B:$B,#REF!,#REF!),0)</f>
        <v>0</v>
      </c>
      <c r="I210" s="70">
        <v>0</v>
      </c>
      <c r="J210" s="70">
        <v>0</v>
      </c>
      <c r="K210" s="70">
        <v>0</v>
      </c>
      <c r="L210" s="59"/>
      <c r="M210" s="70">
        <v>0</v>
      </c>
      <c r="N210" s="70">
        <v>0</v>
      </c>
      <c r="O210" s="70">
        <v>0</v>
      </c>
      <c r="P210" s="38"/>
      <c r="Q210" s="40"/>
    </row>
    <row r="211" spans="1:17" s="2" customFormat="1" x14ac:dyDescent="0.2">
      <c r="A211" s="16" t="str">
        <f t="shared" si="6"/>
        <v>quinta-feira</v>
      </c>
      <c r="B211" s="17">
        <f t="shared" si="7"/>
        <v>44770</v>
      </c>
      <c r="C211" s="52">
        <f>IFERROR(_xlfn.XLOOKUP($B:$B,'Estatísticos Mensais'!$A:$A,'Estatísticos Mensais'!C:C),0)</f>
        <v>45484.15</v>
      </c>
      <c r="D211" s="69">
        <f>IFERROR(_xlfn.XLOOKUP($B:$B,Google!A:A,Google!C:C,),0)</f>
        <v>620.84</v>
      </c>
      <c r="E211" s="70" t="e">
        <f>SUMIF(#REF!,'Compilado 2023 (2)'!$B:$B,#REF!)</f>
        <v>#REF!</v>
      </c>
      <c r="F211" s="70">
        <v>0</v>
      </c>
      <c r="G211" s="70">
        <f ca="1">_xlfn.XLOOKUP(B:B,'E-mail'!A:A,'E-mail'!C:C)</f>
        <v>51.612903225806448</v>
      </c>
      <c r="H211" s="70">
        <f>IFERROR(_xlfn.XLOOKUP($B:$B,#REF!,#REF!),0)</f>
        <v>0</v>
      </c>
      <c r="I211" s="70">
        <v>0</v>
      </c>
      <c r="J211" s="70">
        <v>0</v>
      </c>
      <c r="K211" s="70">
        <v>0</v>
      </c>
      <c r="L211" s="59"/>
      <c r="M211" s="70">
        <v>0</v>
      </c>
      <c r="N211" s="70">
        <v>0</v>
      </c>
      <c r="O211" s="70">
        <v>0</v>
      </c>
      <c r="P211" s="38"/>
      <c r="Q211" s="40"/>
    </row>
    <row r="212" spans="1:17" s="2" customFormat="1" x14ac:dyDescent="0.2">
      <c r="A212" s="16" t="str">
        <f t="shared" si="6"/>
        <v>sexta-feira</v>
      </c>
      <c r="B212" s="17">
        <f t="shared" si="7"/>
        <v>44771</v>
      </c>
      <c r="C212" s="52">
        <f>IFERROR(_xlfn.XLOOKUP($B:$B,'Estatísticos Mensais'!$A:$A,'Estatísticos Mensais'!C:C),0)</f>
        <v>54603.91</v>
      </c>
      <c r="D212" s="69">
        <f>IFERROR(_xlfn.XLOOKUP($B:$B,Google!A:A,Google!C:C,),0)</f>
        <v>508.54</v>
      </c>
      <c r="E212" s="70" t="e">
        <f>SUMIF(#REF!,'Compilado 2023 (2)'!$B:$B,#REF!)</f>
        <v>#REF!</v>
      </c>
      <c r="F212" s="70">
        <v>0</v>
      </c>
      <c r="G212" s="70">
        <f ca="1">_xlfn.XLOOKUP(B:B,'E-mail'!A:A,'E-mail'!C:C)</f>
        <v>51.612903225806448</v>
      </c>
      <c r="H212" s="70">
        <f>IFERROR(_xlfn.XLOOKUP($B:$B,#REF!,#REF!),0)</f>
        <v>0</v>
      </c>
      <c r="I212" s="70">
        <v>0</v>
      </c>
      <c r="J212" s="70">
        <v>0</v>
      </c>
      <c r="K212" s="70">
        <v>0</v>
      </c>
      <c r="L212" s="59"/>
      <c r="M212" s="70">
        <v>0</v>
      </c>
      <c r="N212" s="70">
        <v>0</v>
      </c>
      <c r="O212" s="70">
        <v>0</v>
      </c>
      <c r="P212" s="38"/>
      <c r="Q212" s="40"/>
    </row>
    <row r="213" spans="1:17" s="2" customFormat="1" x14ac:dyDescent="0.2">
      <c r="A213" s="16" t="str">
        <f t="shared" si="6"/>
        <v>sábado</v>
      </c>
      <c r="B213" s="17">
        <f t="shared" si="7"/>
        <v>44772</v>
      </c>
      <c r="C213" s="52">
        <f>IFERROR(_xlfn.XLOOKUP($B:$B,'Estatísticos Mensais'!$A:$A,'Estatísticos Mensais'!C:C),0)</f>
        <v>33714.1</v>
      </c>
      <c r="D213" s="69">
        <f>IFERROR(_xlfn.XLOOKUP($B:$B,Google!A:A,Google!C:C,),0)</f>
        <v>398.9</v>
      </c>
      <c r="E213" s="70" t="e">
        <f>SUMIF(#REF!,'Compilado 2023 (2)'!$B:$B,#REF!)</f>
        <v>#REF!</v>
      </c>
      <c r="F213" s="70">
        <v>0</v>
      </c>
      <c r="G213" s="70">
        <f ca="1">_xlfn.XLOOKUP(B:B,'E-mail'!A:A,'E-mail'!C:C)</f>
        <v>51.612903225806448</v>
      </c>
      <c r="H213" s="70">
        <f>IFERROR(_xlfn.XLOOKUP($B:$B,#REF!,#REF!),0)</f>
        <v>0</v>
      </c>
      <c r="I213" s="70">
        <v>0</v>
      </c>
      <c r="J213" s="70">
        <v>0</v>
      </c>
      <c r="K213" s="70">
        <v>0</v>
      </c>
      <c r="L213" s="59"/>
      <c r="M213" s="70">
        <v>0</v>
      </c>
      <c r="N213" s="70">
        <v>0</v>
      </c>
      <c r="O213" s="70">
        <v>0</v>
      </c>
      <c r="P213" s="38"/>
      <c r="Q213" s="40"/>
    </row>
    <row r="214" spans="1:17" s="2" customFormat="1" x14ac:dyDescent="0.2">
      <c r="A214" s="16" t="str">
        <f t="shared" si="6"/>
        <v>domingo</v>
      </c>
      <c r="B214" s="17">
        <f t="shared" si="7"/>
        <v>44773</v>
      </c>
      <c r="C214" s="52">
        <f>IFERROR(_xlfn.XLOOKUP($B:$B,'Estatísticos Mensais'!$A:$A,'Estatísticos Mensais'!C:C),0)</f>
        <v>29380.99</v>
      </c>
      <c r="D214" s="69">
        <f>IFERROR(_xlfn.XLOOKUP($B:$B,Google!A:A,Google!C:C,),0)</f>
        <v>392.58</v>
      </c>
      <c r="E214" s="70" t="e">
        <f>SUMIF(#REF!,'Compilado 2023 (2)'!$B:$B,#REF!)</f>
        <v>#REF!</v>
      </c>
      <c r="F214" s="70">
        <v>0</v>
      </c>
      <c r="G214" s="70">
        <f ca="1">_xlfn.XLOOKUP(B:B,'E-mail'!A:A,'E-mail'!C:C)</f>
        <v>51.612903225806448</v>
      </c>
      <c r="H214" s="70">
        <f>IFERROR(_xlfn.XLOOKUP($B:$B,#REF!,#REF!),0)</f>
        <v>0</v>
      </c>
      <c r="I214" s="70">
        <v>0</v>
      </c>
      <c r="J214" s="70">
        <v>0</v>
      </c>
      <c r="K214" s="70">
        <v>0</v>
      </c>
      <c r="L214" s="59"/>
      <c r="M214" s="70">
        <v>0</v>
      </c>
      <c r="N214" s="70">
        <v>0</v>
      </c>
      <c r="O214" s="70">
        <v>0</v>
      </c>
      <c r="P214" s="38"/>
      <c r="Q214" s="40"/>
    </row>
    <row r="215" spans="1:17" s="2" customFormat="1" x14ac:dyDescent="0.2">
      <c r="A215" s="16" t="str">
        <f t="shared" si="6"/>
        <v>segunda-feira</v>
      </c>
      <c r="B215" s="17">
        <f t="shared" si="7"/>
        <v>44774</v>
      </c>
      <c r="C215" s="52">
        <f>IFERROR(_xlfn.XLOOKUP($B:$B,'Estatísticos Mensais'!$A:$A,'Estatísticos Mensais'!C:C),0)</f>
        <v>52333.59</v>
      </c>
      <c r="D215" s="69">
        <f>IFERROR(_xlfn.XLOOKUP($B:$B,Google!A:A,Google!C:C,),0)</f>
        <v>580.66</v>
      </c>
      <c r="E215" s="70" t="e">
        <f>SUMIF(#REF!,'Compilado 2023 (2)'!$B:$B,#REF!)</f>
        <v>#REF!</v>
      </c>
      <c r="F215" s="70">
        <v>0</v>
      </c>
      <c r="G215" s="70">
        <f ca="1">_xlfn.XLOOKUP(B:B,'E-mail'!A:A,'E-mail'!C:C)</f>
        <v>51.612903225806448</v>
      </c>
      <c r="H215" s="70">
        <f>IFERROR(_xlfn.XLOOKUP($B:$B,#REF!,#REF!),0)</f>
        <v>0</v>
      </c>
      <c r="I215" s="70">
        <v>0</v>
      </c>
      <c r="J215" s="70">
        <v>0</v>
      </c>
      <c r="K215" s="70">
        <v>0</v>
      </c>
      <c r="L215" s="59"/>
      <c r="M215" s="70">
        <v>0</v>
      </c>
      <c r="N215" s="70">
        <v>0</v>
      </c>
      <c r="O215" s="70">
        <v>0</v>
      </c>
      <c r="P215" s="38"/>
      <c r="Q215" s="40"/>
    </row>
    <row r="216" spans="1:17" s="2" customFormat="1" x14ac:dyDescent="0.2">
      <c r="A216" s="16" t="str">
        <f t="shared" si="6"/>
        <v>terça-feira</v>
      </c>
      <c r="B216" s="17">
        <f t="shared" si="7"/>
        <v>44775</v>
      </c>
      <c r="C216" s="52">
        <f>IFERROR(_xlfn.XLOOKUP($B:$B,'Estatísticos Mensais'!$A:$A,'Estatísticos Mensais'!C:C),0)</f>
        <v>45930.39</v>
      </c>
      <c r="D216" s="69">
        <f>IFERROR(_xlfn.XLOOKUP($B:$B,Google!A:A,Google!C:C,),0)</f>
        <v>600.57000000000005</v>
      </c>
      <c r="E216" s="70" t="e">
        <f>SUMIF(#REF!,'Compilado 2023 (2)'!$B:$B,#REF!)</f>
        <v>#REF!</v>
      </c>
      <c r="F216" s="70">
        <v>0</v>
      </c>
      <c r="G216" s="70">
        <f ca="1">_xlfn.XLOOKUP(B:B,'E-mail'!A:A,'E-mail'!C:C)</f>
        <v>51.612903225806448</v>
      </c>
      <c r="H216" s="70">
        <f>IFERROR(_xlfn.XLOOKUP($B:$B,#REF!,#REF!),0)</f>
        <v>0</v>
      </c>
      <c r="I216" s="70">
        <v>0</v>
      </c>
      <c r="J216" s="70">
        <v>0</v>
      </c>
      <c r="K216" s="70">
        <v>0</v>
      </c>
      <c r="L216" s="59"/>
      <c r="M216" s="70">
        <v>0</v>
      </c>
      <c r="N216" s="70">
        <v>0</v>
      </c>
      <c r="O216" s="70">
        <v>0</v>
      </c>
      <c r="P216" s="38"/>
      <c r="Q216" s="40"/>
    </row>
    <row r="217" spans="1:17" s="2" customFormat="1" x14ac:dyDescent="0.2">
      <c r="A217" s="16" t="str">
        <f t="shared" si="6"/>
        <v>quarta-feira</v>
      </c>
      <c r="B217" s="17">
        <f t="shared" si="7"/>
        <v>44776</v>
      </c>
      <c r="C217" s="52">
        <f>IFERROR(_xlfn.XLOOKUP($B:$B,'Estatísticos Mensais'!$A:$A,'Estatísticos Mensais'!C:C),0)</f>
        <v>45753.91</v>
      </c>
      <c r="D217" s="69">
        <f>IFERROR(_xlfn.XLOOKUP($B:$B,Google!A:A,Google!C:C,),0)</f>
        <v>584.9</v>
      </c>
      <c r="E217" s="70" t="e">
        <f>SUMIF(#REF!,'Compilado 2023 (2)'!$B:$B,#REF!)</f>
        <v>#REF!</v>
      </c>
      <c r="F217" s="70">
        <v>0</v>
      </c>
      <c r="G217" s="70">
        <f ca="1">_xlfn.XLOOKUP(B:B,'E-mail'!A:A,'E-mail'!C:C)</f>
        <v>51.612903225806448</v>
      </c>
      <c r="H217" s="70">
        <f>IFERROR(_xlfn.XLOOKUP($B:$B,#REF!,#REF!),0)</f>
        <v>0</v>
      </c>
      <c r="I217" s="70">
        <v>0</v>
      </c>
      <c r="J217" s="70">
        <v>0</v>
      </c>
      <c r="K217" s="70">
        <v>0</v>
      </c>
      <c r="L217" s="59"/>
      <c r="M217" s="70">
        <v>0</v>
      </c>
      <c r="N217" s="70">
        <v>0</v>
      </c>
      <c r="O217" s="70">
        <v>0</v>
      </c>
      <c r="P217" s="38"/>
      <c r="Q217" s="40"/>
    </row>
    <row r="218" spans="1:17" s="2" customFormat="1" x14ac:dyDescent="0.2">
      <c r="A218" s="16" t="str">
        <f t="shared" si="6"/>
        <v>quinta-feira</v>
      </c>
      <c r="B218" s="17">
        <f t="shared" si="7"/>
        <v>44777</v>
      </c>
      <c r="C218" s="52">
        <f>IFERROR(_xlfn.XLOOKUP($B:$B,'Estatísticos Mensais'!$A:$A,'Estatísticos Mensais'!C:C),0)</f>
        <v>44512.45</v>
      </c>
      <c r="D218" s="69">
        <f>IFERROR(_xlfn.XLOOKUP($B:$B,Google!A:A,Google!C:C,),0)</f>
        <v>572.59</v>
      </c>
      <c r="E218" s="70" t="e">
        <f>SUMIF(#REF!,'Compilado 2023 (2)'!$B:$B,#REF!)</f>
        <v>#REF!</v>
      </c>
      <c r="F218" s="70">
        <v>0</v>
      </c>
      <c r="G218" s="70">
        <f ca="1">_xlfn.XLOOKUP(B:B,'E-mail'!A:A,'E-mail'!C:C)</f>
        <v>51.612903225806448</v>
      </c>
      <c r="H218" s="70">
        <f>IFERROR(_xlfn.XLOOKUP($B:$B,#REF!,#REF!),0)</f>
        <v>0</v>
      </c>
      <c r="I218" s="70">
        <v>0</v>
      </c>
      <c r="J218" s="70">
        <v>0</v>
      </c>
      <c r="K218" s="70">
        <v>0</v>
      </c>
      <c r="L218" s="59"/>
      <c r="M218" s="70">
        <v>0</v>
      </c>
      <c r="N218" s="70">
        <v>0</v>
      </c>
      <c r="O218" s="70">
        <v>0</v>
      </c>
      <c r="P218" s="38"/>
      <c r="Q218" s="40"/>
    </row>
    <row r="219" spans="1:17" s="2" customFormat="1" x14ac:dyDescent="0.2">
      <c r="A219" s="16" t="str">
        <f t="shared" si="6"/>
        <v>sexta-feira</v>
      </c>
      <c r="B219" s="17">
        <f t="shared" si="7"/>
        <v>44778</v>
      </c>
      <c r="C219" s="52">
        <f>IFERROR(_xlfn.XLOOKUP($B:$B,'Estatísticos Mensais'!$A:$A,'Estatísticos Mensais'!C:C),0)</f>
        <v>45445.14</v>
      </c>
      <c r="D219" s="69">
        <f>IFERROR(_xlfn.XLOOKUP($B:$B,Google!A:A,Google!C:C,),0)</f>
        <v>600.07000000000005</v>
      </c>
      <c r="E219" s="70" t="e">
        <f>SUMIF(#REF!,'Compilado 2023 (2)'!$B:$B,#REF!)</f>
        <v>#REF!</v>
      </c>
      <c r="F219" s="70">
        <v>0</v>
      </c>
      <c r="G219" s="70">
        <f ca="1">_xlfn.XLOOKUP(B:B,'E-mail'!A:A,'E-mail'!C:C)</f>
        <v>51.612903225806448</v>
      </c>
      <c r="H219" s="70">
        <f>IFERROR(_xlfn.XLOOKUP($B:$B,#REF!,#REF!),0)</f>
        <v>0</v>
      </c>
      <c r="I219" s="70">
        <v>0</v>
      </c>
      <c r="J219" s="70">
        <v>0</v>
      </c>
      <c r="K219" s="70">
        <v>0</v>
      </c>
      <c r="L219" s="59"/>
      <c r="M219" s="70">
        <v>0</v>
      </c>
      <c r="N219" s="70">
        <v>0</v>
      </c>
      <c r="O219" s="70">
        <v>0</v>
      </c>
      <c r="P219" s="38"/>
      <c r="Q219" s="40"/>
    </row>
    <row r="220" spans="1:17" s="2" customFormat="1" x14ac:dyDescent="0.2">
      <c r="A220" s="16" t="str">
        <f t="shared" si="6"/>
        <v>sábado</v>
      </c>
      <c r="B220" s="17">
        <f t="shared" si="7"/>
        <v>44779</v>
      </c>
      <c r="C220" s="52">
        <f>IFERROR(_xlfn.XLOOKUP($B:$B,'Estatísticos Mensais'!$A:$A,'Estatísticos Mensais'!C:C),0)</f>
        <v>30290.46</v>
      </c>
      <c r="D220" s="69">
        <f>IFERROR(_xlfn.XLOOKUP($B:$B,Google!A:A,Google!C:C,),0)</f>
        <v>558.65</v>
      </c>
      <c r="E220" s="70" t="e">
        <f>SUMIF(#REF!,'Compilado 2023 (2)'!$B:$B,#REF!)</f>
        <v>#REF!</v>
      </c>
      <c r="F220" s="70">
        <v>0</v>
      </c>
      <c r="G220" s="70">
        <f ca="1">_xlfn.XLOOKUP(B:B,'E-mail'!A:A,'E-mail'!C:C)</f>
        <v>51.612903225806448</v>
      </c>
      <c r="H220" s="70">
        <f>IFERROR(_xlfn.XLOOKUP($B:$B,#REF!,#REF!),0)</f>
        <v>0</v>
      </c>
      <c r="I220" s="70">
        <v>0</v>
      </c>
      <c r="J220" s="70">
        <v>0</v>
      </c>
      <c r="K220" s="70">
        <v>0</v>
      </c>
      <c r="L220" s="59"/>
      <c r="M220" s="70">
        <v>0</v>
      </c>
      <c r="N220" s="70">
        <v>0</v>
      </c>
      <c r="O220" s="70">
        <v>0</v>
      </c>
      <c r="P220" s="38"/>
      <c r="Q220" s="40"/>
    </row>
    <row r="221" spans="1:17" s="2" customFormat="1" x14ac:dyDescent="0.2">
      <c r="A221" s="16" t="str">
        <f t="shared" si="6"/>
        <v>domingo</v>
      </c>
      <c r="B221" s="17">
        <f t="shared" si="7"/>
        <v>44780</v>
      </c>
      <c r="C221" s="52">
        <f>IFERROR(_xlfn.XLOOKUP($B:$B,'Estatísticos Mensais'!$A:$A,'Estatísticos Mensais'!C:C),0)</f>
        <v>24401.55</v>
      </c>
      <c r="D221" s="69">
        <f>IFERROR(_xlfn.XLOOKUP($B:$B,Google!A:A,Google!C:C,),0)</f>
        <v>529.92999999999995</v>
      </c>
      <c r="E221" s="70" t="e">
        <f>SUMIF(#REF!,'Compilado 2023 (2)'!$B:$B,#REF!)</f>
        <v>#REF!</v>
      </c>
      <c r="F221" s="70">
        <v>0</v>
      </c>
      <c r="G221" s="70">
        <f ca="1">_xlfn.XLOOKUP(B:B,'E-mail'!A:A,'E-mail'!C:C)</f>
        <v>51.612903225806448</v>
      </c>
      <c r="H221" s="70">
        <f>IFERROR(_xlfn.XLOOKUP($B:$B,#REF!,#REF!),0)</f>
        <v>0</v>
      </c>
      <c r="I221" s="70">
        <v>0</v>
      </c>
      <c r="J221" s="70">
        <v>0</v>
      </c>
      <c r="K221" s="70">
        <v>0</v>
      </c>
      <c r="L221" s="59"/>
      <c r="M221" s="70">
        <v>0</v>
      </c>
      <c r="N221" s="70">
        <v>0</v>
      </c>
      <c r="O221" s="70">
        <v>0</v>
      </c>
      <c r="P221" s="38"/>
      <c r="Q221" s="40"/>
    </row>
    <row r="222" spans="1:17" s="2" customFormat="1" x14ac:dyDescent="0.2">
      <c r="A222" s="16" t="str">
        <f t="shared" si="6"/>
        <v>segunda-feira</v>
      </c>
      <c r="B222" s="17">
        <f t="shared" si="7"/>
        <v>44781</v>
      </c>
      <c r="C222" s="52">
        <f>IFERROR(_xlfn.XLOOKUP($B:$B,'Estatísticos Mensais'!$A:$A,'Estatísticos Mensais'!C:C),0)</f>
        <v>61038.25</v>
      </c>
      <c r="D222" s="69">
        <f>IFERROR(_xlfn.XLOOKUP($B:$B,Google!A:A,Google!C:C,),0)</f>
        <v>627.21</v>
      </c>
      <c r="E222" s="70" t="e">
        <f>SUMIF(#REF!,'Compilado 2023 (2)'!$B:$B,#REF!)</f>
        <v>#REF!</v>
      </c>
      <c r="F222" s="70">
        <v>0</v>
      </c>
      <c r="G222" s="70">
        <f ca="1">_xlfn.XLOOKUP(B:B,'E-mail'!A:A,'E-mail'!C:C)</f>
        <v>51.612903225806448</v>
      </c>
      <c r="H222" s="70">
        <f>IFERROR(_xlfn.XLOOKUP($B:$B,#REF!,#REF!),0)</f>
        <v>0</v>
      </c>
      <c r="I222" s="70">
        <v>0</v>
      </c>
      <c r="J222" s="70">
        <v>0</v>
      </c>
      <c r="K222" s="70">
        <v>0</v>
      </c>
      <c r="L222" s="59"/>
      <c r="M222" s="70">
        <v>0</v>
      </c>
      <c r="N222" s="70">
        <v>0</v>
      </c>
      <c r="O222" s="70">
        <v>0</v>
      </c>
      <c r="P222" s="38"/>
      <c r="Q222" s="40"/>
    </row>
    <row r="223" spans="1:17" s="2" customFormat="1" x14ac:dyDescent="0.2">
      <c r="A223" s="16" t="str">
        <f t="shared" si="6"/>
        <v>terça-feira</v>
      </c>
      <c r="B223" s="17">
        <f t="shared" si="7"/>
        <v>44782</v>
      </c>
      <c r="C223" s="52">
        <f>IFERROR(_xlfn.XLOOKUP($B:$B,'Estatísticos Mensais'!$A:$A,'Estatísticos Mensais'!C:C),0)</f>
        <v>59006.1</v>
      </c>
      <c r="D223" s="69">
        <f>IFERROR(_xlfn.XLOOKUP($B:$B,Google!A:A,Google!C:C,),0)</f>
        <v>574.20000000000005</v>
      </c>
      <c r="E223" s="70" t="e">
        <f>SUMIF(#REF!,'Compilado 2023 (2)'!$B:$B,#REF!)</f>
        <v>#REF!</v>
      </c>
      <c r="F223" s="70">
        <v>0</v>
      </c>
      <c r="G223" s="70">
        <f ca="1">_xlfn.XLOOKUP(B:B,'E-mail'!A:A,'E-mail'!C:C)</f>
        <v>51.612903225806448</v>
      </c>
      <c r="H223" s="70">
        <f>IFERROR(_xlfn.XLOOKUP($B:$B,#REF!,#REF!),0)</f>
        <v>0</v>
      </c>
      <c r="I223" s="70">
        <v>0</v>
      </c>
      <c r="J223" s="70">
        <v>0</v>
      </c>
      <c r="K223" s="70">
        <v>0</v>
      </c>
      <c r="L223" s="59"/>
      <c r="M223" s="70">
        <v>0</v>
      </c>
      <c r="N223" s="70">
        <v>0</v>
      </c>
      <c r="O223" s="70">
        <v>0</v>
      </c>
      <c r="P223" s="38"/>
      <c r="Q223" s="40"/>
    </row>
    <row r="224" spans="1:17" s="2" customFormat="1" x14ac:dyDescent="0.2">
      <c r="A224" s="16" t="str">
        <f t="shared" si="6"/>
        <v>quarta-feira</v>
      </c>
      <c r="B224" s="17">
        <f t="shared" si="7"/>
        <v>44783</v>
      </c>
      <c r="C224" s="52">
        <f>IFERROR(_xlfn.XLOOKUP($B:$B,'Estatísticos Mensais'!$A:$A,'Estatísticos Mensais'!C:C),0)</f>
        <v>57417.25</v>
      </c>
      <c r="D224" s="69">
        <f>IFERROR(_xlfn.XLOOKUP($B:$B,Google!A:A,Google!C:C,),0)</f>
        <v>587.58000000000004</v>
      </c>
      <c r="E224" s="70" t="e">
        <f>SUMIF(#REF!,'Compilado 2023 (2)'!$B:$B,#REF!)</f>
        <v>#REF!</v>
      </c>
      <c r="F224" s="70">
        <v>0</v>
      </c>
      <c r="G224" s="70">
        <f ca="1">_xlfn.XLOOKUP(B:B,'E-mail'!A:A,'E-mail'!C:C)</f>
        <v>51.612903225806448</v>
      </c>
      <c r="H224" s="70">
        <f>IFERROR(_xlfn.XLOOKUP($B:$B,#REF!,#REF!),0)</f>
        <v>0</v>
      </c>
      <c r="I224" s="70">
        <v>0</v>
      </c>
      <c r="J224" s="70">
        <v>0</v>
      </c>
      <c r="K224" s="70">
        <v>0</v>
      </c>
      <c r="L224" s="59"/>
      <c r="M224" s="70">
        <v>0</v>
      </c>
      <c r="N224" s="70">
        <v>0</v>
      </c>
      <c r="O224" s="70">
        <v>0</v>
      </c>
      <c r="P224" s="38"/>
      <c r="Q224" s="40"/>
    </row>
    <row r="225" spans="1:17" s="2" customFormat="1" x14ac:dyDescent="0.2">
      <c r="A225" s="16" t="str">
        <f t="shared" si="6"/>
        <v>quinta-feira</v>
      </c>
      <c r="B225" s="17">
        <f t="shared" si="7"/>
        <v>44784</v>
      </c>
      <c r="C225" s="52">
        <f>IFERROR(_xlfn.XLOOKUP($B:$B,'Estatísticos Mensais'!$A:$A,'Estatísticos Mensais'!C:C),0)</f>
        <v>56301.440000000002</v>
      </c>
      <c r="D225" s="69">
        <f>IFERROR(_xlfn.XLOOKUP($B:$B,Google!A:A,Google!C:C,),0)</f>
        <v>583.79</v>
      </c>
      <c r="E225" s="70" t="e">
        <f>SUMIF(#REF!,'Compilado 2023 (2)'!$B:$B,#REF!)</f>
        <v>#REF!</v>
      </c>
      <c r="F225" s="70">
        <v>0</v>
      </c>
      <c r="G225" s="70">
        <f ca="1">_xlfn.XLOOKUP(B:B,'E-mail'!A:A,'E-mail'!C:C)</f>
        <v>51.612903225806448</v>
      </c>
      <c r="H225" s="70">
        <f>IFERROR(_xlfn.XLOOKUP($B:$B,#REF!,#REF!),0)</f>
        <v>0</v>
      </c>
      <c r="I225" s="70">
        <v>0</v>
      </c>
      <c r="J225" s="70">
        <v>0</v>
      </c>
      <c r="K225" s="70">
        <v>0</v>
      </c>
      <c r="L225" s="59"/>
      <c r="M225" s="70">
        <v>0</v>
      </c>
      <c r="N225" s="70">
        <v>0</v>
      </c>
      <c r="O225" s="70">
        <v>0</v>
      </c>
      <c r="P225" s="38"/>
      <c r="Q225" s="40"/>
    </row>
    <row r="226" spans="1:17" s="2" customFormat="1" x14ac:dyDescent="0.2">
      <c r="A226" s="16" t="str">
        <f t="shared" si="6"/>
        <v>sexta-feira</v>
      </c>
      <c r="B226" s="17">
        <f t="shared" si="7"/>
        <v>44785</v>
      </c>
      <c r="C226" s="52">
        <f>IFERROR(_xlfn.XLOOKUP($B:$B,'Estatísticos Mensais'!$A:$A,'Estatísticos Mensais'!C:C),0)</f>
        <v>81631.37</v>
      </c>
      <c r="D226" s="69">
        <f>IFERROR(_xlfn.XLOOKUP($B:$B,Google!A:A,Google!C:C,),0)</f>
        <v>578.58000000000004</v>
      </c>
      <c r="E226" s="70" t="e">
        <f>SUMIF(#REF!,'Compilado 2023 (2)'!$B:$B,#REF!)</f>
        <v>#REF!</v>
      </c>
      <c r="F226" s="70">
        <v>0</v>
      </c>
      <c r="G226" s="70">
        <f ca="1">_xlfn.XLOOKUP(B:B,'E-mail'!A:A,'E-mail'!C:C)</f>
        <v>51.612903225806448</v>
      </c>
      <c r="H226" s="70">
        <f>IFERROR(_xlfn.XLOOKUP($B:$B,#REF!,#REF!),0)</f>
        <v>0</v>
      </c>
      <c r="I226" s="70">
        <v>0</v>
      </c>
      <c r="J226" s="70">
        <v>0</v>
      </c>
      <c r="K226" s="70">
        <v>0</v>
      </c>
      <c r="L226" s="59"/>
      <c r="M226" s="70">
        <v>0</v>
      </c>
      <c r="N226" s="70">
        <v>0</v>
      </c>
      <c r="O226" s="70">
        <v>0</v>
      </c>
      <c r="P226" s="38"/>
      <c r="Q226" s="40"/>
    </row>
    <row r="227" spans="1:17" s="2" customFormat="1" x14ac:dyDescent="0.2">
      <c r="A227" s="16" t="str">
        <f t="shared" si="6"/>
        <v>sábado</v>
      </c>
      <c r="B227" s="17">
        <f t="shared" si="7"/>
        <v>44786</v>
      </c>
      <c r="C227" s="52">
        <f>IFERROR(_xlfn.XLOOKUP($B:$B,'Estatísticos Mensais'!$A:$A,'Estatísticos Mensais'!C:C),0)</f>
        <v>64479.040000000001</v>
      </c>
      <c r="D227" s="69">
        <f>IFERROR(_xlfn.XLOOKUP($B:$B,Google!A:A,Google!C:C,),0)</f>
        <v>529.79</v>
      </c>
      <c r="E227" s="70" t="e">
        <f>SUMIF(#REF!,'Compilado 2023 (2)'!$B:$B,#REF!)</f>
        <v>#REF!</v>
      </c>
      <c r="F227" s="70">
        <v>0</v>
      </c>
      <c r="G227" s="70">
        <f ca="1">_xlfn.XLOOKUP(B:B,'E-mail'!A:A,'E-mail'!C:C)</f>
        <v>51.612903225806448</v>
      </c>
      <c r="H227" s="70">
        <f>IFERROR(_xlfn.XLOOKUP($B:$B,#REF!,#REF!),0)</f>
        <v>0</v>
      </c>
      <c r="I227" s="70">
        <v>0</v>
      </c>
      <c r="J227" s="70">
        <v>0</v>
      </c>
      <c r="K227" s="70">
        <v>0</v>
      </c>
      <c r="L227" s="59"/>
      <c r="M227" s="70">
        <v>0</v>
      </c>
      <c r="N227" s="70">
        <v>0</v>
      </c>
      <c r="O227" s="70">
        <v>0</v>
      </c>
      <c r="P227" s="38"/>
      <c r="Q227" s="40"/>
    </row>
    <row r="228" spans="1:17" s="2" customFormat="1" x14ac:dyDescent="0.2">
      <c r="A228" s="16" t="str">
        <f t="shared" si="6"/>
        <v>domingo</v>
      </c>
      <c r="B228" s="17">
        <f t="shared" si="7"/>
        <v>44787</v>
      </c>
      <c r="C228" s="52">
        <f>IFERROR(_xlfn.XLOOKUP($B:$B,'Estatísticos Mensais'!$A:$A,'Estatísticos Mensais'!C:C),0)</f>
        <v>61507.839999999997</v>
      </c>
      <c r="D228" s="69">
        <f>IFERROR(_xlfn.XLOOKUP($B:$B,Google!A:A,Google!C:C,),0)</f>
        <v>542.69000000000005</v>
      </c>
      <c r="E228" s="70" t="e">
        <f>SUMIF(#REF!,'Compilado 2023 (2)'!$B:$B,#REF!)</f>
        <v>#REF!</v>
      </c>
      <c r="F228" s="70">
        <v>0</v>
      </c>
      <c r="G228" s="70">
        <f ca="1">_xlfn.XLOOKUP(B:B,'E-mail'!A:A,'E-mail'!C:C)</f>
        <v>51.612903225806448</v>
      </c>
      <c r="H228" s="70">
        <f>IFERROR(_xlfn.XLOOKUP($B:$B,#REF!,#REF!),0)</f>
        <v>0</v>
      </c>
      <c r="I228" s="70">
        <v>0</v>
      </c>
      <c r="J228" s="70">
        <v>0</v>
      </c>
      <c r="K228" s="70">
        <v>0</v>
      </c>
      <c r="L228" s="59"/>
      <c r="M228" s="70">
        <v>0</v>
      </c>
      <c r="N228" s="70">
        <v>0</v>
      </c>
      <c r="O228" s="70">
        <v>0</v>
      </c>
      <c r="P228" s="38"/>
      <c r="Q228" s="40"/>
    </row>
    <row r="229" spans="1:17" s="2" customFormat="1" x14ac:dyDescent="0.2">
      <c r="A229" s="16" t="str">
        <f t="shared" si="6"/>
        <v>segunda-feira</v>
      </c>
      <c r="B229" s="17">
        <f t="shared" si="7"/>
        <v>44788</v>
      </c>
      <c r="C229" s="52">
        <f>IFERROR(_xlfn.XLOOKUP($B:$B,'Estatísticos Mensais'!$A:$A,'Estatísticos Mensais'!C:C),0)</f>
        <v>71912</v>
      </c>
      <c r="D229" s="69">
        <f>IFERROR(_xlfn.XLOOKUP($B:$B,Google!A:A,Google!C:C,),0)</f>
        <v>601.98</v>
      </c>
      <c r="E229" s="70" t="e">
        <f>SUMIF(#REF!,'Compilado 2023 (2)'!$B:$B,#REF!)</f>
        <v>#REF!</v>
      </c>
      <c r="F229" s="70">
        <v>0</v>
      </c>
      <c r="G229" s="70">
        <f ca="1">_xlfn.XLOOKUP(B:B,'E-mail'!A:A,'E-mail'!C:C)</f>
        <v>51.612903225806448</v>
      </c>
      <c r="H229" s="70">
        <f>IFERROR(_xlfn.XLOOKUP($B:$B,#REF!,#REF!),0)</f>
        <v>0</v>
      </c>
      <c r="I229" s="70">
        <v>0</v>
      </c>
      <c r="J229" s="70">
        <v>0</v>
      </c>
      <c r="K229" s="70">
        <v>0</v>
      </c>
      <c r="L229" s="59"/>
      <c r="M229" s="70">
        <v>0</v>
      </c>
      <c r="N229" s="70">
        <v>0</v>
      </c>
      <c r="O229" s="70">
        <v>0</v>
      </c>
      <c r="P229" s="38"/>
      <c r="Q229" s="40"/>
    </row>
    <row r="230" spans="1:17" s="2" customFormat="1" x14ac:dyDescent="0.2">
      <c r="A230" s="16" t="str">
        <f t="shared" si="6"/>
        <v>terça-feira</v>
      </c>
      <c r="B230" s="17">
        <f t="shared" si="7"/>
        <v>44789</v>
      </c>
      <c r="C230" s="52">
        <f>IFERROR(_xlfn.XLOOKUP($B:$B,'Estatísticos Mensais'!$A:$A,'Estatísticos Mensais'!C:C),0)</f>
        <v>55887</v>
      </c>
      <c r="D230" s="69">
        <f>IFERROR(_xlfn.XLOOKUP($B:$B,Google!A:A,Google!C:C,),0)</f>
        <v>580.84</v>
      </c>
      <c r="E230" s="70" t="e">
        <f>SUMIF(#REF!,'Compilado 2023 (2)'!$B:$B,#REF!)</f>
        <v>#REF!</v>
      </c>
      <c r="F230" s="70">
        <v>0</v>
      </c>
      <c r="G230" s="70">
        <f ca="1">_xlfn.XLOOKUP(B:B,'E-mail'!A:A,'E-mail'!C:C)</f>
        <v>51.612903225806448</v>
      </c>
      <c r="H230" s="70">
        <f>IFERROR(_xlfn.XLOOKUP($B:$B,#REF!,#REF!),0)</f>
        <v>0</v>
      </c>
      <c r="I230" s="70">
        <v>0</v>
      </c>
      <c r="J230" s="70">
        <v>0</v>
      </c>
      <c r="K230" s="70">
        <v>0</v>
      </c>
      <c r="L230" s="59"/>
      <c r="M230" s="70">
        <v>0</v>
      </c>
      <c r="N230" s="70">
        <v>0</v>
      </c>
      <c r="O230" s="70">
        <v>0</v>
      </c>
      <c r="P230" s="38"/>
      <c r="Q230" s="40"/>
    </row>
    <row r="231" spans="1:17" s="2" customFormat="1" x14ac:dyDescent="0.2">
      <c r="A231" s="16" t="str">
        <f t="shared" si="6"/>
        <v>quarta-feira</v>
      </c>
      <c r="B231" s="17">
        <f t="shared" si="7"/>
        <v>44790</v>
      </c>
      <c r="C231" s="52">
        <f>IFERROR(_xlfn.XLOOKUP($B:$B,'Estatísticos Mensais'!$A:$A,'Estatísticos Mensais'!C:C),0)</f>
        <v>48064.41</v>
      </c>
      <c r="D231" s="69">
        <f>IFERROR(_xlfn.XLOOKUP($B:$B,Google!A:A,Google!C:C,),0)</f>
        <v>584.13</v>
      </c>
      <c r="E231" s="70" t="e">
        <f>SUMIF(#REF!,'Compilado 2023 (2)'!$B:$B,#REF!)</f>
        <v>#REF!</v>
      </c>
      <c r="F231" s="70">
        <v>0</v>
      </c>
      <c r="G231" s="70">
        <f ca="1">_xlfn.XLOOKUP(B:B,'E-mail'!A:A,'E-mail'!C:C)</f>
        <v>51.612903225806448</v>
      </c>
      <c r="H231" s="70">
        <f>IFERROR(_xlfn.XLOOKUP($B:$B,#REF!,#REF!),0)</f>
        <v>0</v>
      </c>
      <c r="I231" s="70">
        <v>0</v>
      </c>
      <c r="J231" s="70">
        <v>0</v>
      </c>
      <c r="K231" s="70">
        <v>0</v>
      </c>
      <c r="L231" s="59"/>
      <c r="M231" s="70">
        <v>0</v>
      </c>
      <c r="N231" s="70">
        <v>0</v>
      </c>
      <c r="O231" s="70">
        <v>0</v>
      </c>
      <c r="P231" s="38"/>
      <c r="Q231" s="40"/>
    </row>
    <row r="232" spans="1:17" s="2" customFormat="1" x14ac:dyDescent="0.2">
      <c r="A232" s="16" t="str">
        <f t="shared" si="6"/>
        <v>quinta-feira</v>
      </c>
      <c r="B232" s="17">
        <f t="shared" si="7"/>
        <v>44791</v>
      </c>
      <c r="C232" s="52">
        <f>IFERROR(_xlfn.XLOOKUP($B:$B,'Estatísticos Mensais'!$A:$A,'Estatísticos Mensais'!C:C),0)</f>
        <v>50528.83</v>
      </c>
      <c r="D232" s="69">
        <f>IFERROR(_xlfn.XLOOKUP($B:$B,Google!A:A,Google!C:C,),0)</f>
        <v>590.08000000000004</v>
      </c>
      <c r="E232" s="70" t="e">
        <f>SUMIF(#REF!,'Compilado 2023 (2)'!$B:$B,#REF!)</f>
        <v>#REF!</v>
      </c>
      <c r="F232" s="70">
        <v>0</v>
      </c>
      <c r="G232" s="70">
        <f ca="1">_xlfn.XLOOKUP(B:B,'E-mail'!A:A,'E-mail'!C:C)</f>
        <v>51.612903225806448</v>
      </c>
      <c r="H232" s="70">
        <f>IFERROR(_xlfn.XLOOKUP($B:$B,#REF!,#REF!),0)</f>
        <v>0</v>
      </c>
      <c r="I232" s="70">
        <v>0</v>
      </c>
      <c r="J232" s="70">
        <v>0</v>
      </c>
      <c r="K232" s="70">
        <v>0</v>
      </c>
      <c r="L232" s="59"/>
      <c r="M232" s="70">
        <v>0</v>
      </c>
      <c r="N232" s="70">
        <v>0</v>
      </c>
      <c r="O232" s="70">
        <v>0</v>
      </c>
      <c r="P232" s="38"/>
      <c r="Q232" s="40"/>
    </row>
    <row r="233" spans="1:17" s="2" customFormat="1" x14ac:dyDescent="0.2">
      <c r="A233" s="16" t="str">
        <f t="shared" si="6"/>
        <v>sexta-feira</v>
      </c>
      <c r="B233" s="17">
        <f t="shared" si="7"/>
        <v>44792</v>
      </c>
      <c r="C233" s="52">
        <f>IFERROR(_xlfn.XLOOKUP($B:$B,'Estatísticos Mensais'!$A:$A,'Estatísticos Mensais'!C:C),0)</f>
        <v>46428.93</v>
      </c>
      <c r="D233" s="69">
        <f>IFERROR(_xlfn.XLOOKUP($B:$B,Google!A:A,Google!C:C,),0)</f>
        <v>548.46</v>
      </c>
      <c r="E233" s="70" t="e">
        <f>SUMIF(#REF!,'Compilado 2023 (2)'!$B:$B,#REF!)</f>
        <v>#REF!</v>
      </c>
      <c r="F233" s="70">
        <v>0</v>
      </c>
      <c r="G233" s="70">
        <f ca="1">_xlfn.XLOOKUP(B:B,'E-mail'!A:A,'E-mail'!C:C)</f>
        <v>51.612903225806448</v>
      </c>
      <c r="H233" s="70">
        <f>IFERROR(_xlfn.XLOOKUP($B:$B,#REF!,#REF!),0)</f>
        <v>0</v>
      </c>
      <c r="I233" s="70">
        <v>0</v>
      </c>
      <c r="J233" s="70">
        <v>0</v>
      </c>
      <c r="K233" s="70">
        <v>0</v>
      </c>
      <c r="L233" s="59"/>
      <c r="M233" s="70">
        <v>0</v>
      </c>
      <c r="N233" s="70">
        <v>0</v>
      </c>
      <c r="O233" s="70">
        <v>0</v>
      </c>
      <c r="P233" s="38"/>
      <c r="Q233" s="40"/>
    </row>
    <row r="234" spans="1:17" s="2" customFormat="1" x14ac:dyDescent="0.2">
      <c r="A234" s="16" t="str">
        <f t="shared" si="6"/>
        <v>sábado</v>
      </c>
      <c r="B234" s="17">
        <f t="shared" si="7"/>
        <v>44793</v>
      </c>
      <c r="C234" s="52">
        <f>IFERROR(_xlfn.XLOOKUP($B:$B,'Estatísticos Mensais'!$A:$A,'Estatísticos Mensais'!C:C),0)</f>
        <v>26075.7</v>
      </c>
      <c r="D234" s="69">
        <f>IFERROR(_xlfn.XLOOKUP($B:$B,Google!A:A,Google!C:C,),0)</f>
        <v>539.4</v>
      </c>
      <c r="E234" s="70" t="e">
        <f>SUMIF(#REF!,'Compilado 2023 (2)'!$B:$B,#REF!)</f>
        <v>#REF!</v>
      </c>
      <c r="F234" s="70">
        <v>0</v>
      </c>
      <c r="G234" s="70">
        <f ca="1">_xlfn.XLOOKUP(B:B,'E-mail'!A:A,'E-mail'!C:C)</f>
        <v>51.612903225806448</v>
      </c>
      <c r="H234" s="70">
        <f>IFERROR(_xlfn.XLOOKUP($B:$B,#REF!,#REF!),0)</f>
        <v>0</v>
      </c>
      <c r="I234" s="70">
        <v>0</v>
      </c>
      <c r="J234" s="70">
        <v>0</v>
      </c>
      <c r="K234" s="70">
        <v>0</v>
      </c>
      <c r="L234" s="59"/>
      <c r="M234" s="70">
        <v>0</v>
      </c>
      <c r="N234" s="70">
        <v>0</v>
      </c>
      <c r="O234" s="70">
        <v>0</v>
      </c>
      <c r="P234" s="38"/>
      <c r="Q234" s="40"/>
    </row>
    <row r="235" spans="1:17" s="2" customFormat="1" x14ac:dyDescent="0.2">
      <c r="A235" s="16" t="str">
        <f t="shared" si="6"/>
        <v>domingo</v>
      </c>
      <c r="B235" s="17">
        <f t="shared" si="7"/>
        <v>44794</v>
      </c>
      <c r="C235" s="52">
        <f>IFERROR(_xlfn.XLOOKUP($B:$B,'Estatísticos Mensais'!$A:$A,'Estatísticos Mensais'!C:C),0)</f>
        <v>20508.25</v>
      </c>
      <c r="D235" s="69">
        <f>IFERROR(_xlfn.XLOOKUP($B:$B,Google!A:A,Google!C:C,),0)</f>
        <v>520.5</v>
      </c>
      <c r="E235" s="70" t="e">
        <f>SUMIF(#REF!,'Compilado 2023 (2)'!$B:$B,#REF!)</f>
        <v>#REF!</v>
      </c>
      <c r="F235" s="70">
        <v>0</v>
      </c>
      <c r="G235" s="70">
        <f ca="1">_xlfn.XLOOKUP(B:B,'E-mail'!A:A,'E-mail'!C:C)</f>
        <v>51.612903225806448</v>
      </c>
      <c r="H235" s="70">
        <f>IFERROR(_xlfn.XLOOKUP($B:$B,#REF!,#REF!),0)</f>
        <v>0</v>
      </c>
      <c r="I235" s="70">
        <v>0</v>
      </c>
      <c r="J235" s="70">
        <v>0</v>
      </c>
      <c r="K235" s="70">
        <v>0</v>
      </c>
      <c r="L235" s="59"/>
      <c r="M235" s="70">
        <v>0</v>
      </c>
      <c r="N235" s="70">
        <v>0</v>
      </c>
      <c r="O235" s="70">
        <v>0</v>
      </c>
      <c r="P235" s="38"/>
      <c r="Q235" s="40"/>
    </row>
    <row r="236" spans="1:17" s="2" customFormat="1" x14ac:dyDescent="0.2">
      <c r="A236" s="16" t="str">
        <f t="shared" si="6"/>
        <v>segunda-feira</v>
      </c>
      <c r="B236" s="17">
        <f t="shared" si="7"/>
        <v>44795</v>
      </c>
      <c r="C236" s="52">
        <f>IFERROR(_xlfn.XLOOKUP($B:$B,'Estatísticos Mensais'!$A:$A,'Estatísticos Mensais'!C:C),0)</f>
        <v>37000.129999999997</v>
      </c>
      <c r="D236" s="69">
        <f>IFERROR(_xlfn.XLOOKUP($B:$B,Google!A:A,Google!C:C,),0)</f>
        <v>603.37</v>
      </c>
      <c r="E236" s="70" t="e">
        <f>SUMIF(#REF!,'Compilado 2023 (2)'!$B:$B,#REF!)</f>
        <v>#REF!</v>
      </c>
      <c r="F236" s="70">
        <v>0</v>
      </c>
      <c r="G236" s="70">
        <f ca="1">_xlfn.XLOOKUP(B:B,'E-mail'!A:A,'E-mail'!C:C)</f>
        <v>51.612903225806448</v>
      </c>
      <c r="H236" s="70">
        <f>IFERROR(_xlfn.XLOOKUP($B:$B,#REF!,#REF!),0)</f>
        <v>0</v>
      </c>
      <c r="I236" s="70">
        <v>0</v>
      </c>
      <c r="J236" s="70">
        <v>0</v>
      </c>
      <c r="K236" s="70">
        <v>0</v>
      </c>
      <c r="L236" s="59"/>
      <c r="M236" s="70">
        <v>0</v>
      </c>
      <c r="N236" s="70">
        <v>0</v>
      </c>
      <c r="O236" s="70">
        <v>0</v>
      </c>
      <c r="P236" s="38"/>
      <c r="Q236" s="40"/>
    </row>
    <row r="237" spans="1:17" s="2" customFormat="1" x14ac:dyDescent="0.2">
      <c r="A237" s="16" t="str">
        <f t="shared" si="6"/>
        <v>terça-feira</v>
      </c>
      <c r="B237" s="17">
        <f t="shared" si="7"/>
        <v>44796</v>
      </c>
      <c r="C237" s="52">
        <f>IFERROR(_xlfn.XLOOKUP($B:$B,'Estatísticos Mensais'!$A:$A,'Estatísticos Mensais'!C:C),0)</f>
        <v>38042.04</v>
      </c>
      <c r="D237" s="69">
        <f>IFERROR(_xlfn.XLOOKUP($B:$B,Google!A:A,Google!C:C,),0)</f>
        <v>563.98</v>
      </c>
      <c r="E237" s="70" t="e">
        <f>SUMIF(#REF!,'Compilado 2023 (2)'!$B:$B,#REF!)</f>
        <v>#REF!</v>
      </c>
      <c r="F237" s="70">
        <v>0</v>
      </c>
      <c r="G237" s="70">
        <f ca="1">_xlfn.XLOOKUP(B:B,'E-mail'!A:A,'E-mail'!C:C)</f>
        <v>51.612903225806448</v>
      </c>
      <c r="H237" s="70">
        <f>IFERROR(_xlfn.XLOOKUP($B:$B,#REF!,#REF!),0)</f>
        <v>0</v>
      </c>
      <c r="I237" s="70">
        <v>0</v>
      </c>
      <c r="J237" s="70">
        <v>0</v>
      </c>
      <c r="K237" s="70">
        <v>0</v>
      </c>
      <c r="L237" s="59"/>
      <c r="M237" s="70">
        <v>0</v>
      </c>
      <c r="N237" s="70">
        <v>0</v>
      </c>
      <c r="O237" s="70">
        <v>0</v>
      </c>
      <c r="P237" s="38"/>
      <c r="Q237" s="40"/>
    </row>
    <row r="238" spans="1:17" s="2" customFormat="1" x14ac:dyDescent="0.2">
      <c r="A238" s="16" t="str">
        <f t="shared" si="6"/>
        <v>quarta-feira</v>
      </c>
      <c r="B238" s="17">
        <f t="shared" si="7"/>
        <v>44797</v>
      </c>
      <c r="C238" s="52">
        <f>IFERROR(_xlfn.XLOOKUP($B:$B,'Estatísticos Mensais'!$A:$A,'Estatísticos Mensais'!C:C),0)</f>
        <v>36249.040000000001</v>
      </c>
      <c r="D238" s="69">
        <f>IFERROR(_xlfn.XLOOKUP($B:$B,Google!A:A,Google!C:C,),0)</f>
        <v>549.44000000000005</v>
      </c>
      <c r="E238" s="70" t="e">
        <f>SUMIF(#REF!,'Compilado 2023 (2)'!$B:$B,#REF!)</f>
        <v>#REF!</v>
      </c>
      <c r="F238" s="70">
        <v>0</v>
      </c>
      <c r="G238" s="70">
        <f ca="1">_xlfn.XLOOKUP(B:B,'E-mail'!A:A,'E-mail'!C:C)</f>
        <v>51.612903225806448</v>
      </c>
      <c r="H238" s="70">
        <f>IFERROR(_xlfn.XLOOKUP($B:$B,#REF!,#REF!),0)</f>
        <v>0</v>
      </c>
      <c r="I238" s="70">
        <v>0</v>
      </c>
      <c r="J238" s="70">
        <v>0</v>
      </c>
      <c r="K238" s="70">
        <v>0</v>
      </c>
      <c r="L238" s="59"/>
      <c r="M238" s="70">
        <v>0</v>
      </c>
      <c r="N238" s="70">
        <v>0</v>
      </c>
      <c r="O238" s="70">
        <v>0</v>
      </c>
      <c r="P238" s="38"/>
      <c r="Q238" s="40"/>
    </row>
    <row r="239" spans="1:17" s="2" customFormat="1" x14ac:dyDescent="0.2">
      <c r="A239" s="16" t="str">
        <f t="shared" si="6"/>
        <v>quinta-feira</v>
      </c>
      <c r="B239" s="17">
        <f t="shared" si="7"/>
        <v>44798</v>
      </c>
      <c r="C239" s="52">
        <f>IFERROR(_xlfn.XLOOKUP($B:$B,'Estatísticos Mensais'!$A:$A,'Estatísticos Mensais'!C:C),0)</f>
        <v>38652.47</v>
      </c>
      <c r="D239" s="69">
        <f>IFERROR(_xlfn.XLOOKUP($B:$B,Google!A:A,Google!C:C,),0)</f>
        <v>551.85</v>
      </c>
      <c r="E239" s="70" t="e">
        <f>SUMIF(#REF!,'Compilado 2023 (2)'!$B:$B,#REF!)</f>
        <v>#REF!</v>
      </c>
      <c r="F239" s="70">
        <v>0</v>
      </c>
      <c r="G239" s="70">
        <f ca="1">_xlfn.XLOOKUP(B:B,'E-mail'!A:A,'E-mail'!C:C)</f>
        <v>51.612903225806448</v>
      </c>
      <c r="H239" s="70">
        <f>IFERROR(_xlfn.XLOOKUP($B:$B,#REF!,#REF!),0)</f>
        <v>0</v>
      </c>
      <c r="I239" s="70">
        <v>0</v>
      </c>
      <c r="J239" s="70">
        <v>0</v>
      </c>
      <c r="K239" s="70">
        <v>0</v>
      </c>
      <c r="L239" s="59"/>
      <c r="M239" s="70">
        <v>0</v>
      </c>
      <c r="N239" s="70">
        <v>0</v>
      </c>
      <c r="O239" s="70">
        <v>0</v>
      </c>
      <c r="P239" s="38"/>
      <c r="Q239" s="40"/>
    </row>
    <row r="240" spans="1:17" s="2" customFormat="1" x14ac:dyDescent="0.2">
      <c r="A240" s="16" t="str">
        <f t="shared" si="6"/>
        <v>sexta-feira</v>
      </c>
      <c r="B240" s="17">
        <f t="shared" si="7"/>
        <v>44799</v>
      </c>
      <c r="C240" s="52">
        <f>IFERROR(_xlfn.XLOOKUP($B:$B,'Estatísticos Mensais'!$A:$A,'Estatísticos Mensais'!C:C),0)</f>
        <v>43292.67</v>
      </c>
      <c r="D240" s="69">
        <f>IFERROR(_xlfn.XLOOKUP($B:$B,Google!A:A,Google!C:C,),0)</f>
        <v>544.24</v>
      </c>
      <c r="E240" s="70" t="e">
        <f>SUMIF(#REF!,'Compilado 2023 (2)'!$B:$B,#REF!)</f>
        <v>#REF!</v>
      </c>
      <c r="F240" s="70">
        <v>0</v>
      </c>
      <c r="G240" s="70">
        <f ca="1">_xlfn.XLOOKUP(B:B,'E-mail'!A:A,'E-mail'!C:C)</f>
        <v>51.612903225806448</v>
      </c>
      <c r="H240" s="70">
        <f>IFERROR(_xlfn.XLOOKUP($B:$B,#REF!,#REF!),0)</f>
        <v>0</v>
      </c>
      <c r="I240" s="70">
        <v>0</v>
      </c>
      <c r="J240" s="70">
        <v>0</v>
      </c>
      <c r="K240" s="70">
        <v>0</v>
      </c>
      <c r="L240" s="59"/>
      <c r="M240" s="70">
        <v>0</v>
      </c>
      <c r="N240" s="70">
        <v>0</v>
      </c>
      <c r="O240" s="70">
        <v>0</v>
      </c>
      <c r="P240" s="38"/>
      <c r="Q240" s="40"/>
    </row>
    <row r="241" spans="1:17" s="2" customFormat="1" x14ac:dyDescent="0.2">
      <c r="A241" s="16" t="str">
        <f t="shared" si="6"/>
        <v>sábado</v>
      </c>
      <c r="B241" s="17">
        <f t="shared" si="7"/>
        <v>44800</v>
      </c>
      <c r="C241" s="52">
        <f>IFERROR(_xlfn.XLOOKUP($B:$B,'Estatísticos Mensais'!$A:$A,'Estatísticos Mensais'!C:C),0)</f>
        <v>27367.82</v>
      </c>
      <c r="D241" s="69">
        <f>IFERROR(_xlfn.XLOOKUP($B:$B,Google!A:A,Google!C:C,),0)</f>
        <v>511.82</v>
      </c>
      <c r="E241" s="70" t="e">
        <f>SUMIF(#REF!,'Compilado 2023 (2)'!$B:$B,#REF!)</f>
        <v>#REF!</v>
      </c>
      <c r="F241" s="70">
        <v>0</v>
      </c>
      <c r="G241" s="70">
        <f ca="1">_xlfn.XLOOKUP(B:B,'E-mail'!A:A,'E-mail'!C:C)</f>
        <v>51.612903225806448</v>
      </c>
      <c r="H241" s="70">
        <f>IFERROR(_xlfn.XLOOKUP($B:$B,#REF!,#REF!),0)</f>
        <v>0</v>
      </c>
      <c r="I241" s="70">
        <v>0</v>
      </c>
      <c r="J241" s="70">
        <v>0</v>
      </c>
      <c r="K241" s="70">
        <v>0</v>
      </c>
      <c r="L241" s="59"/>
      <c r="M241" s="70">
        <v>0</v>
      </c>
      <c r="N241" s="70">
        <v>0</v>
      </c>
      <c r="O241" s="70">
        <v>0</v>
      </c>
      <c r="P241" s="38"/>
      <c r="Q241" s="40"/>
    </row>
    <row r="242" spans="1:17" s="2" customFormat="1" x14ac:dyDescent="0.2">
      <c r="A242" s="16" t="str">
        <f t="shared" si="6"/>
        <v>domingo</v>
      </c>
      <c r="B242" s="17">
        <f t="shared" si="7"/>
        <v>44801</v>
      </c>
      <c r="C242" s="52">
        <f>IFERROR(_xlfn.XLOOKUP($B:$B,'Estatísticos Mensais'!$A:$A,'Estatísticos Mensais'!C:C),0)</f>
        <v>21585.8</v>
      </c>
      <c r="D242" s="69">
        <f>IFERROR(_xlfn.XLOOKUP($B:$B,Google!A:A,Google!C:C,),0)</f>
        <v>488.88</v>
      </c>
      <c r="E242" s="70" t="e">
        <f>SUMIF(#REF!,'Compilado 2023 (2)'!$B:$B,#REF!)</f>
        <v>#REF!</v>
      </c>
      <c r="F242" s="70">
        <v>0</v>
      </c>
      <c r="G242" s="70">
        <f ca="1">_xlfn.XLOOKUP(B:B,'E-mail'!A:A,'E-mail'!C:C)</f>
        <v>51.612903225806448</v>
      </c>
      <c r="H242" s="70">
        <f>IFERROR(_xlfn.XLOOKUP($B:$B,#REF!,#REF!),0)</f>
        <v>0</v>
      </c>
      <c r="I242" s="70">
        <v>0</v>
      </c>
      <c r="J242" s="70">
        <v>0</v>
      </c>
      <c r="K242" s="70">
        <v>0</v>
      </c>
      <c r="L242" s="59"/>
      <c r="M242" s="70">
        <v>0</v>
      </c>
      <c r="N242" s="70">
        <v>0</v>
      </c>
      <c r="O242" s="70">
        <v>0</v>
      </c>
      <c r="P242" s="38"/>
      <c r="Q242" s="40"/>
    </row>
    <row r="243" spans="1:17" s="2" customFormat="1" x14ac:dyDescent="0.2">
      <c r="A243" s="16" t="str">
        <f t="shared" si="6"/>
        <v>segunda-feira</v>
      </c>
      <c r="B243" s="17">
        <f t="shared" si="7"/>
        <v>44802</v>
      </c>
      <c r="C243" s="52">
        <f>IFERROR(_xlfn.XLOOKUP($B:$B,'Estatísticos Mensais'!$A:$A,'Estatísticos Mensais'!C:C),0)</f>
        <v>39502.67</v>
      </c>
      <c r="D243" s="69">
        <f>IFERROR(_xlfn.XLOOKUP($B:$B,Google!A:A,Google!C:C,),0)</f>
        <v>533.21</v>
      </c>
      <c r="E243" s="70" t="e">
        <f>SUMIF(#REF!,'Compilado 2023 (2)'!$B:$B,#REF!)</f>
        <v>#REF!</v>
      </c>
      <c r="F243" s="70">
        <v>0</v>
      </c>
      <c r="G243" s="70">
        <f ca="1">_xlfn.XLOOKUP(B:B,'E-mail'!A:A,'E-mail'!C:C)</f>
        <v>51.612903225806448</v>
      </c>
      <c r="H243" s="70">
        <f>IFERROR(_xlfn.XLOOKUP($B:$B,#REF!,#REF!),0)</f>
        <v>0</v>
      </c>
      <c r="I243" s="70">
        <v>0</v>
      </c>
      <c r="J243" s="70">
        <v>0</v>
      </c>
      <c r="K243" s="70">
        <v>0</v>
      </c>
      <c r="L243" s="59"/>
      <c r="M243" s="70">
        <v>0</v>
      </c>
      <c r="N243" s="70">
        <v>0</v>
      </c>
      <c r="O243" s="70">
        <v>0</v>
      </c>
      <c r="P243" s="38"/>
      <c r="Q243" s="40"/>
    </row>
    <row r="244" spans="1:17" s="2" customFormat="1" x14ac:dyDescent="0.2">
      <c r="A244" s="16" t="str">
        <f t="shared" si="6"/>
        <v>terça-feira</v>
      </c>
      <c r="B244" s="17">
        <f t="shared" si="7"/>
        <v>44803</v>
      </c>
      <c r="C244" s="52">
        <f>IFERROR(_xlfn.XLOOKUP($B:$B,'Estatísticos Mensais'!$A:$A,'Estatísticos Mensais'!C:C),0)</f>
        <v>36029.29</v>
      </c>
      <c r="D244" s="69">
        <f>IFERROR(_xlfn.XLOOKUP($B:$B,Google!A:A,Google!C:C,),0)</f>
        <v>495.44</v>
      </c>
      <c r="E244" s="70" t="e">
        <f>SUMIF(#REF!,'Compilado 2023 (2)'!$B:$B,#REF!)</f>
        <v>#REF!</v>
      </c>
      <c r="F244" s="70">
        <v>0</v>
      </c>
      <c r="G244" s="70">
        <f ca="1">_xlfn.XLOOKUP(B:B,'E-mail'!A:A,'E-mail'!C:C)</f>
        <v>51.612903225806448</v>
      </c>
      <c r="H244" s="70">
        <f>IFERROR(_xlfn.XLOOKUP($B:$B,#REF!,#REF!),0)</f>
        <v>0</v>
      </c>
      <c r="I244" s="70">
        <v>0</v>
      </c>
      <c r="J244" s="70">
        <v>0</v>
      </c>
      <c r="K244" s="70">
        <v>0</v>
      </c>
      <c r="L244" s="59"/>
      <c r="M244" s="70">
        <v>0</v>
      </c>
      <c r="N244" s="70">
        <v>0</v>
      </c>
      <c r="O244" s="70">
        <v>0</v>
      </c>
      <c r="P244" s="38"/>
      <c r="Q244" s="40"/>
    </row>
    <row r="245" spans="1:17" s="2" customFormat="1" x14ac:dyDescent="0.2">
      <c r="A245" s="16" t="str">
        <f t="shared" si="6"/>
        <v>quarta-feira</v>
      </c>
      <c r="B245" s="17">
        <f t="shared" si="7"/>
        <v>44804</v>
      </c>
      <c r="C245" s="52">
        <f>IFERROR(_xlfn.XLOOKUP($B:$B,'Estatísticos Mensais'!$A:$A,'Estatísticos Mensais'!C:C),0)</f>
        <v>55833.37</v>
      </c>
      <c r="D245" s="69">
        <f>IFERROR(_xlfn.XLOOKUP($B:$B,Google!A:A,Google!C:C,),0)</f>
        <v>473.06</v>
      </c>
      <c r="E245" s="70" t="e">
        <f>SUMIF(#REF!,'Compilado 2023 (2)'!$B:$B,#REF!)</f>
        <v>#REF!</v>
      </c>
      <c r="F245" s="70">
        <v>0</v>
      </c>
      <c r="G245" s="70">
        <f ca="1">_xlfn.XLOOKUP(B:B,'E-mail'!A:A,'E-mail'!C:C)</f>
        <v>51.612903225806448</v>
      </c>
      <c r="H245" s="70">
        <f>IFERROR(_xlfn.XLOOKUP($B:$B,#REF!,#REF!),0)</f>
        <v>0</v>
      </c>
      <c r="I245" s="70">
        <v>0</v>
      </c>
      <c r="J245" s="70">
        <v>0</v>
      </c>
      <c r="K245" s="70">
        <v>0</v>
      </c>
      <c r="L245" s="59"/>
      <c r="M245" s="70">
        <v>0</v>
      </c>
      <c r="N245" s="70">
        <v>0</v>
      </c>
      <c r="O245" s="70">
        <v>0</v>
      </c>
      <c r="P245" s="38"/>
      <c r="Q245" s="40"/>
    </row>
    <row r="246" spans="1:17" s="2" customFormat="1" x14ac:dyDescent="0.2">
      <c r="A246" s="16" t="str">
        <f t="shared" si="6"/>
        <v>quinta-feira</v>
      </c>
      <c r="B246" s="17">
        <f t="shared" si="7"/>
        <v>44805</v>
      </c>
      <c r="C246" s="52">
        <f>IFERROR(_xlfn.XLOOKUP($B:$B,'Estatísticos Mensais'!$A:$A,'Estatísticos Mensais'!C:C),0)</f>
        <v>78671.47</v>
      </c>
      <c r="D246" s="69">
        <f>IFERROR(_xlfn.XLOOKUP($B:$B,Google!A:A,Google!C:C,),0)</f>
        <v>583.75</v>
      </c>
      <c r="E246" s="70" t="e">
        <f>SUMIF(#REF!,'Compilado 2023 (2)'!$B:$B,#REF!)</f>
        <v>#REF!</v>
      </c>
      <c r="F246" s="70">
        <v>0</v>
      </c>
      <c r="G246" s="70">
        <f ca="1">_xlfn.XLOOKUP(B:B,'E-mail'!A:A,'E-mail'!C:C)</f>
        <v>53.333333333333336</v>
      </c>
      <c r="H246" s="70">
        <f>IFERROR(_xlfn.XLOOKUP($B:$B,#REF!,#REF!),0)</f>
        <v>0</v>
      </c>
      <c r="I246" s="70">
        <v>0</v>
      </c>
      <c r="J246" s="70">
        <v>0</v>
      </c>
      <c r="K246" s="70">
        <v>0</v>
      </c>
      <c r="L246" s="59"/>
      <c r="M246" s="70">
        <v>0</v>
      </c>
      <c r="N246" s="70">
        <v>0</v>
      </c>
      <c r="O246" s="70">
        <v>0</v>
      </c>
      <c r="P246" s="38"/>
      <c r="Q246" s="40"/>
    </row>
    <row r="247" spans="1:17" s="2" customFormat="1" x14ac:dyDescent="0.2">
      <c r="A247" s="16" t="str">
        <f t="shared" si="6"/>
        <v>sexta-feira</v>
      </c>
      <c r="B247" s="17">
        <f t="shared" si="7"/>
        <v>44806</v>
      </c>
      <c r="C247" s="52">
        <f>IFERROR(_xlfn.XLOOKUP($B:$B,'Estatísticos Mensais'!$A:$A,'Estatísticos Mensais'!C:C),0)</f>
        <v>64168.27</v>
      </c>
      <c r="D247" s="69">
        <f>IFERROR(_xlfn.XLOOKUP($B:$B,Google!A:A,Google!C:C,),0)</f>
        <v>643.44000000000005</v>
      </c>
      <c r="E247" s="70" t="e">
        <f>SUMIF(#REF!,'Compilado 2023 (2)'!$B:$B,#REF!)</f>
        <v>#REF!</v>
      </c>
      <c r="F247" s="70">
        <v>0</v>
      </c>
      <c r="G247" s="70">
        <f ca="1">_xlfn.XLOOKUP(B:B,'E-mail'!A:A,'E-mail'!C:C)</f>
        <v>53.333333333333336</v>
      </c>
      <c r="H247" s="70">
        <f>IFERROR(_xlfn.XLOOKUP($B:$B,#REF!,#REF!),0)</f>
        <v>0</v>
      </c>
      <c r="I247" s="70">
        <v>0</v>
      </c>
      <c r="J247" s="70">
        <v>0</v>
      </c>
      <c r="K247" s="70">
        <v>0</v>
      </c>
      <c r="L247" s="59"/>
      <c r="M247" s="70">
        <v>0</v>
      </c>
      <c r="N247" s="70">
        <v>0</v>
      </c>
      <c r="O247" s="70">
        <v>0</v>
      </c>
      <c r="P247" s="38"/>
      <c r="Q247" s="40"/>
    </row>
    <row r="248" spans="1:17" s="2" customFormat="1" x14ac:dyDescent="0.2">
      <c r="A248" s="16" t="str">
        <f t="shared" si="6"/>
        <v>sábado</v>
      </c>
      <c r="B248" s="17">
        <f t="shared" si="7"/>
        <v>44807</v>
      </c>
      <c r="C248" s="52">
        <f>IFERROR(_xlfn.XLOOKUP($B:$B,'Estatísticos Mensais'!$A:$A,'Estatísticos Mensais'!C:C),0)</f>
        <v>39457.31</v>
      </c>
      <c r="D248" s="69">
        <f>IFERROR(_xlfn.XLOOKUP($B:$B,Google!A:A,Google!C:C,),0)</f>
        <v>556.98</v>
      </c>
      <c r="E248" s="70" t="e">
        <f>SUMIF(#REF!,'Compilado 2023 (2)'!$B:$B,#REF!)</f>
        <v>#REF!</v>
      </c>
      <c r="F248" s="70">
        <v>0</v>
      </c>
      <c r="G248" s="70">
        <f ca="1">_xlfn.XLOOKUP(B:B,'E-mail'!A:A,'E-mail'!C:C)</f>
        <v>53.333333333333336</v>
      </c>
      <c r="H248" s="70">
        <f>IFERROR(_xlfn.XLOOKUP($B:$B,#REF!,#REF!),0)</f>
        <v>0</v>
      </c>
      <c r="I248" s="70">
        <v>0</v>
      </c>
      <c r="J248" s="70">
        <v>0</v>
      </c>
      <c r="K248" s="70">
        <v>0</v>
      </c>
      <c r="L248" s="59"/>
      <c r="M248" s="70">
        <v>0</v>
      </c>
      <c r="N248" s="70">
        <v>0</v>
      </c>
      <c r="O248" s="70">
        <v>0</v>
      </c>
      <c r="P248" s="38"/>
      <c r="Q248" s="40"/>
    </row>
    <row r="249" spans="1:17" s="2" customFormat="1" x14ac:dyDescent="0.2">
      <c r="A249" s="16" t="str">
        <f t="shared" si="6"/>
        <v>domingo</v>
      </c>
      <c r="B249" s="17">
        <f t="shared" si="7"/>
        <v>44808</v>
      </c>
      <c r="C249" s="52">
        <f>IFERROR(_xlfn.XLOOKUP($B:$B,'Estatísticos Mensais'!$A:$A,'Estatísticos Mensais'!C:C),0)</f>
        <v>43705.19</v>
      </c>
      <c r="D249" s="69">
        <f>IFERROR(_xlfn.XLOOKUP($B:$B,Google!A:A,Google!C:C,),0)</f>
        <v>498.47</v>
      </c>
      <c r="E249" s="70" t="e">
        <f>SUMIF(#REF!,'Compilado 2023 (2)'!$B:$B,#REF!)</f>
        <v>#REF!</v>
      </c>
      <c r="F249" s="70">
        <v>0</v>
      </c>
      <c r="G249" s="70">
        <f ca="1">_xlfn.XLOOKUP(B:B,'E-mail'!A:A,'E-mail'!C:C)</f>
        <v>53.333333333333336</v>
      </c>
      <c r="H249" s="70">
        <f>IFERROR(_xlfn.XLOOKUP($B:$B,#REF!,#REF!),0)</f>
        <v>0</v>
      </c>
      <c r="I249" s="70">
        <v>0</v>
      </c>
      <c r="J249" s="70">
        <v>0</v>
      </c>
      <c r="K249" s="70">
        <v>0</v>
      </c>
      <c r="L249" s="59"/>
      <c r="M249" s="70">
        <v>0</v>
      </c>
      <c r="N249" s="70">
        <v>0</v>
      </c>
      <c r="O249" s="70">
        <v>0</v>
      </c>
      <c r="P249" s="38"/>
      <c r="Q249" s="40"/>
    </row>
    <row r="250" spans="1:17" s="2" customFormat="1" x14ac:dyDescent="0.2">
      <c r="A250" s="16" t="str">
        <f t="shared" si="6"/>
        <v>segunda-feira</v>
      </c>
      <c r="B250" s="17">
        <f t="shared" si="7"/>
        <v>44809</v>
      </c>
      <c r="C250" s="52">
        <f>IFERROR(_xlfn.XLOOKUP($B:$B,'Estatísticos Mensais'!$A:$A,'Estatísticos Mensais'!C:C),0)</f>
        <v>59206.32</v>
      </c>
      <c r="D250" s="69">
        <f>IFERROR(_xlfn.XLOOKUP($B:$B,Google!A:A,Google!C:C,),0)</f>
        <v>703.43</v>
      </c>
      <c r="E250" s="70" t="e">
        <f>SUMIF(#REF!,'Compilado 2023 (2)'!$B:$B,#REF!)</f>
        <v>#REF!</v>
      </c>
      <c r="F250" s="70">
        <v>0</v>
      </c>
      <c r="G250" s="70">
        <f ca="1">_xlfn.XLOOKUP(B:B,'E-mail'!A:A,'E-mail'!C:C)</f>
        <v>53.333333333333336</v>
      </c>
      <c r="H250" s="70">
        <f>IFERROR(_xlfn.XLOOKUP($B:$B,#REF!,#REF!),0)</f>
        <v>0</v>
      </c>
      <c r="I250" s="70">
        <v>0</v>
      </c>
      <c r="J250" s="70">
        <v>0</v>
      </c>
      <c r="K250" s="70">
        <v>0</v>
      </c>
      <c r="L250" s="59"/>
      <c r="M250" s="70">
        <v>0</v>
      </c>
      <c r="N250" s="70">
        <v>0</v>
      </c>
      <c r="O250" s="70">
        <v>0</v>
      </c>
      <c r="P250" s="38"/>
      <c r="Q250" s="40"/>
    </row>
    <row r="251" spans="1:17" s="2" customFormat="1" x14ac:dyDescent="0.2">
      <c r="A251" s="16" t="str">
        <f t="shared" si="6"/>
        <v>terça-feira</v>
      </c>
      <c r="B251" s="17">
        <f t="shared" si="7"/>
        <v>44810</v>
      </c>
      <c r="C251" s="52">
        <f>IFERROR(_xlfn.XLOOKUP($B:$B,'Estatísticos Mensais'!$A:$A,'Estatísticos Mensais'!C:C),0)</f>
        <v>53971.99</v>
      </c>
      <c r="D251" s="69">
        <f>IFERROR(_xlfn.XLOOKUP($B:$B,Google!A:A,Google!C:C,),0)</f>
        <v>592.53</v>
      </c>
      <c r="E251" s="70" t="e">
        <f>SUMIF(#REF!,'Compilado 2023 (2)'!$B:$B,#REF!)</f>
        <v>#REF!</v>
      </c>
      <c r="F251" s="70">
        <v>0</v>
      </c>
      <c r="G251" s="70">
        <f ca="1">_xlfn.XLOOKUP(B:B,'E-mail'!A:A,'E-mail'!C:C)</f>
        <v>53.333333333333336</v>
      </c>
      <c r="H251" s="70">
        <f>IFERROR(_xlfn.XLOOKUP($B:$B,#REF!,#REF!),0)</f>
        <v>0</v>
      </c>
      <c r="I251" s="70">
        <v>0</v>
      </c>
      <c r="J251" s="70">
        <v>0</v>
      </c>
      <c r="K251" s="70">
        <v>0</v>
      </c>
      <c r="L251" s="59"/>
      <c r="M251" s="70">
        <v>0</v>
      </c>
      <c r="N251" s="70">
        <v>0</v>
      </c>
      <c r="O251" s="70">
        <v>0</v>
      </c>
      <c r="P251" s="38"/>
      <c r="Q251" s="40"/>
    </row>
    <row r="252" spans="1:17" s="2" customFormat="1" x14ac:dyDescent="0.2">
      <c r="A252" s="16" t="str">
        <f t="shared" si="6"/>
        <v>quarta-feira</v>
      </c>
      <c r="B252" s="17">
        <f t="shared" si="7"/>
        <v>44811</v>
      </c>
      <c r="C252" s="52">
        <f>IFERROR(_xlfn.XLOOKUP($B:$B,'Estatísticos Mensais'!$A:$A,'Estatísticos Mensais'!C:C),0)</f>
        <v>28432.95</v>
      </c>
      <c r="D252" s="69">
        <f>IFERROR(_xlfn.XLOOKUP($B:$B,Google!A:A,Google!C:C,),0)</f>
        <v>559.94000000000005</v>
      </c>
      <c r="E252" s="70" t="e">
        <f>SUMIF(#REF!,'Compilado 2023 (2)'!$B:$B,#REF!)</f>
        <v>#REF!</v>
      </c>
      <c r="F252" s="70">
        <v>0</v>
      </c>
      <c r="G252" s="70">
        <f ca="1">_xlfn.XLOOKUP(B:B,'E-mail'!A:A,'E-mail'!C:C)</f>
        <v>53.333333333333336</v>
      </c>
      <c r="H252" s="70">
        <f>IFERROR(_xlfn.XLOOKUP($B:$B,#REF!,#REF!),0)</f>
        <v>0</v>
      </c>
      <c r="I252" s="70">
        <v>0</v>
      </c>
      <c r="J252" s="70">
        <v>0</v>
      </c>
      <c r="K252" s="70">
        <v>0</v>
      </c>
      <c r="L252" s="59"/>
      <c r="M252" s="70">
        <v>0</v>
      </c>
      <c r="N252" s="70">
        <v>0</v>
      </c>
      <c r="O252" s="70">
        <v>0</v>
      </c>
      <c r="P252" s="38"/>
      <c r="Q252" s="40"/>
    </row>
    <row r="253" spans="1:17" s="2" customFormat="1" x14ac:dyDescent="0.2">
      <c r="A253" s="16" t="str">
        <f t="shared" si="6"/>
        <v>quinta-feira</v>
      </c>
      <c r="B253" s="17">
        <f t="shared" si="7"/>
        <v>44812</v>
      </c>
      <c r="C253" s="52">
        <f>IFERROR(_xlfn.XLOOKUP($B:$B,'Estatísticos Mensais'!$A:$A,'Estatísticos Mensais'!C:C),0)</f>
        <v>56579.35</v>
      </c>
      <c r="D253" s="69">
        <f>IFERROR(_xlfn.XLOOKUP($B:$B,Google!A:A,Google!C:C,),0)</f>
        <v>585.38</v>
      </c>
      <c r="E253" s="70" t="e">
        <f>SUMIF(#REF!,'Compilado 2023 (2)'!$B:$B,#REF!)</f>
        <v>#REF!</v>
      </c>
      <c r="F253" s="70">
        <v>0</v>
      </c>
      <c r="G253" s="70">
        <f ca="1">_xlfn.XLOOKUP(B:B,'E-mail'!A:A,'E-mail'!C:C)</f>
        <v>53.333333333333336</v>
      </c>
      <c r="H253" s="70">
        <f>IFERROR(_xlfn.XLOOKUP($B:$B,#REF!,#REF!),0)</f>
        <v>0</v>
      </c>
      <c r="I253" s="70">
        <v>0</v>
      </c>
      <c r="J253" s="70">
        <v>0</v>
      </c>
      <c r="K253" s="70">
        <v>0</v>
      </c>
      <c r="L253" s="59"/>
      <c r="M253" s="70">
        <v>0</v>
      </c>
      <c r="N253" s="70">
        <v>0</v>
      </c>
      <c r="O253" s="70">
        <v>0</v>
      </c>
      <c r="P253" s="38"/>
      <c r="Q253" s="40"/>
    </row>
    <row r="254" spans="1:17" s="2" customFormat="1" x14ac:dyDescent="0.2">
      <c r="A254" s="16" t="str">
        <f t="shared" si="6"/>
        <v>sexta-feira</v>
      </c>
      <c r="B254" s="17">
        <f t="shared" si="7"/>
        <v>44813</v>
      </c>
      <c r="C254" s="52">
        <f>IFERROR(_xlfn.XLOOKUP($B:$B,'Estatísticos Mensais'!$A:$A,'Estatísticos Mensais'!C:C),0)</f>
        <v>51745.83</v>
      </c>
      <c r="D254" s="69">
        <f>IFERROR(_xlfn.XLOOKUP($B:$B,Google!A:A,Google!C:C,),0)</f>
        <v>673.2</v>
      </c>
      <c r="E254" s="70" t="e">
        <f>SUMIF(#REF!,'Compilado 2023 (2)'!$B:$B,#REF!)</f>
        <v>#REF!</v>
      </c>
      <c r="F254" s="70">
        <v>0</v>
      </c>
      <c r="G254" s="70">
        <f ca="1">_xlfn.XLOOKUP(B:B,'E-mail'!A:A,'E-mail'!C:C)</f>
        <v>53.333333333333336</v>
      </c>
      <c r="H254" s="70">
        <f>IFERROR(_xlfn.XLOOKUP($B:$B,#REF!,#REF!),0)</f>
        <v>0</v>
      </c>
      <c r="I254" s="70">
        <v>0</v>
      </c>
      <c r="J254" s="70">
        <v>0</v>
      </c>
      <c r="K254" s="70">
        <v>0</v>
      </c>
      <c r="L254" s="59"/>
      <c r="M254" s="70">
        <v>0</v>
      </c>
      <c r="N254" s="70">
        <v>0</v>
      </c>
      <c r="O254" s="70">
        <v>0</v>
      </c>
      <c r="P254" s="38"/>
      <c r="Q254" s="40"/>
    </row>
    <row r="255" spans="1:17" s="2" customFormat="1" x14ac:dyDescent="0.2">
      <c r="A255" s="16" t="str">
        <f t="shared" si="6"/>
        <v>sábado</v>
      </c>
      <c r="B255" s="17">
        <f t="shared" si="7"/>
        <v>44814</v>
      </c>
      <c r="C255" s="52">
        <f>IFERROR(_xlfn.XLOOKUP($B:$B,'Estatísticos Mensais'!$A:$A,'Estatísticos Mensais'!C:C),0)</f>
        <v>37784.699999999997</v>
      </c>
      <c r="D255" s="69">
        <f>IFERROR(_xlfn.XLOOKUP($B:$B,Google!A:A,Google!C:C,),0)</f>
        <v>518.44000000000005</v>
      </c>
      <c r="E255" s="70" t="e">
        <f>SUMIF(#REF!,'Compilado 2023 (2)'!$B:$B,#REF!)</f>
        <v>#REF!</v>
      </c>
      <c r="F255" s="70">
        <v>0</v>
      </c>
      <c r="G255" s="70">
        <f ca="1">_xlfn.XLOOKUP(B:B,'E-mail'!A:A,'E-mail'!C:C)</f>
        <v>53.333333333333336</v>
      </c>
      <c r="H255" s="70">
        <f>IFERROR(_xlfn.XLOOKUP($B:$B,#REF!,#REF!),0)</f>
        <v>0</v>
      </c>
      <c r="I255" s="70">
        <v>0</v>
      </c>
      <c r="J255" s="70">
        <v>0</v>
      </c>
      <c r="K255" s="70">
        <v>0</v>
      </c>
      <c r="L255" s="59"/>
      <c r="M255" s="70">
        <v>0</v>
      </c>
      <c r="N255" s="70">
        <v>0</v>
      </c>
      <c r="O255" s="70">
        <v>0</v>
      </c>
      <c r="P255" s="38"/>
      <c r="Q255" s="40"/>
    </row>
    <row r="256" spans="1:17" s="2" customFormat="1" x14ac:dyDescent="0.2">
      <c r="A256" s="16" t="str">
        <f t="shared" si="6"/>
        <v>domingo</v>
      </c>
      <c r="B256" s="17">
        <f t="shared" si="7"/>
        <v>44815</v>
      </c>
      <c r="C256" s="52">
        <f>IFERROR(_xlfn.XLOOKUP($B:$B,'Estatísticos Mensais'!$A:$A,'Estatísticos Mensais'!C:C),0)</f>
        <v>21783.94</v>
      </c>
      <c r="D256" s="69">
        <f>IFERROR(_xlfn.XLOOKUP($B:$B,Google!A:A,Google!C:C,),0)</f>
        <v>489.8</v>
      </c>
      <c r="E256" s="70" t="e">
        <f>SUMIF(#REF!,'Compilado 2023 (2)'!$B:$B,#REF!)</f>
        <v>#REF!</v>
      </c>
      <c r="F256" s="70">
        <v>0</v>
      </c>
      <c r="G256" s="70">
        <f ca="1">_xlfn.XLOOKUP(B:B,'E-mail'!A:A,'E-mail'!C:C)</f>
        <v>53.333333333333336</v>
      </c>
      <c r="H256" s="70">
        <f>IFERROR(_xlfn.XLOOKUP($B:$B,#REF!,#REF!),0)</f>
        <v>0</v>
      </c>
      <c r="I256" s="70">
        <v>0</v>
      </c>
      <c r="J256" s="70">
        <v>0</v>
      </c>
      <c r="K256" s="70">
        <v>0</v>
      </c>
      <c r="L256" s="59"/>
      <c r="M256" s="70">
        <v>0</v>
      </c>
      <c r="N256" s="70">
        <v>0</v>
      </c>
      <c r="O256" s="70">
        <v>0</v>
      </c>
      <c r="P256" s="38"/>
      <c r="Q256" s="40"/>
    </row>
    <row r="257" spans="1:17" s="2" customFormat="1" x14ac:dyDescent="0.2">
      <c r="A257" s="16" t="str">
        <f t="shared" si="6"/>
        <v>segunda-feira</v>
      </c>
      <c r="B257" s="17">
        <f t="shared" si="7"/>
        <v>44816</v>
      </c>
      <c r="C257" s="52">
        <f>IFERROR(_xlfn.XLOOKUP($B:$B,'Estatísticos Mensais'!$A:$A,'Estatísticos Mensais'!C:C),0)</f>
        <v>56171.27</v>
      </c>
      <c r="D257" s="69">
        <f>IFERROR(_xlfn.XLOOKUP($B:$B,Google!A:A,Google!C:C,),0)</f>
        <v>667.8</v>
      </c>
      <c r="E257" s="70" t="e">
        <f>SUMIF(#REF!,'Compilado 2023 (2)'!$B:$B,#REF!)</f>
        <v>#REF!</v>
      </c>
      <c r="F257" s="70">
        <v>0</v>
      </c>
      <c r="G257" s="70">
        <f ca="1">_xlfn.XLOOKUP(B:B,'E-mail'!A:A,'E-mail'!C:C)</f>
        <v>53.333333333333336</v>
      </c>
      <c r="H257" s="70">
        <f>IFERROR(_xlfn.XLOOKUP($B:$B,#REF!,#REF!),0)</f>
        <v>0</v>
      </c>
      <c r="I257" s="70">
        <v>0</v>
      </c>
      <c r="J257" s="70">
        <v>0</v>
      </c>
      <c r="K257" s="70">
        <v>0</v>
      </c>
      <c r="L257" s="59"/>
      <c r="M257" s="70">
        <v>0</v>
      </c>
      <c r="N257" s="70">
        <v>0</v>
      </c>
      <c r="O257" s="70">
        <v>0</v>
      </c>
      <c r="P257" s="38"/>
      <c r="Q257" s="40"/>
    </row>
    <row r="258" spans="1:17" s="2" customFormat="1" x14ac:dyDescent="0.2">
      <c r="A258" s="16" t="str">
        <f t="shared" si="6"/>
        <v>terça-feira</v>
      </c>
      <c r="B258" s="17">
        <f t="shared" si="7"/>
        <v>44817</v>
      </c>
      <c r="C258" s="52">
        <f>IFERROR(_xlfn.XLOOKUP($B:$B,'Estatísticos Mensais'!$A:$A,'Estatísticos Mensais'!C:C),0)</f>
        <v>54652.83</v>
      </c>
      <c r="D258" s="69">
        <f>IFERROR(_xlfn.XLOOKUP($B:$B,Google!A:A,Google!C:C,),0)</f>
        <v>655.59</v>
      </c>
      <c r="E258" s="70" t="e">
        <f>SUMIF(#REF!,'Compilado 2023 (2)'!$B:$B,#REF!)</f>
        <v>#REF!</v>
      </c>
      <c r="F258" s="70">
        <v>0</v>
      </c>
      <c r="G258" s="70">
        <f ca="1">_xlfn.XLOOKUP(B:B,'E-mail'!A:A,'E-mail'!C:C)</f>
        <v>53.333333333333336</v>
      </c>
      <c r="H258" s="70">
        <f>IFERROR(_xlfn.XLOOKUP($B:$B,#REF!,#REF!),0)</f>
        <v>0</v>
      </c>
      <c r="I258" s="70">
        <v>0</v>
      </c>
      <c r="J258" s="70">
        <v>0</v>
      </c>
      <c r="K258" s="70">
        <v>0</v>
      </c>
      <c r="L258" s="59"/>
      <c r="M258" s="70">
        <v>0</v>
      </c>
      <c r="N258" s="70">
        <v>0</v>
      </c>
      <c r="O258" s="70">
        <v>0</v>
      </c>
      <c r="P258" s="38"/>
      <c r="Q258" s="40"/>
    </row>
    <row r="259" spans="1:17" s="2" customFormat="1" x14ac:dyDescent="0.2">
      <c r="A259" s="16" t="str">
        <f t="shared" ref="A259:A322" si="8">TEXT(B259,"DDDD")</f>
        <v>quarta-feira</v>
      </c>
      <c r="B259" s="17">
        <f t="shared" si="7"/>
        <v>44818</v>
      </c>
      <c r="C259" s="52">
        <f>IFERROR(_xlfn.XLOOKUP($B:$B,'Estatísticos Mensais'!$A:$A,'Estatísticos Mensais'!C:C),0)</f>
        <v>58360.29</v>
      </c>
      <c r="D259" s="69">
        <f>IFERROR(_xlfn.XLOOKUP($B:$B,Google!A:A,Google!C:C,),0)</f>
        <v>603.77</v>
      </c>
      <c r="E259" s="70" t="e">
        <f>SUMIF(#REF!,'Compilado 2023 (2)'!$B:$B,#REF!)</f>
        <v>#REF!</v>
      </c>
      <c r="F259" s="70">
        <v>0</v>
      </c>
      <c r="G259" s="70">
        <f ca="1">_xlfn.XLOOKUP(B:B,'E-mail'!A:A,'E-mail'!C:C)</f>
        <v>53.333333333333336</v>
      </c>
      <c r="H259" s="70">
        <f>IFERROR(_xlfn.XLOOKUP($B:$B,#REF!,#REF!),0)</f>
        <v>0</v>
      </c>
      <c r="I259" s="70">
        <v>0</v>
      </c>
      <c r="J259" s="70">
        <v>0</v>
      </c>
      <c r="K259" s="70">
        <v>0</v>
      </c>
      <c r="L259" s="59"/>
      <c r="M259" s="70">
        <v>0</v>
      </c>
      <c r="N259" s="70">
        <v>0</v>
      </c>
      <c r="O259" s="70">
        <v>0</v>
      </c>
      <c r="P259" s="38"/>
      <c r="Q259" s="40"/>
    </row>
    <row r="260" spans="1:17" s="2" customFormat="1" x14ac:dyDescent="0.2">
      <c r="A260" s="16" t="str">
        <f t="shared" si="8"/>
        <v>quinta-feira</v>
      </c>
      <c r="B260" s="17">
        <f t="shared" si="7"/>
        <v>44819</v>
      </c>
      <c r="C260" s="52">
        <f>IFERROR(_xlfn.XLOOKUP($B:$B,'Estatísticos Mensais'!$A:$A,'Estatísticos Mensais'!C:C),0)</f>
        <v>53315.81</v>
      </c>
      <c r="D260" s="69">
        <f>IFERROR(_xlfn.XLOOKUP($B:$B,Google!A:A,Google!C:C,),0)</f>
        <v>616.01</v>
      </c>
      <c r="E260" s="70" t="e">
        <f>SUMIF(#REF!,'Compilado 2023 (2)'!$B:$B,#REF!)</f>
        <v>#REF!</v>
      </c>
      <c r="F260" s="70">
        <v>0</v>
      </c>
      <c r="G260" s="70">
        <f ca="1">_xlfn.XLOOKUP(B:B,'E-mail'!A:A,'E-mail'!C:C)</f>
        <v>53.333333333333336</v>
      </c>
      <c r="H260" s="70">
        <f>IFERROR(_xlfn.XLOOKUP($B:$B,#REF!,#REF!),0)</f>
        <v>0</v>
      </c>
      <c r="I260" s="70">
        <v>0</v>
      </c>
      <c r="J260" s="70">
        <v>0</v>
      </c>
      <c r="K260" s="70">
        <v>0</v>
      </c>
      <c r="L260" s="59"/>
      <c r="M260" s="70">
        <v>0</v>
      </c>
      <c r="N260" s="70">
        <v>0</v>
      </c>
      <c r="O260" s="70">
        <v>0</v>
      </c>
      <c r="P260" s="38"/>
      <c r="Q260" s="40"/>
    </row>
    <row r="261" spans="1:17" s="2" customFormat="1" x14ac:dyDescent="0.2">
      <c r="A261" s="16" t="str">
        <f t="shared" si="8"/>
        <v>sexta-feira</v>
      </c>
      <c r="B261" s="17">
        <f t="shared" ref="B261:B324" si="9">B260+1</f>
        <v>44820</v>
      </c>
      <c r="C261" s="52">
        <f>IFERROR(_xlfn.XLOOKUP($B:$B,'Estatísticos Mensais'!$A:$A,'Estatísticos Mensais'!C:C),0)</f>
        <v>47071.95</v>
      </c>
      <c r="D261" s="69">
        <f>IFERROR(_xlfn.XLOOKUP($B:$B,Google!A:A,Google!C:C,),0)</f>
        <v>947.43</v>
      </c>
      <c r="E261" s="70" t="e">
        <f>SUMIF(#REF!,'Compilado 2023 (2)'!$B:$B,#REF!)</f>
        <v>#REF!</v>
      </c>
      <c r="F261" s="70">
        <v>0</v>
      </c>
      <c r="G261" s="70">
        <f ca="1">_xlfn.XLOOKUP(B:B,'E-mail'!A:A,'E-mail'!C:C)</f>
        <v>53.333333333333336</v>
      </c>
      <c r="H261" s="70">
        <f>IFERROR(_xlfn.XLOOKUP($B:$B,#REF!,#REF!),0)</f>
        <v>0</v>
      </c>
      <c r="I261" s="70">
        <v>0</v>
      </c>
      <c r="J261" s="70">
        <v>0</v>
      </c>
      <c r="K261" s="70">
        <v>0</v>
      </c>
      <c r="L261" s="59"/>
      <c r="M261" s="70">
        <v>0</v>
      </c>
      <c r="N261" s="70">
        <v>0</v>
      </c>
      <c r="O261" s="70">
        <v>0</v>
      </c>
      <c r="P261" s="38"/>
      <c r="Q261" s="40"/>
    </row>
    <row r="262" spans="1:17" s="2" customFormat="1" x14ac:dyDescent="0.2">
      <c r="A262" s="16" t="str">
        <f t="shared" si="8"/>
        <v>sábado</v>
      </c>
      <c r="B262" s="17">
        <f t="shared" si="9"/>
        <v>44821</v>
      </c>
      <c r="C262" s="52">
        <f>IFERROR(_xlfn.XLOOKUP($B:$B,'Estatísticos Mensais'!$A:$A,'Estatísticos Mensais'!C:C),0)</f>
        <v>32520.55</v>
      </c>
      <c r="D262" s="69">
        <f>IFERROR(_xlfn.XLOOKUP($B:$B,Google!A:A,Google!C:C,),0)</f>
        <v>1065.24</v>
      </c>
      <c r="E262" s="70" t="e">
        <f>SUMIF(#REF!,'Compilado 2023 (2)'!$B:$B,#REF!)</f>
        <v>#REF!</v>
      </c>
      <c r="F262" s="70">
        <v>0</v>
      </c>
      <c r="G262" s="70">
        <f ca="1">_xlfn.XLOOKUP(B:B,'E-mail'!A:A,'E-mail'!C:C)</f>
        <v>53.333333333333336</v>
      </c>
      <c r="H262" s="70">
        <f>IFERROR(_xlfn.XLOOKUP($B:$B,#REF!,#REF!),0)</f>
        <v>0</v>
      </c>
      <c r="I262" s="70">
        <v>0</v>
      </c>
      <c r="J262" s="70">
        <v>0</v>
      </c>
      <c r="K262" s="70">
        <v>0</v>
      </c>
      <c r="L262" s="59"/>
      <c r="M262" s="70">
        <v>0</v>
      </c>
      <c r="N262" s="70">
        <v>0</v>
      </c>
      <c r="O262" s="70">
        <v>0</v>
      </c>
      <c r="P262" s="38"/>
      <c r="Q262" s="40"/>
    </row>
    <row r="263" spans="1:17" s="2" customFormat="1" x14ac:dyDescent="0.2">
      <c r="A263" s="16" t="str">
        <f t="shared" si="8"/>
        <v>domingo</v>
      </c>
      <c r="B263" s="17">
        <f t="shared" si="9"/>
        <v>44822</v>
      </c>
      <c r="C263" s="52">
        <f>IFERROR(_xlfn.XLOOKUP($B:$B,'Estatísticos Mensais'!$A:$A,'Estatísticos Mensais'!C:C),0)</f>
        <v>20304.75</v>
      </c>
      <c r="D263" s="69">
        <f>IFERROR(_xlfn.XLOOKUP($B:$B,Google!A:A,Google!C:C,),0)</f>
        <v>978.31</v>
      </c>
      <c r="E263" s="70" t="e">
        <f>SUMIF(#REF!,'Compilado 2023 (2)'!$B:$B,#REF!)</f>
        <v>#REF!</v>
      </c>
      <c r="F263" s="70">
        <v>0</v>
      </c>
      <c r="G263" s="70">
        <f ca="1">_xlfn.XLOOKUP(B:B,'E-mail'!A:A,'E-mail'!C:C)</f>
        <v>53.333333333333336</v>
      </c>
      <c r="H263" s="70">
        <f>IFERROR(_xlfn.XLOOKUP($B:$B,#REF!,#REF!),0)</f>
        <v>0</v>
      </c>
      <c r="I263" s="70">
        <v>0</v>
      </c>
      <c r="J263" s="70">
        <v>0</v>
      </c>
      <c r="K263" s="70">
        <v>0</v>
      </c>
      <c r="L263" s="59"/>
      <c r="M263" s="70">
        <v>0</v>
      </c>
      <c r="N263" s="70">
        <v>0</v>
      </c>
      <c r="O263" s="70">
        <v>0</v>
      </c>
      <c r="P263" s="38"/>
      <c r="Q263" s="40"/>
    </row>
    <row r="264" spans="1:17" s="2" customFormat="1" x14ac:dyDescent="0.2">
      <c r="A264" s="16" t="str">
        <f t="shared" si="8"/>
        <v>segunda-feira</v>
      </c>
      <c r="B264" s="17">
        <f t="shared" si="9"/>
        <v>44823</v>
      </c>
      <c r="C264" s="52">
        <f>IFERROR(_xlfn.XLOOKUP($B:$B,'Estatísticos Mensais'!$A:$A,'Estatísticos Mensais'!C:C),0)</f>
        <v>71831.789999999994</v>
      </c>
      <c r="D264" s="69">
        <f>IFERROR(_xlfn.XLOOKUP($B:$B,Google!A:A,Google!C:C,),0)</f>
        <v>1674.01</v>
      </c>
      <c r="E264" s="70" t="e">
        <f>SUMIF(#REF!,'Compilado 2023 (2)'!$B:$B,#REF!)</f>
        <v>#REF!</v>
      </c>
      <c r="F264" s="70">
        <v>0</v>
      </c>
      <c r="G264" s="70">
        <f ca="1">_xlfn.XLOOKUP(B:B,'E-mail'!A:A,'E-mail'!C:C)</f>
        <v>53.333333333333336</v>
      </c>
      <c r="H264" s="70">
        <f>IFERROR(_xlfn.XLOOKUP($B:$B,#REF!,#REF!),0)</f>
        <v>0</v>
      </c>
      <c r="I264" s="70">
        <v>0</v>
      </c>
      <c r="J264" s="70">
        <v>0</v>
      </c>
      <c r="K264" s="70">
        <v>0</v>
      </c>
      <c r="L264" s="59"/>
      <c r="M264" s="70">
        <v>0</v>
      </c>
      <c r="N264" s="70">
        <v>0</v>
      </c>
      <c r="O264" s="70">
        <v>0</v>
      </c>
      <c r="P264" s="38"/>
      <c r="Q264" s="40"/>
    </row>
    <row r="265" spans="1:17" s="2" customFormat="1" x14ac:dyDescent="0.2">
      <c r="A265" s="16" t="str">
        <f t="shared" si="8"/>
        <v>terça-feira</v>
      </c>
      <c r="B265" s="17">
        <f t="shared" si="9"/>
        <v>44824</v>
      </c>
      <c r="C265" s="52">
        <f>IFERROR(_xlfn.XLOOKUP($B:$B,'Estatísticos Mensais'!$A:$A,'Estatísticos Mensais'!C:C),0)</f>
        <v>65118.879999999997</v>
      </c>
      <c r="D265" s="69">
        <f>IFERROR(_xlfn.XLOOKUP($B:$B,Google!A:A,Google!C:C,),0)</f>
        <v>1519.65</v>
      </c>
      <c r="E265" s="70" t="e">
        <f>SUMIF(#REF!,'Compilado 2023 (2)'!$B:$B,#REF!)</f>
        <v>#REF!</v>
      </c>
      <c r="F265" s="70">
        <v>0</v>
      </c>
      <c r="G265" s="70">
        <f ca="1">_xlfn.XLOOKUP(B:B,'E-mail'!A:A,'E-mail'!C:C)</f>
        <v>53.333333333333336</v>
      </c>
      <c r="H265" s="70">
        <f>IFERROR(_xlfn.XLOOKUP($B:$B,#REF!,#REF!),0)</f>
        <v>0</v>
      </c>
      <c r="I265" s="70">
        <v>0</v>
      </c>
      <c r="J265" s="70">
        <v>0</v>
      </c>
      <c r="K265" s="70">
        <v>0</v>
      </c>
      <c r="L265" s="59"/>
      <c r="M265" s="70">
        <v>0</v>
      </c>
      <c r="N265" s="70">
        <v>0</v>
      </c>
      <c r="O265" s="70">
        <v>0</v>
      </c>
      <c r="P265" s="38"/>
      <c r="Q265" s="40"/>
    </row>
    <row r="266" spans="1:17" s="2" customFormat="1" x14ac:dyDescent="0.2">
      <c r="A266" s="16" t="str">
        <f t="shared" si="8"/>
        <v>quarta-feira</v>
      </c>
      <c r="B266" s="17">
        <f t="shared" si="9"/>
        <v>44825</v>
      </c>
      <c r="C266" s="52">
        <f>IFERROR(_xlfn.XLOOKUP($B:$B,'Estatísticos Mensais'!$A:$A,'Estatísticos Mensais'!C:C),0)</f>
        <v>61030.95</v>
      </c>
      <c r="D266" s="69">
        <f>IFERROR(_xlfn.XLOOKUP($B:$B,Google!A:A,Google!C:C,),0)</f>
        <v>568.26</v>
      </c>
      <c r="E266" s="70" t="e">
        <f>SUMIF(#REF!,'Compilado 2023 (2)'!$B:$B,#REF!)</f>
        <v>#REF!</v>
      </c>
      <c r="F266" s="70">
        <v>0</v>
      </c>
      <c r="G266" s="70">
        <f ca="1">_xlfn.XLOOKUP(B:B,'E-mail'!A:A,'E-mail'!C:C)</f>
        <v>53.333333333333336</v>
      </c>
      <c r="H266" s="70">
        <f>IFERROR(_xlfn.XLOOKUP($B:$B,#REF!,#REF!),0)</f>
        <v>0</v>
      </c>
      <c r="I266" s="70">
        <v>0</v>
      </c>
      <c r="J266" s="70">
        <v>0</v>
      </c>
      <c r="K266" s="70">
        <v>0</v>
      </c>
      <c r="L266" s="59"/>
      <c r="M266" s="70">
        <v>0</v>
      </c>
      <c r="N266" s="70">
        <v>0</v>
      </c>
      <c r="O266" s="70">
        <v>0</v>
      </c>
      <c r="P266" s="38"/>
      <c r="Q266" s="40"/>
    </row>
    <row r="267" spans="1:17" s="2" customFormat="1" x14ac:dyDescent="0.2">
      <c r="A267" s="16" t="str">
        <f t="shared" si="8"/>
        <v>quinta-feira</v>
      </c>
      <c r="B267" s="17">
        <f t="shared" si="9"/>
        <v>44826</v>
      </c>
      <c r="C267" s="52">
        <f>IFERROR(_xlfn.XLOOKUP($B:$B,'Estatísticos Mensais'!$A:$A,'Estatísticos Mensais'!C:C),0)</f>
        <v>58301.17</v>
      </c>
      <c r="D267" s="69">
        <f>IFERROR(_xlfn.XLOOKUP($B:$B,Google!A:A,Google!C:C,),0)</f>
        <v>519.64</v>
      </c>
      <c r="E267" s="70" t="e">
        <f>SUMIF(#REF!,'Compilado 2023 (2)'!$B:$B,#REF!)</f>
        <v>#REF!</v>
      </c>
      <c r="F267" s="70">
        <v>0</v>
      </c>
      <c r="G267" s="70">
        <f ca="1">_xlfn.XLOOKUP(B:B,'E-mail'!A:A,'E-mail'!C:C)</f>
        <v>53.333333333333336</v>
      </c>
      <c r="H267" s="70">
        <f>IFERROR(_xlfn.XLOOKUP($B:$B,#REF!,#REF!),0)</f>
        <v>0</v>
      </c>
      <c r="I267" s="70">
        <v>0</v>
      </c>
      <c r="J267" s="70">
        <v>0</v>
      </c>
      <c r="K267" s="70">
        <v>0</v>
      </c>
      <c r="L267" s="59"/>
      <c r="M267" s="70">
        <v>0</v>
      </c>
      <c r="N267" s="70">
        <v>0</v>
      </c>
      <c r="O267" s="70">
        <v>0</v>
      </c>
      <c r="P267" s="38"/>
      <c r="Q267" s="40"/>
    </row>
    <row r="268" spans="1:17" s="2" customFormat="1" x14ac:dyDescent="0.2">
      <c r="A268" s="16" t="str">
        <f t="shared" si="8"/>
        <v>sexta-feira</v>
      </c>
      <c r="B268" s="17">
        <f t="shared" si="9"/>
        <v>44827</v>
      </c>
      <c r="C268" s="52">
        <f>IFERROR(_xlfn.XLOOKUP($B:$B,'Estatísticos Mensais'!$A:$A,'Estatísticos Mensais'!C:C),0)</f>
        <v>49237.4</v>
      </c>
      <c r="D268" s="69">
        <f>IFERROR(_xlfn.XLOOKUP($B:$B,Google!A:A,Google!C:C,),0)</f>
        <v>444.88</v>
      </c>
      <c r="E268" s="70" t="e">
        <f>SUMIF(#REF!,'Compilado 2023 (2)'!$B:$B,#REF!)</f>
        <v>#REF!</v>
      </c>
      <c r="F268" s="70">
        <v>0</v>
      </c>
      <c r="G268" s="70">
        <f ca="1">_xlfn.XLOOKUP(B:B,'E-mail'!A:A,'E-mail'!C:C)</f>
        <v>53.333333333333336</v>
      </c>
      <c r="H268" s="70">
        <f>IFERROR(_xlfn.XLOOKUP($B:$B,#REF!,#REF!),0)</f>
        <v>0</v>
      </c>
      <c r="I268" s="70">
        <v>0</v>
      </c>
      <c r="J268" s="70">
        <v>0</v>
      </c>
      <c r="K268" s="70">
        <v>0</v>
      </c>
      <c r="L268" s="59"/>
      <c r="M268" s="70">
        <v>0</v>
      </c>
      <c r="N268" s="70">
        <v>0</v>
      </c>
      <c r="O268" s="70">
        <v>0</v>
      </c>
      <c r="P268" s="38"/>
      <c r="Q268" s="40"/>
    </row>
    <row r="269" spans="1:17" s="2" customFormat="1" x14ac:dyDescent="0.2">
      <c r="A269" s="16" t="str">
        <f t="shared" si="8"/>
        <v>sábado</v>
      </c>
      <c r="B269" s="17">
        <f t="shared" si="9"/>
        <v>44828</v>
      </c>
      <c r="C269" s="52">
        <f>IFERROR(_xlfn.XLOOKUP($B:$B,'Estatísticos Mensais'!$A:$A,'Estatísticos Mensais'!C:C),0)</f>
        <v>26717.62</v>
      </c>
      <c r="D269" s="69">
        <f>IFERROR(_xlfn.XLOOKUP($B:$B,Google!A:A,Google!C:C,),0)</f>
        <v>335.73</v>
      </c>
      <c r="E269" s="70" t="e">
        <f>SUMIF(#REF!,'Compilado 2023 (2)'!$B:$B,#REF!)</f>
        <v>#REF!</v>
      </c>
      <c r="F269" s="70">
        <v>0</v>
      </c>
      <c r="G269" s="70">
        <f ca="1">_xlfn.XLOOKUP(B:B,'E-mail'!A:A,'E-mail'!C:C)</f>
        <v>53.333333333333336</v>
      </c>
      <c r="H269" s="70">
        <f>IFERROR(_xlfn.XLOOKUP($B:$B,#REF!,#REF!),0)</f>
        <v>0</v>
      </c>
      <c r="I269" s="70">
        <v>0</v>
      </c>
      <c r="J269" s="70">
        <v>0</v>
      </c>
      <c r="K269" s="70">
        <v>0</v>
      </c>
      <c r="L269" s="59"/>
      <c r="M269" s="70">
        <v>0</v>
      </c>
      <c r="N269" s="70">
        <v>0</v>
      </c>
      <c r="O269" s="70">
        <v>0</v>
      </c>
      <c r="P269" s="38"/>
      <c r="Q269" s="40"/>
    </row>
    <row r="270" spans="1:17" s="2" customFormat="1" x14ac:dyDescent="0.2">
      <c r="A270" s="16" t="str">
        <f t="shared" si="8"/>
        <v>domingo</v>
      </c>
      <c r="B270" s="17">
        <f t="shared" si="9"/>
        <v>44829</v>
      </c>
      <c r="C270" s="52">
        <f>IFERROR(_xlfn.XLOOKUP($B:$B,'Estatísticos Mensais'!$A:$A,'Estatísticos Mensais'!C:C),0)</f>
        <v>16274.91</v>
      </c>
      <c r="D270" s="69">
        <f>IFERROR(_xlfn.XLOOKUP($B:$B,Google!A:A,Google!C:C,),0)</f>
        <v>331.38</v>
      </c>
      <c r="E270" s="70" t="e">
        <f>SUMIF(#REF!,'Compilado 2023 (2)'!$B:$B,#REF!)</f>
        <v>#REF!</v>
      </c>
      <c r="F270" s="70">
        <v>0</v>
      </c>
      <c r="G270" s="70">
        <f ca="1">_xlfn.XLOOKUP(B:B,'E-mail'!A:A,'E-mail'!C:C)</f>
        <v>53.333333333333336</v>
      </c>
      <c r="H270" s="70">
        <f>IFERROR(_xlfn.XLOOKUP($B:$B,#REF!,#REF!),0)</f>
        <v>0</v>
      </c>
      <c r="I270" s="70">
        <v>0</v>
      </c>
      <c r="J270" s="70">
        <v>0</v>
      </c>
      <c r="K270" s="70">
        <v>0</v>
      </c>
      <c r="L270" s="59"/>
      <c r="M270" s="70">
        <v>0</v>
      </c>
      <c r="N270" s="70">
        <v>0</v>
      </c>
      <c r="O270" s="70">
        <v>0</v>
      </c>
      <c r="P270" s="38"/>
      <c r="Q270" s="40"/>
    </row>
    <row r="271" spans="1:17" s="2" customFormat="1" x14ac:dyDescent="0.2">
      <c r="A271" s="16" t="str">
        <f t="shared" si="8"/>
        <v>segunda-feira</v>
      </c>
      <c r="B271" s="17">
        <f t="shared" si="9"/>
        <v>44830</v>
      </c>
      <c r="C271" s="52">
        <f>IFERROR(_xlfn.XLOOKUP($B:$B,'Estatísticos Mensais'!$A:$A,'Estatísticos Mensais'!C:C),0)</f>
        <v>41882.97</v>
      </c>
      <c r="D271" s="69">
        <f>IFERROR(_xlfn.XLOOKUP($B:$B,Google!A:A,Google!C:C,),0)</f>
        <v>468.78</v>
      </c>
      <c r="E271" s="70" t="e">
        <f>SUMIF(#REF!,'Compilado 2023 (2)'!$B:$B,#REF!)</f>
        <v>#REF!</v>
      </c>
      <c r="F271" s="70">
        <v>0</v>
      </c>
      <c r="G271" s="70">
        <f ca="1">_xlfn.XLOOKUP(B:B,'E-mail'!A:A,'E-mail'!C:C)</f>
        <v>53.333333333333336</v>
      </c>
      <c r="H271" s="70">
        <f>IFERROR(_xlfn.XLOOKUP($B:$B,#REF!,#REF!),0)</f>
        <v>0</v>
      </c>
      <c r="I271" s="70">
        <v>0</v>
      </c>
      <c r="J271" s="70">
        <v>0</v>
      </c>
      <c r="K271" s="70">
        <v>0</v>
      </c>
      <c r="L271" s="59"/>
      <c r="M271" s="70">
        <v>0</v>
      </c>
      <c r="N271" s="70">
        <v>0</v>
      </c>
      <c r="O271" s="70">
        <v>0</v>
      </c>
      <c r="P271" s="38"/>
      <c r="Q271" s="40"/>
    </row>
    <row r="272" spans="1:17" s="2" customFormat="1" x14ac:dyDescent="0.2">
      <c r="A272" s="16" t="str">
        <f t="shared" si="8"/>
        <v>terça-feira</v>
      </c>
      <c r="B272" s="17">
        <f t="shared" si="9"/>
        <v>44831</v>
      </c>
      <c r="C272" s="52">
        <f>IFERROR(_xlfn.XLOOKUP($B:$B,'Estatísticos Mensais'!$A:$A,'Estatísticos Mensais'!C:C),0)</f>
        <v>44967.11</v>
      </c>
      <c r="D272" s="69">
        <f>IFERROR(_xlfn.XLOOKUP($B:$B,Google!A:A,Google!C:C,),0)</f>
        <v>459.89</v>
      </c>
      <c r="E272" s="70" t="e">
        <f>SUMIF(#REF!,'Compilado 2023 (2)'!$B:$B,#REF!)</f>
        <v>#REF!</v>
      </c>
      <c r="F272" s="70">
        <v>0</v>
      </c>
      <c r="G272" s="70">
        <f ca="1">_xlfn.XLOOKUP(B:B,'E-mail'!A:A,'E-mail'!C:C)</f>
        <v>53.333333333333336</v>
      </c>
      <c r="H272" s="70">
        <f>IFERROR(_xlfn.XLOOKUP($B:$B,#REF!,#REF!),0)</f>
        <v>0</v>
      </c>
      <c r="I272" s="70">
        <v>0</v>
      </c>
      <c r="J272" s="70">
        <v>0</v>
      </c>
      <c r="K272" s="70">
        <v>0</v>
      </c>
      <c r="L272" s="59"/>
      <c r="M272" s="70">
        <v>0</v>
      </c>
      <c r="N272" s="70">
        <v>0</v>
      </c>
      <c r="O272" s="70">
        <v>0</v>
      </c>
      <c r="P272" s="38"/>
      <c r="Q272" s="40"/>
    </row>
    <row r="273" spans="1:17" s="2" customFormat="1" x14ac:dyDescent="0.2">
      <c r="A273" s="16" t="str">
        <f t="shared" si="8"/>
        <v>quarta-feira</v>
      </c>
      <c r="B273" s="17">
        <f t="shared" si="9"/>
        <v>44832</v>
      </c>
      <c r="C273" s="52">
        <f>IFERROR(_xlfn.XLOOKUP($B:$B,'Estatísticos Mensais'!$A:$A,'Estatísticos Mensais'!C:C),0)</f>
        <v>66855.64</v>
      </c>
      <c r="D273" s="69">
        <f>IFERROR(_xlfn.XLOOKUP($B:$B,Google!A:A,Google!C:C,),0)</f>
        <v>415.17</v>
      </c>
      <c r="E273" s="70" t="e">
        <f>SUMIF(#REF!,'Compilado 2023 (2)'!$B:$B,#REF!)</f>
        <v>#REF!</v>
      </c>
      <c r="F273" s="70">
        <v>0</v>
      </c>
      <c r="G273" s="70">
        <f ca="1">_xlfn.XLOOKUP(B:B,'E-mail'!A:A,'E-mail'!C:C)</f>
        <v>53.333333333333336</v>
      </c>
      <c r="H273" s="70">
        <f>IFERROR(_xlfn.XLOOKUP($B:$B,#REF!,#REF!),0)</f>
        <v>0</v>
      </c>
      <c r="I273" s="70">
        <v>0</v>
      </c>
      <c r="J273" s="70">
        <v>0</v>
      </c>
      <c r="K273" s="70">
        <v>0</v>
      </c>
      <c r="L273" s="59"/>
      <c r="M273" s="70">
        <v>0</v>
      </c>
      <c r="N273" s="70">
        <v>0</v>
      </c>
      <c r="O273" s="70">
        <v>0</v>
      </c>
      <c r="P273" s="38"/>
      <c r="Q273" s="40"/>
    </row>
    <row r="274" spans="1:17" s="2" customFormat="1" x14ac:dyDescent="0.2">
      <c r="A274" s="16" t="str">
        <f t="shared" si="8"/>
        <v>quinta-feira</v>
      </c>
      <c r="B274" s="17">
        <f t="shared" si="9"/>
        <v>44833</v>
      </c>
      <c r="C274" s="52">
        <f>IFERROR(_xlfn.XLOOKUP($B:$B,'Estatísticos Mensais'!$A:$A,'Estatísticos Mensais'!C:C),0)</f>
        <v>67928.87</v>
      </c>
      <c r="D274" s="69">
        <f>IFERROR(_xlfn.XLOOKUP($B:$B,Google!A:A,Google!C:C,),0)</f>
        <v>352.71</v>
      </c>
      <c r="E274" s="70" t="e">
        <f>SUMIF(#REF!,'Compilado 2023 (2)'!$B:$B,#REF!)</f>
        <v>#REF!</v>
      </c>
      <c r="F274" s="70">
        <v>0</v>
      </c>
      <c r="G274" s="70">
        <f ca="1">_xlfn.XLOOKUP(B:B,'E-mail'!A:A,'E-mail'!C:C)</f>
        <v>53.333333333333336</v>
      </c>
      <c r="H274" s="70">
        <f>IFERROR(_xlfn.XLOOKUP($B:$B,#REF!,#REF!),0)</f>
        <v>0</v>
      </c>
      <c r="I274" s="70">
        <v>0</v>
      </c>
      <c r="J274" s="70">
        <v>0</v>
      </c>
      <c r="K274" s="70">
        <v>0</v>
      </c>
      <c r="L274" s="59"/>
      <c r="M274" s="70">
        <v>0</v>
      </c>
      <c r="N274" s="70">
        <v>0</v>
      </c>
      <c r="O274" s="70">
        <v>0</v>
      </c>
      <c r="P274" s="38"/>
      <c r="Q274" s="40"/>
    </row>
    <row r="275" spans="1:17" s="2" customFormat="1" x14ac:dyDescent="0.2">
      <c r="A275" s="16" t="str">
        <f t="shared" si="8"/>
        <v>sexta-feira</v>
      </c>
      <c r="B275" s="17">
        <f t="shared" si="9"/>
        <v>44834</v>
      </c>
      <c r="C275" s="52">
        <f>IFERROR(_xlfn.XLOOKUP($B:$B,'Estatísticos Mensais'!$A:$A,'Estatísticos Mensais'!C:C),0)</f>
        <v>72018.289999999994</v>
      </c>
      <c r="D275" s="69">
        <f>IFERROR(_xlfn.XLOOKUP($B:$B,Google!A:A,Google!C:C,),0)</f>
        <v>328.14</v>
      </c>
      <c r="E275" s="70" t="e">
        <f>SUMIF(#REF!,'Compilado 2023 (2)'!$B:$B,#REF!)</f>
        <v>#REF!</v>
      </c>
      <c r="F275" s="70">
        <v>0</v>
      </c>
      <c r="G275" s="70">
        <f ca="1">_xlfn.XLOOKUP(B:B,'E-mail'!A:A,'E-mail'!C:C)</f>
        <v>53.333333333333336</v>
      </c>
      <c r="H275" s="70">
        <f>IFERROR(_xlfn.XLOOKUP($B:$B,#REF!,#REF!),0)</f>
        <v>0</v>
      </c>
      <c r="I275" s="70">
        <v>0</v>
      </c>
      <c r="J275" s="70">
        <v>0</v>
      </c>
      <c r="K275" s="70">
        <v>0</v>
      </c>
      <c r="L275" s="59"/>
      <c r="M275" s="70">
        <v>0</v>
      </c>
      <c r="N275" s="70">
        <v>0</v>
      </c>
      <c r="O275" s="70">
        <v>0</v>
      </c>
      <c r="P275" s="38"/>
      <c r="Q275" s="40"/>
    </row>
    <row r="276" spans="1:17" s="2" customFormat="1" x14ac:dyDescent="0.2">
      <c r="A276" s="16" t="str">
        <f t="shared" si="8"/>
        <v>sábado</v>
      </c>
      <c r="B276" s="17">
        <f t="shared" si="9"/>
        <v>44835</v>
      </c>
      <c r="C276" s="52">
        <f>IFERROR(_xlfn.XLOOKUP($B:$B,'Estatísticos Mensais'!$A:$A,'Estatísticos Mensais'!C:C),0)</f>
        <v>27208.94</v>
      </c>
      <c r="D276" s="69">
        <f>IFERROR(_xlfn.XLOOKUP($B:$B,Google!A:A,Google!C:C,),0)</f>
        <v>329.44</v>
      </c>
      <c r="E276" s="70" t="e">
        <f>SUMIF(#REF!,'Compilado 2023 (2)'!$B:$B,#REF!)</f>
        <v>#REF!</v>
      </c>
      <c r="F276" s="70">
        <v>0</v>
      </c>
      <c r="G276" s="70">
        <f ca="1">_xlfn.XLOOKUP(B:B,'E-mail'!A:A,'E-mail'!C:C)</f>
        <v>51.612903225806448</v>
      </c>
      <c r="H276" s="70">
        <f>IFERROR(_xlfn.XLOOKUP($B:$B,#REF!,#REF!),0)</f>
        <v>0</v>
      </c>
      <c r="I276" s="70">
        <v>0</v>
      </c>
      <c r="J276" s="70">
        <v>0</v>
      </c>
      <c r="K276" s="70">
        <v>0</v>
      </c>
      <c r="L276" s="59"/>
      <c r="M276" s="70">
        <v>0</v>
      </c>
      <c r="N276" s="70">
        <v>0</v>
      </c>
      <c r="O276" s="70">
        <v>0</v>
      </c>
      <c r="P276" s="38"/>
      <c r="Q276" s="40"/>
    </row>
    <row r="277" spans="1:17" s="2" customFormat="1" x14ac:dyDescent="0.2">
      <c r="A277" s="16" t="str">
        <f t="shared" si="8"/>
        <v>domingo</v>
      </c>
      <c r="B277" s="17">
        <f t="shared" si="9"/>
        <v>44836</v>
      </c>
      <c r="C277" s="52">
        <f>IFERROR(_xlfn.XLOOKUP($B:$B,'Estatísticos Mensais'!$A:$A,'Estatísticos Mensais'!C:C),0)</f>
        <v>19267.509999999998</v>
      </c>
      <c r="D277" s="69">
        <f>IFERROR(_xlfn.XLOOKUP($B:$B,Google!A:A,Google!C:C,),0)</f>
        <v>313</v>
      </c>
      <c r="E277" s="70" t="e">
        <f>SUMIF(#REF!,'Compilado 2023 (2)'!$B:$B,#REF!)</f>
        <v>#REF!</v>
      </c>
      <c r="F277" s="70">
        <v>0</v>
      </c>
      <c r="G277" s="70">
        <f ca="1">_xlfn.XLOOKUP(B:B,'E-mail'!A:A,'E-mail'!C:C)</f>
        <v>51.612903225806448</v>
      </c>
      <c r="H277" s="70">
        <f>IFERROR(_xlfn.XLOOKUP($B:$B,#REF!,#REF!),0)</f>
        <v>0</v>
      </c>
      <c r="I277" s="70">
        <v>0</v>
      </c>
      <c r="J277" s="70">
        <v>0</v>
      </c>
      <c r="K277" s="70">
        <v>0</v>
      </c>
      <c r="L277" s="59"/>
      <c r="M277" s="70">
        <v>0</v>
      </c>
      <c r="N277" s="70">
        <v>0</v>
      </c>
      <c r="O277" s="70">
        <v>0</v>
      </c>
      <c r="P277" s="38"/>
      <c r="Q277" s="40"/>
    </row>
    <row r="278" spans="1:17" s="2" customFormat="1" x14ac:dyDescent="0.2">
      <c r="A278" s="16" t="str">
        <f t="shared" si="8"/>
        <v>segunda-feira</v>
      </c>
      <c r="B278" s="17">
        <f t="shared" si="9"/>
        <v>44837</v>
      </c>
      <c r="C278" s="52">
        <f>IFERROR(_xlfn.XLOOKUP($B:$B,'Estatísticos Mensais'!$A:$A,'Estatísticos Mensais'!C:C),0)</f>
        <v>53382.78</v>
      </c>
      <c r="D278" s="69">
        <f>IFERROR(_xlfn.XLOOKUP($B:$B,Google!A:A,Google!C:C,),0)</f>
        <v>527.64</v>
      </c>
      <c r="E278" s="70" t="e">
        <f>SUMIF(#REF!,'Compilado 2023 (2)'!$B:$B,#REF!)</f>
        <v>#REF!</v>
      </c>
      <c r="F278" s="70">
        <v>0</v>
      </c>
      <c r="G278" s="70">
        <f ca="1">_xlfn.XLOOKUP(B:B,'E-mail'!A:A,'E-mail'!C:C)</f>
        <v>51.612903225806448</v>
      </c>
      <c r="H278" s="70">
        <f>IFERROR(_xlfn.XLOOKUP($B:$B,#REF!,#REF!),0)</f>
        <v>0</v>
      </c>
      <c r="I278" s="70">
        <v>0</v>
      </c>
      <c r="J278" s="70">
        <v>0</v>
      </c>
      <c r="K278" s="70">
        <v>0</v>
      </c>
      <c r="L278" s="59"/>
      <c r="M278" s="70">
        <v>0</v>
      </c>
      <c r="N278" s="70">
        <v>0</v>
      </c>
      <c r="O278" s="70">
        <v>0</v>
      </c>
      <c r="P278" s="38"/>
      <c r="Q278" s="40"/>
    </row>
    <row r="279" spans="1:17" s="2" customFormat="1" x14ac:dyDescent="0.2">
      <c r="A279" s="16" t="str">
        <f t="shared" si="8"/>
        <v>terça-feira</v>
      </c>
      <c r="B279" s="17">
        <f t="shared" si="9"/>
        <v>44838</v>
      </c>
      <c r="C279" s="52">
        <f>IFERROR(_xlfn.XLOOKUP($B:$B,'Estatísticos Mensais'!$A:$A,'Estatísticos Mensais'!C:C),0)</f>
        <v>53991.78</v>
      </c>
      <c r="D279" s="69">
        <f>IFERROR(_xlfn.XLOOKUP($B:$B,Google!A:A,Google!C:C,),0)</f>
        <v>486.85</v>
      </c>
      <c r="E279" s="70" t="e">
        <f>SUMIF(#REF!,'Compilado 2023 (2)'!$B:$B,#REF!)</f>
        <v>#REF!</v>
      </c>
      <c r="F279" s="70">
        <v>0</v>
      </c>
      <c r="G279" s="70">
        <f ca="1">_xlfn.XLOOKUP(B:B,'E-mail'!A:A,'E-mail'!C:C)</f>
        <v>51.612903225806448</v>
      </c>
      <c r="H279" s="70">
        <f>IFERROR(_xlfn.XLOOKUP($B:$B,#REF!,#REF!),0)</f>
        <v>0</v>
      </c>
      <c r="I279" s="70">
        <v>0</v>
      </c>
      <c r="J279" s="70">
        <v>0</v>
      </c>
      <c r="K279" s="70">
        <v>0</v>
      </c>
      <c r="L279" s="59"/>
      <c r="M279" s="70">
        <v>0</v>
      </c>
      <c r="N279" s="70">
        <v>0</v>
      </c>
      <c r="O279" s="70">
        <v>0</v>
      </c>
      <c r="P279" s="38"/>
      <c r="Q279" s="40"/>
    </row>
    <row r="280" spans="1:17" s="2" customFormat="1" x14ac:dyDescent="0.2">
      <c r="A280" s="16" t="str">
        <f t="shared" si="8"/>
        <v>quarta-feira</v>
      </c>
      <c r="B280" s="17">
        <f t="shared" si="9"/>
        <v>44839</v>
      </c>
      <c r="C280" s="52">
        <f>IFERROR(_xlfn.XLOOKUP($B:$B,'Estatísticos Mensais'!$A:$A,'Estatísticos Mensais'!C:C),0)</f>
        <v>63410.69</v>
      </c>
      <c r="D280" s="69">
        <f>IFERROR(_xlfn.XLOOKUP($B:$B,Google!A:A,Google!C:C,),0)</f>
        <v>471.43</v>
      </c>
      <c r="E280" s="70" t="e">
        <f>SUMIF(#REF!,'Compilado 2023 (2)'!$B:$B,#REF!)</f>
        <v>#REF!</v>
      </c>
      <c r="F280" s="70">
        <v>0</v>
      </c>
      <c r="G280" s="70">
        <f ca="1">_xlfn.XLOOKUP(B:B,'E-mail'!A:A,'E-mail'!C:C)</f>
        <v>51.612903225806448</v>
      </c>
      <c r="H280" s="70">
        <f>IFERROR(_xlfn.XLOOKUP($B:$B,#REF!,#REF!),0)</f>
        <v>0</v>
      </c>
      <c r="I280" s="70">
        <v>0</v>
      </c>
      <c r="J280" s="70">
        <v>0</v>
      </c>
      <c r="K280" s="70">
        <v>0</v>
      </c>
      <c r="L280" s="59"/>
      <c r="M280" s="70">
        <v>0</v>
      </c>
      <c r="N280" s="70">
        <v>0</v>
      </c>
      <c r="O280" s="70">
        <v>0</v>
      </c>
      <c r="P280" s="38"/>
      <c r="Q280" s="40"/>
    </row>
    <row r="281" spans="1:17" s="2" customFormat="1" x14ac:dyDescent="0.2">
      <c r="A281" s="16" t="str">
        <f t="shared" si="8"/>
        <v>quinta-feira</v>
      </c>
      <c r="B281" s="17">
        <f t="shared" si="9"/>
        <v>44840</v>
      </c>
      <c r="C281" s="52">
        <f>IFERROR(_xlfn.XLOOKUP($B:$B,'Estatísticos Mensais'!$A:$A,'Estatísticos Mensais'!C:C),0)</f>
        <v>70591.55</v>
      </c>
      <c r="D281" s="69">
        <f>IFERROR(_xlfn.XLOOKUP($B:$B,Google!A:A,Google!C:C,),0)</f>
        <v>440.09</v>
      </c>
      <c r="E281" s="70" t="e">
        <f>SUMIF(#REF!,'Compilado 2023 (2)'!$B:$B,#REF!)</f>
        <v>#REF!</v>
      </c>
      <c r="F281" s="70">
        <v>0</v>
      </c>
      <c r="G281" s="70">
        <f ca="1">_xlfn.XLOOKUP(B:B,'E-mail'!A:A,'E-mail'!C:C)</f>
        <v>51.612903225806448</v>
      </c>
      <c r="H281" s="70">
        <f>IFERROR(_xlfn.XLOOKUP($B:$B,#REF!,#REF!),0)</f>
        <v>0</v>
      </c>
      <c r="I281" s="70">
        <v>0</v>
      </c>
      <c r="J281" s="70">
        <v>0</v>
      </c>
      <c r="K281" s="70">
        <v>0</v>
      </c>
      <c r="L281" s="59"/>
      <c r="M281" s="70">
        <v>0</v>
      </c>
      <c r="N281" s="70">
        <v>0</v>
      </c>
      <c r="O281" s="70">
        <v>0</v>
      </c>
      <c r="P281" s="38"/>
      <c r="Q281" s="40"/>
    </row>
    <row r="282" spans="1:17" s="2" customFormat="1" x14ac:dyDescent="0.2">
      <c r="A282" s="16" t="str">
        <f t="shared" si="8"/>
        <v>sexta-feira</v>
      </c>
      <c r="B282" s="17">
        <f t="shared" si="9"/>
        <v>44841</v>
      </c>
      <c r="C282" s="52">
        <f>IFERROR(_xlfn.XLOOKUP($B:$B,'Estatísticos Mensais'!$A:$A,'Estatísticos Mensais'!C:C),0)</f>
        <v>56390.74</v>
      </c>
      <c r="D282" s="69">
        <f>IFERROR(_xlfn.XLOOKUP($B:$B,Google!A:A,Google!C:C,),0)</f>
        <v>394.12</v>
      </c>
      <c r="E282" s="70" t="e">
        <f>SUMIF(#REF!,'Compilado 2023 (2)'!$B:$B,#REF!)</f>
        <v>#REF!</v>
      </c>
      <c r="F282" s="70">
        <v>0</v>
      </c>
      <c r="G282" s="70">
        <f ca="1">_xlfn.XLOOKUP(B:B,'E-mail'!A:A,'E-mail'!C:C)</f>
        <v>51.612903225806448</v>
      </c>
      <c r="H282" s="70">
        <f>IFERROR(_xlfn.XLOOKUP($B:$B,#REF!,#REF!),0)</f>
        <v>0</v>
      </c>
      <c r="I282" s="70">
        <v>0</v>
      </c>
      <c r="J282" s="70">
        <v>0</v>
      </c>
      <c r="K282" s="70">
        <v>0</v>
      </c>
      <c r="L282" s="59"/>
      <c r="M282" s="70">
        <v>0</v>
      </c>
      <c r="N282" s="70">
        <v>0</v>
      </c>
      <c r="O282" s="70">
        <v>0</v>
      </c>
      <c r="P282" s="38"/>
      <c r="Q282" s="40"/>
    </row>
    <row r="283" spans="1:17" s="2" customFormat="1" x14ac:dyDescent="0.2">
      <c r="A283" s="16" t="str">
        <f t="shared" si="8"/>
        <v>sábado</v>
      </c>
      <c r="B283" s="17">
        <f t="shared" si="9"/>
        <v>44842</v>
      </c>
      <c r="C283" s="52">
        <f>IFERROR(_xlfn.XLOOKUP($B:$B,'Estatísticos Mensais'!$A:$A,'Estatísticos Mensais'!C:C),0)</f>
        <v>34045.519999999997</v>
      </c>
      <c r="D283" s="69">
        <f>IFERROR(_xlfn.XLOOKUP($B:$B,Google!A:A,Google!C:C,),0)</f>
        <v>280.68</v>
      </c>
      <c r="E283" s="70" t="e">
        <f>SUMIF(#REF!,'Compilado 2023 (2)'!$B:$B,#REF!)</f>
        <v>#REF!</v>
      </c>
      <c r="F283" s="70">
        <v>0</v>
      </c>
      <c r="G283" s="70">
        <f ca="1">_xlfn.XLOOKUP(B:B,'E-mail'!A:A,'E-mail'!C:C)</f>
        <v>51.612903225806448</v>
      </c>
      <c r="H283" s="70">
        <f>IFERROR(_xlfn.XLOOKUP($B:$B,#REF!,#REF!),0)</f>
        <v>0</v>
      </c>
      <c r="I283" s="70">
        <v>0</v>
      </c>
      <c r="J283" s="70">
        <v>0</v>
      </c>
      <c r="K283" s="70">
        <v>0</v>
      </c>
      <c r="L283" s="59"/>
      <c r="M283" s="70">
        <v>0</v>
      </c>
      <c r="N283" s="70">
        <v>0</v>
      </c>
      <c r="O283" s="70">
        <v>0</v>
      </c>
      <c r="P283" s="38"/>
      <c r="Q283" s="40"/>
    </row>
    <row r="284" spans="1:17" s="2" customFormat="1" x14ac:dyDescent="0.2">
      <c r="A284" s="16" t="str">
        <f t="shared" si="8"/>
        <v>domingo</v>
      </c>
      <c r="B284" s="17">
        <f t="shared" si="9"/>
        <v>44843</v>
      </c>
      <c r="C284" s="52">
        <f>IFERROR(_xlfn.XLOOKUP($B:$B,'Estatísticos Mensais'!$A:$A,'Estatísticos Mensais'!C:C),0)</f>
        <v>31413.88</v>
      </c>
      <c r="D284" s="69">
        <f>IFERROR(_xlfn.XLOOKUP($B:$B,Google!A:A,Google!C:C,),0)</f>
        <v>277.17</v>
      </c>
      <c r="E284" s="70" t="e">
        <f>SUMIF(#REF!,'Compilado 2023 (2)'!$B:$B,#REF!)</f>
        <v>#REF!</v>
      </c>
      <c r="F284" s="70">
        <v>0</v>
      </c>
      <c r="G284" s="70">
        <f ca="1">_xlfn.XLOOKUP(B:B,'E-mail'!A:A,'E-mail'!C:C)</f>
        <v>51.612903225806448</v>
      </c>
      <c r="H284" s="70">
        <f>IFERROR(_xlfn.XLOOKUP($B:$B,#REF!,#REF!),0)</f>
        <v>0</v>
      </c>
      <c r="I284" s="70">
        <v>0</v>
      </c>
      <c r="J284" s="70">
        <v>0</v>
      </c>
      <c r="K284" s="70">
        <v>0</v>
      </c>
      <c r="L284" s="59"/>
      <c r="M284" s="70">
        <v>0</v>
      </c>
      <c r="N284" s="70">
        <v>0</v>
      </c>
      <c r="O284" s="70">
        <v>0</v>
      </c>
      <c r="P284" s="38"/>
      <c r="Q284" s="40"/>
    </row>
    <row r="285" spans="1:17" s="2" customFormat="1" x14ac:dyDescent="0.2">
      <c r="A285" s="16" t="str">
        <f t="shared" si="8"/>
        <v>segunda-feira</v>
      </c>
      <c r="B285" s="17">
        <f t="shared" si="9"/>
        <v>44844</v>
      </c>
      <c r="C285" s="52">
        <f>IFERROR(_xlfn.XLOOKUP($B:$B,'Estatísticos Mensais'!$A:$A,'Estatísticos Mensais'!C:C),0)</f>
        <v>83088.41</v>
      </c>
      <c r="D285" s="69">
        <f>IFERROR(_xlfn.XLOOKUP($B:$B,Google!A:A,Google!C:C,),0)</f>
        <v>497.09</v>
      </c>
      <c r="E285" s="70" t="e">
        <f>SUMIF(#REF!,'Compilado 2023 (2)'!$B:$B,#REF!)</f>
        <v>#REF!</v>
      </c>
      <c r="F285" s="70">
        <v>0</v>
      </c>
      <c r="G285" s="70">
        <f ca="1">_xlfn.XLOOKUP(B:B,'E-mail'!A:A,'E-mail'!C:C)</f>
        <v>51.612903225806448</v>
      </c>
      <c r="H285" s="70">
        <f>IFERROR(_xlfn.XLOOKUP($B:$B,#REF!,#REF!),0)</f>
        <v>0</v>
      </c>
      <c r="I285" s="70">
        <v>0</v>
      </c>
      <c r="J285" s="70">
        <v>0</v>
      </c>
      <c r="K285" s="70">
        <v>0</v>
      </c>
      <c r="L285" s="59"/>
      <c r="M285" s="70">
        <v>0</v>
      </c>
      <c r="N285" s="70">
        <v>0</v>
      </c>
      <c r="O285" s="70">
        <v>0</v>
      </c>
      <c r="P285" s="38"/>
      <c r="Q285" s="40"/>
    </row>
    <row r="286" spans="1:17" s="2" customFormat="1" x14ac:dyDescent="0.2">
      <c r="A286" s="16" t="str">
        <f t="shared" si="8"/>
        <v>terça-feira</v>
      </c>
      <c r="B286" s="17">
        <f t="shared" si="9"/>
        <v>44845</v>
      </c>
      <c r="C286" s="52">
        <f>IFERROR(_xlfn.XLOOKUP($B:$B,'Estatísticos Mensais'!$A:$A,'Estatísticos Mensais'!C:C),0)</f>
        <v>54098.21</v>
      </c>
      <c r="D286" s="69">
        <f>IFERROR(_xlfn.XLOOKUP($B:$B,Google!A:A,Google!C:C,),0)</f>
        <v>373.43</v>
      </c>
      <c r="E286" s="70" t="e">
        <f>SUMIF(#REF!,'Compilado 2023 (2)'!$B:$B,#REF!)</f>
        <v>#REF!</v>
      </c>
      <c r="F286" s="70">
        <v>0</v>
      </c>
      <c r="G286" s="70">
        <f ca="1">_xlfn.XLOOKUP(B:B,'E-mail'!A:A,'E-mail'!C:C)</f>
        <v>51.612903225806448</v>
      </c>
      <c r="H286" s="70">
        <f>IFERROR(_xlfn.XLOOKUP($B:$B,#REF!,#REF!),0)</f>
        <v>0</v>
      </c>
      <c r="I286" s="70">
        <v>0</v>
      </c>
      <c r="J286" s="70">
        <v>0</v>
      </c>
      <c r="K286" s="70">
        <v>0</v>
      </c>
      <c r="L286" s="59"/>
      <c r="M286" s="70">
        <v>0</v>
      </c>
      <c r="N286" s="70">
        <v>0</v>
      </c>
      <c r="O286" s="70">
        <v>0</v>
      </c>
      <c r="P286" s="38"/>
      <c r="Q286" s="40"/>
    </row>
    <row r="287" spans="1:17" s="2" customFormat="1" x14ac:dyDescent="0.2">
      <c r="A287" s="16" t="str">
        <f t="shared" si="8"/>
        <v>quarta-feira</v>
      </c>
      <c r="B287" s="17">
        <f t="shared" si="9"/>
        <v>44846</v>
      </c>
      <c r="C287" s="52">
        <f>IFERROR(_xlfn.XLOOKUP($B:$B,'Estatísticos Mensais'!$A:$A,'Estatísticos Mensais'!C:C),0)</f>
        <v>28614.12</v>
      </c>
      <c r="D287" s="69">
        <f>IFERROR(_xlfn.XLOOKUP($B:$B,Google!A:A,Google!C:C,),0)</f>
        <v>292.45999999999998</v>
      </c>
      <c r="E287" s="70" t="e">
        <f>SUMIF(#REF!,'Compilado 2023 (2)'!$B:$B,#REF!)</f>
        <v>#REF!</v>
      </c>
      <c r="F287" s="70">
        <v>0</v>
      </c>
      <c r="G287" s="70">
        <f ca="1">_xlfn.XLOOKUP(B:B,'E-mail'!A:A,'E-mail'!C:C)</f>
        <v>51.612903225806448</v>
      </c>
      <c r="H287" s="70">
        <f>IFERROR(_xlfn.XLOOKUP($B:$B,#REF!,#REF!),0)</f>
        <v>0</v>
      </c>
      <c r="I287" s="70">
        <v>0</v>
      </c>
      <c r="J287" s="70">
        <v>0</v>
      </c>
      <c r="K287" s="70">
        <v>0</v>
      </c>
      <c r="L287" s="59"/>
      <c r="M287" s="70">
        <v>0</v>
      </c>
      <c r="N287" s="70">
        <v>0</v>
      </c>
      <c r="O287" s="70">
        <v>0</v>
      </c>
      <c r="P287" s="38"/>
      <c r="Q287" s="40"/>
    </row>
    <row r="288" spans="1:17" s="2" customFormat="1" x14ac:dyDescent="0.2">
      <c r="A288" s="16" t="str">
        <f t="shared" si="8"/>
        <v>quinta-feira</v>
      </c>
      <c r="B288" s="17">
        <f t="shared" si="9"/>
        <v>44847</v>
      </c>
      <c r="C288" s="52">
        <f>IFERROR(_xlfn.XLOOKUP($B:$B,'Estatísticos Mensais'!$A:$A,'Estatísticos Mensais'!C:C),0)</f>
        <v>75178.97</v>
      </c>
      <c r="D288" s="69">
        <f>IFERROR(_xlfn.XLOOKUP($B:$B,Google!A:A,Google!C:C,),0)</f>
        <v>342.11</v>
      </c>
      <c r="E288" s="70" t="e">
        <f>SUMIF(#REF!,'Compilado 2023 (2)'!$B:$B,#REF!)</f>
        <v>#REF!</v>
      </c>
      <c r="F288" s="70">
        <v>0</v>
      </c>
      <c r="G288" s="70">
        <f ca="1">_xlfn.XLOOKUP(B:B,'E-mail'!A:A,'E-mail'!C:C)</f>
        <v>51.612903225806448</v>
      </c>
      <c r="H288" s="70">
        <f>IFERROR(_xlfn.XLOOKUP($B:$B,#REF!,#REF!),0)</f>
        <v>0</v>
      </c>
      <c r="I288" s="70">
        <v>0</v>
      </c>
      <c r="J288" s="70">
        <v>0</v>
      </c>
      <c r="K288" s="70">
        <v>0</v>
      </c>
      <c r="L288" s="59"/>
      <c r="M288" s="70">
        <v>0</v>
      </c>
      <c r="N288" s="70">
        <v>0</v>
      </c>
      <c r="O288" s="70">
        <v>0</v>
      </c>
      <c r="P288" s="38"/>
      <c r="Q288" s="40"/>
    </row>
    <row r="289" spans="1:17" s="2" customFormat="1" x14ac:dyDescent="0.2">
      <c r="A289" s="16" t="str">
        <f t="shared" si="8"/>
        <v>sexta-feira</v>
      </c>
      <c r="B289" s="17">
        <f t="shared" si="9"/>
        <v>44848</v>
      </c>
      <c r="C289" s="52">
        <f>IFERROR(_xlfn.XLOOKUP($B:$B,'Estatísticos Mensais'!$A:$A,'Estatísticos Mensais'!C:C),0)</f>
        <v>69021.100000000006</v>
      </c>
      <c r="D289" s="69">
        <f>IFERROR(_xlfn.XLOOKUP($B:$B,Google!A:A,Google!C:C,),0)</f>
        <v>374.51</v>
      </c>
      <c r="E289" s="70" t="e">
        <f>SUMIF(#REF!,'Compilado 2023 (2)'!$B:$B,#REF!)</f>
        <v>#REF!</v>
      </c>
      <c r="F289" s="70">
        <v>0</v>
      </c>
      <c r="G289" s="70">
        <f ca="1">_xlfn.XLOOKUP(B:B,'E-mail'!A:A,'E-mail'!C:C)</f>
        <v>51.612903225806448</v>
      </c>
      <c r="H289" s="70">
        <f>IFERROR(_xlfn.XLOOKUP($B:$B,#REF!,#REF!),0)</f>
        <v>0</v>
      </c>
      <c r="I289" s="70">
        <v>0</v>
      </c>
      <c r="J289" s="70">
        <v>0</v>
      </c>
      <c r="K289" s="70">
        <v>0</v>
      </c>
      <c r="L289" s="59"/>
      <c r="M289" s="70">
        <v>0</v>
      </c>
      <c r="N289" s="70">
        <v>0</v>
      </c>
      <c r="O289" s="70">
        <v>0</v>
      </c>
      <c r="P289" s="38"/>
      <c r="Q289" s="40"/>
    </row>
    <row r="290" spans="1:17" s="2" customFormat="1" x14ac:dyDescent="0.2">
      <c r="A290" s="16" t="str">
        <f t="shared" si="8"/>
        <v>sábado</v>
      </c>
      <c r="B290" s="17">
        <f t="shared" si="9"/>
        <v>44849</v>
      </c>
      <c r="C290" s="52">
        <f>IFERROR(_xlfn.XLOOKUP($B:$B,'Estatísticos Mensais'!$A:$A,'Estatísticos Mensais'!C:C),0)</f>
        <v>32945.99</v>
      </c>
      <c r="D290" s="69">
        <f>IFERROR(_xlfn.XLOOKUP($B:$B,Google!A:A,Google!C:C,),0)</f>
        <v>309.14</v>
      </c>
      <c r="E290" s="70" t="e">
        <f>SUMIF(#REF!,'Compilado 2023 (2)'!$B:$B,#REF!)</f>
        <v>#REF!</v>
      </c>
      <c r="F290" s="70">
        <v>0</v>
      </c>
      <c r="G290" s="70">
        <f ca="1">_xlfn.XLOOKUP(B:B,'E-mail'!A:A,'E-mail'!C:C)</f>
        <v>51.612903225806448</v>
      </c>
      <c r="H290" s="70">
        <f>IFERROR(_xlfn.XLOOKUP($B:$B,#REF!,#REF!),0)</f>
        <v>0</v>
      </c>
      <c r="I290" s="70">
        <v>0</v>
      </c>
      <c r="J290" s="70">
        <v>0</v>
      </c>
      <c r="K290" s="70">
        <v>0</v>
      </c>
      <c r="L290" s="59"/>
      <c r="M290" s="70">
        <v>0</v>
      </c>
      <c r="N290" s="70">
        <v>0</v>
      </c>
      <c r="O290" s="70">
        <v>0</v>
      </c>
      <c r="P290" s="38"/>
      <c r="Q290" s="40"/>
    </row>
    <row r="291" spans="1:17" s="2" customFormat="1" x14ac:dyDescent="0.2">
      <c r="A291" s="16" t="str">
        <f t="shared" si="8"/>
        <v>domingo</v>
      </c>
      <c r="B291" s="17">
        <f t="shared" si="9"/>
        <v>44850</v>
      </c>
      <c r="C291" s="52">
        <f>IFERROR(_xlfn.XLOOKUP($B:$B,'Estatísticos Mensais'!$A:$A,'Estatísticos Mensais'!C:C),0)</f>
        <v>33275.550000000003</v>
      </c>
      <c r="D291" s="69">
        <f>IFERROR(_xlfn.XLOOKUP($B:$B,Google!A:A,Google!C:C,),0)</f>
        <v>322.10000000000002</v>
      </c>
      <c r="E291" s="70" t="e">
        <f>SUMIF(#REF!,'Compilado 2023 (2)'!$B:$B,#REF!)</f>
        <v>#REF!</v>
      </c>
      <c r="F291" s="70">
        <v>0</v>
      </c>
      <c r="G291" s="70">
        <f ca="1">_xlfn.XLOOKUP(B:B,'E-mail'!A:A,'E-mail'!C:C)</f>
        <v>51.612903225806448</v>
      </c>
      <c r="H291" s="70">
        <f>IFERROR(_xlfn.XLOOKUP($B:$B,#REF!,#REF!),0)</f>
        <v>0</v>
      </c>
      <c r="I291" s="70">
        <v>0</v>
      </c>
      <c r="J291" s="70">
        <v>0</v>
      </c>
      <c r="K291" s="70">
        <v>0</v>
      </c>
      <c r="L291" s="59"/>
      <c r="M291" s="70">
        <v>0</v>
      </c>
      <c r="N291" s="70">
        <v>0</v>
      </c>
      <c r="O291" s="70">
        <v>0</v>
      </c>
      <c r="P291" s="38"/>
      <c r="Q291" s="40"/>
    </row>
    <row r="292" spans="1:17" s="2" customFormat="1" x14ac:dyDescent="0.2">
      <c r="A292" s="16" t="str">
        <f t="shared" si="8"/>
        <v>segunda-feira</v>
      </c>
      <c r="B292" s="17">
        <f t="shared" si="9"/>
        <v>44851</v>
      </c>
      <c r="C292" s="52">
        <f>IFERROR(_xlfn.XLOOKUP($B:$B,'Estatísticos Mensais'!$A:$A,'Estatísticos Mensais'!C:C),0)</f>
        <v>54198.73</v>
      </c>
      <c r="D292" s="69">
        <f>IFERROR(_xlfn.XLOOKUP($B:$B,Google!A:A,Google!C:C,),0)</f>
        <v>463.59</v>
      </c>
      <c r="E292" s="70" t="e">
        <f>SUMIF(#REF!,'Compilado 2023 (2)'!$B:$B,#REF!)</f>
        <v>#REF!</v>
      </c>
      <c r="F292" s="70">
        <v>0</v>
      </c>
      <c r="G292" s="70">
        <f ca="1">_xlfn.XLOOKUP(B:B,'E-mail'!A:A,'E-mail'!C:C)</f>
        <v>51.612903225806448</v>
      </c>
      <c r="H292" s="70">
        <f>IFERROR(_xlfn.XLOOKUP($B:$B,#REF!,#REF!),0)</f>
        <v>0</v>
      </c>
      <c r="I292" s="70">
        <v>0</v>
      </c>
      <c r="J292" s="70">
        <v>0</v>
      </c>
      <c r="K292" s="70">
        <v>0</v>
      </c>
      <c r="L292" s="59"/>
      <c r="M292" s="70">
        <v>0</v>
      </c>
      <c r="N292" s="70">
        <v>0</v>
      </c>
      <c r="O292" s="70">
        <v>0</v>
      </c>
      <c r="P292" s="38"/>
      <c r="Q292" s="40"/>
    </row>
    <row r="293" spans="1:17" s="2" customFormat="1" x14ac:dyDescent="0.2">
      <c r="A293" s="16" t="str">
        <f t="shared" si="8"/>
        <v>terça-feira</v>
      </c>
      <c r="B293" s="17">
        <f t="shared" si="9"/>
        <v>44852</v>
      </c>
      <c r="C293" s="52">
        <f>IFERROR(_xlfn.XLOOKUP($B:$B,'Estatísticos Mensais'!$A:$A,'Estatísticos Mensais'!C:C),0)</f>
        <v>53839.25</v>
      </c>
      <c r="D293" s="69">
        <f>IFERROR(_xlfn.XLOOKUP($B:$B,Google!A:A,Google!C:C,),0)</f>
        <v>377.88</v>
      </c>
      <c r="E293" s="70" t="e">
        <f>SUMIF(#REF!,'Compilado 2023 (2)'!$B:$B,#REF!)</f>
        <v>#REF!</v>
      </c>
      <c r="F293" s="70">
        <v>0</v>
      </c>
      <c r="G293" s="70">
        <f ca="1">_xlfn.XLOOKUP(B:B,'E-mail'!A:A,'E-mail'!C:C)</f>
        <v>51.612903225806448</v>
      </c>
      <c r="H293" s="70">
        <f>IFERROR(_xlfn.XLOOKUP($B:$B,#REF!,#REF!),0)</f>
        <v>0</v>
      </c>
      <c r="I293" s="70">
        <v>0</v>
      </c>
      <c r="J293" s="70">
        <v>0</v>
      </c>
      <c r="K293" s="70">
        <v>0</v>
      </c>
      <c r="L293" s="59"/>
      <c r="M293" s="70">
        <v>0</v>
      </c>
      <c r="N293" s="70">
        <v>0</v>
      </c>
      <c r="O293" s="70">
        <v>0</v>
      </c>
      <c r="P293" s="38"/>
      <c r="Q293" s="40"/>
    </row>
    <row r="294" spans="1:17" s="2" customFormat="1" x14ac:dyDescent="0.2">
      <c r="A294" s="16" t="str">
        <f t="shared" si="8"/>
        <v>quarta-feira</v>
      </c>
      <c r="B294" s="17">
        <f t="shared" si="9"/>
        <v>44853</v>
      </c>
      <c r="C294" s="52">
        <f>IFERROR(_xlfn.XLOOKUP($B:$B,'Estatísticos Mensais'!$A:$A,'Estatísticos Mensais'!C:C),0)</f>
        <v>54580.46</v>
      </c>
      <c r="D294" s="69">
        <f>IFERROR(_xlfn.XLOOKUP($B:$B,Google!A:A,Google!C:C,),0)</f>
        <v>367.31</v>
      </c>
      <c r="E294" s="70" t="e">
        <f>SUMIF(#REF!,'Compilado 2023 (2)'!$B:$B,#REF!)</f>
        <v>#REF!</v>
      </c>
      <c r="F294" s="70">
        <v>0</v>
      </c>
      <c r="G294" s="70">
        <f ca="1">_xlfn.XLOOKUP(B:B,'E-mail'!A:A,'E-mail'!C:C)</f>
        <v>51.612903225806448</v>
      </c>
      <c r="H294" s="70">
        <f>IFERROR(_xlfn.XLOOKUP($B:$B,#REF!,#REF!),0)</f>
        <v>0</v>
      </c>
      <c r="I294" s="70">
        <v>0</v>
      </c>
      <c r="J294" s="70">
        <v>0</v>
      </c>
      <c r="K294" s="70">
        <v>0</v>
      </c>
      <c r="L294" s="59"/>
      <c r="M294" s="70">
        <v>0</v>
      </c>
      <c r="N294" s="70">
        <v>0</v>
      </c>
      <c r="O294" s="70">
        <v>0</v>
      </c>
      <c r="P294" s="38"/>
      <c r="Q294" s="40"/>
    </row>
    <row r="295" spans="1:17" s="2" customFormat="1" x14ac:dyDescent="0.2">
      <c r="A295" s="16" t="str">
        <f t="shared" si="8"/>
        <v>quinta-feira</v>
      </c>
      <c r="B295" s="17">
        <f t="shared" si="9"/>
        <v>44854</v>
      </c>
      <c r="C295" s="52">
        <f>IFERROR(_xlfn.XLOOKUP($B:$B,'Estatísticos Mensais'!$A:$A,'Estatísticos Mensais'!C:C),0)</f>
        <v>52917.62</v>
      </c>
      <c r="D295" s="69">
        <f>IFERROR(_xlfn.XLOOKUP($B:$B,Google!A:A,Google!C:C,),0)</f>
        <v>329.96</v>
      </c>
      <c r="E295" s="70" t="e">
        <f>SUMIF(#REF!,'Compilado 2023 (2)'!$B:$B,#REF!)</f>
        <v>#REF!</v>
      </c>
      <c r="F295" s="70">
        <v>0</v>
      </c>
      <c r="G295" s="70">
        <f ca="1">_xlfn.XLOOKUP(B:B,'E-mail'!A:A,'E-mail'!C:C)</f>
        <v>51.612903225806448</v>
      </c>
      <c r="H295" s="70">
        <f>IFERROR(_xlfn.XLOOKUP($B:$B,#REF!,#REF!),0)</f>
        <v>0</v>
      </c>
      <c r="I295" s="70">
        <v>0</v>
      </c>
      <c r="J295" s="70">
        <v>0</v>
      </c>
      <c r="K295" s="70">
        <v>0</v>
      </c>
      <c r="L295" s="59"/>
      <c r="M295" s="70">
        <v>0</v>
      </c>
      <c r="N295" s="70">
        <v>0</v>
      </c>
      <c r="O295" s="70">
        <v>0</v>
      </c>
      <c r="P295" s="38"/>
      <c r="Q295" s="40"/>
    </row>
    <row r="296" spans="1:17" s="2" customFormat="1" x14ac:dyDescent="0.2">
      <c r="A296" s="16" t="str">
        <f t="shared" si="8"/>
        <v>sexta-feira</v>
      </c>
      <c r="B296" s="17">
        <f t="shared" si="9"/>
        <v>44855</v>
      </c>
      <c r="C296" s="52">
        <f>IFERROR(_xlfn.XLOOKUP($B:$B,'Estatísticos Mensais'!$A:$A,'Estatísticos Mensais'!C:C),0)</f>
        <v>60429.95</v>
      </c>
      <c r="D296" s="69">
        <f>IFERROR(_xlfn.XLOOKUP($B:$B,Google!A:A,Google!C:C,),0)</f>
        <v>341.91</v>
      </c>
      <c r="E296" s="70" t="e">
        <f>SUMIF(#REF!,'Compilado 2023 (2)'!$B:$B,#REF!)</f>
        <v>#REF!</v>
      </c>
      <c r="F296" s="70">
        <v>0</v>
      </c>
      <c r="G296" s="70">
        <f ca="1">_xlfn.XLOOKUP(B:B,'E-mail'!A:A,'E-mail'!C:C)</f>
        <v>51.612903225806448</v>
      </c>
      <c r="H296" s="70">
        <f>IFERROR(_xlfn.XLOOKUP($B:$B,#REF!,#REF!),0)</f>
        <v>0</v>
      </c>
      <c r="I296" s="70">
        <v>0</v>
      </c>
      <c r="J296" s="70">
        <v>0</v>
      </c>
      <c r="K296" s="70">
        <v>0</v>
      </c>
      <c r="L296" s="59"/>
      <c r="M296" s="70">
        <v>0</v>
      </c>
      <c r="N296" s="70">
        <v>0</v>
      </c>
      <c r="O296" s="70">
        <v>0</v>
      </c>
      <c r="P296" s="38"/>
      <c r="Q296" s="40"/>
    </row>
    <row r="297" spans="1:17" s="2" customFormat="1" x14ac:dyDescent="0.2">
      <c r="A297" s="16" t="str">
        <f t="shared" si="8"/>
        <v>sábado</v>
      </c>
      <c r="B297" s="17">
        <f t="shared" si="9"/>
        <v>44856</v>
      </c>
      <c r="C297" s="52">
        <f>IFERROR(_xlfn.XLOOKUP($B:$B,'Estatísticos Mensais'!$A:$A,'Estatísticos Mensais'!C:C),0)</f>
        <v>44015.68</v>
      </c>
      <c r="D297" s="69">
        <f>IFERROR(_xlfn.XLOOKUP($B:$B,Google!A:A,Google!C:C,),0)</f>
        <v>356.1</v>
      </c>
      <c r="E297" s="70" t="e">
        <f>SUMIF(#REF!,'Compilado 2023 (2)'!$B:$B,#REF!)</f>
        <v>#REF!</v>
      </c>
      <c r="F297" s="70">
        <v>0</v>
      </c>
      <c r="G297" s="70">
        <f ca="1">_xlfn.XLOOKUP(B:B,'E-mail'!A:A,'E-mail'!C:C)</f>
        <v>51.612903225806448</v>
      </c>
      <c r="H297" s="70">
        <f>IFERROR(_xlfn.XLOOKUP($B:$B,#REF!,#REF!),0)</f>
        <v>0</v>
      </c>
      <c r="I297" s="70">
        <v>0</v>
      </c>
      <c r="J297" s="70">
        <v>0</v>
      </c>
      <c r="K297" s="70">
        <v>0</v>
      </c>
      <c r="L297" s="59"/>
      <c r="M297" s="70">
        <v>0</v>
      </c>
      <c r="N297" s="70">
        <v>0</v>
      </c>
      <c r="O297" s="70">
        <v>0</v>
      </c>
      <c r="P297" s="38"/>
      <c r="Q297" s="40"/>
    </row>
    <row r="298" spans="1:17" s="2" customFormat="1" x14ac:dyDescent="0.2">
      <c r="A298" s="16" t="str">
        <f t="shared" si="8"/>
        <v>domingo</v>
      </c>
      <c r="B298" s="17">
        <f t="shared" si="9"/>
        <v>44857</v>
      </c>
      <c r="C298" s="52">
        <f>IFERROR(_xlfn.XLOOKUP($B:$B,'Estatísticos Mensais'!$A:$A,'Estatísticos Mensais'!C:C),0)</f>
        <v>24770.07</v>
      </c>
      <c r="D298" s="69">
        <f>IFERROR(_xlfn.XLOOKUP($B:$B,Google!A:A,Google!C:C,),0)</f>
        <v>319.83</v>
      </c>
      <c r="E298" s="70" t="e">
        <f>SUMIF(#REF!,'Compilado 2023 (2)'!$B:$B,#REF!)</f>
        <v>#REF!</v>
      </c>
      <c r="F298" s="70">
        <v>0</v>
      </c>
      <c r="G298" s="70">
        <f ca="1">_xlfn.XLOOKUP(B:B,'E-mail'!A:A,'E-mail'!C:C)</f>
        <v>51.612903225806448</v>
      </c>
      <c r="H298" s="70">
        <f>IFERROR(_xlfn.XLOOKUP($B:$B,#REF!,#REF!),0)</f>
        <v>0</v>
      </c>
      <c r="I298" s="70">
        <v>0</v>
      </c>
      <c r="J298" s="70">
        <v>0</v>
      </c>
      <c r="K298" s="70">
        <v>0</v>
      </c>
      <c r="L298" s="59"/>
      <c r="M298" s="70">
        <v>0</v>
      </c>
      <c r="N298" s="70">
        <v>0</v>
      </c>
      <c r="O298" s="70">
        <v>0</v>
      </c>
      <c r="P298" s="38"/>
      <c r="Q298" s="40"/>
    </row>
    <row r="299" spans="1:17" s="2" customFormat="1" x14ac:dyDescent="0.2">
      <c r="A299" s="16" t="str">
        <f t="shared" si="8"/>
        <v>segunda-feira</v>
      </c>
      <c r="B299" s="17">
        <f t="shared" si="9"/>
        <v>44858</v>
      </c>
      <c r="C299" s="52">
        <f>IFERROR(_xlfn.XLOOKUP($B:$B,'Estatísticos Mensais'!$A:$A,'Estatísticos Mensais'!C:C),0)</f>
        <v>43539.53</v>
      </c>
      <c r="D299" s="69">
        <f>IFERROR(_xlfn.XLOOKUP($B:$B,Google!A:A,Google!C:C,),0)</f>
        <v>341.56</v>
      </c>
      <c r="E299" s="70" t="e">
        <f>SUMIF(#REF!,'Compilado 2023 (2)'!$B:$B,#REF!)</f>
        <v>#REF!</v>
      </c>
      <c r="F299" s="70">
        <v>0</v>
      </c>
      <c r="G299" s="70">
        <f ca="1">_xlfn.XLOOKUP(B:B,'E-mail'!A:A,'E-mail'!C:C)</f>
        <v>51.612903225806448</v>
      </c>
      <c r="H299" s="70">
        <f>IFERROR(_xlfn.XLOOKUP($B:$B,#REF!,#REF!),0)</f>
        <v>0</v>
      </c>
      <c r="I299" s="70">
        <v>0</v>
      </c>
      <c r="J299" s="70">
        <v>0</v>
      </c>
      <c r="K299" s="70">
        <v>0</v>
      </c>
      <c r="L299" s="59"/>
      <c r="M299" s="70">
        <v>0</v>
      </c>
      <c r="N299" s="70">
        <v>0</v>
      </c>
      <c r="O299" s="70">
        <v>0</v>
      </c>
      <c r="P299" s="38"/>
      <c r="Q299" s="40"/>
    </row>
    <row r="300" spans="1:17" s="2" customFormat="1" x14ac:dyDescent="0.2">
      <c r="A300" s="16" t="str">
        <f t="shared" si="8"/>
        <v>terça-feira</v>
      </c>
      <c r="B300" s="17">
        <f t="shared" si="9"/>
        <v>44859</v>
      </c>
      <c r="C300" s="52">
        <f>IFERROR(_xlfn.XLOOKUP($B:$B,'Estatísticos Mensais'!$A:$A,'Estatísticos Mensais'!C:C),0)</f>
        <v>42354.62</v>
      </c>
      <c r="D300" s="69">
        <f>IFERROR(_xlfn.XLOOKUP($B:$B,Google!A:A,Google!C:C,),0)</f>
        <v>402.63</v>
      </c>
      <c r="E300" s="70" t="e">
        <f>SUMIF(#REF!,'Compilado 2023 (2)'!$B:$B,#REF!)</f>
        <v>#REF!</v>
      </c>
      <c r="F300" s="70">
        <v>0</v>
      </c>
      <c r="G300" s="70">
        <f ca="1">_xlfn.XLOOKUP(B:B,'E-mail'!A:A,'E-mail'!C:C)</f>
        <v>51.612903225806448</v>
      </c>
      <c r="H300" s="70">
        <f>IFERROR(_xlfn.XLOOKUP($B:$B,#REF!,#REF!),0)</f>
        <v>0</v>
      </c>
      <c r="I300" s="70">
        <v>0</v>
      </c>
      <c r="J300" s="70">
        <v>0</v>
      </c>
      <c r="K300" s="70">
        <v>0</v>
      </c>
      <c r="L300" s="59"/>
      <c r="M300" s="70">
        <v>0</v>
      </c>
      <c r="N300" s="70">
        <v>0</v>
      </c>
      <c r="O300" s="70">
        <v>0</v>
      </c>
      <c r="P300" s="38"/>
      <c r="Q300" s="40"/>
    </row>
    <row r="301" spans="1:17" s="2" customFormat="1" x14ac:dyDescent="0.2">
      <c r="A301" s="16" t="str">
        <f t="shared" si="8"/>
        <v>quarta-feira</v>
      </c>
      <c r="B301" s="17">
        <f t="shared" si="9"/>
        <v>44860</v>
      </c>
      <c r="C301" s="52">
        <f>IFERROR(_xlfn.XLOOKUP($B:$B,'Estatísticos Mensais'!$A:$A,'Estatísticos Mensais'!C:C),0)</f>
        <v>42003.97</v>
      </c>
      <c r="D301" s="69">
        <f>IFERROR(_xlfn.XLOOKUP($B:$B,Google!A:A,Google!C:C,),0)</f>
        <v>468.86</v>
      </c>
      <c r="E301" s="70" t="e">
        <f>SUMIF(#REF!,'Compilado 2023 (2)'!$B:$B,#REF!)</f>
        <v>#REF!</v>
      </c>
      <c r="F301" s="70">
        <v>0</v>
      </c>
      <c r="G301" s="70">
        <f ca="1">_xlfn.XLOOKUP(B:B,'E-mail'!A:A,'E-mail'!C:C)</f>
        <v>51.612903225806448</v>
      </c>
      <c r="H301" s="70">
        <f>IFERROR(_xlfn.XLOOKUP($B:$B,#REF!,#REF!),0)</f>
        <v>0</v>
      </c>
      <c r="I301" s="70">
        <v>0</v>
      </c>
      <c r="J301" s="70">
        <v>0</v>
      </c>
      <c r="K301" s="70">
        <v>0</v>
      </c>
      <c r="L301" s="59"/>
      <c r="M301" s="70">
        <v>0</v>
      </c>
      <c r="N301" s="70">
        <v>0</v>
      </c>
      <c r="O301" s="70">
        <v>0</v>
      </c>
      <c r="P301" s="38"/>
      <c r="Q301" s="40"/>
    </row>
    <row r="302" spans="1:17" s="2" customFormat="1" x14ac:dyDescent="0.2">
      <c r="A302" s="16" t="str">
        <f t="shared" si="8"/>
        <v>quinta-feira</v>
      </c>
      <c r="B302" s="17">
        <f t="shared" si="9"/>
        <v>44861</v>
      </c>
      <c r="C302" s="52">
        <f>IFERROR(_xlfn.XLOOKUP($B:$B,'Estatísticos Mensais'!$A:$A,'Estatísticos Mensais'!C:C),0)</f>
        <v>41645.82</v>
      </c>
      <c r="D302" s="69">
        <f>IFERROR(_xlfn.XLOOKUP($B:$B,Google!A:A,Google!C:C,),0)</f>
        <v>488.88</v>
      </c>
      <c r="E302" s="70" t="e">
        <f>SUMIF(#REF!,'Compilado 2023 (2)'!$B:$B,#REF!)</f>
        <v>#REF!</v>
      </c>
      <c r="F302" s="70">
        <v>0</v>
      </c>
      <c r="G302" s="70">
        <f ca="1">_xlfn.XLOOKUP(B:B,'E-mail'!A:A,'E-mail'!C:C)</f>
        <v>51.612903225806448</v>
      </c>
      <c r="H302" s="70">
        <f>IFERROR(_xlfn.XLOOKUP($B:$B,#REF!,#REF!),0)</f>
        <v>0</v>
      </c>
      <c r="I302" s="70">
        <v>0</v>
      </c>
      <c r="J302" s="70">
        <v>0</v>
      </c>
      <c r="K302" s="70">
        <v>0</v>
      </c>
      <c r="L302" s="59"/>
      <c r="M302" s="70">
        <v>0</v>
      </c>
      <c r="N302" s="70">
        <v>0</v>
      </c>
      <c r="O302" s="70">
        <v>0</v>
      </c>
      <c r="P302" s="38"/>
      <c r="Q302" s="40"/>
    </row>
    <row r="303" spans="1:17" s="2" customFormat="1" x14ac:dyDescent="0.2">
      <c r="A303" s="16" t="str">
        <f t="shared" si="8"/>
        <v>sexta-feira</v>
      </c>
      <c r="B303" s="17">
        <f t="shared" si="9"/>
        <v>44862</v>
      </c>
      <c r="C303" s="52">
        <f>IFERROR(_xlfn.XLOOKUP($B:$B,'Estatísticos Mensais'!$A:$A,'Estatísticos Mensais'!C:C),0)</f>
        <v>46037.66</v>
      </c>
      <c r="D303" s="69">
        <f>IFERROR(_xlfn.XLOOKUP($B:$B,Google!A:A,Google!C:C,),0)</f>
        <v>368.96</v>
      </c>
      <c r="E303" s="70" t="e">
        <f>SUMIF(#REF!,'Compilado 2023 (2)'!$B:$B,#REF!)</f>
        <v>#REF!</v>
      </c>
      <c r="F303" s="70">
        <v>0</v>
      </c>
      <c r="G303" s="70">
        <f ca="1">_xlfn.XLOOKUP(B:B,'E-mail'!A:A,'E-mail'!C:C)</f>
        <v>51.612903225806448</v>
      </c>
      <c r="H303" s="70">
        <f>IFERROR(_xlfn.XLOOKUP($B:$B,#REF!,#REF!),0)</f>
        <v>0</v>
      </c>
      <c r="I303" s="70">
        <v>0</v>
      </c>
      <c r="J303" s="70">
        <v>0</v>
      </c>
      <c r="K303" s="70">
        <v>0</v>
      </c>
      <c r="L303" s="59"/>
      <c r="M303" s="70">
        <v>0</v>
      </c>
      <c r="N303" s="70">
        <v>0</v>
      </c>
      <c r="O303" s="70">
        <v>0</v>
      </c>
      <c r="P303" s="38"/>
      <c r="Q303" s="40"/>
    </row>
    <row r="304" spans="1:17" s="2" customFormat="1" x14ac:dyDescent="0.2">
      <c r="A304" s="16" t="str">
        <f t="shared" si="8"/>
        <v>sábado</v>
      </c>
      <c r="B304" s="17">
        <f t="shared" si="9"/>
        <v>44863</v>
      </c>
      <c r="C304" s="52">
        <f>IFERROR(_xlfn.XLOOKUP($B:$B,'Estatísticos Mensais'!$A:$A,'Estatísticos Mensais'!C:C),0)</f>
        <v>27353.200000000001</v>
      </c>
      <c r="D304" s="69">
        <f>IFERROR(_xlfn.XLOOKUP($B:$B,Google!A:A,Google!C:C,),0)</f>
        <v>325.94</v>
      </c>
      <c r="E304" s="70" t="e">
        <f>SUMIF(#REF!,'Compilado 2023 (2)'!$B:$B,#REF!)</f>
        <v>#REF!</v>
      </c>
      <c r="F304" s="70">
        <v>0</v>
      </c>
      <c r="G304" s="70">
        <f ca="1">_xlfn.XLOOKUP(B:B,'E-mail'!A:A,'E-mail'!C:C)</f>
        <v>51.612903225806448</v>
      </c>
      <c r="H304" s="70">
        <f>IFERROR(_xlfn.XLOOKUP($B:$B,#REF!,#REF!),0)</f>
        <v>0</v>
      </c>
      <c r="I304" s="70">
        <v>0</v>
      </c>
      <c r="J304" s="70">
        <v>0</v>
      </c>
      <c r="K304" s="70">
        <v>0</v>
      </c>
      <c r="L304" s="59"/>
      <c r="M304" s="70">
        <v>0</v>
      </c>
      <c r="N304" s="70">
        <v>0</v>
      </c>
      <c r="O304" s="70">
        <v>0</v>
      </c>
      <c r="P304" s="38"/>
      <c r="Q304" s="40"/>
    </row>
    <row r="305" spans="1:17" s="2" customFormat="1" x14ac:dyDescent="0.2">
      <c r="A305" s="16" t="str">
        <f t="shared" si="8"/>
        <v>domingo</v>
      </c>
      <c r="B305" s="17">
        <f t="shared" si="9"/>
        <v>44864</v>
      </c>
      <c r="C305" s="52">
        <f>IFERROR(_xlfn.XLOOKUP($B:$B,'Estatísticos Mensais'!$A:$A,'Estatísticos Mensais'!C:C),0)</f>
        <v>16529.8</v>
      </c>
      <c r="D305" s="69">
        <f>IFERROR(_xlfn.XLOOKUP($B:$B,Google!A:A,Google!C:C,),0)</f>
        <v>276.83</v>
      </c>
      <c r="E305" s="70" t="e">
        <f>SUMIF(#REF!,'Compilado 2023 (2)'!$B:$B,#REF!)</f>
        <v>#REF!</v>
      </c>
      <c r="F305" s="70">
        <v>0</v>
      </c>
      <c r="G305" s="70">
        <f ca="1">_xlfn.XLOOKUP(B:B,'E-mail'!A:A,'E-mail'!C:C)</f>
        <v>51.612903225806448</v>
      </c>
      <c r="H305" s="70">
        <f>IFERROR(_xlfn.XLOOKUP($B:$B,#REF!,#REF!),0)</f>
        <v>0</v>
      </c>
      <c r="I305" s="70">
        <v>0</v>
      </c>
      <c r="J305" s="70">
        <v>0</v>
      </c>
      <c r="K305" s="70">
        <v>0</v>
      </c>
      <c r="L305" s="59"/>
      <c r="M305" s="70">
        <v>0</v>
      </c>
      <c r="N305" s="70">
        <v>0</v>
      </c>
      <c r="O305" s="70">
        <v>0</v>
      </c>
      <c r="P305" s="38"/>
      <c r="Q305" s="40"/>
    </row>
    <row r="306" spans="1:17" s="2" customFormat="1" x14ac:dyDescent="0.2">
      <c r="A306" s="16" t="str">
        <f t="shared" si="8"/>
        <v>segunda-feira</v>
      </c>
      <c r="B306" s="17">
        <f t="shared" si="9"/>
        <v>44865</v>
      </c>
      <c r="C306" s="52">
        <f>IFERROR(_xlfn.XLOOKUP($B:$B,'Estatísticos Mensais'!$A:$A,'Estatísticos Mensais'!C:C),0)</f>
        <v>40416.239999999998</v>
      </c>
      <c r="D306" s="69">
        <f>IFERROR(_xlfn.XLOOKUP($B:$B,Google!A:A,Google!C:C,),0)</f>
        <v>459.05</v>
      </c>
      <c r="E306" s="70" t="e">
        <f>SUMIF(#REF!,'Compilado 2023 (2)'!$B:$B,#REF!)</f>
        <v>#REF!</v>
      </c>
      <c r="F306" s="70">
        <v>0</v>
      </c>
      <c r="G306" s="70">
        <f ca="1">_xlfn.XLOOKUP(B:B,'E-mail'!A:A,'E-mail'!C:C)</f>
        <v>51.612903225806448</v>
      </c>
      <c r="H306" s="70">
        <f>IFERROR(_xlfn.XLOOKUP($B:$B,#REF!,#REF!),0)</f>
        <v>0</v>
      </c>
      <c r="I306" s="70">
        <v>0</v>
      </c>
      <c r="J306" s="70">
        <v>0</v>
      </c>
      <c r="K306" s="70">
        <v>0</v>
      </c>
      <c r="L306" s="59"/>
      <c r="M306" s="70">
        <v>0</v>
      </c>
      <c r="N306" s="70">
        <v>0</v>
      </c>
      <c r="O306" s="70">
        <v>0</v>
      </c>
      <c r="P306" s="38"/>
      <c r="Q306" s="40"/>
    </row>
    <row r="307" spans="1:17" s="2" customFormat="1" x14ac:dyDescent="0.2">
      <c r="A307" s="16" t="str">
        <f t="shared" si="8"/>
        <v>terça-feira</v>
      </c>
      <c r="B307" s="17">
        <f t="shared" si="9"/>
        <v>44866</v>
      </c>
      <c r="C307" s="52">
        <f>IFERROR(_xlfn.XLOOKUP($B:$B,'Estatísticos Mensais'!$A:$A,'Estatísticos Mensais'!C:C),0)</f>
        <v>52463.95</v>
      </c>
      <c r="D307" s="69">
        <f>IFERROR(_xlfn.XLOOKUP($B:$B,Google!A:A,Google!C:C,),0)</f>
        <v>476.25</v>
      </c>
      <c r="E307" s="70" t="e">
        <f>SUMIF(#REF!,'Compilado 2023 (2)'!$B:$B,#REF!)</f>
        <v>#REF!</v>
      </c>
      <c r="F307" s="70">
        <v>0</v>
      </c>
      <c r="G307" s="70">
        <f ca="1">_xlfn.XLOOKUP(B:B,'E-mail'!A:A,'E-mail'!C:C)</f>
        <v>53.333333333333336</v>
      </c>
      <c r="H307" s="70">
        <f>IFERROR(_xlfn.XLOOKUP($B:$B,#REF!,#REF!),0)</f>
        <v>0</v>
      </c>
      <c r="I307" s="70">
        <v>0</v>
      </c>
      <c r="J307" s="70">
        <v>0</v>
      </c>
      <c r="K307" s="70">
        <v>0</v>
      </c>
      <c r="L307" s="59"/>
      <c r="M307" s="70">
        <v>0</v>
      </c>
      <c r="N307" s="70">
        <v>0</v>
      </c>
      <c r="O307" s="70">
        <v>0</v>
      </c>
      <c r="P307" s="38"/>
      <c r="Q307" s="40"/>
    </row>
    <row r="308" spans="1:17" s="2" customFormat="1" x14ac:dyDescent="0.2">
      <c r="A308" s="16" t="str">
        <f t="shared" si="8"/>
        <v>quarta-feira</v>
      </c>
      <c r="B308" s="17">
        <f t="shared" si="9"/>
        <v>44867</v>
      </c>
      <c r="C308" s="52">
        <f>IFERROR(_xlfn.XLOOKUP($B:$B,'Estatísticos Mensais'!$A:$A,'Estatísticos Mensais'!C:C),0)</f>
        <v>28179.040000000001</v>
      </c>
      <c r="D308" s="69">
        <f>IFERROR(_xlfn.XLOOKUP($B:$B,Google!A:A,Google!C:C,),0)</f>
        <v>444.97</v>
      </c>
      <c r="E308" s="70" t="e">
        <f>SUMIF(#REF!,'Compilado 2023 (2)'!$B:$B,#REF!)</f>
        <v>#REF!</v>
      </c>
      <c r="F308" s="70">
        <v>0</v>
      </c>
      <c r="G308" s="70">
        <f ca="1">_xlfn.XLOOKUP(B:B,'E-mail'!A:A,'E-mail'!C:C)</f>
        <v>53.333333333333336</v>
      </c>
      <c r="H308" s="70">
        <f>IFERROR(_xlfn.XLOOKUP($B:$B,#REF!,#REF!),0)</f>
        <v>0</v>
      </c>
      <c r="I308" s="70">
        <v>0</v>
      </c>
      <c r="J308" s="70">
        <v>0</v>
      </c>
      <c r="K308" s="70">
        <v>0</v>
      </c>
      <c r="L308" s="59"/>
      <c r="M308" s="70">
        <v>0</v>
      </c>
      <c r="N308" s="70">
        <v>0</v>
      </c>
      <c r="O308" s="70">
        <v>0</v>
      </c>
      <c r="P308" s="38"/>
      <c r="Q308" s="40"/>
    </row>
    <row r="309" spans="1:17" s="2" customFormat="1" x14ac:dyDescent="0.2">
      <c r="A309" s="16" t="str">
        <f t="shared" si="8"/>
        <v>quinta-feira</v>
      </c>
      <c r="B309" s="17">
        <f t="shared" si="9"/>
        <v>44868</v>
      </c>
      <c r="C309" s="52">
        <f>IFERROR(_xlfn.XLOOKUP($B:$B,'Estatísticos Mensais'!$A:$A,'Estatísticos Mensais'!C:C),0)</f>
        <v>41357.79</v>
      </c>
      <c r="D309" s="69">
        <f>IFERROR(_xlfn.XLOOKUP($B:$B,Google!A:A,Google!C:C,),0)</f>
        <v>507.49</v>
      </c>
      <c r="E309" s="70" t="e">
        <f>SUMIF(#REF!,'Compilado 2023 (2)'!$B:$B,#REF!)</f>
        <v>#REF!</v>
      </c>
      <c r="F309" s="70">
        <v>0</v>
      </c>
      <c r="G309" s="70">
        <f ca="1">_xlfn.XLOOKUP(B:B,'E-mail'!A:A,'E-mail'!C:C)</f>
        <v>53.333333333333336</v>
      </c>
      <c r="H309" s="70">
        <f>IFERROR(_xlfn.XLOOKUP($B:$B,#REF!,#REF!),0)</f>
        <v>0</v>
      </c>
      <c r="I309" s="70">
        <v>0</v>
      </c>
      <c r="J309" s="70">
        <v>0</v>
      </c>
      <c r="K309" s="70">
        <v>0</v>
      </c>
      <c r="L309" s="59"/>
      <c r="M309" s="70">
        <v>0</v>
      </c>
      <c r="N309" s="70">
        <v>0</v>
      </c>
      <c r="O309" s="70">
        <v>0</v>
      </c>
      <c r="P309" s="38"/>
      <c r="Q309" s="40"/>
    </row>
    <row r="310" spans="1:17" s="2" customFormat="1" x14ac:dyDescent="0.2">
      <c r="A310" s="16" t="str">
        <f t="shared" si="8"/>
        <v>sexta-feira</v>
      </c>
      <c r="B310" s="17">
        <f t="shared" si="9"/>
        <v>44869</v>
      </c>
      <c r="C310" s="52">
        <f>IFERROR(_xlfn.XLOOKUP($B:$B,'Estatísticos Mensais'!$A:$A,'Estatísticos Mensais'!C:C),0)</f>
        <v>49293.59</v>
      </c>
      <c r="D310" s="69">
        <f>IFERROR(_xlfn.XLOOKUP($B:$B,Google!A:A,Google!C:C,),0)</f>
        <v>439.85</v>
      </c>
      <c r="E310" s="70" t="e">
        <f>SUMIF(#REF!,'Compilado 2023 (2)'!$B:$B,#REF!)</f>
        <v>#REF!</v>
      </c>
      <c r="F310" s="70">
        <v>0</v>
      </c>
      <c r="G310" s="70">
        <f ca="1">_xlfn.XLOOKUP(B:B,'E-mail'!A:A,'E-mail'!C:C)</f>
        <v>53.333333333333336</v>
      </c>
      <c r="H310" s="70">
        <f>IFERROR(_xlfn.XLOOKUP($B:$B,#REF!,#REF!),0)</f>
        <v>0</v>
      </c>
      <c r="I310" s="70">
        <v>0</v>
      </c>
      <c r="J310" s="70">
        <v>0</v>
      </c>
      <c r="K310" s="70">
        <v>0</v>
      </c>
      <c r="L310" s="59"/>
      <c r="M310" s="70">
        <v>0</v>
      </c>
      <c r="N310" s="70">
        <v>0</v>
      </c>
      <c r="O310" s="70">
        <v>0</v>
      </c>
      <c r="P310" s="38"/>
      <c r="Q310" s="40"/>
    </row>
    <row r="311" spans="1:17" s="2" customFormat="1" x14ac:dyDescent="0.2">
      <c r="A311" s="16" t="str">
        <f t="shared" si="8"/>
        <v>sábado</v>
      </c>
      <c r="B311" s="17">
        <f t="shared" si="9"/>
        <v>44870</v>
      </c>
      <c r="C311" s="52">
        <f>IFERROR(_xlfn.XLOOKUP($B:$B,'Estatísticos Mensais'!$A:$A,'Estatísticos Mensais'!C:C),0)</f>
        <v>32532.11</v>
      </c>
      <c r="D311" s="69">
        <f>IFERROR(_xlfn.XLOOKUP($B:$B,Google!A:A,Google!C:C,),0)</f>
        <v>441.25</v>
      </c>
      <c r="E311" s="70" t="e">
        <f>SUMIF(#REF!,'Compilado 2023 (2)'!$B:$B,#REF!)</f>
        <v>#REF!</v>
      </c>
      <c r="F311" s="70">
        <v>0</v>
      </c>
      <c r="G311" s="70">
        <f ca="1">_xlfn.XLOOKUP(B:B,'E-mail'!A:A,'E-mail'!C:C)</f>
        <v>53.333333333333336</v>
      </c>
      <c r="H311" s="70">
        <f>IFERROR(_xlfn.XLOOKUP($B:$B,#REF!,#REF!),0)</f>
        <v>0</v>
      </c>
      <c r="I311" s="70">
        <v>0</v>
      </c>
      <c r="J311" s="70">
        <v>0</v>
      </c>
      <c r="K311" s="70">
        <v>0</v>
      </c>
      <c r="L311" s="59"/>
      <c r="M311" s="70">
        <v>0</v>
      </c>
      <c r="N311" s="70">
        <v>0</v>
      </c>
      <c r="O311" s="70">
        <v>0</v>
      </c>
      <c r="P311" s="38"/>
      <c r="Q311" s="40"/>
    </row>
    <row r="312" spans="1:17" s="2" customFormat="1" x14ac:dyDescent="0.2">
      <c r="A312" s="16" t="str">
        <f t="shared" si="8"/>
        <v>domingo</v>
      </c>
      <c r="B312" s="17">
        <f t="shared" si="9"/>
        <v>44871</v>
      </c>
      <c r="C312" s="52">
        <f>IFERROR(_xlfn.XLOOKUP($B:$B,'Estatísticos Mensais'!$A:$A,'Estatísticos Mensais'!C:C),0)</f>
        <v>18743.48</v>
      </c>
      <c r="D312" s="69">
        <f>IFERROR(_xlfn.XLOOKUP($B:$B,Google!A:A,Google!C:C,),0)</f>
        <v>413.47</v>
      </c>
      <c r="E312" s="70" t="e">
        <f>SUMIF(#REF!,'Compilado 2023 (2)'!$B:$B,#REF!)</f>
        <v>#REF!</v>
      </c>
      <c r="F312" s="70">
        <v>0</v>
      </c>
      <c r="G312" s="70">
        <f ca="1">_xlfn.XLOOKUP(B:B,'E-mail'!A:A,'E-mail'!C:C)</f>
        <v>53.333333333333336</v>
      </c>
      <c r="H312" s="70">
        <f>IFERROR(_xlfn.XLOOKUP($B:$B,#REF!,#REF!),0)</f>
        <v>0</v>
      </c>
      <c r="I312" s="70">
        <v>0</v>
      </c>
      <c r="J312" s="70">
        <v>0</v>
      </c>
      <c r="K312" s="70">
        <v>0</v>
      </c>
      <c r="L312" s="59"/>
      <c r="M312" s="70">
        <v>0</v>
      </c>
      <c r="N312" s="70">
        <v>0</v>
      </c>
      <c r="O312" s="70">
        <v>0</v>
      </c>
      <c r="P312" s="38"/>
      <c r="Q312" s="40"/>
    </row>
    <row r="313" spans="1:17" s="2" customFormat="1" x14ac:dyDescent="0.2">
      <c r="A313" s="16" t="str">
        <f t="shared" si="8"/>
        <v>segunda-feira</v>
      </c>
      <c r="B313" s="17">
        <f t="shared" si="9"/>
        <v>44872</v>
      </c>
      <c r="C313" s="52">
        <f>IFERROR(_xlfn.XLOOKUP($B:$B,'Estatísticos Mensais'!$A:$A,'Estatísticos Mensais'!C:C),0)</f>
        <v>50453.83</v>
      </c>
      <c r="D313" s="69">
        <f>IFERROR(_xlfn.XLOOKUP($B:$B,Google!A:A,Google!C:C,),0)</f>
        <v>487.54</v>
      </c>
      <c r="E313" s="70" t="e">
        <f>SUMIF(#REF!,'Compilado 2023 (2)'!$B:$B,#REF!)</f>
        <v>#REF!</v>
      </c>
      <c r="F313" s="70">
        <v>0</v>
      </c>
      <c r="G313" s="70">
        <f ca="1">_xlfn.XLOOKUP(B:B,'E-mail'!A:A,'E-mail'!C:C)</f>
        <v>53.333333333333336</v>
      </c>
      <c r="H313" s="70">
        <f>IFERROR(_xlfn.XLOOKUP($B:$B,#REF!,#REF!),0)</f>
        <v>0</v>
      </c>
      <c r="I313" s="70">
        <v>0</v>
      </c>
      <c r="J313" s="70">
        <v>0</v>
      </c>
      <c r="K313" s="70">
        <v>0</v>
      </c>
      <c r="L313" s="59"/>
      <c r="M313" s="70">
        <v>0</v>
      </c>
      <c r="N313" s="70">
        <v>0</v>
      </c>
      <c r="O313" s="70">
        <v>0</v>
      </c>
      <c r="P313" s="38"/>
      <c r="Q313" s="40"/>
    </row>
    <row r="314" spans="1:17" s="2" customFormat="1" x14ac:dyDescent="0.2">
      <c r="A314" s="16" t="str">
        <f t="shared" si="8"/>
        <v>terça-feira</v>
      </c>
      <c r="B314" s="17">
        <f t="shared" si="9"/>
        <v>44873</v>
      </c>
      <c r="C314" s="52">
        <f>IFERROR(_xlfn.XLOOKUP($B:$B,'Estatísticos Mensais'!$A:$A,'Estatísticos Mensais'!C:C),0)</f>
        <v>45692.1</v>
      </c>
      <c r="D314" s="69">
        <f>IFERROR(_xlfn.XLOOKUP($B:$B,Google!A:A,Google!C:C,),0)</f>
        <v>499.29</v>
      </c>
      <c r="E314" s="70" t="e">
        <f>SUMIF(#REF!,'Compilado 2023 (2)'!$B:$B,#REF!)</f>
        <v>#REF!</v>
      </c>
      <c r="F314" s="70">
        <v>0</v>
      </c>
      <c r="G314" s="70">
        <f ca="1">_xlfn.XLOOKUP(B:B,'E-mail'!A:A,'E-mail'!C:C)</f>
        <v>53.333333333333336</v>
      </c>
      <c r="H314" s="70">
        <f>IFERROR(_xlfn.XLOOKUP($B:$B,#REF!,#REF!),0)</f>
        <v>0</v>
      </c>
      <c r="I314" s="70">
        <v>0</v>
      </c>
      <c r="J314" s="70">
        <v>0</v>
      </c>
      <c r="K314" s="70">
        <v>0</v>
      </c>
      <c r="L314" s="59"/>
      <c r="M314" s="70">
        <v>0</v>
      </c>
      <c r="N314" s="70">
        <v>0</v>
      </c>
      <c r="O314" s="70">
        <v>0</v>
      </c>
      <c r="P314" s="38"/>
      <c r="Q314" s="40"/>
    </row>
    <row r="315" spans="1:17" s="2" customFormat="1" x14ac:dyDescent="0.2">
      <c r="A315" s="16" t="str">
        <f t="shared" si="8"/>
        <v>quarta-feira</v>
      </c>
      <c r="B315" s="17">
        <f t="shared" si="9"/>
        <v>44874</v>
      </c>
      <c r="C315" s="52">
        <f>IFERROR(_xlfn.XLOOKUP($B:$B,'Estatísticos Mensais'!$A:$A,'Estatísticos Mensais'!C:C),0)</f>
        <v>64711.35</v>
      </c>
      <c r="D315" s="69">
        <f>IFERROR(_xlfn.XLOOKUP($B:$B,Google!A:A,Google!C:C,),0)</f>
        <v>566.65</v>
      </c>
      <c r="E315" s="70" t="e">
        <f>SUMIF(#REF!,'Compilado 2023 (2)'!$B:$B,#REF!)</f>
        <v>#REF!</v>
      </c>
      <c r="F315" s="70">
        <v>0</v>
      </c>
      <c r="G315" s="70">
        <f ca="1">_xlfn.XLOOKUP(B:B,'E-mail'!A:A,'E-mail'!C:C)</f>
        <v>53.333333333333336</v>
      </c>
      <c r="H315" s="70">
        <f>IFERROR(_xlfn.XLOOKUP($B:$B,#REF!,#REF!),0)</f>
        <v>0</v>
      </c>
      <c r="I315" s="70">
        <v>0</v>
      </c>
      <c r="J315" s="70">
        <v>0</v>
      </c>
      <c r="K315" s="70">
        <v>0</v>
      </c>
      <c r="L315" s="59"/>
      <c r="M315" s="70">
        <v>0</v>
      </c>
      <c r="N315" s="70">
        <v>0</v>
      </c>
      <c r="O315" s="70">
        <v>0</v>
      </c>
      <c r="P315" s="38"/>
      <c r="Q315" s="40"/>
    </row>
    <row r="316" spans="1:17" s="2" customFormat="1" x14ac:dyDescent="0.2">
      <c r="A316" s="16" t="str">
        <f t="shared" si="8"/>
        <v>quinta-feira</v>
      </c>
      <c r="B316" s="17">
        <f t="shared" si="9"/>
        <v>44875</v>
      </c>
      <c r="C316" s="52">
        <f>IFERROR(_xlfn.XLOOKUP($B:$B,'Estatísticos Mensais'!$A:$A,'Estatísticos Mensais'!C:C),0)</f>
        <v>62344.07</v>
      </c>
      <c r="D316" s="69">
        <f>IFERROR(_xlfn.XLOOKUP($B:$B,Google!A:A,Google!C:C,),0)</f>
        <v>547.80999999999995</v>
      </c>
      <c r="E316" s="70" t="e">
        <f>SUMIF(#REF!,'Compilado 2023 (2)'!$B:$B,#REF!)</f>
        <v>#REF!</v>
      </c>
      <c r="F316" s="70">
        <v>0</v>
      </c>
      <c r="G316" s="70">
        <f ca="1">_xlfn.XLOOKUP(B:B,'E-mail'!A:A,'E-mail'!C:C)</f>
        <v>53.333333333333336</v>
      </c>
      <c r="H316" s="70">
        <f>IFERROR(_xlfn.XLOOKUP($B:$B,#REF!,#REF!),0)</f>
        <v>0</v>
      </c>
      <c r="I316" s="70">
        <v>0</v>
      </c>
      <c r="J316" s="70">
        <v>0</v>
      </c>
      <c r="K316" s="70">
        <v>0</v>
      </c>
      <c r="L316" s="59"/>
      <c r="M316" s="70">
        <v>0</v>
      </c>
      <c r="N316" s="70">
        <v>0</v>
      </c>
      <c r="O316" s="70">
        <v>0</v>
      </c>
      <c r="P316" s="38"/>
      <c r="Q316" s="40"/>
    </row>
    <row r="317" spans="1:17" s="2" customFormat="1" x14ac:dyDescent="0.2">
      <c r="A317" s="16" t="str">
        <f t="shared" si="8"/>
        <v>sexta-feira</v>
      </c>
      <c r="B317" s="17">
        <f t="shared" si="9"/>
        <v>44876</v>
      </c>
      <c r="C317" s="52">
        <f>IFERROR(_xlfn.XLOOKUP($B:$B,'Estatísticos Mensais'!$A:$A,'Estatísticos Mensais'!C:C),0)</f>
        <v>59936.65</v>
      </c>
      <c r="D317" s="69">
        <f>IFERROR(_xlfn.XLOOKUP($B:$B,Google!A:A,Google!C:C,),0)</f>
        <v>638.13</v>
      </c>
      <c r="E317" s="70" t="e">
        <f>SUMIF(#REF!,'Compilado 2023 (2)'!$B:$B,#REF!)</f>
        <v>#REF!</v>
      </c>
      <c r="F317" s="70">
        <v>0</v>
      </c>
      <c r="G317" s="70">
        <f ca="1">_xlfn.XLOOKUP(B:B,'E-mail'!A:A,'E-mail'!C:C)</f>
        <v>53.333333333333336</v>
      </c>
      <c r="H317" s="70">
        <f>IFERROR(_xlfn.XLOOKUP($B:$B,#REF!,#REF!),0)</f>
        <v>0</v>
      </c>
      <c r="I317" s="70">
        <v>0</v>
      </c>
      <c r="J317" s="70">
        <v>0</v>
      </c>
      <c r="K317" s="70">
        <v>0</v>
      </c>
      <c r="L317" s="59"/>
      <c r="M317" s="70">
        <v>0</v>
      </c>
      <c r="N317" s="70">
        <v>0</v>
      </c>
      <c r="O317" s="70">
        <v>0</v>
      </c>
      <c r="P317" s="38"/>
      <c r="Q317" s="40"/>
    </row>
    <row r="318" spans="1:17" s="2" customFormat="1" x14ac:dyDescent="0.2">
      <c r="A318" s="16" t="str">
        <f t="shared" si="8"/>
        <v>sábado</v>
      </c>
      <c r="B318" s="17">
        <f t="shared" si="9"/>
        <v>44877</v>
      </c>
      <c r="C318" s="52">
        <f>IFERROR(_xlfn.XLOOKUP($B:$B,'Estatísticos Mensais'!$A:$A,'Estatísticos Mensais'!C:C),0)</f>
        <v>34354.720000000001</v>
      </c>
      <c r="D318" s="69">
        <f>IFERROR(_xlfn.XLOOKUP($B:$B,Google!A:A,Google!C:C,),0)</f>
        <v>470.39</v>
      </c>
      <c r="E318" s="70" t="e">
        <f>SUMIF(#REF!,'Compilado 2023 (2)'!$B:$B,#REF!)</f>
        <v>#REF!</v>
      </c>
      <c r="F318" s="70">
        <v>0</v>
      </c>
      <c r="G318" s="70">
        <f ca="1">_xlfn.XLOOKUP(B:B,'E-mail'!A:A,'E-mail'!C:C)</f>
        <v>53.333333333333336</v>
      </c>
      <c r="H318" s="70">
        <f>IFERROR(_xlfn.XLOOKUP($B:$B,#REF!,#REF!),0)</f>
        <v>0</v>
      </c>
      <c r="I318" s="70">
        <v>0</v>
      </c>
      <c r="J318" s="70">
        <v>0</v>
      </c>
      <c r="K318" s="70">
        <v>0</v>
      </c>
      <c r="L318" s="59"/>
      <c r="M318" s="70">
        <v>0</v>
      </c>
      <c r="N318" s="70">
        <v>0</v>
      </c>
      <c r="O318" s="70">
        <v>0</v>
      </c>
      <c r="P318" s="38"/>
      <c r="Q318" s="40"/>
    </row>
    <row r="319" spans="1:17" s="2" customFormat="1" x14ac:dyDescent="0.2">
      <c r="A319" s="16" t="str">
        <f t="shared" si="8"/>
        <v>domingo</v>
      </c>
      <c r="B319" s="17">
        <f t="shared" si="9"/>
        <v>44878</v>
      </c>
      <c r="C319" s="52">
        <f>IFERROR(_xlfn.XLOOKUP($B:$B,'Estatísticos Mensais'!$A:$A,'Estatísticos Mensais'!C:C),0)</f>
        <v>20268.12</v>
      </c>
      <c r="D319" s="69">
        <f>IFERROR(_xlfn.XLOOKUP($B:$B,Google!A:A,Google!C:C,),0)</f>
        <v>457.97</v>
      </c>
      <c r="E319" s="70" t="e">
        <f>SUMIF(#REF!,'Compilado 2023 (2)'!$B:$B,#REF!)</f>
        <v>#REF!</v>
      </c>
      <c r="F319" s="70">
        <v>0</v>
      </c>
      <c r="G319" s="70">
        <f ca="1">_xlfn.XLOOKUP(B:B,'E-mail'!A:A,'E-mail'!C:C)</f>
        <v>53.333333333333336</v>
      </c>
      <c r="H319" s="70">
        <f>IFERROR(_xlfn.XLOOKUP($B:$B,#REF!,#REF!),0)</f>
        <v>0</v>
      </c>
      <c r="I319" s="70">
        <v>0</v>
      </c>
      <c r="J319" s="70">
        <v>0</v>
      </c>
      <c r="K319" s="70">
        <v>0</v>
      </c>
      <c r="L319" s="59"/>
      <c r="M319" s="70">
        <v>0</v>
      </c>
      <c r="N319" s="70">
        <v>0</v>
      </c>
      <c r="O319" s="70">
        <v>0</v>
      </c>
      <c r="P319" s="38"/>
      <c r="Q319" s="40"/>
    </row>
    <row r="320" spans="1:17" s="2" customFormat="1" x14ac:dyDescent="0.2">
      <c r="A320" s="16" t="str">
        <f t="shared" si="8"/>
        <v>segunda-feira</v>
      </c>
      <c r="B320" s="17">
        <f t="shared" si="9"/>
        <v>44879</v>
      </c>
      <c r="C320" s="52">
        <f>IFERROR(_xlfn.XLOOKUP($B:$B,'Estatísticos Mensais'!$A:$A,'Estatísticos Mensais'!C:C),0)</f>
        <v>48516.29</v>
      </c>
      <c r="D320" s="69">
        <f>IFERROR(_xlfn.XLOOKUP($B:$B,Google!A:A,Google!C:C,),0)</f>
        <v>713.48</v>
      </c>
      <c r="E320" s="70" t="e">
        <f>SUMIF(#REF!,'Compilado 2023 (2)'!$B:$B,#REF!)</f>
        <v>#REF!</v>
      </c>
      <c r="F320" s="70">
        <v>0</v>
      </c>
      <c r="G320" s="70">
        <f ca="1">_xlfn.XLOOKUP(B:B,'E-mail'!A:A,'E-mail'!C:C)</f>
        <v>53.333333333333336</v>
      </c>
      <c r="H320" s="70">
        <f>IFERROR(_xlfn.XLOOKUP($B:$B,#REF!,#REF!),0)</f>
        <v>0</v>
      </c>
      <c r="I320" s="70">
        <v>0</v>
      </c>
      <c r="J320" s="70">
        <v>0</v>
      </c>
      <c r="K320" s="70">
        <v>0</v>
      </c>
      <c r="L320" s="59"/>
      <c r="M320" s="70">
        <v>0</v>
      </c>
      <c r="N320" s="70">
        <v>0</v>
      </c>
      <c r="O320" s="70">
        <v>0</v>
      </c>
      <c r="P320" s="38"/>
      <c r="Q320" s="40"/>
    </row>
    <row r="321" spans="1:17" s="2" customFormat="1" x14ac:dyDescent="0.2">
      <c r="A321" s="16" t="str">
        <f t="shared" si="8"/>
        <v>terça-feira</v>
      </c>
      <c r="B321" s="17">
        <f t="shared" si="9"/>
        <v>44880</v>
      </c>
      <c r="C321" s="52">
        <f>IFERROR(_xlfn.XLOOKUP($B:$B,'Estatísticos Mensais'!$A:$A,'Estatísticos Mensais'!C:C),0)</f>
        <v>45918.36</v>
      </c>
      <c r="D321" s="69">
        <f>IFERROR(_xlfn.XLOOKUP($B:$B,Google!A:A,Google!C:C,),0)</f>
        <v>681.31</v>
      </c>
      <c r="E321" s="70" t="e">
        <f>SUMIF(#REF!,'Compilado 2023 (2)'!$B:$B,#REF!)</f>
        <v>#REF!</v>
      </c>
      <c r="F321" s="70">
        <v>0</v>
      </c>
      <c r="G321" s="70">
        <f ca="1">_xlfn.XLOOKUP(B:B,'E-mail'!A:A,'E-mail'!C:C)</f>
        <v>53.333333333333336</v>
      </c>
      <c r="H321" s="70">
        <f>IFERROR(_xlfn.XLOOKUP($B:$B,#REF!,#REF!),0)</f>
        <v>0</v>
      </c>
      <c r="I321" s="70">
        <v>0</v>
      </c>
      <c r="J321" s="70">
        <v>0</v>
      </c>
      <c r="K321" s="70">
        <v>0</v>
      </c>
      <c r="L321" s="59"/>
      <c r="M321" s="70">
        <v>0</v>
      </c>
      <c r="N321" s="70">
        <v>0</v>
      </c>
      <c r="O321" s="70">
        <v>0</v>
      </c>
      <c r="P321" s="38"/>
      <c r="Q321" s="40"/>
    </row>
    <row r="322" spans="1:17" s="2" customFormat="1" x14ac:dyDescent="0.2">
      <c r="A322" s="16" t="str">
        <f t="shared" si="8"/>
        <v>quarta-feira</v>
      </c>
      <c r="B322" s="17">
        <f t="shared" si="9"/>
        <v>44881</v>
      </c>
      <c r="C322" s="52">
        <f>IFERROR(_xlfn.XLOOKUP($B:$B,'Estatísticos Mensais'!$A:$A,'Estatísticos Mensais'!C:C),0)</f>
        <v>47671.23</v>
      </c>
      <c r="D322" s="69">
        <f>IFERROR(_xlfn.XLOOKUP($B:$B,Google!A:A,Google!C:C,),0)</f>
        <v>774.91</v>
      </c>
      <c r="E322" s="70" t="e">
        <f>SUMIF(#REF!,'Compilado 2023 (2)'!$B:$B,#REF!)</f>
        <v>#REF!</v>
      </c>
      <c r="F322" s="70">
        <v>0</v>
      </c>
      <c r="G322" s="70">
        <f ca="1">_xlfn.XLOOKUP(B:B,'E-mail'!A:A,'E-mail'!C:C)</f>
        <v>53.333333333333336</v>
      </c>
      <c r="H322" s="70">
        <f>IFERROR(_xlfn.XLOOKUP($B:$B,#REF!,#REF!),0)</f>
        <v>0</v>
      </c>
      <c r="I322" s="70">
        <v>0</v>
      </c>
      <c r="J322" s="70">
        <v>0</v>
      </c>
      <c r="K322" s="70">
        <v>0</v>
      </c>
      <c r="L322" s="59"/>
      <c r="M322" s="70">
        <v>0</v>
      </c>
      <c r="N322" s="70">
        <v>0</v>
      </c>
      <c r="O322" s="70">
        <v>0</v>
      </c>
      <c r="P322" s="38"/>
      <c r="Q322" s="40"/>
    </row>
    <row r="323" spans="1:17" s="2" customFormat="1" x14ac:dyDescent="0.2">
      <c r="A323" s="16" t="str">
        <f t="shared" ref="A323:A386" si="10">TEXT(B323,"DDDD")</f>
        <v>quinta-feira</v>
      </c>
      <c r="B323" s="17">
        <f t="shared" si="9"/>
        <v>44882</v>
      </c>
      <c r="C323" s="52">
        <f>IFERROR(_xlfn.XLOOKUP($B:$B,'Estatísticos Mensais'!$A:$A,'Estatísticos Mensais'!C:C),0)</f>
        <v>57814.49</v>
      </c>
      <c r="D323" s="69">
        <f>IFERROR(_xlfn.XLOOKUP($B:$B,Google!A:A,Google!C:C,),0)</f>
        <v>689.83</v>
      </c>
      <c r="E323" s="70" t="e">
        <f>SUMIF(#REF!,'Compilado 2023 (2)'!$B:$B,#REF!)</f>
        <v>#REF!</v>
      </c>
      <c r="F323" s="70">
        <v>0</v>
      </c>
      <c r="G323" s="70">
        <f ca="1">_xlfn.XLOOKUP(B:B,'E-mail'!A:A,'E-mail'!C:C)</f>
        <v>53.333333333333336</v>
      </c>
      <c r="H323" s="70">
        <f>IFERROR(_xlfn.XLOOKUP($B:$B,#REF!,#REF!),0)</f>
        <v>0</v>
      </c>
      <c r="I323" s="70">
        <v>0</v>
      </c>
      <c r="J323" s="70">
        <v>0</v>
      </c>
      <c r="K323" s="70">
        <v>0</v>
      </c>
      <c r="L323" s="59"/>
      <c r="M323" s="70">
        <v>0</v>
      </c>
      <c r="N323" s="70">
        <v>0</v>
      </c>
      <c r="O323" s="70">
        <v>0</v>
      </c>
      <c r="P323" s="38"/>
      <c r="Q323" s="40"/>
    </row>
    <row r="324" spans="1:17" s="2" customFormat="1" x14ac:dyDescent="0.2">
      <c r="A324" s="16" t="str">
        <f t="shared" si="10"/>
        <v>sexta-feira</v>
      </c>
      <c r="B324" s="17">
        <f t="shared" si="9"/>
        <v>44883</v>
      </c>
      <c r="C324" s="52">
        <f>IFERROR(_xlfn.XLOOKUP($B:$B,'Estatísticos Mensais'!$A:$A,'Estatísticos Mensais'!C:C),0)</f>
        <v>60691.73</v>
      </c>
      <c r="D324" s="69">
        <f>IFERROR(_xlfn.XLOOKUP($B:$B,Google!A:A,Google!C:C,),0)</f>
        <v>677.37</v>
      </c>
      <c r="E324" s="70" t="e">
        <f>SUMIF(#REF!,'Compilado 2023 (2)'!$B:$B,#REF!)</f>
        <v>#REF!</v>
      </c>
      <c r="F324" s="70">
        <v>0</v>
      </c>
      <c r="G324" s="70">
        <f ca="1">_xlfn.XLOOKUP(B:B,'E-mail'!A:A,'E-mail'!C:C)</f>
        <v>53.333333333333336</v>
      </c>
      <c r="H324" s="70">
        <f>IFERROR(_xlfn.XLOOKUP($B:$B,#REF!,#REF!),0)</f>
        <v>0</v>
      </c>
      <c r="I324" s="70">
        <v>0</v>
      </c>
      <c r="J324" s="70">
        <v>0</v>
      </c>
      <c r="K324" s="70">
        <v>0</v>
      </c>
      <c r="L324" s="59"/>
      <c r="M324" s="70">
        <v>0</v>
      </c>
      <c r="N324" s="70">
        <v>0</v>
      </c>
      <c r="O324" s="70">
        <v>0</v>
      </c>
      <c r="P324" s="38"/>
      <c r="Q324" s="40"/>
    </row>
    <row r="325" spans="1:17" s="2" customFormat="1" x14ac:dyDescent="0.2">
      <c r="A325" s="16" t="str">
        <f t="shared" si="10"/>
        <v>sábado</v>
      </c>
      <c r="B325" s="17">
        <f t="shared" ref="B325:B388" si="11">B324+1</f>
        <v>44884</v>
      </c>
      <c r="C325" s="52">
        <f>IFERROR(_xlfn.XLOOKUP($B:$B,'Estatísticos Mensais'!$A:$A,'Estatísticos Mensais'!C:C),0)</f>
        <v>34580.47</v>
      </c>
      <c r="D325" s="69">
        <f>IFERROR(_xlfn.XLOOKUP($B:$B,Google!A:A,Google!C:C,),0)</f>
        <v>515.91</v>
      </c>
      <c r="E325" s="70" t="e">
        <f>SUMIF(#REF!,'Compilado 2023 (2)'!$B:$B,#REF!)</f>
        <v>#REF!</v>
      </c>
      <c r="F325" s="70">
        <v>0</v>
      </c>
      <c r="G325" s="70">
        <f ca="1">_xlfn.XLOOKUP(B:B,'E-mail'!A:A,'E-mail'!C:C)</f>
        <v>53.333333333333336</v>
      </c>
      <c r="H325" s="70">
        <f>IFERROR(_xlfn.XLOOKUP($B:$B,#REF!,#REF!),0)</f>
        <v>0</v>
      </c>
      <c r="I325" s="70">
        <v>0</v>
      </c>
      <c r="J325" s="70">
        <v>0</v>
      </c>
      <c r="K325" s="70">
        <v>0</v>
      </c>
      <c r="L325" s="59"/>
      <c r="M325" s="70">
        <v>0</v>
      </c>
      <c r="N325" s="70">
        <v>0</v>
      </c>
      <c r="O325" s="70">
        <v>0</v>
      </c>
      <c r="P325" s="38"/>
      <c r="Q325" s="40"/>
    </row>
    <row r="326" spans="1:17" s="2" customFormat="1" x14ac:dyDescent="0.2">
      <c r="A326" s="16" t="str">
        <f t="shared" si="10"/>
        <v>domingo</v>
      </c>
      <c r="B326" s="17">
        <f t="shared" si="11"/>
        <v>44885</v>
      </c>
      <c r="C326" s="52">
        <f>IFERROR(_xlfn.XLOOKUP($B:$B,'Estatísticos Mensais'!$A:$A,'Estatísticos Mensais'!C:C),0)</f>
        <v>24648.560000000001</v>
      </c>
      <c r="D326" s="69">
        <f>IFERROR(_xlfn.XLOOKUP($B:$B,Google!A:A,Google!C:C,),0)</f>
        <v>519.04999999999995</v>
      </c>
      <c r="E326" s="70" t="e">
        <f>SUMIF(#REF!,'Compilado 2023 (2)'!$B:$B,#REF!)</f>
        <v>#REF!</v>
      </c>
      <c r="F326" s="70">
        <v>0</v>
      </c>
      <c r="G326" s="70">
        <f ca="1">_xlfn.XLOOKUP(B:B,'E-mail'!A:A,'E-mail'!C:C)</f>
        <v>53.333333333333336</v>
      </c>
      <c r="H326" s="70">
        <f>IFERROR(_xlfn.XLOOKUP($B:$B,#REF!,#REF!),0)</f>
        <v>0</v>
      </c>
      <c r="I326" s="70">
        <v>0</v>
      </c>
      <c r="J326" s="70">
        <v>0</v>
      </c>
      <c r="K326" s="70">
        <v>0</v>
      </c>
      <c r="L326" s="59"/>
      <c r="M326" s="70">
        <v>0</v>
      </c>
      <c r="N326" s="70">
        <v>0</v>
      </c>
      <c r="O326" s="70">
        <v>0</v>
      </c>
      <c r="P326" s="38"/>
      <c r="Q326" s="40"/>
    </row>
    <row r="327" spans="1:17" s="2" customFormat="1" x14ac:dyDescent="0.2">
      <c r="A327" s="16" t="str">
        <f t="shared" si="10"/>
        <v>segunda-feira</v>
      </c>
      <c r="B327" s="17">
        <f t="shared" si="11"/>
        <v>44886</v>
      </c>
      <c r="C327" s="52">
        <f>IFERROR(_xlfn.XLOOKUP($B:$B,'Estatísticos Mensais'!$A:$A,'Estatísticos Mensais'!C:C),0)</f>
        <v>77449.23</v>
      </c>
      <c r="D327" s="69">
        <f>IFERROR(_xlfn.XLOOKUP($B:$B,Google!A:A,Google!C:C,),0)</f>
        <v>1061.5899999999999</v>
      </c>
      <c r="E327" s="70" t="e">
        <f>SUMIF(#REF!,'Compilado 2023 (2)'!$B:$B,#REF!)</f>
        <v>#REF!</v>
      </c>
      <c r="F327" s="70">
        <v>0</v>
      </c>
      <c r="G327" s="70">
        <f ca="1">_xlfn.XLOOKUP(B:B,'E-mail'!A:A,'E-mail'!C:C)</f>
        <v>53.333333333333336</v>
      </c>
      <c r="H327" s="70">
        <f>IFERROR(_xlfn.XLOOKUP($B:$B,#REF!,#REF!),0)</f>
        <v>0</v>
      </c>
      <c r="I327" s="70">
        <v>0</v>
      </c>
      <c r="J327" s="70">
        <v>0</v>
      </c>
      <c r="K327" s="70">
        <v>0</v>
      </c>
      <c r="L327" s="59"/>
      <c r="M327" s="70">
        <v>0</v>
      </c>
      <c r="N327" s="70">
        <v>0</v>
      </c>
      <c r="O327" s="70">
        <v>0</v>
      </c>
      <c r="P327" s="38"/>
      <c r="Q327" s="40"/>
    </row>
    <row r="328" spans="1:17" s="2" customFormat="1" x14ac:dyDescent="0.2">
      <c r="A328" s="16" t="str">
        <f t="shared" si="10"/>
        <v>terça-feira</v>
      </c>
      <c r="B328" s="17">
        <f t="shared" si="11"/>
        <v>44887</v>
      </c>
      <c r="C328" s="52">
        <f>IFERROR(_xlfn.XLOOKUP($B:$B,'Estatísticos Mensais'!$A:$A,'Estatísticos Mensais'!C:C),0)</f>
        <v>72089.929999999993</v>
      </c>
      <c r="D328" s="69">
        <f>IFERROR(_xlfn.XLOOKUP($B:$B,Google!A:A,Google!C:C,),0)</f>
        <v>1421.9</v>
      </c>
      <c r="E328" s="70" t="e">
        <f>SUMIF(#REF!,'Compilado 2023 (2)'!$B:$B,#REF!)</f>
        <v>#REF!</v>
      </c>
      <c r="F328" s="70">
        <v>0</v>
      </c>
      <c r="G328" s="70">
        <f ca="1">_xlfn.XLOOKUP(B:B,'E-mail'!A:A,'E-mail'!C:C)</f>
        <v>53.333333333333336</v>
      </c>
      <c r="H328" s="70">
        <f>IFERROR(_xlfn.XLOOKUP($B:$B,#REF!,#REF!),0)</f>
        <v>0</v>
      </c>
      <c r="I328" s="70">
        <v>0</v>
      </c>
      <c r="J328" s="70">
        <v>0</v>
      </c>
      <c r="K328" s="70">
        <v>0</v>
      </c>
      <c r="L328" s="59"/>
      <c r="M328" s="70">
        <v>0</v>
      </c>
      <c r="N328" s="70">
        <v>0</v>
      </c>
      <c r="O328" s="70">
        <v>0</v>
      </c>
      <c r="P328" s="38"/>
      <c r="Q328" s="40"/>
    </row>
    <row r="329" spans="1:17" s="2" customFormat="1" x14ac:dyDescent="0.2">
      <c r="A329" s="16" t="str">
        <f t="shared" si="10"/>
        <v>quarta-feira</v>
      </c>
      <c r="B329" s="17">
        <f t="shared" si="11"/>
        <v>44888</v>
      </c>
      <c r="C329" s="52">
        <f>IFERROR(_xlfn.XLOOKUP($B:$B,'Estatísticos Mensais'!$A:$A,'Estatísticos Mensais'!C:C),0)</f>
        <v>72680.87</v>
      </c>
      <c r="D329" s="69">
        <f>IFERROR(_xlfn.XLOOKUP($B:$B,Google!A:A,Google!C:C,),0)</f>
        <v>1681.47</v>
      </c>
      <c r="E329" s="70" t="e">
        <f>SUMIF(#REF!,'Compilado 2023 (2)'!$B:$B,#REF!)</f>
        <v>#REF!</v>
      </c>
      <c r="F329" s="70">
        <v>0</v>
      </c>
      <c r="G329" s="70">
        <f ca="1">_xlfn.XLOOKUP(B:B,'E-mail'!A:A,'E-mail'!C:C)</f>
        <v>53.333333333333336</v>
      </c>
      <c r="H329" s="70">
        <f>IFERROR(_xlfn.XLOOKUP($B:$B,#REF!,#REF!),0)</f>
        <v>0</v>
      </c>
      <c r="I329" s="70">
        <v>0</v>
      </c>
      <c r="J329" s="70">
        <v>0</v>
      </c>
      <c r="K329" s="70">
        <v>0</v>
      </c>
      <c r="L329" s="59"/>
      <c r="M329" s="70">
        <v>0</v>
      </c>
      <c r="N329" s="70">
        <v>0</v>
      </c>
      <c r="O329" s="70">
        <v>0</v>
      </c>
      <c r="P329" s="38"/>
      <c r="Q329" s="40"/>
    </row>
    <row r="330" spans="1:17" s="2" customFormat="1" x14ac:dyDescent="0.2">
      <c r="A330" s="16" t="str">
        <f t="shared" si="10"/>
        <v>quinta-feira</v>
      </c>
      <c r="B330" s="17">
        <f t="shared" si="11"/>
        <v>44889</v>
      </c>
      <c r="C330" s="52">
        <f>IFERROR(_xlfn.XLOOKUP($B:$B,'Estatísticos Mensais'!$A:$A,'Estatísticos Mensais'!C:C),0)</f>
        <v>72854.37</v>
      </c>
      <c r="D330" s="69">
        <f>IFERROR(_xlfn.XLOOKUP($B:$B,Google!A:A,Google!C:C,),0)</f>
        <v>1188.8</v>
      </c>
      <c r="E330" s="70" t="e">
        <f>SUMIF(#REF!,'Compilado 2023 (2)'!$B:$B,#REF!)</f>
        <v>#REF!</v>
      </c>
      <c r="F330" s="70">
        <v>0</v>
      </c>
      <c r="G330" s="70">
        <f ca="1">_xlfn.XLOOKUP(B:B,'E-mail'!A:A,'E-mail'!C:C)</f>
        <v>53.333333333333336</v>
      </c>
      <c r="H330" s="70">
        <f>IFERROR(_xlfn.XLOOKUP($B:$B,#REF!,#REF!),0)</f>
        <v>0</v>
      </c>
      <c r="I330" s="70">
        <v>0</v>
      </c>
      <c r="J330" s="70">
        <v>0</v>
      </c>
      <c r="K330" s="70">
        <v>0</v>
      </c>
      <c r="L330" s="59"/>
      <c r="M330" s="70">
        <v>0</v>
      </c>
      <c r="N330" s="70">
        <v>0</v>
      </c>
      <c r="O330" s="70">
        <v>0</v>
      </c>
      <c r="P330" s="38"/>
      <c r="Q330" s="40"/>
    </row>
    <row r="331" spans="1:17" s="2" customFormat="1" x14ac:dyDescent="0.2">
      <c r="A331" s="16" t="str">
        <f t="shared" si="10"/>
        <v>sexta-feira</v>
      </c>
      <c r="B331" s="17">
        <f t="shared" si="11"/>
        <v>44890</v>
      </c>
      <c r="C331" s="52">
        <f>IFERROR(_xlfn.XLOOKUP($B:$B,'Estatísticos Mensais'!$A:$A,'Estatísticos Mensais'!C:C),0)</f>
        <v>202411.28</v>
      </c>
      <c r="D331" s="69">
        <f>IFERROR(_xlfn.XLOOKUP($B:$B,Google!A:A,Google!C:C,),0)</f>
        <v>2253.3000000000002</v>
      </c>
      <c r="E331" s="70" t="e">
        <f>SUMIF(#REF!,'Compilado 2023 (2)'!$B:$B,#REF!)</f>
        <v>#REF!</v>
      </c>
      <c r="F331" s="70">
        <v>0</v>
      </c>
      <c r="G331" s="70">
        <f ca="1">_xlfn.XLOOKUP(B:B,'E-mail'!A:A,'E-mail'!C:C)</f>
        <v>53.333333333333336</v>
      </c>
      <c r="H331" s="70">
        <f>IFERROR(_xlfn.XLOOKUP($B:$B,#REF!,#REF!),0)</f>
        <v>0</v>
      </c>
      <c r="I331" s="70">
        <v>0</v>
      </c>
      <c r="J331" s="70">
        <v>0</v>
      </c>
      <c r="K331" s="70">
        <v>0</v>
      </c>
      <c r="L331" s="59"/>
      <c r="M331" s="70">
        <v>0</v>
      </c>
      <c r="N331" s="70">
        <v>0</v>
      </c>
      <c r="O331" s="70">
        <v>0</v>
      </c>
      <c r="P331" s="38"/>
      <c r="Q331" s="40"/>
    </row>
    <row r="332" spans="1:17" s="2" customFormat="1" x14ac:dyDescent="0.2">
      <c r="A332" s="16" t="str">
        <f t="shared" si="10"/>
        <v>sábado</v>
      </c>
      <c r="B332" s="17">
        <f t="shared" si="11"/>
        <v>44891</v>
      </c>
      <c r="C332" s="52">
        <f>IFERROR(_xlfn.XLOOKUP($B:$B,'Estatísticos Mensais'!$A:$A,'Estatísticos Mensais'!C:C),0)</f>
        <v>72318.87</v>
      </c>
      <c r="D332" s="69">
        <f>IFERROR(_xlfn.XLOOKUP($B:$B,Google!A:A,Google!C:C,),0)</f>
        <v>465.81</v>
      </c>
      <c r="E332" s="70" t="e">
        <f>SUMIF(#REF!,'Compilado 2023 (2)'!$B:$B,#REF!)</f>
        <v>#REF!</v>
      </c>
      <c r="F332" s="70">
        <v>0</v>
      </c>
      <c r="G332" s="70">
        <f ca="1">_xlfn.XLOOKUP(B:B,'E-mail'!A:A,'E-mail'!C:C)</f>
        <v>53.333333333333336</v>
      </c>
      <c r="H332" s="70">
        <f>IFERROR(_xlfn.XLOOKUP($B:$B,#REF!,#REF!),0)</f>
        <v>0</v>
      </c>
      <c r="I332" s="70">
        <v>0</v>
      </c>
      <c r="J332" s="70">
        <v>0</v>
      </c>
      <c r="K332" s="70">
        <v>0</v>
      </c>
      <c r="L332" s="59"/>
      <c r="M332" s="70">
        <v>0</v>
      </c>
      <c r="N332" s="70">
        <v>0</v>
      </c>
      <c r="O332" s="70">
        <v>0</v>
      </c>
      <c r="P332" s="38"/>
      <c r="Q332" s="40"/>
    </row>
    <row r="333" spans="1:17" s="2" customFormat="1" x14ac:dyDescent="0.2">
      <c r="A333" s="16" t="str">
        <f t="shared" si="10"/>
        <v>domingo</v>
      </c>
      <c r="B333" s="17">
        <f t="shared" si="11"/>
        <v>44892</v>
      </c>
      <c r="C333" s="52">
        <f>IFERROR(_xlfn.XLOOKUP($B:$B,'Estatísticos Mensais'!$A:$A,'Estatísticos Mensais'!C:C),0)</f>
        <v>105709.64</v>
      </c>
      <c r="D333" s="69">
        <f>IFERROR(_xlfn.XLOOKUP($B:$B,Google!A:A,Google!C:C,),0)</f>
        <v>574.32000000000005</v>
      </c>
      <c r="E333" s="70" t="e">
        <f>SUMIF(#REF!,'Compilado 2023 (2)'!$B:$B,#REF!)</f>
        <v>#REF!</v>
      </c>
      <c r="F333" s="70">
        <v>0</v>
      </c>
      <c r="G333" s="70">
        <f ca="1">_xlfn.XLOOKUP(B:B,'E-mail'!A:A,'E-mail'!C:C)</f>
        <v>53.333333333333336</v>
      </c>
      <c r="H333" s="70">
        <f>IFERROR(_xlfn.XLOOKUP($B:$B,#REF!,#REF!),0)</f>
        <v>0</v>
      </c>
      <c r="I333" s="70">
        <v>0</v>
      </c>
      <c r="J333" s="70">
        <v>0</v>
      </c>
      <c r="K333" s="70">
        <v>0</v>
      </c>
      <c r="L333" s="59"/>
      <c r="M333" s="70">
        <v>0</v>
      </c>
      <c r="N333" s="70">
        <v>0</v>
      </c>
      <c r="O333" s="70">
        <v>0</v>
      </c>
      <c r="P333" s="38"/>
      <c r="Q333" s="40"/>
    </row>
    <row r="334" spans="1:17" s="2" customFormat="1" x14ac:dyDescent="0.2">
      <c r="A334" s="16" t="str">
        <f t="shared" si="10"/>
        <v>segunda-feira</v>
      </c>
      <c r="B334" s="17">
        <f t="shared" si="11"/>
        <v>44893</v>
      </c>
      <c r="C334" s="52">
        <f>IFERROR(_xlfn.XLOOKUP($B:$B,'Estatísticos Mensais'!$A:$A,'Estatísticos Mensais'!C:C),0)</f>
        <v>128126.18</v>
      </c>
      <c r="D334" s="69">
        <f>IFERROR(_xlfn.XLOOKUP($B:$B,Google!A:A,Google!C:C,),0)</f>
        <v>237.04</v>
      </c>
      <c r="E334" s="70" t="e">
        <f>SUMIF(#REF!,'Compilado 2023 (2)'!$B:$B,#REF!)</f>
        <v>#REF!</v>
      </c>
      <c r="F334" s="70">
        <v>0</v>
      </c>
      <c r="G334" s="70">
        <f ca="1">_xlfn.XLOOKUP(B:B,'E-mail'!A:A,'E-mail'!C:C)</f>
        <v>53.333333333333336</v>
      </c>
      <c r="H334" s="70">
        <f>IFERROR(_xlfn.XLOOKUP($B:$B,#REF!,#REF!),0)</f>
        <v>0</v>
      </c>
      <c r="I334" s="70">
        <v>0</v>
      </c>
      <c r="J334" s="70">
        <v>0</v>
      </c>
      <c r="K334" s="70">
        <v>0</v>
      </c>
      <c r="L334" s="59"/>
      <c r="M334" s="70">
        <v>0</v>
      </c>
      <c r="N334" s="70">
        <v>0</v>
      </c>
      <c r="O334" s="70">
        <v>0</v>
      </c>
      <c r="P334" s="38"/>
      <c r="Q334" s="40"/>
    </row>
    <row r="335" spans="1:17" s="2" customFormat="1" x14ac:dyDescent="0.2">
      <c r="A335" s="16" t="str">
        <f t="shared" si="10"/>
        <v>terça-feira</v>
      </c>
      <c r="B335" s="17">
        <f t="shared" si="11"/>
        <v>44894</v>
      </c>
      <c r="C335" s="52">
        <f>IFERROR(_xlfn.XLOOKUP($B:$B,'Estatísticos Mensais'!$A:$A,'Estatísticos Mensais'!C:C),0)</f>
        <v>79598.100000000006</v>
      </c>
      <c r="D335" s="69">
        <f>IFERROR(_xlfn.XLOOKUP($B:$B,Google!A:A,Google!C:C,),0)</f>
        <v>251.5</v>
      </c>
      <c r="E335" s="70" t="e">
        <f>SUMIF(#REF!,'Compilado 2023 (2)'!$B:$B,#REF!)</f>
        <v>#REF!</v>
      </c>
      <c r="F335" s="70">
        <v>0</v>
      </c>
      <c r="G335" s="70">
        <f ca="1">_xlfn.XLOOKUP(B:B,'E-mail'!A:A,'E-mail'!C:C)</f>
        <v>53.333333333333336</v>
      </c>
      <c r="H335" s="70">
        <f>IFERROR(_xlfn.XLOOKUP($B:$B,#REF!,#REF!),0)</f>
        <v>0</v>
      </c>
      <c r="I335" s="70">
        <v>0</v>
      </c>
      <c r="J335" s="70">
        <v>0</v>
      </c>
      <c r="K335" s="70">
        <v>0</v>
      </c>
      <c r="L335" s="59"/>
      <c r="M335" s="70">
        <v>0</v>
      </c>
      <c r="N335" s="70">
        <v>0</v>
      </c>
      <c r="O335" s="70">
        <v>0</v>
      </c>
      <c r="P335" s="38"/>
      <c r="Q335" s="40"/>
    </row>
    <row r="336" spans="1:17" s="2" customFormat="1" x14ac:dyDescent="0.2">
      <c r="A336" s="16" t="str">
        <f t="shared" si="10"/>
        <v>quarta-feira</v>
      </c>
      <c r="B336" s="17">
        <f t="shared" si="11"/>
        <v>44895</v>
      </c>
      <c r="C336" s="52">
        <f>IFERROR(_xlfn.XLOOKUP($B:$B,'Estatísticos Mensais'!$A:$A,'Estatísticos Mensais'!C:C),0)</f>
        <v>72770.240000000005</v>
      </c>
      <c r="D336" s="69">
        <f>IFERROR(_xlfn.XLOOKUP($B:$B,Google!A:A,Google!C:C,),0)</f>
        <v>254.92</v>
      </c>
      <c r="E336" s="70" t="e">
        <f>SUMIF(#REF!,'Compilado 2023 (2)'!$B:$B,#REF!)</f>
        <v>#REF!</v>
      </c>
      <c r="F336" s="70">
        <v>0</v>
      </c>
      <c r="G336" s="70">
        <f ca="1">_xlfn.XLOOKUP(B:B,'E-mail'!A:A,'E-mail'!C:C)</f>
        <v>53.333333333333336</v>
      </c>
      <c r="H336" s="70">
        <f>IFERROR(_xlfn.XLOOKUP($B:$B,#REF!,#REF!),0)</f>
        <v>0</v>
      </c>
      <c r="I336" s="70">
        <v>0</v>
      </c>
      <c r="J336" s="70">
        <v>0</v>
      </c>
      <c r="K336" s="70">
        <v>0</v>
      </c>
      <c r="L336" s="59"/>
      <c r="M336" s="70">
        <v>0</v>
      </c>
      <c r="N336" s="70">
        <v>0</v>
      </c>
      <c r="O336" s="70">
        <v>0</v>
      </c>
      <c r="P336" s="38"/>
      <c r="Q336" s="40"/>
    </row>
    <row r="337" spans="1:17" s="2" customFormat="1" x14ac:dyDescent="0.2">
      <c r="A337" s="16" t="str">
        <f t="shared" si="10"/>
        <v>quinta-feira</v>
      </c>
      <c r="B337" s="17">
        <f t="shared" si="11"/>
        <v>44896</v>
      </c>
      <c r="C337" s="52">
        <f>IFERROR(_xlfn.XLOOKUP($B:$B,'Estatísticos Mensais'!$A:$A,'Estatísticos Mensais'!C:C),0)</f>
        <v>86486.31</v>
      </c>
      <c r="D337" s="69">
        <f>IFERROR(_xlfn.XLOOKUP($B:$B,Google!A:A,Google!C:C,),0)</f>
        <v>345.85</v>
      </c>
      <c r="E337" s="70" t="e">
        <f>SUMIF(#REF!,'Compilado 2023 (2)'!$B:$B,#REF!)</f>
        <v>#REF!</v>
      </c>
      <c r="F337" s="70">
        <v>0</v>
      </c>
      <c r="G337" s="70">
        <f ca="1">_xlfn.XLOOKUP(B:B,'E-mail'!A:A,'E-mail'!C:C)</f>
        <v>51.612903225806448</v>
      </c>
      <c r="H337" s="70">
        <f>IFERROR(_xlfn.XLOOKUP($B:$B,#REF!,#REF!),0)</f>
        <v>0</v>
      </c>
      <c r="I337" s="70">
        <v>0</v>
      </c>
      <c r="J337" s="70">
        <v>0</v>
      </c>
      <c r="K337" s="70">
        <v>0</v>
      </c>
      <c r="L337" s="59"/>
      <c r="M337" s="70">
        <v>0</v>
      </c>
      <c r="N337" s="70">
        <v>0</v>
      </c>
      <c r="O337" s="70">
        <v>0</v>
      </c>
      <c r="P337" s="38"/>
      <c r="Q337" s="40"/>
    </row>
    <row r="338" spans="1:17" s="2" customFormat="1" x14ac:dyDescent="0.2">
      <c r="A338" s="16" t="str">
        <f t="shared" si="10"/>
        <v>sexta-feira</v>
      </c>
      <c r="B338" s="17">
        <f t="shared" si="11"/>
        <v>44897</v>
      </c>
      <c r="C338" s="52">
        <f>IFERROR(_xlfn.XLOOKUP($B:$B,'Estatísticos Mensais'!$A:$A,'Estatísticos Mensais'!C:C),0)</f>
        <v>74098.990000000005</v>
      </c>
      <c r="D338" s="69">
        <f>IFERROR(_xlfn.XLOOKUP($B:$B,Google!A:A,Google!C:C,),0)</f>
        <v>331.21</v>
      </c>
      <c r="E338" s="70" t="e">
        <f>SUMIF(#REF!,'Compilado 2023 (2)'!$B:$B,#REF!)</f>
        <v>#REF!</v>
      </c>
      <c r="F338" s="70">
        <v>0</v>
      </c>
      <c r="G338" s="70">
        <f ca="1">_xlfn.XLOOKUP(B:B,'E-mail'!A:A,'E-mail'!C:C)</f>
        <v>51.612903225806448</v>
      </c>
      <c r="H338" s="70">
        <f>IFERROR(_xlfn.XLOOKUP($B:$B,#REF!,#REF!),0)</f>
        <v>0</v>
      </c>
      <c r="I338" s="70">
        <v>0</v>
      </c>
      <c r="J338" s="70">
        <v>0</v>
      </c>
      <c r="K338" s="70">
        <v>0</v>
      </c>
      <c r="L338" s="59"/>
      <c r="M338" s="70">
        <v>0</v>
      </c>
      <c r="N338" s="70">
        <v>0</v>
      </c>
      <c r="O338" s="70">
        <v>0</v>
      </c>
      <c r="P338" s="38"/>
      <c r="Q338" s="40"/>
    </row>
    <row r="339" spans="1:17" s="2" customFormat="1" x14ac:dyDescent="0.2">
      <c r="A339" s="16" t="str">
        <f t="shared" si="10"/>
        <v>sábado</v>
      </c>
      <c r="B339" s="17">
        <f t="shared" si="11"/>
        <v>44898</v>
      </c>
      <c r="C339" s="52">
        <f>IFERROR(_xlfn.XLOOKUP($B:$B,'Estatísticos Mensais'!$A:$A,'Estatísticos Mensais'!C:C),0)</f>
        <v>37735.550000000003</v>
      </c>
      <c r="D339" s="69">
        <f>IFERROR(_xlfn.XLOOKUP($B:$B,Google!A:A,Google!C:C,),0)</f>
        <v>329.84</v>
      </c>
      <c r="E339" s="70" t="e">
        <f>SUMIF(#REF!,'Compilado 2023 (2)'!$B:$B,#REF!)</f>
        <v>#REF!</v>
      </c>
      <c r="F339" s="70">
        <v>0</v>
      </c>
      <c r="G339" s="70">
        <f ca="1">_xlfn.XLOOKUP(B:B,'E-mail'!A:A,'E-mail'!C:C)</f>
        <v>51.612903225806448</v>
      </c>
      <c r="H339" s="70">
        <f>IFERROR(_xlfn.XLOOKUP($B:$B,#REF!,#REF!),0)</f>
        <v>0</v>
      </c>
      <c r="I339" s="70">
        <v>0</v>
      </c>
      <c r="J339" s="70">
        <v>0</v>
      </c>
      <c r="K339" s="70">
        <v>0</v>
      </c>
      <c r="L339" s="59"/>
      <c r="M339" s="70">
        <v>0</v>
      </c>
      <c r="N339" s="70">
        <v>0</v>
      </c>
      <c r="O339" s="70">
        <v>0</v>
      </c>
      <c r="P339" s="38"/>
      <c r="Q339" s="40"/>
    </row>
    <row r="340" spans="1:17" s="2" customFormat="1" x14ac:dyDescent="0.2">
      <c r="A340" s="16" t="str">
        <f t="shared" si="10"/>
        <v>domingo</v>
      </c>
      <c r="B340" s="17">
        <f t="shared" si="11"/>
        <v>44899</v>
      </c>
      <c r="C340" s="52">
        <f>IFERROR(_xlfn.XLOOKUP($B:$B,'Estatísticos Mensais'!$A:$A,'Estatísticos Mensais'!C:C),0)</f>
        <v>39635.199999999997</v>
      </c>
      <c r="D340" s="69">
        <f>IFERROR(_xlfn.XLOOKUP($B:$B,Google!A:A,Google!C:C,),0)</f>
        <v>341.13</v>
      </c>
      <c r="E340" s="70" t="e">
        <f>SUMIF(#REF!,'Compilado 2023 (2)'!$B:$B,#REF!)</f>
        <v>#REF!</v>
      </c>
      <c r="F340" s="70">
        <v>0</v>
      </c>
      <c r="G340" s="70">
        <f ca="1">_xlfn.XLOOKUP(B:B,'E-mail'!A:A,'E-mail'!C:C)</f>
        <v>51.612903225806448</v>
      </c>
      <c r="H340" s="70">
        <f>IFERROR(_xlfn.XLOOKUP($B:$B,#REF!,#REF!),0)</f>
        <v>0</v>
      </c>
      <c r="I340" s="70">
        <v>0</v>
      </c>
      <c r="J340" s="70">
        <v>0</v>
      </c>
      <c r="K340" s="70">
        <v>0</v>
      </c>
      <c r="L340" s="59"/>
      <c r="M340" s="70">
        <v>0</v>
      </c>
      <c r="N340" s="70">
        <v>0</v>
      </c>
      <c r="O340" s="70">
        <v>0</v>
      </c>
      <c r="P340" s="38"/>
      <c r="Q340" s="40"/>
    </row>
    <row r="341" spans="1:17" s="2" customFormat="1" x14ac:dyDescent="0.2">
      <c r="A341" s="16" t="str">
        <f t="shared" si="10"/>
        <v>segunda-feira</v>
      </c>
      <c r="B341" s="17">
        <f t="shared" si="11"/>
        <v>44900</v>
      </c>
      <c r="C341" s="52">
        <f>IFERROR(_xlfn.XLOOKUP($B:$B,'Estatísticos Mensais'!$A:$A,'Estatísticos Mensais'!C:C),0)</f>
        <v>148777.51</v>
      </c>
      <c r="D341" s="69">
        <f>IFERROR(_xlfn.XLOOKUP($B:$B,Google!A:A,Google!C:C,),0)</f>
        <v>356.86</v>
      </c>
      <c r="E341" s="70" t="e">
        <f>SUMIF(#REF!,'Compilado 2023 (2)'!$B:$B,#REF!)</f>
        <v>#REF!</v>
      </c>
      <c r="F341" s="70">
        <v>0</v>
      </c>
      <c r="G341" s="70">
        <f ca="1">_xlfn.XLOOKUP(B:B,'E-mail'!A:A,'E-mail'!C:C)</f>
        <v>51.612903225806448</v>
      </c>
      <c r="H341" s="70">
        <f>IFERROR(_xlfn.XLOOKUP($B:$B,#REF!,#REF!),0)</f>
        <v>0</v>
      </c>
      <c r="I341" s="70">
        <v>0</v>
      </c>
      <c r="J341" s="70">
        <v>0</v>
      </c>
      <c r="K341" s="70">
        <v>0</v>
      </c>
      <c r="L341" s="59"/>
      <c r="M341" s="70">
        <v>0</v>
      </c>
      <c r="N341" s="70">
        <v>0</v>
      </c>
      <c r="O341" s="70">
        <v>0</v>
      </c>
      <c r="P341" s="38"/>
      <c r="Q341" s="40"/>
    </row>
    <row r="342" spans="1:17" s="2" customFormat="1" x14ac:dyDescent="0.2">
      <c r="A342" s="16" t="str">
        <f t="shared" si="10"/>
        <v>terça-feira</v>
      </c>
      <c r="B342" s="17">
        <f t="shared" si="11"/>
        <v>44901</v>
      </c>
      <c r="C342" s="52">
        <f>IFERROR(_xlfn.XLOOKUP($B:$B,'Estatísticos Mensais'!$A:$A,'Estatísticos Mensais'!C:C),0)</f>
        <v>81996.63</v>
      </c>
      <c r="D342" s="69">
        <f>IFERROR(_xlfn.XLOOKUP($B:$B,Google!A:A,Google!C:C,),0)</f>
        <v>497.52</v>
      </c>
      <c r="E342" s="70" t="e">
        <f>SUMIF(#REF!,'Compilado 2023 (2)'!$B:$B,#REF!)</f>
        <v>#REF!</v>
      </c>
      <c r="F342" s="70">
        <v>0</v>
      </c>
      <c r="G342" s="70">
        <f ca="1">_xlfn.XLOOKUP(B:B,'E-mail'!A:A,'E-mail'!C:C)</f>
        <v>51.612903225806448</v>
      </c>
      <c r="H342" s="70">
        <f>IFERROR(_xlfn.XLOOKUP($B:$B,#REF!,#REF!),0)</f>
        <v>0</v>
      </c>
      <c r="I342" s="70">
        <v>0</v>
      </c>
      <c r="J342" s="70">
        <v>0</v>
      </c>
      <c r="K342" s="70">
        <v>0</v>
      </c>
      <c r="L342" s="59"/>
      <c r="M342" s="70">
        <v>0</v>
      </c>
      <c r="N342" s="70">
        <v>0</v>
      </c>
      <c r="O342" s="70">
        <v>0</v>
      </c>
      <c r="P342" s="38"/>
      <c r="Q342" s="40"/>
    </row>
    <row r="343" spans="1:17" s="2" customFormat="1" x14ac:dyDescent="0.2">
      <c r="A343" s="16" t="str">
        <f t="shared" si="10"/>
        <v>quarta-feira</v>
      </c>
      <c r="B343" s="17">
        <f t="shared" si="11"/>
        <v>44902</v>
      </c>
      <c r="C343" s="52">
        <f>IFERROR(_xlfn.XLOOKUP($B:$B,'Estatísticos Mensais'!$A:$A,'Estatísticos Mensais'!C:C),0)</f>
        <v>112706.6</v>
      </c>
      <c r="D343" s="69">
        <f>IFERROR(_xlfn.XLOOKUP($B:$B,Google!A:A,Google!C:C,),0)</f>
        <v>716.96</v>
      </c>
      <c r="E343" s="70" t="e">
        <f>SUMIF(#REF!,'Compilado 2023 (2)'!$B:$B,#REF!)</f>
        <v>#REF!</v>
      </c>
      <c r="F343" s="70">
        <v>0</v>
      </c>
      <c r="G343" s="70">
        <f ca="1">_xlfn.XLOOKUP(B:B,'E-mail'!A:A,'E-mail'!C:C)</f>
        <v>51.612903225806448</v>
      </c>
      <c r="H343" s="70">
        <f>IFERROR(_xlfn.XLOOKUP($B:$B,#REF!,#REF!),0)</f>
        <v>0</v>
      </c>
      <c r="I343" s="70">
        <v>0</v>
      </c>
      <c r="J343" s="70">
        <v>0</v>
      </c>
      <c r="K343" s="70">
        <v>0</v>
      </c>
      <c r="L343" s="59"/>
      <c r="M343" s="70">
        <v>0</v>
      </c>
      <c r="N343" s="70">
        <v>0</v>
      </c>
      <c r="O343" s="70">
        <v>0</v>
      </c>
      <c r="P343" s="38"/>
      <c r="Q343" s="40"/>
    </row>
    <row r="344" spans="1:17" s="2" customFormat="1" x14ac:dyDescent="0.2">
      <c r="A344" s="16" t="str">
        <f t="shared" si="10"/>
        <v>quinta-feira</v>
      </c>
      <c r="B344" s="17">
        <f t="shared" si="11"/>
        <v>44903</v>
      </c>
      <c r="C344" s="52">
        <f>IFERROR(_xlfn.XLOOKUP($B:$B,'Estatísticos Mensais'!$A:$A,'Estatísticos Mensais'!C:C),0)</f>
        <v>97402.85</v>
      </c>
      <c r="D344" s="69">
        <f>IFERROR(_xlfn.XLOOKUP($B:$B,Google!A:A,Google!C:C,),0)</f>
        <v>921.41</v>
      </c>
      <c r="E344" s="70" t="e">
        <f>SUMIF(#REF!,'Compilado 2023 (2)'!$B:$B,#REF!)</f>
        <v>#REF!</v>
      </c>
      <c r="F344" s="70">
        <v>0</v>
      </c>
      <c r="G344" s="70">
        <f ca="1">_xlfn.XLOOKUP(B:B,'E-mail'!A:A,'E-mail'!C:C)</f>
        <v>51.612903225806448</v>
      </c>
      <c r="H344" s="70">
        <f>IFERROR(_xlfn.XLOOKUP($B:$B,#REF!,#REF!),0)</f>
        <v>0</v>
      </c>
      <c r="I344" s="70">
        <v>0</v>
      </c>
      <c r="J344" s="70">
        <v>0</v>
      </c>
      <c r="K344" s="70">
        <v>0</v>
      </c>
      <c r="L344" s="59"/>
      <c r="M344" s="70">
        <v>0</v>
      </c>
      <c r="N344" s="70">
        <v>0</v>
      </c>
      <c r="O344" s="70">
        <v>0</v>
      </c>
      <c r="P344" s="38"/>
      <c r="Q344" s="40"/>
    </row>
    <row r="345" spans="1:17" s="2" customFormat="1" x14ac:dyDescent="0.2">
      <c r="A345" s="16" t="str">
        <f t="shared" si="10"/>
        <v>sexta-feira</v>
      </c>
      <c r="B345" s="17">
        <f t="shared" si="11"/>
        <v>44904</v>
      </c>
      <c r="C345" s="52">
        <f>IFERROR(_xlfn.XLOOKUP($B:$B,'Estatísticos Mensais'!$A:$A,'Estatísticos Mensais'!C:C),0)</f>
        <v>72230.45</v>
      </c>
      <c r="D345" s="69">
        <f>IFERROR(_xlfn.XLOOKUP($B:$B,Google!A:A,Google!C:C,),0)</f>
        <v>557.97</v>
      </c>
      <c r="E345" s="70" t="e">
        <f>SUMIF(#REF!,'Compilado 2023 (2)'!$B:$B,#REF!)</f>
        <v>#REF!</v>
      </c>
      <c r="F345" s="70">
        <v>0</v>
      </c>
      <c r="G345" s="70">
        <f ca="1">_xlfn.XLOOKUP(B:B,'E-mail'!A:A,'E-mail'!C:C)</f>
        <v>51.612903225806448</v>
      </c>
      <c r="H345" s="70">
        <f>IFERROR(_xlfn.XLOOKUP($B:$B,#REF!,#REF!),0)</f>
        <v>0</v>
      </c>
      <c r="I345" s="70">
        <v>0</v>
      </c>
      <c r="J345" s="70">
        <v>0</v>
      </c>
      <c r="K345" s="70">
        <v>0</v>
      </c>
      <c r="L345" s="59"/>
      <c r="M345" s="70">
        <v>0</v>
      </c>
      <c r="N345" s="70">
        <v>0</v>
      </c>
      <c r="O345" s="70">
        <v>0</v>
      </c>
      <c r="P345" s="38"/>
      <c r="Q345" s="40"/>
    </row>
    <row r="346" spans="1:17" s="2" customFormat="1" x14ac:dyDescent="0.2">
      <c r="A346" s="16" t="str">
        <f t="shared" si="10"/>
        <v>sábado</v>
      </c>
      <c r="B346" s="17">
        <f t="shared" si="11"/>
        <v>44905</v>
      </c>
      <c r="C346" s="52">
        <f>IFERROR(_xlfn.XLOOKUP($B:$B,'Estatísticos Mensais'!$A:$A,'Estatísticos Mensais'!C:C),0)</f>
        <v>55323.9</v>
      </c>
      <c r="D346" s="69">
        <f>IFERROR(_xlfn.XLOOKUP($B:$B,Google!A:A,Google!C:C,),0)</f>
        <v>568.98</v>
      </c>
      <c r="E346" s="70" t="e">
        <f>SUMIF(#REF!,'Compilado 2023 (2)'!$B:$B,#REF!)</f>
        <v>#REF!</v>
      </c>
      <c r="F346" s="70">
        <v>0</v>
      </c>
      <c r="G346" s="70">
        <f ca="1">_xlfn.XLOOKUP(B:B,'E-mail'!A:A,'E-mail'!C:C)</f>
        <v>51.612903225806448</v>
      </c>
      <c r="H346" s="70">
        <f>IFERROR(_xlfn.XLOOKUP($B:$B,#REF!,#REF!),0)</f>
        <v>0</v>
      </c>
      <c r="I346" s="70">
        <v>0</v>
      </c>
      <c r="J346" s="70">
        <v>0</v>
      </c>
      <c r="K346" s="70">
        <v>0</v>
      </c>
      <c r="L346" s="59"/>
      <c r="M346" s="70">
        <v>0</v>
      </c>
      <c r="N346" s="70">
        <v>0</v>
      </c>
      <c r="O346" s="70">
        <v>0</v>
      </c>
      <c r="P346" s="38"/>
      <c r="Q346" s="40"/>
    </row>
    <row r="347" spans="1:17" s="2" customFormat="1" x14ac:dyDescent="0.2">
      <c r="A347" s="16" t="str">
        <f t="shared" si="10"/>
        <v>domingo</v>
      </c>
      <c r="B347" s="17">
        <f t="shared" si="11"/>
        <v>44906</v>
      </c>
      <c r="C347" s="52">
        <f>IFERROR(_xlfn.XLOOKUP($B:$B,'Estatísticos Mensais'!$A:$A,'Estatísticos Mensais'!C:C),0)</f>
        <v>38946.699999999997</v>
      </c>
      <c r="D347" s="69">
        <f>IFERROR(_xlfn.XLOOKUP($B:$B,Google!A:A,Google!C:C,),0)</f>
        <v>565.07000000000005</v>
      </c>
      <c r="E347" s="70" t="e">
        <f>SUMIF(#REF!,'Compilado 2023 (2)'!$B:$B,#REF!)</f>
        <v>#REF!</v>
      </c>
      <c r="F347" s="70">
        <v>0</v>
      </c>
      <c r="G347" s="70">
        <f ca="1">_xlfn.XLOOKUP(B:B,'E-mail'!A:A,'E-mail'!C:C)</f>
        <v>51.612903225806448</v>
      </c>
      <c r="H347" s="70">
        <f>IFERROR(_xlfn.XLOOKUP($B:$B,#REF!,#REF!),0)</f>
        <v>0</v>
      </c>
      <c r="I347" s="70">
        <v>0</v>
      </c>
      <c r="J347" s="70">
        <v>0</v>
      </c>
      <c r="K347" s="70">
        <v>0</v>
      </c>
      <c r="L347" s="59"/>
      <c r="M347" s="70">
        <v>0</v>
      </c>
      <c r="N347" s="70">
        <v>0</v>
      </c>
      <c r="O347" s="70">
        <v>0</v>
      </c>
      <c r="P347" s="38"/>
      <c r="Q347" s="40"/>
    </row>
    <row r="348" spans="1:17" s="2" customFormat="1" x14ac:dyDescent="0.2">
      <c r="A348" s="16" t="str">
        <f t="shared" si="10"/>
        <v>segunda-feira</v>
      </c>
      <c r="B348" s="17">
        <f t="shared" si="11"/>
        <v>44907</v>
      </c>
      <c r="C348" s="52">
        <f>IFERROR(_xlfn.XLOOKUP($B:$B,'Estatísticos Mensais'!$A:$A,'Estatísticos Mensais'!C:C),0)</f>
        <v>122650.9</v>
      </c>
      <c r="D348" s="69">
        <f>IFERROR(_xlfn.XLOOKUP($B:$B,Google!A:A,Google!C:C,),0)</f>
        <v>994.9</v>
      </c>
      <c r="E348" s="70" t="e">
        <f>SUMIF(#REF!,'Compilado 2023 (2)'!$B:$B,#REF!)</f>
        <v>#REF!</v>
      </c>
      <c r="F348" s="70">
        <v>0</v>
      </c>
      <c r="G348" s="70">
        <f ca="1">_xlfn.XLOOKUP(B:B,'E-mail'!A:A,'E-mail'!C:C)</f>
        <v>51.612903225806448</v>
      </c>
      <c r="H348" s="70">
        <f>IFERROR(_xlfn.XLOOKUP($B:$B,#REF!,#REF!),0)</f>
        <v>0</v>
      </c>
      <c r="I348" s="70">
        <v>0</v>
      </c>
      <c r="J348" s="70">
        <v>0</v>
      </c>
      <c r="K348" s="70">
        <v>0</v>
      </c>
      <c r="L348" s="59"/>
      <c r="M348" s="70">
        <v>0</v>
      </c>
      <c r="N348" s="70">
        <v>0</v>
      </c>
      <c r="O348" s="70">
        <v>0</v>
      </c>
      <c r="P348" s="38"/>
      <c r="Q348" s="40"/>
    </row>
    <row r="349" spans="1:17" s="2" customFormat="1" x14ac:dyDescent="0.2">
      <c r="A349" s="16" t="str">
        <f t="shared" si="10"/>
        <v>terça-feira</v>
      </c>
      <c r="B349" s="17">
        <f t="shared" si="11"/>
        <v>44908</v>
      </c>
      <c r="C349" s="52">
        <f>IFERROR(_xlfn.XLOOKUP($B:$B,'Estatísticos Mensais'!$A:$A,'Estatísticos Mensais'!C:C),0)</f>
        <v>151315.48000000001</v>
      </c>
      <c r="D349" s="69">
        <f>IFERROR(_xlfn.XLOOKUP($B:$B,Google!A:A,Google!C:C,),0)</f>
        <v>938.02</v>
      </c>
      <c r="E349" s="70" t="e">
        <f>SUMIF(#REF!,'Compilado 2023 (2)'!$B:$B,#REF!)</f>
        <v>#REF!</v>
      </c>
      <c r="F349" s="70">
        <v>0</v>
      </c>
      <c r="G349" s="70">
        <f ca="1">_xlfn.XLOOKUP(B:B,'E-mail'!A:A,'E-mail'!C:C)</f>
        <v>51.612903225806448</v>
      </c>
      <c r="H349" s="70">
        <f>IFERROR(_xlfn.XLOOKUP($B:$B,#REF!,#REF!),0)</f>
        <v>0</v>
      </c>
      <c r="I349" s="70">
        <v>0</v>
      </c>
      <c r="J349" s="70">
        <v>0</v>
      </c>
      <c r="K349" s="70">
        <v>0</v>
      </c>
      <c r="L349" s="59"/>
      <c r="M349" s="70">
        <v>0</v>
      </c>
      <c r="N349" s="70">
        <v>0</v>
      </c>
      <c r="O349" s="70">
        <v>0</v>
      </c>
      <c r="P349" s="38"/>
      <c r="Q349" s="40"/>
    </row>
    <row r="350" spans="1:17" s="2" customFormat="1" x14ac:dyDescent="0.2">
      <c r="A350" s="16" t="str">
        <f t="shared" si="10"/>
        <v>quarta-feira</v>
      </c>
      <c r="B350" s="17">
        <f t="shared" si="11"/>
        <v>44909</v>
      </c>
      <c r="C350" s="52">
        <f>IFERROR(_xlfn.XLOOKUP($B:$B,'Estatísticos Mensais'!$A:$A,'Estatísticos Mensais'!C:C),0)</f>
        <v>139667.01999999999</v>
      </c>
      <c r="D350" s="69">
        <f>IFERROR(_xlfn.XLOOKUP($B:$B,Google!A:A,Google!C:C,),0)</f>
        <v>840.34</v>
      </c>
      <c r="E350" s="70" t="e">
        <f>SUMIF(#REF!,'Compilado 2023 (2)'!$B:$B,#REF!)</f>
        <v>#REF!</v>
      </c>
      <c r="F350" s="70">
        <v>0</v>
      </c>
      <c r="G350" s="70">
        <f ca="1">_xlfn.XLOOKUP(B:B,'E-mail'!A:A,'E-mail'!C:C)</f>
        <v>51.612903225806448</v>
      </c>
      <c r="H350" s="70">
        <f>IFERROR(_xlfn.XLOOKUP($B:$B,#REF!,#REF!),0)</f>
        <v>0</v>
      </c>
      <c r="I350" s="70">
        <v>0</v>
      </c>
      <c r="J350" s="70">
        <v>0</v>
      </c>
      <c r="K350" s="70">
        <v>0</v>
      </c>
      <c r="L350" s="59"/>
      <c r="M350" s="70">
        <v>0</v>
      </c>
      <c r="N350" s="70">
        <v>0</v>
      </c>
      <c r="O350" s="70">
        <v>0</v>
      </c>
      <c r="P350" s="38"/>
      <c r="Q350" s="40"/>
    </row>
    <row r="351" spans="1:17" s="2" customFormat="1" x14ac:dyDescent="0.2">
      <c r="A351" s="16" t="str">
        <f t="shared" si="10"/>
        <v>quinta-feira</v>
      </c>
      <c r="B351" s="17">
        <f t="shared" si="11"/>
        <v>44910</v>
      </c>
      <c r="C351" s="52">
        <f>IFERROR(_xlfn.XLOOKUP($B:$B,'Estatísticos Mensais'!$A:$A,'Estatísticos Mensais'!C:C),0)</f>
        <v>140183.35999999999</v>
      </c>
      <c r="D351" s="69">
        <f>IFERROR(_xlfn.XLOOKUP($B:$B,Google!A:A,Google!C:C,),0)</f>
        <v>792.91</v>
      </c>
      <c r="E351" s="70" t="e">
        <f>SUMIF(#REF!,'Compilado 2023 (2)'!$B:$B,#REF!)</f>
        <v>#REF!</v>
      </c>
      <c r="F351" s="70">
        <v>0</v>
      </c>
      <c r="G351" s="70">
        <f ca="1">_xlfn.XLOOKUP(B:B,'E-mail'!A:A,'E-mail'!C:C)</f>
        <v>51.612903225806448</v>
      </c>
      <c r="H351" s="70">
        <f>IFERROR(_xlfn.XLOOKUP($B:$B,#REF!,#REF!),0)</f>
        <v>0</v>
      </c>
      <c r="I351" s="70">
        <v>0</v>
      </c>
      <c r="J351" s="70">
        <v>0</v>
      </c>
      <c r="K351" s="70">
        <v>0</v>
      </c>
      <c r="L351" s="59"/>
      <c r="M351" s="70">
        <v>0</v>
      </c>
      <c r="N351" s="70">
        <v>0</v>
      </c>
      <c r="O351" s="70">
        <v>0</v>
      </c>
      <c r="P351" s="38"/>
      <c r="Q351" s="40"/>
    </row>
    <row r="352" spans="1:17" s="2" customFormat="1" x14ac:dyDescent="0.2">
      <c r="A352" s="16" t="str">
        <f t="shared" si="10"/>
        <v>sexta-feira</v>
      </c>
      <c r="B352" s="17">
        <f t="shared" si="11"/>
        <v>44911</v>
      </c>
      <c r="C352" s="52">
        <f>IFERROR(_xlfn.XLOOKUP($B:$B,'Estatísticos Mensais'!$A:$A,'Estatísticos Mensais'!C:C),0)</f>
        <v>116080.44</v>
      </c>
      <c r="D352" s="69">
        <f>IFERROR(_xlfn.XLOOKUP($B:$B,Google!A:A,Google!C:C,),0)</f>
        <v>700.56</v>
      </c>
      <c r="E352" s="70" t="e">
        <f>SUMIF(#REF!,'Compilado 2023 (2)'!$B:$B,#REF!)</f>
        <v>#REF!</v>
      </c>
      <c r="F352" s="70">
        <v>0</v>
      </c>
      <c r="G352" s="70">
        <f ca="1">_xlfn.XLOOKUP(B:B,'E-mail'!A:A,'E-mail'!C:C)</f>
        <v>51.612903225806448</v>
      </c>
      <c r="H352" s="70">
        <f>IFERROR(_xlfn.XLOOKUP($B:$B,#REF!,#REF!),0)</f>
        <v>0</v>
      </c>
      <c r="I352" s="70">
        <v>0</v>
      </c>
      <c r="J352" s="70">
        <v>0</v>
      </c>
      <c r="K352" s="70">
        <v>0</v>
      </c>
      <c r="L352" s="59"/>
      <c r="M352" s="70">
        <v>0</v>
      </c>
      <c r="N352" s="70">
        <v>0</v>
      </c>
      <c r="O352" s="70">
        <v>0</v>
      </c>
      <c r="P352" s="38"/>
      <c r="Q352" s="40"/>
    </row>
    <row r="353" spans="1:17" s="2" customFormat="1" x14ac:dyDescent="0.2">
      <c r="A353" s="16" t="str">
        <f t="shared" si="10"/>
        <v>sábado</v>
      </c>
      <c r="B353" s="17">
        <f t="shared" si="11"/>
        <v>44912</v>
      </c>
      <c r="C353" s="52">
        <f>IFERROR(_xlfn.XLOOKUP($B:$B,'Estatísticos Mensais'!$A:$A,'Estatísticos Mensais'!C:C),0)</f>
        <v>89484.36</v>
      </c>
      <c r="D353" s="69">
        <f>IFERROR(_xlfn.XLOOKUP($B:$B,Google!A:A,Google!C:C,),0)</f>
        <v>502.86</v>
      </c>
      <c r="E353" s="70" t="e">
        <f>SUMIF(#REF!,'Compilado 2023 (2)'!$B:$B,#REF!)</f>
        <v>#REF!</v>
      </c>
      <c r="F353" s="70">
        <v>0</v>
      </c>
      <c r="G353" s="70">
        <f ca="1">_xlfn.XLOOKUP(B:B,'E-mail'!A:A,'E-mail'!C:C)</f>
        <v>51.612903225806448</v>
      </c>
      <c r="H353" s="70">
        <f>IFERROR(_xlfn.XLOOKUP($B:$B,#REF!,#REF!),0)</f>
        <v>0</v>
      </c>
      <c r="I353" s="70">
        <v>0</v>
      </c>
      <c r="J353" s="70">
        <v>0</v>
      </c>
      <c r="K353" s="70">
        <v>0</v>
      </c>
      <c r="L353" s="59"/>
      <c r="M353" s="70">
        <v>0</v>
      </c>
      <c r="N353" s="70">
        <v>0</v>
      </c>
      <c r="O353" s="70">
        <v>0</v>
      </c>
      <c r="P353" s="38"/>
      <c r="Q353" s="40"/>
    </row>
    <row r="354" spans="1:17" s="2" customFormat="1" x14ac:dyDescent="0.2">
      <c r="A354" s="16" t="str">
        <f t="shared" si="10"/>
        <v>domingo</v>
      </c>
      <c r="B354" s="17">
        <f t="shared" si="11"/>
        <v>44913</v>
      </c>
      <c r="C354" s="52">
        <f>IFERROR(_xlfn.XLOOKUP($B:$B,'Estatísticos Mensais'!$A:$A,'Estatísticos Mensais'!C:C),0)</f>
        <v>65816.350000000006</v>
      </c>
      <c r="D354" s="69">
        <f>IFERROR(_xlfn.XLOOKUP($B:$B,Google!A:A,Google!C:C,),0)</f>
        <v>549.71</v>
      </c>
      <c r="E354" s="70" t="e">
        <f>SUMIF(#REF!,'Compilado 2023 (2)'!$B:$B,#REF!)</f>
        <v>#REF!</v>
      </c>
      <c r="F354" s="70">
        <v>0</v>
      </c>
      <c r="G354" s="70">
        <f ca="1">_xlfn.XLOOKUP(B:B,'E-mail'!A:A,'E-mail'!C:C)</f>
        <v>51.612903225806448</v>
      </c>
      <c r="H354" s="70">
        <f>IFERROR(_xlfn.XLOOKUP($B:$B,#REF!,#REF!),0)</f>
        <v>0</v>
      </c>
      <c r="I354" s="70">
        <v>0</v>
      </c>
      <c r="J354" s="70">
        <v>0</v>
      </c>
      <c r="K354" s="70">
        <v>0</v>
      </c>
      <c r="L354" s="59"/>
      <c r="M354" s="70">
        <v>0</v>
      </c>
      <c r="N354" s="70">
        <v>0</v>
      </c>
      <c r="O354" s="70">
        <v>0</v>
      </c>
      <c r="P354" s="38"/>
      <c r="Q354" s="40"/>
    </row>
    <row r="355" spans="1:17" s="2" customFormat="1" x14ac:dyDescent="0.2">
      <c r="A355" s="16" t="str">
        <f t="shared" si="10"/>
        <v>segunda-feira</v>
      </c>
      <c r="B355" s="17">
        <f t="shared" si="11"/>
        <v>44914</v>
      </c>
      <c r="C355" s="52">
        <f>IFERROR(_xlfn.XLOOKUP($B:$B,'Estatísticos Mensais'!$A:$A,'Estatísticos Mensais'!C:C),0)</f>
        <v>213390.42</v>
      </c>
      <c r="D355" s="69">
        <f>IFERROR(_xlfn.XLOOKUP($B:$B,Google!A:A,Google!C:C,),0)</f>
        <v>1090.8900000000001</v>
      </c>
      <c r="E355" s="70" t="e">
        <f>SUMIF(#REF!,'Compilado 2023 (2)'!$B:$B,#REF!)</f>
        <v>#REF!</v>
      </c>
      <c r="F355" s="70">
        <v>0</v>
      </c>
      <c r="G355" s="70">
        <f ca="1">_xlfn.XLOOKUP(B:B,'E-mail'!A:A,'E-mail'!C:C)</f>
        <v>51.612903225806448</v>
      </c>
      <c r="H355" s="70">
        <f>IFERROR(_xlfn.XLOOKUP($B:$B,#REF!,#REF!),0)</f>
        <v>0</v>
      </c>
      <c r="I355" s="70">
        <v>0</v>
      </c>
      <c r="J355" s="70">
        <v>0</v>
      </c>
      <c r="K355" s="70">
        <v>0</v>
      </c>
      <c r="L355" s="59"/>
      <c r="M355" s="70">
        <v>0</v>
      </c>
      <c r="N355" s="70">
        <v>0</v>
      </c>
      <c r="O355" s="70">
        <v>0</v>
      </c>
      <c r="P355" s="38"/>
      <c r="Q355" s="40"/>
    </row>
    <row r="356" spans="1:17" s="2" customFormat="1" x14ac:dyDescent="0.2">
      <c r="A356" s="16" t="str">
        <f t="shared" si="10"/>
        <v>terça-feira</v>
      </c>
      <c r="B356" s="17">
        <f t="shared" si="11"/>
        <v>44915</v>
      </c>
      <c r="C356" s="52">
        <f>IFERROR(_xlfn.XLOOKUP($B:$B,'Estatísticos Mensais'!$A:$A,'Estatísticos Mensais'!C:C),0)</f>
        <v>196362.28</v>
      </c>
      <c r="D356" s="69">
        <f>IFERROR(_xlfn.XLOOKUP($B:$B,Google!A:A,Google!C:C,),0)</f>
        <v>1149.32</v>
      </c>
      <c r="E356" s="70" t="e">
        <f>SUMIF(#REF!,'Compilado 2023 (2)'!$B:$B,#REF!)</f>
        <v>#REF!</v>
      </c>
      <c r="F356" s="70">
        <v>0</v>
      </c>
      <c r="G356" s="70">
        <f ca="1">_xlfn.XLOOKUP(B:B,'E-mail'!A:A,'E-mail'!C:C)</f>
        <v>51.612903225806448</v>
      </c>
      <c r="H356" s="70">
        <f>IFERROR(_xlfn.XLOOKUP($B:$B,#REF!,#REF!),0)</f>
        <v>0</v>
      </c>
      <c r="I356" s="70">
        <v>0</v>
      </c>
      <c r="J356" s="70">
        <v>0</v>
      </c>
      <c r="K356" s="70">
        <v>0</v>
      </c>
      <c r="L356" s="59"/>
      <c r="M356" s="70">
        <v>0</v>
      </c>
      <c r="N356" s="70">
        <v>0</v>
      </c>
      <c r="O356" s="70">
        <v>0</v>
      </c>
      <c r="P356" s="38"/>
      <c r="Q356" s="40"/>
    </row>
    <row r="357" spans="1:17" s="2" customFormat="1" x14ac:dyDescent="0.2">
      <c r="A357" s="16" t="str">
        <f t="shared" si="10"/>
        <v>quarta-feira</v>
      </c>
      <c r="B357" s="17">
        <f t="shared" si="11"/>
        <v>44916</v>
      </c>
      <c r="C357" s="52">
        <f>IFERROR(_xlfn.XLOOKUP($B:$B,'Estatísticos Mensais'!$A:$A,'Estatísticos Mensais'!C:C),0)</f>
        <v>208358.09</v>
      </c>
      <c r="D357" s="69">
        <f>IFERROR(_xlfn.XLOOKUP($B:$B,Google!A:A,Google!C:C,),0)</f>
        <v>1403.22</v>
      </c>
      <c r="E357" s="70" t="e">
        <f>SUMIF(#REF!,'Compilado 2023 (2)'!$B:$B,#REF!)</f>
        <v>#REF!</v>
      </c>
      <c r="F357" s="70">
        <v>0</v>
      </c>
      <c r="G357" s="70">
        <f ca="1">_xlfn.XLOOKUP(B:B,'E-mail'!A:A,'E-mail'!C:C)</f>
        <v>51.612903225806448</v>
      </c>
      <c r="H357" s="70">
        <f>IFERROR(_xlfn.XLOOKUP($B:$B,#REF!,#REF!),0)</f>
        <v>0</v>
      </c>
      <c r="I357" s="70">
        <v>0</v>
      </c>
      <c r="J357" s="70">
        <v>0</v>
      </c>
      <c r="K357" s="70">
        <v>0</v>
      </c>
      <c r="L357" s="59"/>
      <c r="M357" s="70">
        <v>0</v>
      </c>
      <c r="N357" s="70">
        <v>0</v>
      </c>
      <c r="O357" s="70">
        <v>0</v>
      </c>
      <c r="P357" s="38"/>
      <c r="Q357" s="40"/>
    </row>
    <row r="358" spans="1:17" s="2" customFormat="1" x14ac:dyDescent="0.2">
      <c r="A358" s="16" t="str">
        <f t="shared" si="10"/>
        <v>quinta-feira</v>
      </c>
      <c r="B358" s="17">
        <f t="shared" si="11"/>
        <v>44917</v>
      </c>
      <c r="C358" s="52">
        <f>IFERROR(_xlfn.XLOOKUP($B:$B,'Estatísticos Mensais'!$A:$A,'Estatísticos Mensais'!C:C),0)</f>
        <v>235161.69</v>
      </c>
      <c r="D358" s="69">
        <f>IFERROR(_xlfn.XLOOKUP($B:$B,Google!A:A,Google!C:C,),0)</f>
        <v>2078.35</v>
      </c>
      <c r="E358" s="70" t="e">
        <f>SUMIF(#REF!,'Compilado 2023 (2)'!$B:$B,#REF!)</f>
        <v>#REF!</v>
      </c>
      <c r="F358" s="70">
        <v>0</v>
      </c>
      <c r="G358" s="70">
        <f ca="1">_xlfn.XLOOKUP(B:B,'E-mail'!A:A,'E-mail'!C:C)</f>
        <v>51.612903225806448</v>
      </c>
      <c r="H358" s="70">
        <f>IFERROR(_xlfn.XLOOKUP($B:$B,#REF!,#REF!),0)</f>
        <v>0</v>
      </c>
      <c r="I358" s="70">
        <v>0</v>
      </c>
      <c r="J358" s="70">
        <v>0</v>
      </c>
      <c r="K358" s="70">
        <v>0</v>
      </c>
      <c r="L358" s="59"/>
      <c r="M358" s="70">
        <v>0</v>
      </c>
      <c r="N358" s="70">
        <v>0</v>
      </c>
      <c r="O358" s="70">
        <v>0</v>
      </c>
      <c r="P358" s="38"/>
      <c r="Q358" s="40"/>
    </row>
    <row r="359" spans="1:17" s="2" customFormat="1" x14ac:dyDescent="0.2">
      <c r="A359" s="16" t="str">
        <f t="shared" si="10"/>
        <v>sexta-feira</v>
      </c>
      <c r="B359" s="17">
        <f t="shared" si="11"/>
        <v>44918</v>
      </c>
      <c r="C359" s="52">
        <f>IFERROR(_xlfn.XLOOKUP($B:$B,'Estatísticos Mensais'!$A:$A,'Estatísticos Mensais'!C:C),0)</f>
        <v>272208.45</v>
      </c>
      <c r="D359" s="69">
        <f>IFERROR(_xlfn.XLOOKUP($B:$B,Google!A:A,Google!C:C,),0)</f>
        <v>1644.76</v>
      </c>
      <c r="E359" s="70" t="e">
        <f>SUMIF(#REF!,'Compilado 2023 (2)'!$B:$B,#REF!)</f>
        <v>#REF!</v>
      </c>
      <c r="F359" s="70">
        <v>0</v>
      </c>
      <c r="G359" s="70">
        <f ca="1">_xlfn.XLOOKUP(B:B,'E-mail'!A:A,'E-mail'!C:C)</f>
        <v>51.612903225806448</v>
      </c>
      <c r="H359" s="70">
        <f>IFERROR(_xlfn.XLOOKUP($B:$B,#REF!,#REF!),0)</f>
        <v>0</v>
      </c>
      <c r="I359" s="70">
        <v>0</v>
      </c>
      <c r="J359" s="70">
        <v>0</v>
      </c>
      <c r="K359" s="70">
        <v>0</v>
      </c>
      <c r="L359" s="59"/>
      <c r="M359" s="70">
        <v>0</v>
      </c>
      <c r="N359" s="70">
        <v>0</v>
      </c>
      <c r="O359" s="70">
        <v>0</v>
      </c>
      <c r="P359" s="38"/>
      <c r="Q359" s="40"/>
    </row>
    <row r="360" spans="1:17" s="2" customFormat="1" x14ac:dyDescent="0.2">
      <c r="A360" s="16" t="str">
        <f t="shared" si="10"/>
        <v>sábado</v>
      </c>
      <c r="B360" s="17">
        <f t="shared" si="11"/>
        <v>44919</v>
      </c>
      <c r="C360" s="52">
        <f>IFERROR(_xlfn.XLOOKUP($B:$B,'Estatísticos Mensais'!$A:$A,'Estatísticos Mensais'!C:C),0)</f>
        <v>266684.13</v>
      </c>
      <c r="D360" s="69">
        <f>IFERROR(_xlfn.XLOOKUP($B:$B,Google!A:A,Google!C:C,),0)</f>
        <v>1185.98</v>
      </c>
      <c r="E360" s="70" t="e">
        <f>SUMIF(#REF!,'Compilado 2023 (2)'!$B:$B,#REF!)</f>
        <v>#REF!</v>
      </c>
      <c r="F360" s="70">
        <v>0</v>
      </c>
      <c r="G360" s="70">
        <f ca="1">_xlfn.XLOOKUP(B:B,'E-mail'!A:A,'E-mail'!C:C)</f>
        <v>51.612903225806448</v>
      </c>
      <c r="H360" s="70">
        <f>IFERROR(_xlfn.XLOOKUP($B:$B,#REF!,#REF!),0)</f>
        <v>0</v>
      </c>
      <c r="I360" s="70">
        <v>0</v>
      </c>
      <c r="J360" s="70">
        <v>0</v>
      </c>
      <c r="K360" s="70">
        <v>0</v>
      </c>
      <c r="L360" s="59"/>
      <c r="M360" s="70">
        <v>0</v>
      </c>
      <c r="N360" s="70">
        <v>0</v>
      </c>
      <c r="O360" s="70">
        <v>0</v>
      </c>
      <c r="P360" s="38"/>
      <c r="Q360" s="40"/>
    </row>
    <row r="361" spans="1:17" s="2" customFormat="1" x14ac:dyDescent="0.2">
      <c r="A361" s="16" t="str">
        <f t="shared" si="10"/>
        <v>domingo</v>
      </c>
      <c r="B361" s="17">
        <f t="shared" si="11"/>
        <v>44920</v>
      </c>
      <c r="C361" s="52">
        <f>IFERROR(_xlfn.XLOOKUP($B:$B,'Estatísticos Mensais'!$A:$A,'Estatísticos Mensais'!C:C),0)</f>
        <v>59393.62</v>
      </c>
      <c r="D361" s="69">
        <f>IFERROR(_xlfn.XLOOKUP($B:$B,Google!A:A,Google!C:C,),0)</f>
        <v>665.14</v>
      </c>
      <c r="E361" s="70" t="e">
        <f>SUMIF(#REF!,'Compilado 2023 (2)'!$B:$B,#REF!)</f>
        <v>#REF!</v>
      </c>
      <c r="F361" s="70">
        <v>0</v>
      </c>
      <c r="G361" s="70">
        <f ca="1">_xlfn.XLOOKUP(B:B,'E-mail'!A:A,'E-mail'!C:C)</f>
        <v>51.612903225806448</v>
      </c>
      <c r="H361" s="70">
        <f>IFERROR(_xlfn.XLOOKUP($B:$B,#REF!,#REF!),0)</f>
        <v>0</v>
      </c>
      <c r="I361" s="70">
        <v>0</v>
      </c>
      <c r="J361" s="70">
        <v>0</v>
      </c>
      <c r="K361" s="70">
        <v>0</v>
      </c>
      <c r="L361" s="59"/>
      <c r="M361" s="70">
        <v>0</v>
      </c>
      <c r="N361" s="70">
        <v>0</v>
      </c>
      <c r="O361" s="70">
        <v>0</v>
      </c>
      <c r="P361" s="38"/>
      <c r="Q361" s="40"/>
    </row>
    <row r="362" spans="1:17" s="2" customFormat="1" x14ac:dyDescent="0.2">
      <c r="A362" s="16" t="str">
        <f t="shared" si="10"/>
        <v>segunda-feira</v>
      </c>
      <c r="B362" s="17">
        <f t="shared" si="11"/>
        <v>44921</v>
      </c>
      <c r="C362" s="52">
        <f>IFERROR(_xlfn.XLOOKUP($B:$B,'Estatísticos Mensais'!$A:$A,'Estatísticos Mensais'!C:C),0)</f>
        <v>76654.78</v>
      </c>
      <c r="D362" s="69">
        <f>IFERROR(_xlfn.XLOOKUP($B:$B,Google!A:A,Google!C:C,),0)</f>
        <v>1624.1</v>
      </c>
      <c r="E362" s="70" t="e">
        <f>SUMIF(#REF!,'Compilado 2023 (2)'!$B:$B,#REF!)</f>
        <v>#REF!</v>
      </c>
      <c r="F362" s="70">
        <v>0</v>
      </c>
      <c r="G362" s="70">
        <f ca="1">_xlfn.XLOOKUP(B:B,'E-mail'!A:A,'E-mail'!C:C)</f>
        <v>51.612903225806448</v>
      </c>
      <c r="H362" s="70">
        <f>IFERROR(_xlfn.XLOOKUP($B:$B,#REF!,#REF!),0)</f>
        <v>0</v>
      </c>
      <c r="I362" s="70">
        <v>0</v>
      </c>
      <c r="J362" s="70">
        <v>0</v>
      </c>
      <c r="K362" s="70">
        <v>0</v>
      </c>
      <c r="L362" s="59"/>
      <c r="M362" s="70">
        <v>0</v>
      </c>
      <c r="N362" s="70">
        <v>0</v>
      </c>
      <c r="O362" s="70">
        <v>0</v>
      </c>
      <c r="P362" s="38"/>
      <c r="Q362" s="40"/>
    </row>
    <row r="363" spans="1:17" s="2" customFormat="1" x14ac:dyDescent="0.2">
      <c r="A363" s="16" t="str">
        <f t="shared" si="10"/>
        <v>terça-feira</v>
      </c>
      <c r="B363" s="17">
        <f t="shared" si="11"/>
        <v>44922</v>
      </c>
      <c r="C363" s="52">
        <f>IFERROR(_xlfn.XLOOKUP($B:$B,'Estatísticos Mensais'!$A:$A,'Estatísticos Mensais'!C:C),0)</f>
        <v>69162.710000000006</v>
      </c>
      <c r="D363" s="69">
        <f>IFERROR(_xlfn.XLOOKUP($B:$B,Google!A:A,Google!C:C,),0)</f>
        <v>940.44</v>
      </c>
      <c r="E363" s="70" t="e">
        <f>SUMIF(#REF!,'Compilado 2023 (2)'!$B:$B,#REF!)</f>
        <v>#REF!</v>
      </c>
      <c r="F363" s="70">
        <v>0</v>
      </c>
      <c r="G363" s="70">
        <f ca="1">_xlfn.XLOOKUP(B:B,'E-mail'!A:A,'E-mail'!C:C)</f>
        <v>51.612903225806448</v>
      </c>
      <c r="H363" s="70">
        <f>IFERROR(_xlfn.XLOOKUP($B:$B,#REF!,#REF!),0)</f>
        <v>0</v>
      </c>
      <c r="I363" s="70">
        <v>0</v>
      </c>
      <c r="J363" s="70">
        <v>0</v>
      </c>
      <c r="K363" s="70">
        <v>0</v>
      </c>
      <c r="L363" s="59"/>
      <c r="M363" s="70">
        <v>0</v>
      </c>
      <c r="N363" s="70">
        <v>0</v>
      </c>
      <c r="O363" s="70">
        <v>0</v>
      </c>
      <c r="P363" s="38"/>
      <c r="Q363" s="40"/>
    </row>
    <row r="364" spans="1:17" s="2" customFormat="1" x14ac:dyDescent="0.2">
      <c r="A364" s="16" t="str">
        <f t="shared" si="10"/>
        <v>quarta-feira</v>
      </c>
      <c r="B364" s="17">
        <f t="shared" si="11"/>
        <v>44923</v>
      </c>
      <c r="C364" s="52">
        <f>IFERROR(_xlfn.XLOOKUP($B:$B,'Estatísticos Mensais'!$A:$A,'Estatísticos Mensais'!C:C),0)</f>
        <v>60668.97</v>
      </c>
      <c r="D364" s="69">
        <f>IFERROR(_xlfn.XLOOKUP($B:$B,Google!A:A,Google!C:C,),0)</f>
        <v>661.43</v>
      </c>
      <c r="E364" s="70" t="e">
        <f>SUMIF(#REF!,'Compilado 2023 (2)'!$B:$B,#REF!)</f>
        <v>#REF!</v>
      </c>
      <c r="F364" s="70">
        <v>0</v>
      </c>
      <c r="G364" s="70">
        <f ca="1">_xlfn.XLOOKUP(B:B,'E-mail'!A:A,'E-mail'!C:C)</f>
        <v>51.612903225806448</v>
      </c>
      <c r="H364" s="70">
        <f>IFERROR(_xlfn.XLOOKUP($B:$B,#REF!,#REF!),0)</f>
        <v>0</v>
      </c>
      <c r="I364" s="70">
        <v>0</v>
      </c>
      <c r="J364" s="70">
        <v>0</v>
      </c>
      <c r="K364" s="70">
        <v>0</v>
      </c>
      <c r="L364" s="59"/>
      <c r="M364" s="70">
        <v>0</v>
      </c>
      <c r="N364" s="70">
        <v>0</v>
      </c>
      <c r="O364" s="70">
        <v>0</v>
      </c>
      <c r="P364" s="38"/>
      <c r="Q364" s="40"/>
    </row>
    <row r="365" spans="1:17" s="2" customFormat="1" x14ac:dyDescent="0.2">
      <c r="A365" s="16" t="str">
        <f t="shared" si="10"/>
        <v>quinta-feira</v>
      </c>
      <c r="B365" s="17">
        <f t="shared" si="11"/>
        <v>44924</v>
      </c>
      <c r="C365" s="52">
        <f>IFERROR(_xlfn.XLOOKUP($B:$B,'Estatísticos Mensais'!$A:$A,'Estatísticos Mensais'!C:C),0)</f>
        <v>50673.86</v>
      </c>
      <c r="D365" s="69">
        <f>IFERROR(_xlfn.XLOOKUP($B:$B,Google!A:A,Google!C:C,),0)</f>
        <v>499.29</v>
      </c>
      <c r="E365" s="70" t="e">
        <f>SUMIF(#REF!,'Compilado 2023 (2)'!$B:$B,#REF!)</f>
        <v>#REF!</v>
      </c>
      <c r="F365" s="70">
        <v>0</v>
      </c>
      <c r="G365" s="70">
        <f ca="1">_xlfn.XLOOKUP(B:B,'E-mail'!A:A,'E-mail'!C:C)</f>
        <v>51.612903225806448</v>
      </c>
      <c r="H365" s="70">
        <f>IFERROR(_xlfn.XLOOKUP($B:$B,#REF!,#REF!),0)</f>
        <v>0</v>
      </c>
      <c r="I365" s="70">
        <v>0</v>
      </c>
      <c r="J365" s="70">
        <v>0</v>
      </c>
      <c r="K365" s="70">
        <v>0</v>
      </c>
      <c r="L365" s="59"/>
      <c r="M365" s="70">
        <v>0</v>
      </c>
      <c r="N365" s="70">
        <v>0</v>
      </c>
      <c r="O365" s="70">
        <v>0</v>
      </c>
      <c r="P365" s="38"/>
      <c r="Q365" s="40"/>
    </row>
    <row r="366" spans="1:17" s="2" customFormat="1" x14ac:dyDescent="0.2">
      <c r="A366" s="16" t="str">
        <f t="shared" si="10"/>
        <v>sexta-feira</v>
      </c>
      <c r="B366" s="17">
        <f t="shared" si="11"/>
        <v>44925</v>
      </c>
      <c r="C366" s="52">
        <f>IFERROR(_xlfn.XLOOKUP($B:$B,'Estatísticos Mensais'!$A:$A,'Estatísticos Mensais'!C:C),0)</f>
        <v>62888.12</v>
      </c>
      <c r="D366" s="69">
        <f>IFERROR(_xlfn.XLOOKUP($B:$B,Google!A:A,Google!C:C,),0)</f>
        <v>316.07</v>
      </c>
      <c r="E366" s="70" t="e">
        <f>SUMIF(#REF!,'Compilado 2023 (2)'!$B:$B,#REF!)</f>
        <v>#REF!</v>
      </c>
      <c r="F366" s="70">
        <v>0</v>
      </c>
      <c r="G366" s="70">
        <f ca="1">_xlfn.XLOOKUP(B:B,'E-mail'!A:A,'E-mail'!C:C)</f>
        <v>51.612903225806448</v>
      </c>
      <c r="H366" s="70">
        <f>IFERROR(_xlfn.XLOOKUP($B:$B,#REF!,#REF!),0)</f>
        <v>0</v>
      </c>
      <c r="I366" s="70">
        <v>0</v>
      </c>
      <c r="J366" s="70">
        <v>0</v>
      </c>
      <c r="K366" s="70">
        <v>0</v>
      </c>
      <c r="L366" s="59"/>
      <c r="M366" s="70">
        <v>0</v>
      </c>
      <c r="N366" s="70">
        <v>0</v>
      </c>
      <c r="O366" s="70">
        <v>0</v>
      </c>
      <c r="P366" s="38"/>
      <c r="Q366" s="40"/>
    </row>
    <row r="367" spans="1:17" s="2" customFormat="1" x14ac:dyDescent="0.2">
      <c r="A367" s="16" t="str">
        <f t="shared" si="10"/>
        <v>sábado</v>
      </c>
      <c r="B367" s="17">
        <f t="shared" si="11"/>
        <v>44926</v>
      </c>
      <c r="C367" s="52">
        <f>IFERROR(_xlfn.XLOOKUP($B:$B,'Estatísticos Mensais'!$A:$A,'Estatísticos Mensais'!C:C),0)</f>
        <v>27474.32</v>
      </c>
      <c r="D367" s="69">
        <f>IFERROR(_xlfn.XLOOKUP($B:$B,Google!A:A,Google!C:C,),0)</f>
        <v>205.7</v>
      </c>
      <c r="E367" s="70" t="e">
        <f>SUMIF(#REF!,'Compilado 2023 (2)'!$B:$B,#REF!)</f>
        <v>#REF!</v>
      </c>
      <c r="F367" s="70">
        <v>0</v>
      </c>
      <c r="G367" s="70">
        <f ca="1">_xlfn.XLOOKUP(B:B,'E-mail'!A:A,'E-mail'!C:C)</f>
        <v>51.612903225806448</v>
      </c>
      <c r="H367" s="70">
        <f>IFERROR(_xlfn.XLOOKUP($B:$B,#REF!,#REF!),0)</f>
        <v>0</v>
      </c>
      <c r="I367" s="70">
        <v>0</v>
      </c>
      <c r="J367" s="70">
        <v>0</v>
      </c>
      <c r="K367" s="70">
        <v>0</v>
      </c>
      <c r="L367" s="59"/>
      <c r="M367" s="70">
        <v>0</v>
      </c>
      <c r="N367" s="70">
        <v>0</v>
      </c>
      <c r="O367" s="70">
        <v>0</v>
      </c>
      <c r="P367" s="38"/>
      <c r="Q367" s="40"/>
    </row>
    <row r="368" spans="1:17" s="2" customFormat="1" x14ac:dyDescent="0.2">
      <c r="A368" s="16" t="str">
        <f t="shared" si="10"/>
        <v>domingo</v>
      </c>
      <c r="B368" s="17">
        <f t="shared" si="11"/>
        <v>44927</v>
      </c>
      <c r="C368" s="52">
        <f>IFERROR(_xlfn.XLOOKUP($B:$B,'Estatísticos Mensais'!$A:$A,'Estatísticos Mensais'!C:C),0)</f>
        <v>6660.35</v>
      </c>
      <c r="D368" s="69">
        <f>IFERROR(_xlfn.XLOOKUP($B:$B,Google!A:A,Google!C:C,),0)</f>
        <v>195.73</v>
      </c>
      <c r="E368" s="70" t="e">
        <f>SUMIF(#REF!,'Compilado 2023 (2)'!$B:$B,#REF!)</f>
        <v>#REF!</v>
      </c>
      <c r="F368" s="70">
        <v>0</v>
      </c>
      <c r="G368" s="70">
        <f ca="1">_xlfn.XLOOKUP(B:B,'E-mail'!A:A,'E-mail'!C:C)</f>
        <v>51.612903225806448</v>
      </c>
      <c r="H368" s="70">
        <f>IFERROR(_xlfn.XLOOKUP($B:$B,#REF!,#REF!),0)</f>
        <v>0</v>
      </c>
      <c r="I368" s="70">
        <v>0</v>
      </c>
      <c r="J368" s="70">
        <v>0</v>
      </c>
      <c r="K368" s="70">
        <v>0</v>
      </c>
      <c r="L368" s="57"/>
      <c r="M368" s="70">
        <v>0</v>
      </c>
      <c r="N368" s="70">
        <v>0</v>
      </c>
      <c r="O368" s="70">
        <v>0</v>
      </c>
      <c r="P368" s="38"/>
      <c r="Q368" s="40"/>
    </row>
    <row r="369" spans="1:17" s="2" customFormat="1" x14ac:dyDescent="0.2">
      <c r="A369" s="16" t="str">
        <f t="shared" si="10"/>
        <v>segunda-feira</v>
      </c>
      <c r="B369" s="17">
        <f t="shared" si="11"/>
        <v>44928</v>
      </c>
      <c r="C369" s="52">
        <f>IFERROR(_xlfn.XLOOKUP($B:$B,'Estatísticos Mensais'!$A:$A,'Estatísticos Mensais'!C:C),0)</f>
        <v>42272.44</v>
      </c>
      <c r="D369" s="69">
        <f>IFERROR(_xlfn.XLOOKUP($B:$B,Google!A:A,Google!C:C,),0)</f>
        <v>367.59</v>
      </c>
      <c r="E369" s="70" t="e">
        <f>SUMIF(#REF!,'Compilado 2023 (2)'!$B:$B,#REF!)</f>
        <v>#REF!</v>
      </c>
      <c r="F369" s="70">
        <v>0</v>
      </c>
      <c r="G369" s="70">
        <f ca="1">_xlfn.XLOOKUP(B:B,'E-mail'!A:A,'E-mail'!C:C)</f>
        <v>51.612903225806448</v>
      </c>
      <c r="H369" s="70">
        <f>IFERROR(_xlfn.XLOOKUP($B:$B,#REF!,#REF!),0)</f>
        <v>0</v>
      </c>
      <c r="I369" s="70">
        <v>0</v>
      </c>
      <c r="J369" s="70">
        <v>0</v>
      </c>
      <c r="K369" s="70">
        <v>0</v>
      </c>
      <c r="L369" s="57"/>
      <c r="M369" s="70">
        <v>0</v>
      </c>
      <c r="N369" s="70">
        <v>0</v>
      </c>
      <c r="O369" s="70">
        <v>0</v>
      </c>
      <c r="P369" s="38"/>
      <c r="Q369" s="40"/>
    </row>
    <row r="370" spans="1:17" s="2" customFormat="1" x14ac:dyDescent="0.2">
      <c r="A370" s="16" t="str">
        <f t="shared" si="10"/>
        <v>terça-feira</v>
      </c>
      <c r="B370" s="17">
        <f t="shared" si="11"/>
        <v>44929</v>
      </c>
      <c r="C370" s="52">
        <f>IFERROR(_xlfn.XLOOKUP($B:$B,'Estatísticos Mensais'!$A:$A,'Estatísticos Mensais'!C:C),0)</f>
        <v>43147.4</v>
      </c>
      <c r="D370" s="69">
        <f>IFERROR(_xlfn.XLOOKUP($B:$B,Google!A:A,Google!C:C,),0)</f>
        <v>355.9</v>
      </c>
      <c r="E370" s="70" t="e">
        <f>SUMIF(#REF!,'Compilado 2023 (2)'!$B:$B,#REF!)</f>
        <v>#REF!</v>
      </c>
      <c r="F370" s="70">
        <v>0</v>
      </c>
      <c r="G370" s="70">
        <f ca="1">_xlfn.XLOOKUP(B:B,'E-mail'!A:A,'E-mail'!C:C)</f>
        <v>51.612903225806448</v>
      </c>
      <c r="H370" s="70">
        <f>IFERROR(_xlfn.XLOOKUP($B:$B,#REF!,#REF!),0)</f>
        <v>0</v>
      </c>
      <c r="I370" s="70">
        <v>0</v>
      </c>
      <c r="J370" s="70">
        <v>0</v>
      </c>
      <c r="K370" s="70">
        <v>0</v>
      </c>
      <c r="L370" s="57"/>
      <c r="M370" s="70">
        <v>0</v>
      </c>
      <c r="N370" s="70">
        <v>0</v>
      </c>
      <c r="O370" s="70">
        <v>0</v>
      </c>
      <c r="P370" s="38"/>
      <c r="Q370" s="40"/>
    </row>
    <row r="371" spans="1:17" s="2" customFormat="1" x14ac:dyDescent="0.2">
      <c r="A371" s="16" t="str">
        <f t="shared" si="10"/>
        <v>quarta-feira</v>
      </c>
      <c r="B371" s="17">
        <f t="shared" si="11"/>
        <v>44930</v>
      </c>
      <c r="C371" s="52">
        <f>IFERROR(_xlfn.XLOOKUP($B:$B,'Estatísticos Mensais'!$A:$A,'Estatísticos Mensais'!C:C),0)</f>
        <v>38413.61</v>
      </c>
      <c r="D371" s="69">
        <f>IFERROR(_xlfn.XLOOKUP($B:$B,Google!A:A,Google!C:C,),0)</f>
        <v>389.93</v>
      </c>
      <c r="E371" s="70" t="e">
        <f>SUMIF(#REF!,'Compilado 2023 (2)'!$B:$B,#REF!)</f>
        <v>#REF!</v>
      </c>
      <c r="F371" s="70">
        <v>0</v>
      </c>
      <c r="G371" s="70">
        <f ca="1">_xlfn.XLOOKUP(B:B,'E-mail'!A:A,'E-mail'!C:C)</f>
        <v>51.612903225806448</v>
      </c>
      <c r="H371" s="70">
        <f>IFERROR(_xlfn.XLOOKUP($B:$B,#REF!,#REF!),0)</f>
        <v>0</v>
      </c>
      <c r="I371" s="70">
        <v>0</v>
      </c>
      <c r="J371" s="70">
        <v>0</v>
      </c>
      <c r="K371" s="70">
        <v>0</v>
      </c>
      <c r="L371" s="57"/>
      <c r="M371" s="70">
        <v>0</v>
      </c>
      <c r="N371" s="70">
        <v>0</v>
      </c>
      <c r="O371" s="70">
        <v>0</v>
      </c>
      <c r="P371" s="38"/>
      <c r="Q371" s="40"/>
    </row>
    <row r="372" spans="1:17" s="2" customFormat="1" x14ac:dyDescent="0.2">
      <c r="A372" s="16" t="str">
        <f t="shared" si="10"/>
        <v>quinta-feira</v>
      </c>
      <c r="B372" s="17">
        <f t="shared" si="11"/>
        <v>44931</v>
      </c>
      <c r="C372" s="52">
        <f>IFERROR(_xlfn.XLOOKUP($B:$B,'Estatísticos Mensais'!$A:$A,'Estatísticos Mensais'!C:C),0)</f>
        <v>49163.53</v>
      </c>
      <c r="D372" s="69">
        <f>IFERROR(_xlfn.XLOOKUP($B:$B,Google!A:A,Google!C:C,),0)</f>
        <v>383.58</v>
      </c>
      <c r="E372" s="70" t="e">
        <f>SUMIF(#REF!,'Compilado 2023 (2)'!$B:$B,#REF!)</f>
        <v>#REF!</v>
      </c>
      <c r="F372" s="70">
        <v>0</v>
      </c>
      <c r="G372" s="70">
        <f ca="1">_xlfn.XLOOKUP(B:B,'E-mail'!A:A,'E-mail'!C:C)</f>
        <v>51.612903225806448</v>
      </c>
      <c r="H372" s="70">
        <f>IFERROR(_xlfn.XLOOKUP($B:$B,#REF!,#REF!),0)</f>
        <v>0</v>
      </c>
      <c r="I372" s="70">
        <v>0</v>
      </c>
      <c r="J372" s="70">
        <v>0</v>
      </c>
      <c r="K372" s="70">
        <v>0</v>
      </c>
      <c r="L372" s="57"/>
      <c r="M372" s="70">
        <v>0</v>
      </c>
      <c r="N372" s="70">
        <v>0</v>
      </c>
      <c r="O372" s="70">
        <v>0</v>
      </c>
      <c r="P372" s="38"/>
      <c r="Q372" s="40"/>
    </row>
    <row r="373" spans="1:17" s="2" customFormat="1" x14ac:dyDescent="0.2">
      <c r="A373" s="16" t="str">
        <f t="shared" si="10"/>
        <v>sexta-feira</v>
      </c>
      <c r="B373" s="17">
        <f t="shared" si="11"/>
        <v>44932</v>
      </c>
      <c r="C373" s="52">
        <f>IFERROR(_xlfn.XLOOKUP($B:$B,'Estatísticos Mensais'!$A:$A,'Estatísticos Mensais'!C:C),0)</f>
        <v>51769.86</v>
      </c>
      <c r="D373" s="69">
        <f>IFERROR(_xlfn.XLOOKUP($B:$B,Google!A:A,Google!C:C,),0)</f>
        <v>256.48</v>
      </c>
      <c r="E373" s="70" t="e">
        <f>SUMIF(#REF!,'Compilado 2023 (2)'!$B:$B,#REF!)</f>
        <v>#REF!</v>
      </c>
      <c r="F373" s="70">
        <v>0</v>
      </c>
      <c r="G373" s="70">
        <f ca="1">_xlfn.XLOOKUP(B:B,'E-mail'!A:A,'E-mail'!C:C)</f>
        <v>51.612903225806448</v>
      </c>
      <c r="H373" s="70">
        <f>IFERROR(_xlfn.XLOOKUP($B:$B,#REF!,#REF!),0)</f>
        <v>0</v>
      </c>
      <c r="I373" s="70">
        <v>0</v>
      </c>
      <c r="J373" s="70">
        <v>0</v>
      </c>
      <c r="K373" s="70">
        <v>0</v>
      </c>
      <c r="L373" s="57"/>
      <c r="M373" s="70">
        <v>0</v>
      </c>
      <c r="N373" s="70">
        <v>0</v>
      </c>
      <c r="O373" s="70">
        <v>0</v>
      </c>
      <c r="P373" s="38"/>
      <c r="Q373" s="40"/>
    </row>
    <row r="374" spans="1:17" s="2" customFormat="1" x14ac:dyDescent="0.2">
      <c r="A374" s="16" t="str">
        <f t="shared" si="10"/>
        <v>sábado</v>
      </c>
      <c r="B374" s="17">
        <f t="shared" si="11"/>
        <v>44933</v>
      </c>
      <c r="C374" s="52">
        <f>IFERROR(_xlfn.XLOOKUP($B:$B,'Estatísticos Mensais'!$A:$A,'Estatísticos Mensais'!C:C),0)</f>
        <v>29276.06</v>
      </c>
      <c r="D374" s="69">
        <f>IFERROR(_xlfn.XLOOKUP($B:$B,Google!A:A,Google!C:C,),0)</f>
        <v>184.02</v>
      </c>
      <c r="E374" s="70" t="e">
        <f>SUMIF(#REF!,'Compilado 2023 (2)'!$B:$B,#REF!)</f>
        <v>#REF!</v>
      </c>
      <c r="F374" s="70">
        <v>0</v>
      </c>
      <c r="G374" s="70">
        <f ca="1">_xlfn.XLOOKUP(B:B,'E-mail'!A:A,'E-mail'!C:C)</f>
        <v>51.612903225806448</v>
      </c>
      <c r="H374" s="70">
        <f>IFERROR(_xlfn.XLOOKUP($B:$B,#REF!,#REF!),0)</f>
        <v>0</v>
      </c>
      <c r="I374" s="70">
        <v>0</v>
      </c>
      <c r="J374" s="70">
        <v>0</v>
      </c>
      <c r="K374" s="70">
        <v>0</v>
      </c>
      <c r="L374" s="57"/>
      <c r="M374" s="70">
        <v>0</v>
      </c>
      <c r="N374" s="70">
        <v>0</v>
      </c>
      <c r="O374" s="70">
        <v>0</v>
      </c>
      <c r="P374" s="38"/>
      <c r="Q374" s="40"/>
    </row>
    <row r="375" spans="1:17" s="2" customFormat="1" x14ac:dyDescent="0.2">
      <c r="A375" s="16" t="str">
        <f t="shared" si="10"/>
        <v>domingo</v>
      </c>
      <c r="B375" s="17">
        <f t="shared" si="11"/>
        <v>44934</v>
      </c>
      <c r="C375" s="52">
        <f>IFERROR(_xlfn.XLOOKUP($B:$B,'Estatísticos Mensais'!$A:$A,'Estatísticos Mensais'!C:C),0)</f>
        <v>20384.97</v>
      </c>
      <c r="D375" s="69">
        <f>IFERROR(_xlfn.XLOOKUP($B:$B,Google!A:A,Google!C:C,),0)</f>
        <v>209.58</v>
      </c>
      <c r="E375" s="70" t="e">
        <f>SUMIF(#REF!,'Compilado 2023 (2)'!$B:$B,#REF!)</f>
        <v>#REF!</v>
      </c>
      <c r="F375" s="70">
        <v>0</v>
      </c>
      <c r="G375" s="70">
        <f ca="1">_xlfn.XLOOKUP(B:B,'E-mail'!A:A,'E-mail'!C:C)</f>
        <v>51.612903225806448</v>
      </c>
      <c r="H375" s="70">
        <f>IFERROR(_xlfn.XLOOKUP($B:$B,#REF!,#REF!),0)</f>
        <v>0</v>
      </c>
      <c r="I375" s="70">
        <v>0</v>
      </c>
      <c r="J375" s="70">
        <v>0</v>
      </c>
      <c r="K375" s="70">
        <v>0</v>
      </c>
      <c r="L375" s="57"/>
      <c r="M375" s="70">
        <v>0</v>
      </c>
      <c r="N375" s="70">
        <v>0</v>
      </c>
      <c r="O375" s="70">
        <v>0</v>
      </c>
      <c r="P375" s="38"/>
      <c r="Q375" s="40"/>
    </row>
    <row r="376" spans="1:17" s="2" customFormat="1" x14ac:dyDescent="0.2">
      <c r="A376" s="16" t="str">
        <f t="shared" si="10"/>
        <v>segunda-feira</v>
      </c>
      <c r="B376" s="17">
        <f t="shared" si="11"/>
        <v>44935</v>
      </c>
      <c r="C376" s="52">
        <f>IFERROR(_xlfn.XLOOKUP($B:$B,'Estatísticos Mensais'!$A:$A,'Estatísticos Mensais'!C:C),0)</f>
        <v>85221.85</v>
      </c>
      <c r="D376" s="69">
        <f>IFERROR(_xlfn.XLOOKUP($B:$B,Google!A:A,Google!C:C,),0)</f>
        <v>347.26</v>
      </c>
      <c r="E376" s="70" t="e">
        <f>SUMIF(#REF!,'Compilado 2023 (2)'!$B:$B,#REF!)</f>
        <v>#REF!</v>
      </c>
      <c r="F376" s="70">
        <v>0</v>
      </c>
      <c r="G376" s="70">
        <f ca="1">_xlfn.XLOOKUP(B:B,'E-mail'!A:A,'E-mail'!C:C)</f>
        <v>51.612903225806448</v>
      </c>
      <c r="H376" s="70">
        <f>IFERROR(_xlfn.XLOOKUP($B:$B,#REF!,#REF!),0)</f>
        <v>0</v>
      </c>
      <c r="I376" s="70">
        <v>0</v>
      </c>
      <c r="J376" s="70">
        <v>0</v>
      </c>
      <c r="K376" s="70">
        <v>0</v>
      </c>
      <c r="L376" s="57"/>
      <c r="M376" s="70">
        <v>0</v>
      </c>
      <c r="N376" s="70">
        <v>0</v>
      </c>
      <c r="O376" s="70">
        <v>0</v>
      </c>
      <c r="P376" s="38"/>
      <c r="Q376" s="40"/>
    </row>
    <row r="377" spans="1:17" s="2" customFormat="1" x14ac:dyDescent="0.2">
      <c r="A377" s="16" t="str">
        <f t="shared" si="10"/>
        <v>terça-feira</v>
      </c>
      <c r="B377" s="17">
        <f t="shared" si="11"/>
        <v>44936</v>
      </c>
      <c r="C377" s="52">
        <f>IFERROR(_xlfn.XLOOKUP($B:$B,'Estatísticos Mensais'!$A:$A,'Estatísticos Mensais'!C:C),0)</f>
        <v>49229.68</v>
      </c>
      <c r="D377" s="69">
        <f>IFERROR(_xlfn.XLOOKUP($B:$B,Google!A:A,Google!C:C,),0)</f>
        <v>78.040000000000006</v>
      </c>
      <c r="E377" s="70" t="e">
        <f>SUMIF(#REF!,'Compilado 2023 (2)'!$B:$B,#REF!)</f>
        <v>#REF!</v>
      </c>
      <c r="F377" s="70">
        <v>0</v>
      </c>
      <c r="G377" s="70">
        <f ca="1">_xlfn.XLOOKUP(B:B,'E-mail'!A:A,'E-mail'!C:C)</f>
        <v>51.612903225806448</v>
      </c>
      <c r="H377" s="70">
        <f>IFERROR(_xlfn.XLOOKUP($B:$B,#REF!,#REF!),0)</f>
        <v>0</v>
      </c>
      <c r="I377" s="70">
        <v>0</v>
      </c>
      <c r="J377" s="70">
        <v>0</v>
      </c>
      <c r="K377" s="70">
        <v>0</v>
      </c>
      <c r="L377" s="57"/>
      <c r="M377" s="70">
        <v>0</v>
      </c>
      <c r="N377" s="70">
        <v>0</v>
      </c>
      <c r="O377" s="70">
        <v>0</v>
      </c>
      <c r="P377" s="38"/>
      <c r="Q377" s="40"/>
    </row>
    <row r="378" spans="1:17" s="2" customFormat="1" x14ac:dyDescent="0.2">
      <c r="A378" s="16" t="str">
        <f t="shared" si="10"/>
        <v>quarta-feira</v>
      </c>
      <c r="B378" s="17">
        <f t="shared" si="11"/>
        <v>44937</v>
      </c>
      <c r="C378" s="52">
        <f>IFERROR(_xlfn.XLOOKUP($B:$B,'Estatísticos Mensais'!$A:$A,'Estatísticos Mensais'!C:C),0)</f>
        <v>48477.84</v>
      </c>
      <c r="D378" s="69">
        <f>IFERROR(_xlfn.XLOOKUP($B:$B,Google!A:A,Google!C:C,),0)</f>
        <v>108.64</v>
      </c>
      <c r="E378" s="70" t="e">
        <f>SUMIF(#REF!,'Compilado 2023 (2)'!$B:$B,#REF!)</f>
        <v>#REF!</v>
      </c>
      <c r="F378" s="70">
        <v>0</v>
      </c>
      <c r="G378" s="70">
        <f ca="1">_xlfn.XLOOKUP(B:B,'E-mail'!A:A,'E-mail'!C:C)</f>
        <v>51.612903225806448</v>
      </c>
      <c r="H378" s="70">
        <f>IFERROR(_xlfn.XLOOKUP($B:$B,#REF!,#REF!),0)</f>
        <v>0</v>
      </c>
      <c r="I378" s="70">
        <v>0</v>
      </c>
      <c r="J378" s="70">
        <v>0</v>
      </c>
      <c r="K378" s="70">
        <v>0</v>
      </c>
      <c r="L378" s="57"/>
      <c r="M378" s="70">
        <v>0</v>
      </c>
      <c r="N378" s="70">
        <v>0</v>
      </c>
      <c r="O378" s="70">
        <v>0</v>
      </c>
      <c r="P378" s="38"/>
      <c r="Q378" s="40"/>
    </row>
    <row r="379" spans="1:17" s="2" customFormat="1" x14ac:dyDescent="0.2">
      <c r="A379" s="16" t="str">
        <f t="shared" si="10"/>
        <v>quinta-feira</v>
      </c>
      <c r="B379" s="17">
        <f t="shared" si="11"/>
        <v>44938</v>
      </c>
      <c r="C379" s="52">
        <f>IFERROR(_xlfn.XLOOKUP($B:$B,'Estatísticos Mensais'!$A:$A,'Estatísticos Mensais'!C:C),0)</f>
        <v>44035.32</v>
      </c>
      <c r="D379" s="69">
        <f>IFERROR(_xlfn.XLOOKUP($B:$B,Google!A:A,Google!C:C,),0)</f>
        <v>474.2</v>
      </c>
      <c r="E379" s="70" t="e">
        <f>SUMIF(#REF!,'Compilado 2023 (2)'!$B:$B,#REF!)</f>
        <v>#REF!</v>
      </c>
      <c r="F379" s="70">
        <v>0</v>
      </c>
      <c r="G379" s="70">
        <f ca="1">_xlfn.XLOOKUP(B:B,'E-mail'!A:A,'E-mail'!C:C)</f>
        <v>51.612903225806448</v>
      </c>
      <c r="H379" s="70">
        <f>IFERROR(_xlfn.XLOOKUP($B:$B,#REF!,#REF!),0)</f>
        <v>0</v>
      </c>
      <c r="I379" s="70">
        <v>0</v>
      </c>
      <c r="J379" s="70">
        <v>0</v>
      </c>
      <c r="K379" s="70">
        <v>0</v>
      </c>
      <c r="L379" s="57"/>
      <c r="M379" s="70">
        <v>0</v>
      </c>
      <c r="N379" s="70">
        <v>0</v>
      </c>
      <c r="O379" s="70">
        <v>0</v>
      </c>
      <c r="P379" s="38"/>
      <c r="Q379" s="40"/>
    </row>
    <row r="380" spans="1:17" s="2" customFormat="1" x14ac:dyDescent="0.2">
      <c r="A380" s="16" t="str">
        <f t="shared" si="10"/>
        <v>sexta-feira</v>
      </c>
      <c r="B380" s="17">
        <f t="shared" si="11"/>
        <v>44939</v>
      </c>
      <c r="C380" s="52">
        <f>IFERROR(_xlfn.XLOOKUP($B:$B,'Estatísticos Mensais'!$A:$A,'Estatísticos Mensais'!C:C),0)</f>
        <v>52163.22</v>
      </c>
      <c r="D380" s="69">
        <f>IFERROR(_xlfn.XLOOKUP($B:$B,Google!A:A,Google!C:C,),0)</f>
        <v>984.16</v>
      </c>
      <c r="E380" s="70" t="e">
        <f>SUMIF(#REF!,'Compilado 2023 (2)'!$B:$B,#REF!)</f>
        <v>#REF!</v>
      </c>
      <c r="F380" s="70">
        <v>0</v>
      </c>
      <c r="G380" s="70">
        <f ca="1">_xlfn.XLOOKUP(B:B,'E-mail'!A:A,'E-mail'!C:C)</f>
        <v>51.612903225806448</v>
      </c>
      <c r="H380" s="70">
        <f>IFERROR(_xlfn.XLOOKUP($B:$B,#REF!,#REF!),0)</f>
        <v>0</v>
      </c>
      <c r="I380" s="70">
        <v>0</v>
      </c>
      <c r="J380" s="70">
        <v>0</v>
      </c>
      <c r="K380" s="70">
        <v>0</v>
      </c>
      <c r="L380" s="57"/>
      <c r="M380" s="70">
        <v>0</v>
      </c>
      <c r="N380" s="70">
        <v>0</v>
      </c>
      <c r="O380" s="70">
        <v>0</v>
      </c>
      <c r="P380" s="38"/>
      <c r="Q380" s="40"/>
    </row>
    <row r="381" spans="1:17" s="2" customFormat="1" x14ac:dyDescent="0.2">
      <c r="A381" s="16" t="str">
        <f t="shared" si="10"/>
        <v>sábado</v>
      </c>
      <c r="B381" s="17">
        <f t="shared" si="11"/>
        <v>44940</v>
      </c>
      <c r="C381" s="52">
        <f>IFERROR(_xlfn.XLOOKUP($B:$B,'Estatísticos Mensais'!$A:$A,'Estatísticos Mensais'!C:C),0)</f>
        <v>29397.59</v>
      </c>
      <c r="D381" s="69">
        <f>IFERROR(_xlfn.XLOOKUP($B:$B,Google!A:A,Google!C:C,),0)</f>
        <v>1263.3599999999999</v>
      </c>
      <c r="E381" s="70" t="e">
        <f>SUMIF(#REF!,'Compilado 2023 (2)'!$B:$B,#REF!)</f>
        <v>#REF!</v>
      </c>
      <c r="F381" s="70">
        <v>0</v>
      </c>
      <c r="G381" s="70">
        <f ca="1">_xlfn.XLOOKUP(B:B,'E-mail'!A:A,'E-mail'!C:C)</f>
        <v>51.612903225806448</v>
      </c>
      <c r="H381" s="70">
        <f>IFERROR(_xlfn.XLOOKUP($B:$B,#REF!,#REF!),0)</f>
        <v>0</v>
      </c>
      <c r="I381" s="70">
        <v>0</v>
      </c>
      <c r="J381" s="70">
        <v>0</v>
      </c>
      <c r="K381" s="70">
        <v>0</v>
      </c>
      <c r="L381" s="57"/>
      <c r="M381" s="70">
        <v>0</v>
      </c>
      <c r="N381" s="70">
        <v>0</v>
      </c>
      <c r="O381" s="70">
        <v>0</v>
      </c>
      <c r="P381" s="38"/>
      <c r="Q381" s="40"/>
    </row>
    <row r="382" spans="1:17" s="2" customFormat="1" x14ac:dyDescent="0.2">
      <c r="A382" s="16" t="str">
        <f t="shared" si="10"/>
        <v>domingo</v>
      </c>
      <c r="B382" s="17">
        <f t="shared" si="11"/>
        <v>44941</v>
      </c>
      <c r="C382" s="52">
        <f>IFERROR(_xlfn.XLOOKUP($B:$B,'Estatísticos Mensais'!$A:$A,'Estatísticos Mensais'!C:C),0)</f>
        <v>19339.43</v>
      </c>
      <c r="D382" s="69">
        <f>IFERROR(_xlfn.XLOOKUP($B:$B,Google!A:A,Google!C:C,),0)</f>
        <v>732.43</v>
      </c>
      <c r="E382" s="70" t="e">
        <f>SUMIF(#REF!,'Compilado 2023 (2)'!$B:$B,#REF!)</f>
        <v>#REF!</v>
      </c>
      <c r="F382" s="70">
        <v>0</v>
      </c>
      <c r="G382" s="70">
        <f ca="1">_xlfn.XLOOKUP(B:B,'E-mail'!A:A,'E-mail'!C:C)</f>
        <v>51.612903225806448</v>
      </c>
      <c r="H382" s="70">
        <f>IFERROR(_xlfn.XLOOKUP($B:$B,#REF!,#REF!),0)</f>
        <v>0</v>
      </c>
      <c r="I382" s="70">
        <v>0</v>
      </c>
      <c r="J382" s="70">
        <v>0</v>
      </c>
      <c r="K382" s="70">
        <v>0</v>
      </c>
      <c r="L382" s="57"/>
      <c r="M382" s="70">
        <v>0</v>
      </c>
      <c r="N382" s="70">
        <v>0</v>
      </c>
      <c r="O382" s="70">
        <v>0</v>
      </c>
      <c r="P382" s="38"/>
      <c r="Q382" s="40"/>
    </row>
    <row r="383" spans="1:17" s="2" customFormat="1" x14ac:dyDescent="0.2">
      <c r="A383" s="16" t="str">
        <f t="shared" si="10"/>
        <v>segunda-feira</v>
      </c>
      <c r="B383" s="17">
        <f t="shared" si="11"/>
        <v>44942</v>
      </c>
      <c r="C383" s="52">
        <f>IFERROR(_xlfn.XLOOKUP($B:$B,'Estatísticos Mensais'!$A:$A,'Estatísticos Mensais'!C:C),0)</f>
        <v>51975.040000000001</v>
      </c>
      <c r="D383" s="69">
        <f>IFERROR(_xlfn.XLOOKUP($B:$B,Google!A:A,Google!C:C,),0)</f>
        <v>857.78</v>
      </c>
      <c r="E383" s="70" t="e">
        <f>SUMIF(#REF!,'Compilado 2023 (2)'!$B:$B,#REF!)</f>
        <v>#REF!</v>
      </c>
      <c r="F383" s="70">
        <v>0</v>
      </c>
      <c r="G383" s="70">
        <f ca="1">_xlfn.XLOOKUP(B:B,'E-mail'!A:A,'E-mail'!C:C)</f>
        <v>51.612903225806448</v>
      </c>
      <c r="H383" s="70">
        <f>IFERROR(_xlfn.XLOOKUP($B:$B,#REF!,#REF!),0)</f>
        <v>0</v>
      </c>
      <c r="I383" s="70">
        <v>0</v>
      </c>
      <c r="J383" s="70">
        <v>0</v>
      </c>
      <c r="K383" s="70">
        <v>0</v>
      </c>
      <c r="L383" s="57"/>
      <c r="M383" s="70">
        <v>0</v>
      </c>
      <c r="N383" s="70">
        <v>0</v>
      </c>
      <c r="O383" s="70">
        <v>0</v>
      </c>
      <c r="P383" s="38"/>
      <c r="Q383" s="40"/>
    </row>
    <row r="384" spans="1:17" s="2" customFormat="1" x14ac:dyDescent="0.2">
      <c r="A384" s="16" t="str">
        <f t="shared" si="10"/>
        <v>terça-feira</v>
      </c>
      <c r="B384" s="17">
        <f t="shared" si="11"/>
        <v>44943</v>
      </c>
      <c r="C384" s="52">
        <f>IFERROR(_xlfn.XLOOKUP($B:$B,'Estatísticos Mensais'!$A:$A,'Estatísticos Mensais'!C:C),0)</f>
        <v>50459.519999999997</v>
      </c>
      <c r="D384" s="69">
        <f>IFERROR(_xlfn.XLOOKUP($B:$B,Google!A:A,Google!C:C,),0)</f>
        <v>1118.21</v>
      </c>
      <c r="E384" s="70" t="e">
        <f>SUMIF(#REF!,'Compilado 2023 (2)'!$B:$B,#REF!)</f>
        <v>#REF!</v>
      </c>
      <c r="F384" s="70">
        <v>0</v>
      </c>
      <c r="G384" s="70">
        <f ca="1">_xlfn.XLOOKUP(B:B,'E-mail'!A:A,'E-mail'!C:C)</f>
        <v>51.612903225806448</v>
      </c>
      <c r="H384" s="70">
        <f>IFERROR(_xlfn.XLOOKUP($B:$B,#REF!,#REF!),0)</f>
        <v>0</v>
      </c>
      <c r="I384" s="70">
        <v>0</v>
      </c>
      <c r="J384" s="70">
        <v>0</v>
      </c>
      <c r="K384" s="70">
        <v>0</v>
      </c>
      <c r="L384" s="57"/>
      <c r="M384" s="70">
        <v>0</v>
      </c>
      <c r="N384" s="70">
        <v>0</v>
      </c>
      <c r="O384" s="70">
        <v>0</v>
      </c>
      <c r="P384" s="38"/>
      <c r="Q384" s="40"/>
    </row>
    <row r="385" spans="1:17" s="2" customFormat="1" x14ac:dyDescent="0.2">
      <c r="A385" s="16" t="str">
        <f t="shared" si="10"/>
        <v>quarta-feira</v>
      </c>
      <c r="B385" s="17">
        <f t="shared" si="11"/>
        <v>44944</v>
      </c>
      <c r="C385" s="52">
        <f>IFERROR(_xlfn.XLOOKUP($B:$B,'Estatísticos Mensais'!$A:$A,'Estatísticos Mensais'!C:C),0)</f>
        <v>41522.589999999997</v>
      </c>
      <c r="D385" s="69">
        <f>IFERROR(_xlfn.XLOOKUP($B:$B,Google!A:A,Google!C:C,),0)</f>
        <v>1777.04</v>
      </c>
      <c r="E385" s="70" t="e">
        <f>SUMIF(#REF!,'Compilado 2023 (2)'!$B:$B,#REF!)</f>
        <v>#REF!</v>
      </c>
      <c r="F385" s="70">
        <v>0</v>
      </c>
      <c r="G385" s="70">
        <f ca="1">_xlfn.XLOOKUP(B:B,'E-mail'!A:A,'E-mail'!C:C)</f>
        <v>51.612903225806448</v>
      </c>
      <c r="H385" s="70">
        <f>IFERROR(_xlfn.XLOOKUP($B:$B,#REF!,#REF!),0)</f>
        <v>0</v>
      </c>
      <c r="I385" s="70">
        <v>0</v>
      </c>
      <c r="J385" s="70">
        <v>0</v>
      </c>
      <c r="K385" s="70">
        <v>0</v>
      </c>
      <c r="L385" s="57"/>
      <c r="M385" s="70">
        <v>0</v>
      </c>
      <c r="N385" s="70">
        <v>0</v>
      </c>
      <c r="O385" s="70">
        <v>0</v>
      </c>
      <c r="P385" s="38"/>
      <c r="Q385" s="40"/>
    </row>
    <row r="386" spans="1:17" s="2" customFormat="1" x14ac:dyDescent="0.2">
      <c r="A386" s="16" t="str">
        <f t="shared" si="10"/>
        <v>quinta-feira</v>
      </c>
      <c r="B386" s="17">
        <f t="shared" si="11"/>
        <v>44945</v>
      </c>
      <c r="C386" s="52">
        <f>IFERROR(_xlfn.XLOOKUP($B:$B,'Estatísticos Mensais'!$A:$A,'Estatísticos Mensais'!C:C),0)</f>
        <v>48554.23</v>
      </c>
      <c r="D386" s="69">
        <f>IFERROR(_xlfn.XLOOKUP($B:$B,Google!A:A,Google!C:C,),0)</f>
        <v>722.46</v>
      </c>
      <c r="E386" s="70" t="e">
        <f>SUMIF(#REF!,'Compilado 2023 (2)'!$B:$B,#REF!)</f>
        <v>#REF!</v>
      </c>
      <c r="F386" s="70">
        <v>0</v>
      </c>
      <c r="G386" s="70">
        <f ca="1">_xlfn.XLOOKUP(B:B,'E-mail'!A:A,'E-mail'!C:C)</f>
        <v>51.612903225806448</v>
      </c>
      <c r="H386" s="70">
        <f>IFERROR(_xlfn.XLOOKUP($B:$B,#REF!,#REF!),0)</f>
        <v>0</v>
      </c>
      <c r="I386" s="70">
        <v>0</v>
      </c>
      <c r="J386" s="70">
        <v>0</v>
      </c>
      <c r="K386" s="70">
        <v>0</v>
      </c>
      <c r="L386" s="57"/>
      <c r="M386" s="70">
        <v>0</v>
      </c>
      <c r="N386" s="70">
        <v>0</v>
      </c>
      <c r="O386" s="70">
        <v>0</v>
      </c>
      <c r="P386" s="38"/>
      <c r="Q386" s="40"/>
    </row>
    <row r="387" spans="1:17" s="2" customFormat="1" x14ac:dyDescent="0.2">
      <c r="A387" s="16" t="str">
        <f t="shared" ref="A387:A450" si="12">TEXT(B387,"DDDD")</f>
        <v>sexta-feira</v>
      </c>
      <c r="B387" s="17">
        <f t="shared" si="11"/>
        <v>44946</v>
      </c>
      <c r="C387" s="52">
        <f>IFERROR(_xlfn.XLOOKUP($B:$B,'Estatísticos Mensais'!$A:$A,'Estatísticos Mensais'!C:C),0)</f>
        <v>47358.7</v>
      </c>
      <c r="D387" s="69">
        <f>IFERROR(_xlfn.XLOOKUP($B:$B,Google!A:A,Google!C:C,),0)</f>
        <v>719.38</v>
      </c>
      <c r="E387" s="70" t="e">
        <f>SUMIF(#REF!,'Compilado 2023 (2)'!$B:$B,#REF!)</f>
        <v>#REF!</v>
      </c>
      <c r="F387" s="70">
        <v>0</v>
      </c>
      <c r="G387" s="70">
        <f ca="1">_xlfn.XLOOKUP(B:B,'E-mail'!A:A,'E-mail'!C:C)</f>
        <v>51.612903225806448</v>
      </c>
      <c r="H387" s="70">
        <f>IFERROR(_xlfn.XLOOKUP($B:$B,#REF!,#REF!),0)</f>
        <v>0</v>
      </c>
      <c r="I387" s="70">
        <v>0</v>
      </c>
      <c r="J387" s="70">
        <v>0</v>
      </c>
      <c r="K387" s="70">
        <v>0</v>
      </c>
      <c r="L387" s="57"/>
      <c r="M387" s="70">
        <v>0</v>
      </c>
      <c r="N387" s="70">
        <v>0</v>
      </c>
      <c r="O387" s="70">
        <v>0</v>
      </c>
      <c r="P387" s="38"/>
      <c r="Q387" s="40"/>
    </row>
    <row r="388" spans="1:17" s="2" customFormat="1" x14ac:dyDescent="0.2">
      <c r="A388" s="16" t="str">
        <f t="shared" si="12"/>
        <v>sábado</v>
      </c>
      <c r="B388" s="17">
        <f t="shared" si="11"/>
        <v>44947</v>
      </c>
      <c r="C388" s="52">
        <f>IFERROR(_xlfn.XLOOKUP($B:$B,'Estatísticos Mensais'!$A:$A,'Estatísticos Mensais'!C:C),0)</f>
        <v>28997.52</v>
      </c>
      <c r="D388" s="69">
        <f>IFERROR(_xlfn.XLOOKUP($B:$B,Google!A:A,Google!C:C,),0)</f>
        <v>738.61</v>
      </c>
      <c r="E388" s="70" t="e">
        <f>SUMIF(#REF!,'Compilado 2023 (2)'!$B:$B,#REF!)</f>
        <v>#REF!</v>
      </c>
      <c r="F388" s="70">
        <v>0</v>
      </c>
      <c r="G388" s="70">
        <f ca="1">_xlfn.XLOOKUP(B:B,'E-mail'!A:A,'E-mail'!C:C)</f>
        <v>51.612903225806448</v>
      </c>
      <c r="H388" s="70">
        <f>IFERROR(_xlfn.XLOOKUP($B:$B,#REF!,#REF!),0)</f>
        <v>0</v>
      </c>
      <c r="I388" s="70">
        <v>0</v>
      </c>
      <c r="J388" s="70">
        <v>0</v>
      </c>
      <c r="K388" s="70">
        <v>0</v>
      </c>
      <c r="L388" s="57"/>
      <c r="M388" s="70">
        <v>0</v>
      </c>
      <c r="N388" s="70">
        <v>0</v>
      </c>
      <c r="O388" s="70">
        <v>0</v>
      </c>
      <c r="P388" s="38"/>
      <c r="Q388" s="40"/>
    </row>
    <row r="389" spans="1:17" s="2" customFormat="1" x14ac:dyDescent="0.2">
      <c r="A389" s="16" t="str">
        <f t="shared" si="12"/>
        <v>domingo</v>
      </c>
      <c r="B389" s="17">
        <f t="shared" ref="B389:B452" si="13">B388+1</f>
        <v>44948</v>
      </c>
      <c r="C389" s="52">
        <f>IFERROR(_xlfn.XLOOKUP($B:$B,'Estatísticos Mensais'!$A:$A,'Estatísticos Mensais'!C:C),0)</f>
        <v>21080.97</v>
      </c>
      <c r="D389" s="69">
        <f>IFERROR(_xlfn.XLOOKUP($B:$B,Google!A:A,Google!C:C,),0)</f>
        <v>496.73</v>
      </c>
      <c r="E389" s="70" t="e">
        <f>SUMIF(#REF!,'Compilado 2023 (2)'!$B:$B,#REF!)</f>
        <v>#REF!</v>
      </c>
      <c r="F389" s="70">
        <v>0</v>
      </c>
      <c r="G389" s="70">
        <f ca="1">_xlfn.XLOOKUP(B:B,'E-mail'!A:A,'E-mail'!C:C)</f>
        <v>51.612903225806448</v>
      </c>
      <c r="H389" s="70">
        <f>IFERROR(_xlfn.XLOOKUP($B:$B,#REF!,#REF!),0)</f>
        <v>0</v>
      </c>
      <c r="I389" s="70">
        <v>0</v>
      </c>
      <c r="J389" s="70">
        <v>0</v>
      </c>
      <c r="K389" s="70">
        <v>0</v>
      </c>
      <c r="L389" s="57"/>
      <c r="M389" s="70">
        <v>0</v>
      </c>
      <c r="N389" s="70">
        <v>0</v>
      </c>
      <c r="O389" s="70">
        <v>0</v>
      </c>
      <c r="P389" s="38"/>
      <c r="Q389" s="40"/>
    </row>
    <row r="390" spans="1:17" s="2" customFormat="1" x14ac:dyDescent="0.2">
      <c r="A390" s="16" t="str">
        <f t="shared" si="12"/>
        <v>segunda-feira</v>
      </c>
      <c r="B390" s="17">
        <f t="shared" si="13"/>
        <v>44949</v>
      </c>
      <c r="C390" s="52">
        <f>IFERROR(_xlfn.XLOOKUP($B:$B,'Estatísticos Mensais'!$A:$A,'Estatísticos Mensais'!C:C),0)</f>
        <v>41285.769999999997</v>
      </c>
      <c r="D390" s="69">
        <f>IFERROR(_xlfn.XLOOKUP($B:$B,Google!A:A,Google!C:C,),0)</f>
        <v>353.74</v>
      </c>
      <c r="E390" s="70" t="e">
        <f>SUMIF(#REF!,'Compilado 2023 (2)'!$B:$B,#REF!)</f>
        <v>#REF!</v>
      </c>
      <c r="F390" s="70">
        <v>0</v>
      </c>
      <c r="G390" s="70">
        <f ca="1">_xlfn.XLOOKUP(B:B,'E-mail'!A:A,'E-mail'!C:C)</f>
        <v>51.612903225806448</v>
      </c>
      <c r="H390" s="70">
        <f>IFERROR(_xlfn.XLOOKUP($B:$B,#REF!,#REF!),0)</f>
        <v>0</v>
      </c>
      <c r="I390" s="70">
        <v>0</v>
      </c>
      <c r="J390" s="70">
        <v>0</v>
      </c>
      <c r="K390" s="70">
        <v>0</v>
      </c>
      <c r="L390" s="57"/>
      <c r="M390" s="70">
        <v>0</v>
      </c>
      <c r="N390" s="70">
        <v>0</v>
      </c>
      <c r="O390" s="70">
        <v>0</v>
      </c>
      <c r="P390" s="38"/>
      <c r="Q390" s="40"/>
    </row>
    <row r="391" spans="1:17" s="2" customFormat="1" x14ac:dyDescent="0.2">
      <c r="A391" s="16" t="str">
        <f t="shared" si="12"/>
        <v>terça-feira</v>
      </c>
      <c r="B391" s="17">
        <f t="shared" si="13"/>
        <v>44950</v>
      </c>
      <c r="C391" s="52">
        <f>IFERROR(_xlfn.XLOOKUP($B:$B,'Estatísticos Mensais'!$A:$A,'Estatísticos Mensais'!C:C),0)</f>
        <v>37563.42</v>
      </c>
      <c r="D391" s="69">
        <f>IFERROR(_xlfn.XLOOKUP($B:$B,Google!A:A,Google!C:C,),0)</f>
        <v>374.54</v>
      </c>
      <c r="E391" s="70" t="e">
        <f>SUMIF(#REF!,'Compilado 2023 (2)'!$B:$B,#REF!)</f>
        <v>#REF!</v>
      </c>
      <c r="F391" s="70">
        <v>0</v>
      </c>
      <c r="G391" s="70">
        <f ca="1">_xlfn.XLOOKUP(B:B,'E-mail'!A:A,'E-mail'!C:C)</f>
        <v>51.612903225806448</v>
      </c>
      <c r="H391" s="70">
        <f>IFERROR(_xlfn.XLOOKUP($B:$B,#REF!,#REF!),0)</f>
        <v>0</v>
      </c>
      <c r="I391" s="70">
        <v>0</v>
      </c>
      <c r="J391" s="70">
        <v>0</v>
      </c>
      <c r="K391" s="70">
        <v>0</v>
      </c>
      <c r="L391" s="57"/>
      <c r="M391" s="70">
        <v>0</v>
      </c>
      <c r="N391" s="70">
        <v>0</v>
      </c>
      <c r="O391" s="70">
        <v>0</v>
      </c>
      <c r="P391" s="38"/>
      <c r="Q391" s="40"/>
    </row>
    <row r="392" spans="1:17" s="2" customFormat="1" x14ac:dyDescent="0.2">
      <c r="A392" s="16" t="str">
        <f t="shared" si="12"/>
        <v>quarta-feira</v>
      </c>
      <c r="B392" s="17">
        <f t="shared" si="13"/>
        <v>44951</v>
      </c>
      <c r="C392" s="52">
        <f>IFERROR(_xlfn.XLOOKUP($B:$B,'Estatísticos Mensais'!$A:$A,'Estatísticos Mensais'!C:C),0)</f>
        <v>30697.73</v>
      </c>
      <c r="D392" s="69">
        <f>IFERROR(_xlfn.XLOOKUP($B:$B,Google!A:A,Google!C:C,),0)</f>
        <v>415.31</v>
      </c>
      <c r="E392" s="70" t="e">
        <f>SUMIF(#REF!,'Compilado 2023 (2)'!$B:$B,#REF!)</f>
        <v>#REF!</v>
      </c>
      <c r="F392" s="70">
        <v>0</v>
      </c>
      <c r="G392" s="70">
        <f ca="1">_xlfn.XLOOKUP(B:B,'E-mail'!A:A,'E-mail'!C:C)</f>
        <v>51.612903225806448</v>
      </c>
      <c r="H392" s="70">
        <f>IFERROR(_xlfn.XLOOKUP($B:$B,#REF!,#REF!),0)</f>
        <v>0</v>
      </c>
      <c r="I392" s="70">
        <v>0</v>
      </c>
      <c r="J392" s="70">
        <v>0</v>
      </c>
      <c r="K392" s="70">
        <v>0</v>
      </c>
      <c r="L392" s="57"/>
      <c r="M392" s="70">
        <v>0</v>
      </c>
      <c r="N392" s="70">
        <v>0</v>
      </c>
      <c r="O392" s="70">
        <v>0</v>
      </c>
      <c r="P392" s="38"/>
      <c r="Q392" s="40"/>
    </row>
    <row r="393" spans="1:17" s="2" customFormat="1" x14ac:dyDescent="0.2">
      <c r="A393" s="16" t="str">
        <f t="shared" si="12"/>
        <v>quinta-feira</v>
      </c>
      <c r="B393" s="17">
        <f t="shared" si="13"/>
        <v>44952</v>
      </c>
      <c r="C393" s="52">
        <f>IFERROR(_xlfn.XLOOKUP($B:$B,'Estatísticos Mensais'!$A:$A,'Estatísticos Mensais'!C:C),0)</f>
        <v>43594.71</v>
      </c>
      <c r="D393" s="69">
        <f>IFERROR(_xlfn.XLOOKUP($B:$B,Google!A:A,Google!C:C,),0)</f>
        <v>556.47</v>
      </c>
      <c r="E393" s="70" t="e">
        <f>SUMIF(#REF!,'Compilado 2023 (2)'!$B:$B,#REF!)</f>
        <v>#REF!</v>
      </c>
      <c r="F393" s="70">
        <v>0</v>
      </c>
      <c r="G393" s="70">
        <f ca="1">_xlfn.XLOOKUP(B:B,'E-mail'!A:A,'E-mail'!C:C)</f>
        <v>51.612903225806448</v>
      </c>
      <c r="H393" s="70">
        <f>IFERROR(_xlfn.XLOOKUP($B:$B,#REF!,#REF!),0)</f>
        <v>0</v>
      </c>
      <c r="I393" s="70">
        <v>0</v>
      </c>
      <c r="J393" s="70">
        <v>0</v>
      </c>
      <c r="K393" s="70">
        <v>0</v>
      </c>
      <c r="L393" s="57"/>
      <c r="M393" s="70">
        <v>0</v>
      </c>
      <c r="N393" s="70">
        <v>0</v>
      </c>
      <c r="O393" s="70">
        <v>0</v>
      </c>
      <c r="P393" s="38"/>
      <c r="Q393" s="40"/>
    </row>
    <row r="394" spans="1:17" s="2" customFormat="1" x14ac:dyDescent="0.2">
      <c r="A394" s="16" t="str">
        <f t="shared" si="12"/>
        <v>sexta-feira</v>
      </c>
      <c r="B394" s="17">
        <f t="shared" si="13"/>
        <v>44953</v>
      </c>
      <c r="C394" s="52">
        <f>IFERROR(_xlfn.XLOOKUP($B:$B,'Estatísticos Mensais'!$A:$A,'Estatísticos Mensais'!C:C),0)</f>
        <v>49211.27</v>
      </c>
      <c r="D394" s="69">
        <f>IFERROR(_xlfn.XLOOKUP($B:$B,Google!A:A,Google!C:C,),0)</f>
        <v>533.99</v>
      </c>
      <c r="E394" s="70" t="e">
        <f>SUMIF(#REF!,'Compilado 2023 (2)'!$B:$B,#REF!)</f>
        <v>#REF!</v>
      </c>
      <c r="F394" s="70">
        <v>0</v>
      </c>
      <c r="G394" s="70">
        <f ca="1">_xlfn.XLOOKUP(B:B,'E-mail'!A:A,'E-mail'!C:C)</f>
        <v>51.612903225806448</v>
      </c>
      <c r="H394" s="70">
        <f>IFERROR(_xlfn.XLOOKUP($B:$B,#REF!,#REF!),0)</f>
        <v>0</v>
      </c>
      <c r="I394" s="70">
        <v>0</v>
      </c>
      <c r="J394" s="70">
        <v>0</v>
      </c>
      <c r="K394" s="70">
        <v>0</v>
      </c>
      <c r="L394" s="57"/>
      <c r="M394" s="70">
        <v>0</v>
      </c>
      <c r="N394" s="70">
        <v>0</v>
      </c>
      <c r="O394" s="70">
        <v>0</v>
      </c>
      <c r="P394" s="38"/>
      <c r="Q394" s="40"/>
    </row>
    <row r="395" spans="1:17" s="2" customFormat="1" x14ac:dyDescent="0.2">
      <c r="A395" s="16" t="str">
        <f t="shared" si="12"/>
        <v>sábado</v>
      </c>
      <c r="B395" s="17">
        <f t="shared" si="13"/>
        <v>44954</v>
      </c>
      <c r="C395" s="52">
        <f>IFERROR(_xlfn.XLOOKUP($B:$B,'Estatísticos Mensais'!$A:$A,'Estatísticos Mensais'!C:C),0)</f>
        <v>30886.31</v>
      </c>
      <c r="D395" s="69">
        <f>IFERROR(_xlfn.XLOOKUP($B:$B,Google!A:A,Google!C:C,),0)</f>
        <v>499.27</v>
      </c>
      <c r="E395" s="70" t="e">
        <f>SUMIF(#REF!,'Compilado 2023 (2)'!$B:$B,#REF!)</f>
        <v>#REF!</v>
      </c>
      <c r="F395" s="70">
        <v>0</v>
      </c>
      <c r="G395" s="70">
        <f ca="1">_xlfn.XLOOKUP(B:B,'E-mail'!A:A,'E-mail'!C:C)</f>
        <v>51.612903225806448</v>
      </c>
      <c r="H395" s="70">
        <f>IFERROR(_xlfn.XLOOKUP($B:$B,#REF!,#REF!),0)</f>
        <v>0</v>
      </c>
      <c r="I395" s="70">
        <v>0</v>
      </c>
      <c r="J395" s="70">
        <v>0</v>
      </c>
      <c r="K395" s="70">
        <v>0</v>
      </c>
      <c r="L395" s="57"/>
      <c r="M395" s="70">
        <v>0</v>
      </c>
      <c r="N395" s="70">
        <v>0</v>
      </c>
      <c r="O395" s="70">
        <v>0</v>
      </c>
      <c r="P395" s="38"/>
      <c r="Q395" s="40"/>
    </row>
    <row r="396" spans="1:17" s="2" customFormat="1" x14ac:dyDescent="0.2">
      <c r="A396" s="16" t="str">
        <f t="shared" si="12"/>
        <v>domingo</v>
      </c>
      <c r="B396" s="17">
        <f t="shared" si="13"/>
        <v>44955</v>
      </c>
      <c r="C396" s="52">
        <f>IFERROR(_xlfn.XLOOKUP($B:$B,'Estatísticos Mensais'!$A:$A,'Estatísticos Mensais'!C:C),0)</f>
        <v>34177.75</v>
      </c>
      <c r="D396" s="69">
        <f>IFERROR(_xlfn.XLOOKUP($B:$B,Google!A:A,Google!C:C,),0)</f>
        <v>380.31</v>
      </c>
      <c r="E396" s="70" t="e">
        <f>SUMIF(#REF!,'Compilado 2023 (2)'!$B:$B,#REF!)</f>
        <v>#REF!</v>
      </c>
      <c r="F396" s="70">
        <v>0</v>
      </c>
      <c r="G396" s="70">
        <f ca="1">_xlfn.XLOOKUP(B:B,'E-mail'!A:A,'E-mail'!C:C)</f>
        <v>51.612903225806448</v>
      </c>
      <c r="H396" s="70">
        <f>IFERROR(_xlfn.XLOOKUP($B:$B,#REF!,#REF!),0)</f>
        <v>0</v>
      </c>
      <c r="I396" s="70">
        <v>0</v>
      </c>
      <c r="J396" s="70">
        <v>0</v>
      </c>
      <c r="K396" s="70">
        <v>0</v>
      </c>
      <c r="L396" s="57"/>
      <c r="M396" s="70">
        <v>0</v>
      </c>
      <c r="N396" s="70">
        <v>0</v>
      </c>
      <c r="O396" s="70">
        <v>0</v>
      </c>
      <c r="P396" s="38"/>
      <c r="Q396" s="40"/>
    </row>
    <row r="397" spans="1:17" s="2" customFormat="1" x14ac:dyDescent="0.2">
      <c r="A397" s="16" t="str">
        <f t="shared" si="12"/>
        <v>segunda-feira</v>
      </c>
      <c r="B397" s="17">
        <f t="shared" si="13"/>
        <v>44956</v>
      </c>
      <c r="C397" s="52">
        <f>IFERROR(_xlfn.XLOOKUP($B:$B,'Estatísticos Mensais'!$A:$A,'Estatísticos Mensais'!C:C),0)</f>
        <v>41810.53</v>
      </c>
      <c r="D397" s="69">
        <f>IFERROR(_xlfn.XLOOKUP($B:$B,Google!A:A,Google!C:C,),0)</f>
        <v>338.42</v>
      </c>
      <c r="E397" s="70" t="e">
        <f>SUMIF(#REF!,'Compilado 2023 (2)'!$B:$B,#REF!)</f>
        <v>#REF!</v>
      </c>
      <c r="F397" s="70">
        <v>0</v>
      </c>
      <c r="G397" s="70">
        <f ca="1">_xlfn.XLOOKUP(B:B,'E-mail'!A:A,'E-mail'!C:C)</f>
        <v>51.612903225806448</v>
      </c>
      <c r="H397" s="70">
        <f>IFERROR(_xlfn.XLOOKUP($B:$B,#REF!,#REF!),0)</f>
        <v>0</v>
      </c>
      <c r="I397" s="70">
        <v>0</v>
      </c>
      <c r="J397" s="70">
        <v>0</v>
      </c>
      <c r="K397" s="70">
        <v>0</v>
      </c>
      <c r="L397" s="57"/>
      <c r="M397" s="70">
        <v>0</v>
      </c>
      <c r="N397" s="70">
        <v>0</v>
      </c>
      <c r="O397" s="70">
        <v>0</v>
      </c>
      <c r="P397" s="38"/>
      <c r="Q397" s="40"/>
    </row>
    <row r="398" spans="1:17" s="2" customFormat="1" x14ac:dyDescent="0.2">
      <c r="A398" s="16" t="str">
        <f t="shared" si="12"/>
        <v>terça-feira</v>
      </c>
      <c r="B398" s="17">
        <f t="shared" si="13"/>
        <v>44957</v>
      </c>
      <c r="C398" s="52">
        <f>IFERROR(_xlfn.XLOOKUP($B:$B,'Estatísticos Mensais'!$A:$A,'Estatísticos Mensais'!C:C),0)</f>
        <v>44892.08</v>
      </c>
      <c r="D398" s="69">
        <f>IFERROR(_xlfn.XLOOKUP($B:$B,Google!A:A,Google!C:C,),0)</f>
        <v>596.05999999999995</v>
      </c>
      <c r="E398" s="70" t="e">
        <f>SUMIF(#REF!,'Compilado 2023 (2)'!$B:$B,#REF!)</f>
        <v>#REF!</v>
      </c>
      <c r="F398" s="70">
        <v>0</v>
      </c>
      <c r="G398" s="70">
        <f ca="1">_xlfn.XLOOKUP(B:B,'E-mail'!A:A,'E-mail'!C:C)</f>
        <v>51.612903225806448</v>
      </c>
      <c r="H398" s="70">
        <f>IFERROR(_xlfn.XLOOKUP($B:$B,#REF!,#REF!),0)</f>
        <v>0</v>
      </c>
      <c r="I398" s="70">
        <v>0</v>
      </c>
      <c r="J398" s="70">
        <v>0</v>
      </c>
      <c r="K398" s="70">
        <v>0</v>
      </c>
      <c r="L398" s="57"/>
      <c r="M398" s="70">
        <v>0</v>
      </c>
      <c r="N398" s="70">
        <v>0</v>
      </c>
      <c r="O398" s="70">
        <v>0</v>
      </c>
      <c r="P398" s="38"/>
      <c r="Q398" s="40"/>
    </row>
    <row r="399" spans="1:17" s="2" customFormat="1" x14ac:dyDescent="0.2">
      <c r="A399" s="16" t="str">
        <f t="shared" si="12"/>
        <v>quarta-feira</v>
      </c>
      <c r="B399" s="17">
        <f t="shared" si="13"/>
        <v>44958</v>
      </c>
      <c r="C399" s="52">
        <f>IFERROR(_xlfn.XLOOKUP($B:$B,'Estatísticos Mensais'!$A:$A,'Estatísticos Mensais'!C:C),0)</f>
        <v>53426.06</v>
      </c>
      <c r="D399" s="69">
        <f>IFERROR(_xlfn.XLOOKUP($B:$B,Google!A:A,Google!C:C,),0)</f>
        <v>489.19</v>
      </c>
      <c r="E399" s="70" t="e">
        <f>SUMIF(#REF!,'Compilado 2023 (2)'!$B:$B,#REF!)</f>
        <v>#REF!</v>
      </c>
      <c r="F399" s="70">
        <v>0</v>
      </c>
      <c r="G399" s="70">
        <f ca="1">_xlfn.XLOOKUP(B:B,'E-mail'!A:A,'E-mail'!C:C)</f>
        <v>57.142857142857146</v>
      </c>
      <c r="H399" s="70">
        <f>IFERROR(_xlfn.XLOOKUP($B:$B,#REF!,#REF!),0)</f>
        <v>0</v>
      </c>
      <c r="I399" s="70">
        <v>0</v>
      </c>
      <c r="J399" s="70">
        <v>0</v>
      </c>
      <c r="K399" s="70">
        <v>0</v>
      </c>
      <c r="L399" s="58"/>
      <c r="M399" s="70">
        <v>0</v>
      </c>
      <c r="N399" s="70">
        <v>0</v>
      </c>
      <c r="O399" s="70">
        <v>0</v>
      </c>
      <c r="P399" s="38"/>
      <c r="Q399" s="40"/>
    </row>
    <row r="400" spans="1:17" s="2" customFormat="1" x14ac:dyDescent="0.2">
      <c r="A400" s="16" t="str">
        <f t="shared" si="12"/>
        <v>quinta-feira</v>
      </c>
      <c r="B400" s="17">
        <f t="shared" si="13"/>
        <v>44959</v>
      </c>
      <c r="C400" s="52">
        <f>IFERROR(_xlfn.XLOOKUP($B:$B,'Estatísticos Mensais'!$A:$A,'Estatísticos Mensais'!C:C),0)</f>
        <v>50223.6</v>
      </c>
      <c r="D400" s="69">
        <f>IFERROR(_xlfn.XLOOKUP($B:$B,Google!A:A,Google!C:C,),0)</f>
        <v>658.46</v>
      </c>
      <c r="E400" s="70" t="e">
        <f>SUMIF(#REF!,'Compilado 2023 (2)'!$B:$B,#REF!)</f>
        <v>#REF!</v>
      </c>
      <c r="F400" s="70">
        <v>0</v>
      </c>
      <c r="G400" s="70">
        <f ca="1">_xlfn.XLOOKUP(B:B,'E-mail'!A:A,'E-mail'!C:C)</f>
        <v>57.142857142857146</v>
      </c>
      <c r="H400" s="70">
        <f>IFERROR(_xlfn.XLOOKUP($B:$B,#REF!,#REF!),0)</f>
        <v>0</v>
      </c>
      <c r="I400" s="70">
        <v>0</v>
      </c>
      <c r="J400" s="70">
        <v>0</v>
      </c>
      <c r="K400" s="70">
        <v>0</v>
      </c>
      <c r="L400" s="59"/>
      <c r="M400" s="70">
        <v>0</v>
      </c>
      <c r="N400" s="70">
        <v>0</v>
      </c>
      <c r="O400" s="70">
        <v>0</v>
      </c>
      <c r="P400" s="38"/>
      <c r="Q400" s="40"/>
    </row>
    <row r="401" spans="1:17" s="2" customFormat="1" ht="14.25" x14ac:dyDescent="0.2">
      <c r="A401" s="16" t="str">
        <f t="shared" si="12"/>
        <v>sexta-feira</v>
      </c>
      <c r="B401" s="17">
        <f t="shared" si="13"/>
        <v>44960</v>
      </c>
      <c r="C401" s="52">
        <f>IFERROR(_xlfn.XLOOKUP($B:$B,'Estatísticos Mensais'!$A:$A,'Estatísticos Mensais'!C:C),0)</f>
        <v>56820.639999999999</v>
      </c>
      <c r="D401" s="69">
        <f>IFERROR(_xlfn.XLOOKUP($B:$B,Google!A:A,Google!C:C,),0)</f>
        <v>796.55</v>
      </c>
      <c r="E401" s="70" t="e">
        <f>SUMIF(#REF!,'Compilado 2023 (2)'!$B:$B,#REF!)</f>
        <v>#REF!</v>
      </c>
      <c r="F401" s="70">
        <v>0</v>
      </c>
      <c r="G401" s="70">
        <f ca="1">_xlfn.XLOOKUP(B:B,'E-mail'!A:A,'E-mail'!C:C)</f>
        <v>57.142857142857146</v>
      </c>
      <c r="H401" s="70">
        <f>IFERROR(_xlfn.XLOOKUP($B:$B,#REF!,#REF!),0)</f>
        <v>0</v>
      </c>
      <c r="I401" s="70">
        <v>0</v>
      </c>
      <c r="J401" s="70">
        <v>0</v>
      </c>
      <c r="K401" s="70">
        <v>0</v>
      </c>
      <c r="L401" s="60"/>
      <c r="M401" s="70">
        <v>0</v>
      </c>
      <c r="N401" s="70">
        <v>0</v>
      </c>
      <c r="O401" s="70">
        <v>0</v>
      </c>
      <c r="P401" s="38"/>
      <c r="Q401" s="40"/>
    </row>
    <row r="402" spans="1:17" s="2" customFormat="1" ht="14.25" x14ac:dyDescent="0.2">
      <c r="A402" s="16" t="str">
        <f t="shared" si="12"/>
        <v>sábado</v>
      </c>
      <c r="B402" s="17">
        <f t="shared" si="13"/>
        <v>44961</v>
      </c>
      <c r="C402" s="52">
        <f>IFERROR(_xlfn.XLOOKUP($B:$B,'Estatísticos Mensais'!$A:$A,'Estatísticos Mensais'!C:C),0)</f>
        <v>34845.57</v>
      </c>
      <c r="D402" s="69">
        <f>IFERROR(_xlfn.XLOOKUP($B:$B,Google!A:A,Google!C:C,),0)</f>
        <v>704.94</v>
      </c>
      <c r="E402" s="70" t="e">
        <f>SUMIF(#REF!,'Compilado 2023 (2)'!$B:$B,#REF!)</f>
        <v>#REF!</v>
      </c>
      <c r="F402" s="70">
        <v>0</v>
      </c>
      <c r="G402" s="70">
        <f ca="1">_xlfn.XLOOKUP(B:B,'E-mail'!A:A,'E-mail'!C:C)</f>
        <v>57.142857142857146</v>
      </c>
      <c r="H402" s="70">
        <f>IFERROR(_xlfn.XLOOKUP($B:$B,#REF!,#REF!),0)</f>
        <v>0</v>
      </c>
      <c r="I402" s="70">
        <v>0</v>
      </c>
      <c r="J402" s="70">
        <v>0</v>
      </c>
      <c r="K402" s="70">
        <v>0</v>
      </c>
      <c r="L402" s="60"/>
      <c r="M402" s="70">
        <v>0</v>
      </c>
      <c r="N402" s="70">
        <v>0</v>
      </c>
      <c r="O402" s="70">
        <v>0</v>
      </c>
      <c r="P402" s="38"/>
      <c r="Q402" s="40"/>
    </row>
    <row r="403" spans="1:17" s="2" customFormat="1" x14ac:dyDescent="0.2">
      <c r="A403" s="16" t="str">
        <f t="shared" si="12"/>
        <v>domingo</v>
      </c>
      <c r="B403" s="17">
        <f t="shared" si="13"/>
        <v>44962</v>
      </c>
      <c r="C403" s="52">
        <f>IFERROR(_xlfn.XLOOKUP($B:$B,'Estatísticos Mensais'!$A:$A,'Estatísticos Mensais'!C:C),0)</f>
        <v>26623.71</v>
      </c>
      <c r="D403" s="69">
        <f>IFERROR(_xlfn.XLOOKUP($B:$B,Google!A:A,Google!C:C,),0)</f>
        <v>504.42</v>
      </c>
      <c r="E403" s="70" t="e">
        <f>SUMIF(#REF!,'Compilado 2023 (2)'!$B:$B,#REF!)</f>
        <v>#REF!</v>
      </c>
      <c r="F403" s="70">
        <v>0</v>
      </c>
      <c r="G403" s="70">
        <f ca="1">_xlfn.XLOOKUP(B:B,'E-mail'!A:A,'E-mail'!C:C)</f>
        <v>57.142857142857146</v>
      </c>
      <c r="H403" s="70">
        <f>IFERROR(_xlfn.XLOOKUP($B:$B,#REF!,#REF!),0)</f>
        <v>0</v>
      </c>
      <c r="I403" s="70">
        <v>0</v>
      </c>
      <c r="J403" s="70">
        <v>0</v>
      </c>
      <c r="K403" s="70">
        <v>0</v>
      </c>
      <c r="L403" s="59"/>
      <c r="M403" s="70">
        <v>0</v>
      </c>
      <c r="N403" s="70">
        <v>0</v>
      </c>
      <c r="O403" s="70">
        <v>0</v>
      </c>
      <c r="P403" s="38"/>
      <c r="Q403" s="40"/>
    </row>
    <row r="404" spans="1:17" s="2" customFormat="1" x14ac:dyDescent="0.2">
      <c r="A404" s="16" t="str">
        <f t="shared" si="12"/>
        <v>segunda-feira</v>
      </c>
      <c r="B404" s="17">
        <f t="shared" si="13"/>
        <v>44963</v>
      </c>
      <c r="C404" s="52">
        <f>IFERROR(_xlfn.XLOOKUP($B:$B,'Estatísticos Mensais'!$A:$A,'Estatísticos Mensais'!C:C),0)</f>
        <v>56135.29</v>
      </c>
      <c r="D404" s="69">
        <f>IFERROR(_xlfn.XLOOKUP($B:$B,Google!A:A,Google!C:C,),0)</f>
        <v>78.040000000000006</v>
      </c>
      <c r="E404" s="70" t="e">
        <f>SUMIF(#REF!,'Compilado 2023 (2)'!$B:$B,#REF!)</f>
        <v>#REF!</v>
      </c>
      <c r="F404" s="70">
        <v>0</v>
      </c>
      <c r="G404" s="70">
        <f ca="1">_xlfn.XLOOKUP(B:B,'E-mail'!A:A,'E-mail'!C:C)</f>
        <v>57.142857142857146</v>
      </c>
      <c r="H404" s="70">
        <f>IFERROR(_xlfn.XLOOKUP($B:$B,#REF!,#REF!),0)</f>
        <v>0</v>
      </c>
      <c r="I404" s="70">
        <v>0</v>
      </c>
      <c r="J404" s="70">
        <v>0</v>
      </c>
      <c r="K404" s="70">
        <v>0</v>
      </c>
      <c r="L404" s="59"/>
      <c r="M404" s="70">
        <v>0</v>
      </c>
      <c r="N404" s="70">
        <v>0</v>
      </c>
      <c r="O404" s="70">
        <v>0</v>
      </c>
      <c r="P404" s="38"/>
      <c r="Q404" s="40"/>
    </row>
    <row r="405" spans="1:17" s="2" customFormat="1" x14ac:dyDescent="0.2">
      <c r="A405" s="16" t="str">
        <f t="shared" si="12"/>
        <v>terça-feira</v>
      </c>
      <c r="B405" s="17">
        <f t="shared" si="13"/>
        <v>44964</v>
      </c>
      <c r="C405" s="52">
        <f>IFERROR(_xlfn.XLOOKUP($B:$B,'Estatísticos Mensais'!$A:$A,'Estatísticos Mensais'!C:C),0)</f>
        <v>58252.6</v>
      </c>
      <c r="D405" s="69">
        <f>IFERROR(_xlfn.XLOOKUP($B:$B,Google!A:A,Google!C:C,),0)</f>
        <v>108.64</v>
      </c>
      <c r="E405" s="70" t="e">
        <f>SUMIF(#REF!,'Compilado 2023 (2)'!$B:$B,#REF!)</f>
        <v>#REF!</v>
      </c>
      <c r="F405" s="70">
        <v>0</v>
      </c>
      <c r="G405" s="70">
        <f ca="1">_xlfn.XLOOKUP(B:B,'E-mail'!A:A,'E-mail'!C:C)</f>
        <v>57.142857142857146</v>
      </c>
      <c r="H405" s="70">
        <f>IFERROR(_xlfn.XLOOKUP($B:$B,#REF!,#REF!),0)</f>
        <v>0</v>
      </c>
      <c r="I405" s="70">
        <v>0</v>
      </c>
      <c r="J405" s="70">
        <v>0</v>
      </c>
      <c r="K405" s="70">
        <v>0</v>
      </c>
      <c r="L405" s="59"/>
      <c r="M405" s="70">
        <v>0</v>
      </c>
      <c r="N405" s="70">
        <v>0</v>
      </c>
      <c r="O405" s="70">
        <v>0</v>
      </c>
      <c r="P405" s="38"/>
      <c r="Q405" s="40"/>
    </row>
    <row r="406" spans="1:17" s="2" customFormat="1" x14ac:dyDescent="0.2">
      <c r="A406" s="16" t="str">
        <f t="shared" si="12"/>
        <v>quarta-feira</v>
      </c>
      <c r="B406" s="17">
        <f t="shared" si="13"/>
        <v>44965</v>
      </c>
      <c r="C406" s="52">
        <f>IFERROR(_xlfn.XLOOKUP($B:$B,'Estatísticos Mensais'!$A:$A,'Estatísticos Mensais'!C:C),0)</f>
        <v>54102.85</v>
      </c>
      <c r="D406" s="69">
        <f>IFERROR(_xlfn.XLOOKUP($B:$B,Google!A:A,Google!C:C,),0)</f>
        <v>474.2</v>
      </c>
      <c r="E406" s="70" t="e">
        <f>SUMIF(#REF!,'Compilado 2023 (2)'!$B:$B,#REF!)</f>
        <v>#REF!</v>
      </c>
      <c r="F406" s="70">
        <v>0</v>
      </c>
      <c r="G406" s="70">
        <f ca="1">_xlfn.XLOOKUP(B:B,'E-mail'!A:A,'E-mail'!C:C)</f>
        <v>57.142857142857146</v>
      </c>
      <c r="H406" s="70">
        <f>IFERROR(_xlfn.XLOOKUP($B:$B,#REF!,#REF!),0)</f>
        <v>0</v>
      </c>
      <c r="I406" s="70">
        <v>0</v>
      </c>
      <c r="J406" s="70">
        <v>0</v>
      </c>
      <c r="K406" s="70">
        <v>0</v>
      </c>
      <c r="L406" s="59"/>
      <c r="M406" s="70">
        <v>0</v>
      </c>
      <c r="N406" s="70">
        <v>0</v>
      </c>
      <c r="O406" s="70">
        <v>0</v>
      </c>
      <c r="P406" s="38"/>
      <c r="Q406" s="40"/>
    </row>
    <row r="407" spans="1:17" s="2" customFormat="1" x14ac:dyDescent="0.2">
      <c r="A407" s="16" t="str">
        <f t="shared" si="12"/>
        <v>quinta-feira</v>
      </c>
      <c r="B407" s="17">
        <f t="shared" si="13"/>
        <v>44966</v>
      </c>
      <c r="C407" s="52">
        <f>IFERROR(_xlfn.XLOOKUP($B:$B,'Estatísticos Mensais'!$A:$A,'Estatísticos Mensais'!C:C),0)</f>
        <v>59490.93</v>
      </c>
      <c r="D407" s="69">
        <f>IFERROR(_xlfn.XLOOKUP($B:$B,Google!A:A,Google!C:C,),0)</f>
        <v>984.16</v>
      </c>
      <c r="E407" s="70" t="e">
        <f>SUMIF(#REF!,'Compilado 2023 (2)'!$B:$B,#REF!)</f>
        <v>#REF!</v>
      </c>
      <c r="F407" s="70">
        <v>0</v>
      </c>
      <c r="G407" s="70">
        <f ca="1">_xlfn.XLOOKUP(B:B,'E-mail'!A:A,'E-mail'!C:C)</f>
        <v>57.142857142857146</v>
      </c>
      <c r="H407" s="70">
        <f>IFERROR(_xlfn.XLOOKUP($B:$B,#REF!,#REF!),0)</f>
        <v>0</v>
      </c>
      <c r="I407" s="70">
        <v>0</v>
      </c>
      <c r="J407" s="70">
        <v>0</v>
      </c>
      <c r="K407" s="70">
        <v>0</v>
      </c>
      <c r="L407" s="59"/>
      <c r="M407" s="70">
        <v>0</v>
      </c>
      <c r="N407" s="70">
        <v>0</v>
      </c>
      <c r="O407" s="70">
        <v>0</v>
      </c>
      <c r="P407" s="38"/>
      <c r="Q407" s="40"/>
    </row>
    <row r="408" spans="1:17" s="2" customFormat="1" ht="14.25" x14ac:dyDescent="0.2">
      <c r="A408" s="16" t="str">
        <f t="shared" si="12"/>
        <v>sexta-feira</v>
      </c>
      <c r="B408" s="17">
        <f t="shared" si="13"/>
        <v>44967</v>
      </c>
      <c r="C408" s="52">
        <f>IFERROR(_xlfn.XLOOKUP($B:$B,'Estatísticos Mensais'!$A:$A,'Estatísticos Mensais'!C:C),0)</f>
        <v>54685.72</v>
      </c>
      <c r="D408" s="69">
        <f>IFERROR(_xlfn.XLOOKUP($B:$B,Google!A:A,Google!C:C,),0)</f>
        <v>1263.3599999999999</v>
      </c>
      <c r="E408" s="70" t="e">
        <f>SUMIF(#REF!,'Compilado 2023 (2)'!$B:$B,#REF!)</f>
        <v>#REF!</v>
      </c>
      <c r="F408" s="70">
        <v>0</v>
      </c>
      <c r="G408" s="70">
        <f ca="1">_xlfn.XLOOKUP(B:B,'E-mail'!A:A,'E-mail'!C:C)</f>
        <v>57.142857142857146</v>
      </c>
      <c r="H408" s="70">
        <f>IFERROR(_xlfn.XLOOKUP($B:$B,#REF!,#REF!),0)</f>
        <v>0</v>
      </c>
      <c r="I408" s="70">
        <v>0</v>
      </c>
      <c r="J408" s="70">
        <v>0</v>
      </c>
      <c r="K408" s="70">
        <v>0</v>
      </c>
      <c r="L408" s="60"/>
      <c r="M408" s="70">
        <v>0</v>
      </c>
      <c r="N408" s="70">
        <v>0</v>
      </c>
      <c r="O408" s="70">
        <v>0</v>
      </c>
      <c r="P408" s="38"/>
      <c r="Q408" s="40"/>
    </row>
    <row r="409" spans="1:17" s="2" customFormat="1" ht="14.25" x14ac:dyDescent="0.2">
      <c r="A409" s="16" t="str">
        <f t="shared" si="12"/>
        <v>sábado</v>
      </c>
      <c r="B409" s="17">
        <f t="shared" si="13"/>
        <v>44968</v>
      </c>
      <c r="C409" s="52">
        <f>IFERROR(_xlfn.XLOOKUP($B:$B,'Estatísticos Mensais'!$A:$A,'Estatísticos Mensais'!C:C),0)</f>
        <v>34589.97</v>
      </c>
      <c r="D409" s="69">
        <f>IFERROR(_xlfn.XLOOKUP($B:$B,Google!A:A,Google!C:C,),0)</f>
        <v>732.43</v>
      </c>
      <c r="E409" s="70" t="e">
        <f>SUMIF(#REF!,'Compilado 2023 (2)'!$B:$B,#REF!)</f>
        <v>#REF!</v>
      </c>
      <c r="F409" s="70">
        <v>0</v>
      </c>
      <c r="G409" s="70">
        <f ca="1">_xlfn.XLOOKUP(B:B,'E-mail'!A:A,'E-mail'!C:C)</f>
        <v>57.142857142857146</v>
      </c>
      <c r="H409" s="70">
        <f>IFERROR(_xlfn.XLOOKUP($B:$B,#REF!,#REF!),0)</f>
        <v>0</v>
      </c>
      <c r="I409" s="70">
        <v>0</v>
      </c>
      <c r="J409" s="70">
        <v>0</v>
      </c>
      <c r="K409" s="70">
        <v>0</v>
      </c>
      <c r="L409" s="60"/>
      <c r="M409" s="70">
        <v>0</v>
      </c>
      <c r="N409" s="70">
        <v>0</v>
      </c>
      <c r="O409" s="70">
        <v>0</v>
      </c>
      <c r="P409" s="38"/>
      <c r="Q409" s="40"/>
    </row>
    <row r="410" spans="1:17" s="2" customFormat="1" x14ac:dyDescent="0.2">
      <c r="A410" s="16" t="str">
        <f t="shared" si="12"/>
        <v>domingo</v>
      </c>
      <c r="B410" s="17">
        <f t="shared" si="13"/>
        <v>44969</v>
      </c>
      <c r="C410" s="52">
        <f>IFERROR(_xlfn.XLOOKUP($B:$B,'Estatísticos Mensais'!$A:$A,'Estatísticos Mensais'!C:C),0)</f>
        <v>23175.759999999998</v>
      </c>
      <c r="D410" s="69">
        <f>IFERROR(_xlfn.XLOOKUP($B:$B,Google!A:A,Google!C:C,),0)</f>
        <v>857.78</v>
      </c>
      <c r="E410" s="70" t="e">
        <f>SUMIF(#REF!,'Compilado 2023 (2)'!$B:$B,#REF!)</f>
        <v>#REF!</v>
      </c>
      <c r="F410" s="70">
        <v>0</v>
      </c>
      <c r="G410" s="70">
        <f ca="1">_xlfn.XLOOKUP(B:B,'E-mail'!A:A,'E-mail'!C:C)</f>
        <v>57.142857142857146</v>
      </c>
      <c r="H410" s="70">
        <f>IFERROR(_xlfn.XLOOKUP($B:$B,#REF!,#REF!),0)</f>
        <v>0</v>
      </c>
      <c r="I410" s="70">
        <v>0</v>
      </c>
      <c r="J410" s="70">
        <v>0</v>
      </c>
      <c r="K410" s="70">
        <v>0</v>
      </c>
      <c r="L410" s="59"/>
      <c r="M410" s="70">
        <v>0</v>
      </c>
      <c r="N410" s="70">
        <v>0</v>
      </c>
      <c r="O410" s="70">
        <v>0</v>
      </c>
      <c r="P410" s="38"/>
      <c r="Q410" s="40"/>
    </row>
    <row r="411" spans="1:17" s="2" customFormat="1" x14ac:dyDescent="0.2">
      <c r="A411" s="16" t="str">
        <f t="shared" si="12"/>
        <v>segunda-feira</v>
      </c>
      <c r="B411" s="17">
        <f t="shared" si="13"/>
        <v>44970</v>
      </c>
      <c r="C411" s="52">
        <f>IFERROR(_xlfn.XLOOKUP($B:$B,'Estatísticos Mensais'!$A:$A,'Estatísticos Mensais'!C:C),0)</f>
        <v>56619.64</v>
      </c>
      <c r="D411" s="69">
        <f>IFERROR(_xlfn.XLOOKUP($B:$B,Google!A:A,Google!C:C,),0)</f>
        <v>1118.21</v>
      </c>
      <c r="E411" s="70" t="e">
        <f>SUMIF(#REF!,'Compilado 2023 (2)'!$B:$B,#REF!)</f>
        <v>#REF!</v>
      </c>
      <c r="F411" s="70">
        <v>0</v>
      </c>
      <c r="G411" s="70">
        <f ca="1">_xlfn.XLOOKUP(B:B,'E-mail'!A:A,'E-mail'!C:C)</f>
        <v>57.142857142857146</v>
      </c>
      <c r="H411" s="70">
        <f>IFERROR(_xlfn.XLOOKUP($B:$B,#REF!,#REF!),0)</f>
        <v>0</v>
      </c>
      <c r="I411" s="70">
        <v>0</v>
      </c>
      <c r="J411" s="70">
        <v>0</v>
      </c>
      <c r="K411" s="70">
        <v>0</v>
      </c>
      <c r="L411" s="59"/>
      <c r="M411" s="70">
        <v>0</v>
      </c>
      <c r="N411" s="70">
        <v>0</v>
      </c>
      <c r="O411" s="70">
        <v>0</v>
      </c>
      <c r="P411" s="38"/>
      <c r="Q411" s="40"/>
    </row>
    <row r="412" spans="1:17" s="2" customFormat="1" x14ac:dyDescent="0.2">
      <c r="A412" s="16" t="str">
        <f t="shared" si="12"/>
        <v>terça-feira</v>
      </c>
      <c r="B412" s="17">
        <f t="shared" si="13"/>
        <v>44971</v>
      </c>
      <c r="C412" s="52">
        <f>IFERROR(_xlfn.XLOOKUP($B:$B,'Estatísticos Mensais'!$A:$A,'Estatísticos Mensais'!C:C),0)</f>
        <v>74816.789999999994</v>
      </c>
      <c r="D412" s="69">
        <f>IFERROR(_xlfn.XLOOKUP($B:$B,Google!A:A,Google!C:C,),0)</f>
        <v>1777.04</v>
      </c>
      <c r="E412" s="70" t="e">
        <f>SUMIF(#REF!,'Compilado 2023 (2)'!$B:$B,#REF!)</f>
        <v>#REF!</v>
      </c>
      <c r="F412" s="70">
        <v>0</v>
      </c>
      <c r="G412" s="70">
        <f ca="1">_xlfn.XLOOKUP(B:B,'E-mail'!A:A,'E-mail'!C:C)</f>
        <v>57.142857142857146</v>
      </c>
      <c r="H412" s="70">
        <f>IFERROR(_xlfn.XLOOKUP($B:$B,#REF!,#REF!),0)</f>
        <v>0</v>
      </c>
      <c r="I412" s="70">
        <v>0</v>
      </c>
      <c r="J412" s="70">
        <v>0</v>
      </c>
      <c r="K412" s="70">
        <v>0</v>
      </c>
      <c r="L412" s="59"/>
      <c r="M412" s="70">
        <v>0</v>
      </c>
      <c r="N412" s="70">
        <v>0</v>
      </c>
      <c r="O412" s="70">
        <v>0</v>
      </c>
      <c r="P412" s="38"/>
      <c r="Q412" s="40"/>
    </row>
    <row r="413" spans="1:17" s="2" customFormat="1" x14ac:dyDescent="0.2">
      <c r="A413" s="16" t="str">
        <f t="shared" si="12"/>
        <v>quarta-feira</v>
      </c>
      <c r="B413" s="17">
        <f t="shared" si="13"/>
        <v>44972</v>
      </c>
      <c r="C413" s="52">
        <f>IFERROR(_xlfn.XLOOKUP($B:$B,'Estatísticos Mensais'!$A:$A,'Estatísticos Mensais'!C:C),0)</f>
        <v>87917.3</v>
      </c>
      <c r="D413" s="69">
        <f>IFERROR(_xlfn.XLOOKUP($B:$B,Google!A:A,Google!C:C,),0)</f>
        <v>722.46</v>
      </c>
      <c r="E413" s="70" t="e">
        <f>SUMIF(#REF!,'Compilado 2023 (2)'!$B:$B,#REF!)</f>
        <v>#REF!</v>
      </c>
      <c r="F413" s="70">
        <v>0</v>
      </c>
      <c r="G413" s="70">
        <f ca="1">_xlfn.XLOOKUP(B:B,'E-mail'!A:A,'E-mail'!C:C)</f>
        <v>57.142857142857146</v>
      </c>
      <c r="H413" s="70">
        <f>IFERROR(_xlfn.XLOOKUP($B:$B,#REF!,#REF!),0)</f>
        <v>0</v>
      </c>
      <c r="I413" s="70">
        <v>0</v>
      </c>
      <c r="J413" s="70">
        <v>0</v>
      </c>
      <c r="K413" s="70">
        <v>0</v>
      </c>
      <c r="L413" s="59"/>
      <c r="M413" s="70">
        <v>0</v>
      </c>
      <c r="N413" s="70">
        <v>0</v>
      </c>
      <c r="O413" s="70">
        <v>0</v>
      </c>
      <c r="P413" s="38"/>
      <c r="Q413" s="40"/>
    </row>
    <row r="414" spans="1:17" s="2" customFormat="1" x14ac:dyDescent="0.2">
      <c r="A414" s="16" t="str">
        <f t="shared" si="12"/>
        <v>quinta-feira</v>
      </c>
      <c r="B414" s="17">
        <f t="shared" si="13"/>
        <v>44973</v>
      </c>
      <c r="C414" s="52">
        <f>IFERROR(_xlfn.XLOOKUP($B:$B,'Estatísticos Mensais'!$A:$A,'Estatísticos Mensais'!C:C),0)</f>
        <v>62188.55</v>
      </c>
      <c r="D414" s="69">
        <f>IFERROR(_xlfn.XLOOKUP($B:$B,Google!A:A,Google!C:C,),0)</f>
        <v>719.38</v>
      </c>
      <c r="E414" s="70" t="e">
        <f>SUMIF(#REF!,'Compilado 2023 (2)'!$B:$B,#REF!)</f>
        <v>#REF!</v>
      </c>
      <c r="F414" s="70">
        <v>0</v>
      </c>
      <c r="G414" s="70">
        <f ca="1">_xlfn.XLOOKUP(B:B,'E-mail'!A:A,'E-mail'!C:C)</f>
        <v>57.142857142857146</v>
      </c>
      <c r="H414" s="70">
        <f>IFERROR(_xlfn.XLOOKUP($B:$B,#REF!,#REF!),0)</f>
        <v>0</v>
      </c>
      <c r="I414" s="70">
        <v>0</v>
      </c>
      <c r="J414" s="70">
        <v>0</v>
      </c>
      <c r="K414" s="70">
        <v>0</v>
      </c>
      <c r="L414" s="59"/>
      <c r="M414" s="70">
        <v>0</v>
      </c>
      <c r="N414" s="70">
        <v>0</v>
      </c>
      <c r="O414" s="70">
        <v>0</v>
      </c>
      <c r="P414" s="38"/>
      <c r="Q414" s="40"/>
    </row>
    <row r="415" spans="1:17" s="2" customFormat="1" x14ac:dyDescent="0.2">
      <c r="A415" s="16" t="str">
        <f t="shared" si="12"/>
        <v>sexta-feira</v>
      </c>
      <c r="B415" s="17">
        <f t="shared" si="13"/>
        <v>44974</v>
      </c>
      <c r="C415" s="52">
        <f>IFERROR(_xlfn.XLOOKUP($B:$B,'Estatísticos Mensais'!$A:$A,'Estatísticos Mensais'!C:C),0)</f>
        <v>57501.36</v>
      </c>
      <c r="D415" s="69">
        <f>IFERROR(_xlfn.XLOOKUP($B:$B,Google!A:A,Google!C:C,),0)</f>
        <v>738.61</v>
      </c>
      <c r="E415" s="70" t="e">
        <f>SUMIF(#REF!,'Compilado 2023 (2)'!$B:$B,#REF!)</f>
        <v>#REF!</v>
      </c>
      <c r="F415" s="70">
        <v>0</v>
      </c>
      <c r="G415" s="70">
        <f ca="1">_xlfn.XLOOKUP(B:B,'E-mail'!A:A,'E-mail'!C:C)</f>
        <v>57.142857142857146</v>
      </c>
      <c r="H415" s="70">
        <f>IFERROR(_xlfn.XLOOKUP($B:$B,#REF!,#REF!),0)</f>
        <v>0</v>
      </c>
      <c r="I415" s="70">
        <v>0</v>
      </c>
      <c r="J415" s="70">
        <v>0</v>
      </c>
      <c r="K415" s="70">
        <v>0</v>
      </c>
      <c r="L415" s="59"/>
      <c r="M415" s="70">
        <v>0</v>
      </c>
      <c r="N415" s="70">
        <v>0</v>
      </c>
      <c r="O415" s="70">
        <v>0</v>
      </c>
      <c r="P415" s="38"/>
      <c r="Q415" s="40"/>
    </row>
    <row r="416" spans="1:17" s="2" customFormat="1" x14ac:dyDescent="0.2">
      <c r="A416" s="16" t="str">
        <f t="shared" si="12"/>
        <v>sábado</v>
      </c>
      <c r="B416" s="17">
        <f t="shared" si="13"/>
        <v>44975</v>
      </c>
      <c r="C416" s="52">
        <f>IFERROR(_xlfn.XLOOKUP($B:$B,'Estatísticos Mensais'!$A:$A,'Estatísticos Mensais'!C:C),0)</f>
        <v>35821.769999999997</v>
      </c>
      <c r="D416" s="69">
        <f>IFERROR(_xlfn.XLOOKUP($B:$B,Google!A:A,Google!C:C,),0)</f>
        <v>496.73</v>
      </c>
      <c r="E416" s="70" t="e">
        <f>SUMIF(#REF!,'Compilado 2023 (2)'!$B:$B,#REF!)</f>
        <v>#REF!</v>
      </c>
      <c r="F416" s="70">
        <v>0</v>
      </c>
      <c r="G416" s="70">
        <f ca="1">_xlfn.XLOOKUP(B:B,'E-mail'!A:A,'E-mail'!C:C)</f>
        <v>57.142857142857146</v>
      </c>
      <c r="H416" s="70">
        <f>IFERROR(_xlfn.XLOOKUP($B:$B,#REF!,#REF!),0)</f>
        <v>0</v>
      </c>
      <c r="I416" s="70">
        <v>0</v>
      </c>
      <c r="J416" s="70">
        <v>0</v>
      </c>
      <c r="K416" s="70">
        <v>0</v>
      </c>
      <c r="L416" s="59"/>
      <c r="M416" s="70">
        <v>0</v>
      </c>
      <c r="N416" s="70">
        <v>0</v>
      </c>
      <c r="O416" s="70">
        <v>0</v>
      </c>
      <c r="P416" s="38"/>
      <c r="Q416" s="40"/>
    </row>
    <row r="417" spans="1:17" s="2" customFormat="1" x14ac:dyDescent="0.2">
      <c r="A417" s="16" t="str">
        <f t="shared" si="12"/>
        <v>domingo</v>
      </c>
      <c r="B417" s="17">
        <f t="shared" si="13"/>
        <v>44976</v>
      </c>
      <c r="C417" s="52">
        <f>IFERROR(_xlfn.XLOOKUP($B:$B,'Estatísticos Mensais'!$A:$A,'Estatísticos Mensais'!C:C),0)</f>
        <v>14837.7</v>
      </c>
      <c r="D417" s="69">
        <f>IFERROR(_xlfn.XLOOKUP($B:$B,Google!A:A,Google!C:C,),0)</f>
        <v>353.74</v>
      </c>
      <c r="E417" s="70" t="e">
        <f>SUMIF(#REF!,'Compilado 2023 (2)'!$B:$B,#REF!)</f>
        <v>#REF!</v>
      </c>
      <c r="F417" s="70">
        <v>0</v>
      </c>
      <c r="G417" s="70">
        <f ca="1">_xlfn.XLOOKUP(B:B,'E-mail'!A:A,'E-mail'!C:C)</f>
        <v>57.142857142857146</v>
      </c>
      <c r="H417" s="70">
        <f>IFERROR(_xlfn.XLOOKUP($B:$B,#REF!,#REF!),0)</f>
        <v>0</v>
      </c>
      <c r="I417" s="70">
        <v>0</v>
      </c>
      <c r="J417" s="70">
        <v>0</v>
      </c>
      <c r="K417" s="70">
        <v>0</v>
      </c>
      <c r="L417" s="59"/>
      <c r="M417" s="70">
        <v>0</v>
      </c>
      <c r="N417" s="70">
        <v>0</v>
      </c>
      <c r="O417" s="70">
        <v>0</v>
      </c>
      <c r="P417" s="38"/>
      <c r="Q417" s="40"/>
    </row>
    <row r="418" spans="1:17" s="2" customFormat="1" x14ac:dyDescent="0.2">
      <c r="A418" s="16" t="str">
        <f t="shared" si="12"/>
        <v>segunda-feira</v>
      </c>
      <c r="B418" s="17">
        <f t="shared" si="13"/>
        <v>44977</v>
      </c>
      <c r="C418" s="52">
        <f>IFERROR(_xlfn.XLOOKUP($B:$B,'Estatísticos Mensais'!$A:$A,'Estatísticos Mensais'!C:C),0)</f>
        <v>18044.34</v>
      </c>
      <c r="D418" s="69">
        <f>IFERROR(_xlfn.XLOOKUP($B:$B,Google!A:A,Google!C:C,),0)</f>
        <v>374.54</v>
      </c>
      <c r="E418" s="70" t="e">
        <f>SUMIF(#REF!,'Compilado 2023 (2)'!$B:$B,#REF!)</f>
        <v>#REF!</v>
      </c>
      <c r="F418" s="70">
        <v>0</v>
      </c>
      <c r="G418" s="70">
        <f ca="1">_xlfn.XLOOKUP(B:B,'E-mail'!A:A,'E-mail'!C:C)</f>
        <v>57.142857142857146</v>
      </c>
      <c r="H418" s="70">
        <f>IFERROR(_xlfn.XLOOKUP($B:$B,#REF!,#REF!),0)</f>
        <v>0</v>
      </c>
      <c r="I418" s="70">
        <v>0</v>
      </c>
      <c r="J418" s="70">
        <v>0</v>
      </c>
      <c r="K418" s="70">
        <v>0</v>
      </c>
      <c r="L418" s="59"/>
      <c r="M418" s="70">
        <v>0</v>
      </c>
      <c r="N418" s="70">
        <v>0</v>
      </c>
      <c r="O418" s="70">
        <v>0</v>
      </c>
      <c r="P418" s="38"/>
      <c r="Q418" s="40"/>
    </row>
    <row r="419" spans="1:17" s="2" customFormat="1" x14ac:dyDescent="0.2">
      <c r="A419" s="16" t="str">
        <f t="shared" si="12"/>
        <v>terça-feira</v>
      </c>
      <c r="B419" s="17">
        <f t="shared" si="13"/>
        <v>44978</v>
      </c>
      <c r="C419" s="52">
        <f>IFERROR(_xlfn.XLOOKUP($B:$B,'Estatísticos Mensais'!$A:$A,'Estatísticos Mensais'!C:C),0)</f>
        <v>23344.45</v>
      </c>
      <c r="D419" s="69">
        <f>IFERROR(_xlfn.XLOOKUP($B:$B,Google!A:A,Google!C:C,),0)</f>
        <v>415.31</v>
      </c>
      <c r="E419" s="70" t="e">
        <f>SUMIF(#REF!,'Compilado 2023 (2)'!$B:$B,#REF!)</f>
        <v>#REF!</v>
      </c>
      <c r="F419" s="70">
        <v>0</v>
      </c>
      <c r="G419" s="70">
        <f ca="1">_xlfn.XLOOKUP(B:B,'E-mail'!A:A,'E-mail'!C:C)</f>
        <v>57.142857142857146</v>
      </c>
      <c r="H419" s="70">
        <f>IFERROR(_xlfn.XLOOKUP($B:$B,#REF!,#REF!),0)</f>
        <v>0</v>
      </c>
      <c r="I419" s="70">
        <v>0</v>
      </c>
      <c r="J419" s="70">
        <v>0</v>
      </c>
      <c r="K419" s="70">
        <v>0</v>
      </c>
      <c r="L419" s="59"/>
      <c r="M419" s="70">
        <v>0</v>
      </c>
      <c r="N419" s="70">
        <v>0</v>
      </c>
      <c r="O419" s="70">
        <v>0</v>
      </c>
      <c r="P419" s="38"/>
      <c r="Q419" s="40"/>
    </row>
    <row r="420" spans="1:17" s="2" customFormat="1" x14ac:dyDescent="0.2">
      <c r="A420" s="16" t="str">
        <f t="shared" si="12"/>
        <v>quarta-feira</v>
      </c>
      <c r="B420" s="17">
        <f t="shared" si="13"/>
        <v>44979</v>
      </c>
      <c r="C420" s="52">
        <f>IFERROR(_xlfn.XLOOKUP($B:$B,'Estatísticos Mensais'!$A:$A,'Estatísticos Mensais'!C:C),0)</f>
        <v>44491.9</v>
      </c>
      <c r="D420" s="69">
        <f>IFERROR(_xlfn.XLOOKUP($B:$B,Google!A:A,Google!C:C,),0)</f>
        <v>556.47</v>
      </c>
      <c r="E420" s="70" t="e">
        <f>SUMIF(#REF!,'Compilado 2023 (2)'!$B:$B,#REF!)</f>
        <v>#REF!</v>
      </c>
      <c r="F420" s="70">
        <v>0</v>
      </c>
      <c r="G420" s="70">
        <f ca="1">_xlfn.XLOOKUP(B:B,'E-mail'!A:A,'E-mail'!C:C)</f>
        <v>57.142857142857146</v>
      </c>
      <c r="H420" s="70">
        <f>IFERROR(_xlfn.XLOOKUP($B:$B,#REF!,#REF!),0)</f>
        <v>0</v>
      </c>
      <c r="I420" s="70">
        <v>0</v>
      </c>
      <c r="J420" s="70">
        <v>0</v>
      </c>
      <c r="K420" s="70">
        <v>0</v>
      </c>
      <c r="L420" s="59"/>
      <c r="M420" s="70">
        <v>0</v>
      </c>
      <c r="N420" s="70">
        <v>0</v>
      </c>
      <c r="O420" s="70">
        <v>0</v>
      </c>
      <c r="P420" s="38"/>
      <c r="Q420" s="40"/>
    </row>
    <row r="421" spans="1:17" s="2" customFormat="1" x14ac:dyDescent="0.2">
      <c r="A421" s="16" t="str">
        <f t="shared" si="12"/>
        <v>quinta-feira</v>
      </c>
      <c r="B421" s="17">
        <f t="shared" si="13"/>
        <v>44980</v>
      </c>
      <c r="C421" s="52">
        <f>IFERROR(_xlfn.XLOOKUP($B:$B,'Estatísticos Mensais'!$A:$A,'Estatísticos Mensais'!C:C),0)</f>
        <v>68817.23</v>
      </c>
      <c r="D421" s="69">
        <f>IFERROR(_xlfn.XLOOKUP($B:$B,Google!A:A,Google!C:C,),0)</f>
        <v>533.99</v>
      </c>
      <c r="E421" s="70" t="e">
        <f>SUMIF(#REF!,'Compilado 2023 (2)'!$B:$B,#REF!)</f>
        <v>#REF!</v>
      </c>
      <c r="F421" s="70">
        <v>0</v>
      </c>
      <c r="G421" s="70">
        <f ca="1">_xlfn.XLOOKUP(B:B,'E-mail'!A:A,'E-mail'!C:C)</f>
        <v>57.142857142857146</v>
      </c>
      <c r="H421" s="70">
        <f>IFERROR(_xlfn.XLOOKUP($B:$B,#REF!,#REF!),0)</f>
        <v>0</v>
      </c>
      <c r="I421" s="70">
        <v>0</v>
      </c>
      <c r="J421" s="70">
        <v>0</v>
      </c>
      <c r="K421" s="70">
        <v>0</v>
      </c>
      <c r="L421" s="59"/>
      <c r="M421" s="70">
        <v>0</v>
      </c>
      <c r="N421" s="70">
        <v>0</v>
      </c>
      <c r="O421" s="70">
        <v>0</v>
      </c>
      <c r="P421" s="38"/>
      <c r="Q421" s="40"/>
    </row>
    <row r="422" spans="1:17" s="2" customFormat="1" x14ac:dyDescent="0.2">
      <c r="A422" s="16" t="str">
        <f t="shared" si="12"/>
        <v>sexta-feira</v>
      </c>
      <c r="B422" s="17">
        <f t="shared" si="13"/>
        <v>44981</v>
      </c>
      <c r="C422" s="52">
        <f>IFERROR(_xlfn.XLOOKUP($B:$B,'Estatísticos Mensais'!$A:$A,'Estatísticos Mensais'!C:C),0)</f>
        <v>61424.28</v>
      </c>
      <c r="D422" s="69">
        <f>IFERROR(_xlfn.XLOOKUP($B:$B,Google!A:A,Google!C:C,),0)</f>
        <v>499.27</v>
      </c>
      <c r="E422" s="70" t="e">
        <f>SUMIF(#REF!,'Compilado 2023 (2)'!$B:$B,#REF!)</f>
        <v>#REF!</v>
      </c>
      <c r="F422" s="70">
        <v>0</v>
      </c>
      <c r="G422" s="70">
        <f ca="1">_xlfn.XLOOKUP(B:B,'E-mail'!A:A,'E-mail'!C:C)</f>
        <v>57.142857142857146</v>
      </c>
      <c r="H422" s="70">
        <f>IFERROR(_xlfn.XLOOKUP($B:$B,#REF!,#REF!),0)</f>
        <v>0</v>
      </c>
      <c r="I422" s="70">
        <v>0</v>
      </c>
      <c r="J422" s="70">
        <v>0</v>
      </c>
      <c r="K422" s="70">
        <v>0</v>
      </c>
      <c r="L422" s="59"/>
      <c r="M422" s="70">
        <v>0</v>
      </c>
      <c r="N422" s="70">
        <v>0</v>
      </c>
      <c r="O422" s="70">
        <v>0</v>
      </c>
      <c r="P422" s="38"/>
      <c r="Q422" s="40"/>
    </row>
    <row r="423" spans="1:17" s="2" customFormat="1" x14ac:dyDescent="0.2">
      <c r="A423" s="16" t="str">
        <f t="shared" si="12"/>
        <v>sábado</v>
      </c>
      <c r="B423" s="17">
        <f t="shared" si="13"/>
        <v>44982</v>
      </c>
      <c r="C423" s="52">
        <f>IFERROR(_xlfn.XLOOKUP($B:$B,'Estatísticos Mensais'!$A:$A,'Estatísticos Mensais'!C:C),0)</f>
        <v>34528.199999999997</v>
      </c>
      <c r="D423" s="69">
        <f>IFERROR(_xlfn.XLOOKUP($B:$B,Google!A:A,Google!C:C,),0)</f>
        <v>380.31</v>
      </c>
      <c r="E423" s="70" t="e">
        <f>SUMIF(#REF!,'Compilado 2023 (2)'!$B:$B,#REF!)</f>
        <v>#REF!</v>
      </c>
      <c r="F423" s="70">
        <v>0</v>
      </c>
      <c r="G423" s="70">
        <f ca="1">_xlfn.XLOOKUP(B:B,'E-mail'!A:A,'E-mail'!C:C)</f>
        <v>57.142857142857146</v>
      </c>
      <c r="H423" s="70">
        <f>IFERROR(_xlfn.XLOOKUP($B:$B,#REF!,#REF!),0)</f>
        <v>0</v>
      </c>
      <c r="I423" s="70">
        <v>0</v>
      </c>
      <c r="J423" s="70">
        <v>0</v>
      </c>
      <c r="K423" s="70">
        <v>0</v>
      </c>
      <c r="L423" s="59"/>
      <c r="M423" s="70">
        <v>0</v>
      </c>
      <c r="N423" s="70">
        <v>0</v>
      </c>
      <c r="O423" s="70">
        <v>0</v>
      </c>
      <c r="P423" s="38"/>
      <c r="Q423" s="40"/>
    </row>
    <row r="424" spans="1:17" s="2" customFormat="1" x14ac:dyDescent="0.2">
      <c r="A424" s="16" t="str">
        <f t="shared" si="12"/>
        <v>domingo</v>
      </c>
      <c r="B424" s="17">
        <f t="shared" si="13"/>
        <v>44983</v>
      </c>
      <c r="C424" s="52">
        <f>IFERROR(_xlfn.XLOOKUP($B:$B,'Estatísticos Mensais'!$A:$A,'Estatísticos Mensais'!C:C),0)</f>
        <v>31566.06</v>
      </c>
      <c r="D424" s="69">
        <f>IFERROR(_xlfn.XLOOKUP($B:$B,Google!A:A,Google!C:C,),0)</f>
        <v>338.42</v>
      </c>
      <c r="E424" s="70" t="e">
        <f>SUMIF(#REF!,'Compilado 2023 (2)'!$B:$B,#REF!)</f>
        <v>#REF!</v>
      </c>
      <c r="F424" s="70">
        <v>0</v>
      </c>
      <c r="G424" s="70">
        <f ca="1">_xlfn.XLOOKUP(B:B,'E-mail'!A:A,'E-mail'!C:C)</f>
        <v>57.142857142857146</v>
      </c>
      <c r="H424" s="70">
        <f>IFERROR(_xlfn.XLOOKUP($B:$B,#REF!,#REF!),0)</f>
        <v>0</v>
      </c>
      <c r="I424" s="70">
        <v>0</v>
      </c>
      <c r="J424" s="70">
        <v>0</v>
      </c>
      <c r="K424" s="70">
        <v>0</v>
      </c>
      <c r="L424" s="59"/>
      <c r="M424" s="70">
        <v>0</v>
      </c>
      <c r="N424" s="70">
        <v>0</v>
      </c>
      <c r="O424" s="70">
        <v>0</v>
      </c>
      <c r="P424" s="38"/>
      <c r="Q424" s="40"/>
    </row>
    <row r="425" spans="1:17" s="2" customFormat="1" x14ac:dyDescent="0.2">
      <c r="A425" s="16" t="str">
        <f t="shared" si="12"/>
        <v>segunda-feira</v>
      </c>
      <c r="B425" s="17">
        <f t="shared" si="13"/>
        <v>44984</v>
      </c>
      <c r="C425" s="52">
        <f>IFERROR(_xlfn.XLOOKUP($B:$B,'Estatísticos Mensais'!$A:$A,'Estatísticos Mensais'!C:C),0)</f>
        <v>54049.19</v>
      </c>
      <c r="D425" s="69">
        <f>IFERROR(_xlfn.XLOOKUP($B:$B,Google!A:A,Google!C:C,),0)</f>
        <v>596.05999999999995</v>
      </c>
      <c r="E425" s="70" t="e">
        <f>SUMIF(#REF!,'Compilado 2023 (2)'!$B:$B,#REF!)</f>
        <v>#REF!</v>
      </c>
      <c r="F425" s="70">
        <v>0</v>
      </c>
      <c r="G425" s="70">
        <f ca="1">_xlfn.XLOOKUP(B:B,'E-mail'!A:A,'E-mail'!C:C)</f>
        <v>57.142857142857146</v>
      </c>
      <c r="H425" s="70">
        <f>IFERROR(_xlfn.XLOOKUP($B:$B,#REF!,#REF!),0)</f>
        <v>0</v>
      </c>
      <c r="I425" s="70">
        <v>0</v>
      </c>
      <c r="J425" s="70">
        <v>0</v>
      </c>
      <c r="K425" s="70">
        <v>0</v>
      </c>
      <c r="L425" s="59"/>
      <c r="M425" s="70">
        <v>0</v>
      </c>
      <c r="N425" s="70">
        <v>0</v>
      </c>
      <c r="O425" s="70">
        <v>0</v>
      </c>
      <c r="P425" s="38"/>
      <c r="Q425" s="40"/>
    </row>
    <row r="426" spans="1:17" s="2" customFormat="1" x14ac:dyDescent="0.2">
      <c r="A426" s="16" t="str">
        <f t="shared" si="12"/>
        <v>terça-feira</v>
      </c>
      <c r="B426" s="17">
        <f t="shared" si="13"/>
        <v>44985</v>
      </c>
      <c r="C426" s="52">
        <f>IFERROR(_xlfn.XLOOKUP($B:$B,'Estatísticos Mensais'!$A:$A,'Estatísticos Mensais'!C:C),0)</f>
        <v>63122.23</v>
      </c>
      <c r="D426" s="69">
        <f>IFERROR(_xlfn.XLOOKUP($B:$B,Google!A:A,Google!C:C,),0)</f>
        <v>489.19</v>
      </c>
      <c r="E426" s="70" t="e">
        <f>SUMIF(#REF!,'Compilado 2023 (2)'!$B:$B,#REF!)</f>
        <v>#REF!</v>
      </c>
      <c r="F426" s="70">
        <v>0</v>
      </c>
      <c r="G426" s="70">
        <f ca="1">_xlfn.XLOOKUP(B:B,'E-mail'!A:A,'E-mail'!C:C)</f>
        <v>57.142857142857146</v>
      </c>
      <c r="H426" s="70">
        <f>IFERROR(_xlfn.XLOOKUP($B:$B,#REF!,#REF!),0)</f>
        <v>0</v>
      </c>
      <c r="I426" s="70">
        <v>0</v>
      </c>
      <c r="J426" s="70">
        <v>0</v>
      </c>
      <c r="K426" s="70">
        <v>0</v>
      </c>
      <c r="L426" s="59"/>
      <c r="M426" s="70">
        <v>0</v>
      </c>
      <c r="N426" s="70">
        <v>0</v>
      </c>
      <c r="O426" s="70">
        <v>0</v>
      </c>
      <c r="P426" s="38"/>
      <c r="Q426" s="40"/>
    </row>
    <row r="427" spans="1:17" s="2" customFormat="1" x14ac:dyDescent="0.2">
      <c r="A427" s="16" t="str">
        <f t="shared" si="12"/>
        <v>quarta-feira</v>
      </c>
      <c r="B427" s="17">
        <f t="shared" si="13"/>
        <v>44986</v>
      </c>
      <c r="C427" s="52">
        <f>IFERROR(_xlfn.XLOOKUP($B:$B,'Estatísticos Mensais'!$A:$A,'Estatísticos Mensais'!C:C),0)</f>
        <v>99349.72</v>
      </c>
      <c r="D427" s="69">
        <f>IFERROR(_xlfn.XLOOKUP($B:$B,Google!A:A,Google!C:C,),0)</f>
        <v>658.46</v>
      </c>
      <c r="E427" s="70" t="e">
        <f>SUMIF(#REF!,'Compilado 2023 (2)'!$B:$B,#REF!)</f>
        <v>#REF!</v>
      </c>
      <c r="F427" s="70">
        <v>0</v>
      </c>
      <c r="G427" s="70">
        <f ca="1">_xlfn.XLOOKUP(B:B,'E-mail'!A:A,'E-mail'!C:C)</f>
        <v>51.612903225806448</v>
      </c>
      <c r="H427" s="70">
        <f>IFERROR(_xlfn.XLOOKUP($B:$B,#REF!,#REF!),0)</f>
        <v>0</v>
      </c>
      <c r="I427" s="70">
        <v>0</v>
      </c>
      <c r="J427" s="70">
        <v>0</v>
      </c>
      <c r="K427" s="70">
        <v>0</v>
      </c>
      <c r="L427" s="59"/>
      <c r="M427" s="70">
        <v>0</v>
      </c>
      <c r="N427" s="70">
        <v>0</v>
      </c>
      <c r="O427" s="70">
        <v>0</v>
      </c>
      <c r="P427" s="38"/>
      <c r="Q427" s="40"/>
    </row>
    <row r="428" spans="1:17" s="2" customFormat="1" x14ac:dyDescent="0.2">
      <c r="A428" s="16" t="str">
        <f t="shared" si="12"/>
        <v>quinta-feira</v>
      </c>
      <c r="B428" s="17">
        <f t="shared" si="13"/>
        <v>44987</v>
      </c>
      <c r="C428" s="52">
        <f>IFERROR(_xlfn.XLOOKUP($B:$B,'Estatísticos Mensais'!$A:$A,'Estatísticos Mensais'!C:C),0)</f>
        <v>63060.67</v>
      </c>
      <c r="D428" s="69">
        <f>IFERROR(_xlfn.XLOOKUP($B:$B,Google!A:A,Google!C:C,),0)</f>
        <v>796.55</v>
      </c>
      <c r="E428" s="70" t="e">
        <f>SUMIF(#REF!,'Compilado 2023 (2)'!$B:$B,#REF!)</f>
        <v>#REF!</v>
      </c>
      <c r="F428" s="70">
        <v>0</v>
      </c>
      <c r="G428" s="70">
        <f ca="1">_xlfn.XLOOKUP(B:B,'E-mail'!A:A,'E-mail'!C:C)</f>
        <v>51.612903225806448</v>
      </c>
      <c r="H428" s="70">
        <f>IFERROR(_xlfn.XLOOKUP($B:$B,#REF!,#REF!),0)</f>
        <v>0</v>
      </c>
      <c r="I428" s="70">
        <v>0</v>
      </c>
      <c r="J428" s="70">
        <v>0</v>
      </c>
      <c r="K428" s="70">
        <v>0</v>
      </c>
      <c r="L428" s="59"/>
      <c r="M428" s="70">
        <v>0</v>
      </c>
      <c r="N428" s="70">
        <v>0</v>
      </c>
      <c r="O428" s="70">
        <v>0</v>
      </c>
      <c r="P428" s="38"/>
      <c r="Q428" s="40"/>
    </row>
    <row r="429" spans="1:17" s="2" customFormat="1" x14ac:dyDescent="0.2">
      <c r="A429" s="16" t="str">
        <f t="shared" si="12"/>
        <v>sexta-feira</v>
      </c>
      <c r="B429" s="17">
        <f t="shared" si="13"/>
        <v>44988</v>
      </c>
      <c r="C429" s="52">
        <f>IFERROR(_xlfn.XLOOKUP($B:$B,'Estatísticos Mensais'!$A:$A,'Estatísticos Mensais'!C:C),0)</f>
        <v>78154.98</v>
      </c>
      <c r="D429" s="69">
        <f>IFERROR(_xlfn.XLOOKUP($B:$B,Google!A:A,Google!C:C,),0)</f>
        <v>704.94</v>
      </c>
      <c r="E429" s="70" t="e">
        <f>SUMIF(#REF!,'Compilado 2023 (2)'!$B:$B,#REF!)</f>
        <v>#REF!</v>
      </c>
      <c r="F429" s="70">
        <v>0</v>
      </c>
      <c r="G429" s="70">
        <f ca="1">_xlfn.XLOOKUP(B:B,'E-mail'!A:A,'E-mail'!C:C)</f>
        <v>51.612903225806448</v>
      </c>
      <c r="H429" s="70">
        <f>IFERROR(_xlfn.XLOOKUP($B:$B,#REF!,#REF!),0)</f>
        <v>0</v>
      </c>
      <c r="I429" s="70">
        <v>0</v>
      </c>
      <c r="J429" s="70">
        <v>0</v>
      </c>
      <c r="K429" s="70">
        <v>0</v>
      </c>
      <c r="L429" s="59"/>
      <c r="M429" s="70">
        <v>0</v>
      </c>
      <c r="N429" s="70">
        <v>0</v>
      </c>
      <c r="O429" s="70">
        <v>0</v>
      </c>
      <c r="P429" s="38"/>
      <c r="Q429" s="40"/>
    </row>
    <row r="430" spans="1:17" s="2" customFormat="1" x14ac:dyDescent="0.2">
      <c r="A430" s="16" t="str">
        <f t="shared" si="12"/>
        <v>sábado</v>
      </c>
      <c r="B430" s="17">
        <f t="shared" si="13"/>
        <v>44989</v>
      </c>
      <c r="C430" s="52">
        <f>IFERROR(_xlfn.XLOOKUP($B:$B,'Estatísticos Mensais'!$A:$A,'Estatísticos Mensais'!C:C),0)</f>
        <v>52272.59</v>
      </c>
      <c r="D430" s="69">
        <f>IFERROR(_xlfn.XLOOKUP($B:$B,Google!A:A,Google!C:C,),0)</f>
        <v>504.42</v>
      </c>
      <c r="E430" s="70" t="e">
        <f>SUMIF(#REF!,'Compilado 2023 (2)'!$B:$B,#REF!)</f>
        <v>#REF!</v>
      </c>
      <c r="F430" s="70">
        <v>0</v>
      </c>
      <c r="G430" s="70">
        <f ca="1">_xlfn.XLOOKUP(B:B,'E-mail'!A:A,'E-mail'!C:C)</f>
        <v>51.612903225806448</v>
      </c>
      <c r="H430" s="70">
        <f>IFERROR(_xlfn.XLOOKUP($B:$B,#REF!,#REF!),0)</f>
        <v>0</v>
      </c>
      <c r="I430" s="70">
        <v>0</v>
      </c>
      <c r="J430" s="70">
        <v>0</v>
      </c>
      <c r="K430" s="70">
        <v>0</v>
      </c>
      <c r="L430" s="59"/>
      <c r="M430" s="70">
        <v>0</v>
      </c>
      <c r="N430" s="70">
        <v>0</v>
      </c>
      <c r="O430" s="70">
        <v>0</v>
      </c>
      <c r="P430" s="38"/>
      <c r="Q430" s="40"/>
    </row>
    <row r="431" spans="1:17" s="2" customFormat="1" x14ac:dyDescent="0.2">
      <c r="A431" s="16" t="str">
        <f t="shared" si="12"/>
        <v>domingo</v>
      </c>
      <c r="B431" s="17">
        <f t="shared" si="13"/>
        <v>44990</v>
      </c>
      <c r="C431" s="52">
        <f>IFERROR(_xlfn.XLOOKUP($B:$B,'Estatísticos Mensais'!$A:$A,'Estatísticos Mensais'!C:C),0)</f>
        <v>40788.31</v>
      </c>
      <c r="D431" s="69">
        <f>IFERROR(_xlfn.XLOOKUP($B:$B,Google!A:A,Google!C:C,),0)</f>
        <v>618.39</v>
      </c>
      <c r="E431" s="70" t="e">
        <f>SUMIF(#REF!,'Compilado 2023 (2)'!$B:$B,#REF!)</f>
        <v>#REF!</v>
      </c>
      <c r="F431" s="70">
        <v>0</v>
      </c>
      <c r="G431" s="70">
        <f ca="1">_xlfn.XLOOKUP(B:B,'E-mail'!A:A,'E-mail'!C:C)</f>
        <v>51.612903225806448</v>
      </c>
      <c r="H431" s="70">
        <f>IFERROR(_xlfn.XLOOKUP($B:$B,#REF!,#REF!),0)</f>
        <v>0</v>
      </c>
      <c r="I431" s="70">
        <v>0</v>
      </c>
      <c r="J431" s="70">
        <v>0</v>
      </c>
      <c r="K431" s="70">
        <v>0</v>
      </c>
      <c r="L431" s="59"/>
      <c r="M431" s="70">
        <v>0</v>
      </c>
      <c r="N431" s="70">
        <v>0</v>
      </c>
      <c r="O431" s="70">
        <v>0</v>
      </c>
      <c r="P431" s="38"/>
      <c r="Q431" s="40"/>
    </row>
    <row r="432" spans="1:17" s="2" customFormat="1" x14ac:dyDescent="0.2">
      <c r="A432" s="16" t="str">
        <f t="shared" si="12"/>
        <v>segunda-feira</v>
      </c>
      <c r="B432" s="17">
        <f t="shared" si="13"/>
        <v>44991</v>
      </c>
      <c r="C432" s="52">
        <f>IFERROR(_xlfn.XLOOKUP($B:$B,'Estatísticos Mensais'!$A:$A,'Estatísticos Mensais'!C:C),0)</f>
        <v>105576.65</v>
      </c>
      <c r="D432" s="69">
        <f>IFERROR(_xlfn.XLOOKUP($B:$B,Google!A:A,Google!C:C,),0)</f>
        <v>890.38</v>
      </c>
      <c r="E432" s="70" t="e">
        <f>SUMIF(#REF!,'Compilado 2023 (2)'!$B:$B,#REF!)</f>
        <v>#REF!</v>
      </c>
      <c r="F432" s="70">
        <v>0</v>
      </c>
      <c r="G432" s="70">
        <f ca="1">_xlfn.XLOOKUP(B:B,'E-mail'!A:A,'E-mail'!C:C)</f>
        <v>51.612903225806448</v>
      </c>
      <c r="H432" s="70">
        <f>IFERROR(_xlfn.XLOOKUP($B:$B,#REF!,#REF!),0)</f>
        <v>0</v>
      </c>
      <c r="I432" s="70">
        <v>0</v>
      </c>
      <c r="J432" s="70">
        <v>0</v>
      </c>
      <c r="K432" s="70">
        <v>0</v>
      </c>
      <c r="L432" s="59"/>
      <c r="M432" s="70">
        <v>0</v>
      </c>
      <c r="N432" s="70">
        <v>0</v>
      </c>
      <c r="O432" s="70">
        <v>0</v>
      </c>
      <c r="P432" s="38"/>
      <c r="Q432" s="40"/>
    </row>
    <row r="433" spans="1:17" s="2" customFormat="1" x14ac:dyDescent="0.2">
      <c r="A433" s="16" t="str">
        <f t="shared" si="12"/>
        <v>terça-feira</v>
      </c>
      <c r="B433" s="17">
        <f t="shared" si="13"/>
        <v>44992</v>
      </c>
      <c r="C433" s="52">
        <f>IFERROR(_xlfn.XLOOKUP($B:$B,'Estatísticos Mensais'!$A:$A,'Estatísticos Mensais'!C:C),0)</f>
        <v>99765.15</v>
      </c>
      <c r="D433" s="69">
        <f>IFERROR(_xlfn.XLOOKUP($B:$B,Google!A:A,Google!C:C,),0)</f>
        <v>1272.53</v>
      </c>
      <c r="E433" s="70" t="e">
        <f>SUMIF(#REF!,'Compilado 2023 (2)'!$B:$B,#REF!)</f>
        <v>#REF!</v>
      </c>
      <c r="F433" s="70">
        <v>0</v>
      </c>
      <c r="G433" s="70">
        <f ca="1">_xlfn.XLOOKUP(B:B,'E-mail'!A:A,'E-mail'!C:C)</f>
        <v>51.612903225806448</v>
      </c>
      <c r="H433" s="70">
        <f>IFERROR(_xlfn.XLOOKUP($B:$B,#REF!,#REF!),0)</f>
        <v>0</v>
      </c>
      <c r="I433" s="70">
        <v>0</v>
      </c>
      <c r="J433" s="70">
        <v>0</v>
      </c>
      <c r="K433" s="70">
        <v>0</v>
      </c>
      <c r="L433" s="59"/>
      <c r="M433" s="70">
        <v>0</v>
      </c>
      <c r="N433" s="70">
        <v>0</v>
      </c>
      <c r="O433" s="70">
        <v>0</v>
      </c>
      <c r="P433" s="38"/>
      <c r="Q433" s="40"/>
    </row>
    <row r="434" spans="1:17" s="2" customFormat="1" x14ac:dyDescent="0.2">
      <c r="A434" s="16" t="str">
        <f t="shared" si="12"/>
        <v>quarta-feira</v>
      </c>
      <c r="B434" s="17">
        <f t="shared" si="13"/>
        <v>44993</v>
      </c>
      <c r="C434" s="52">
        <f>IFERROR(_xlfn.XLOOKUP($B:$B,'Estatísticos Mensais'!$A:$A,'Estatísticos Mensais'!C:C),0)</f>
        <v>169409.17</v>
      </c>
      <c r="D434" s="69">
        <f>IFERROR(_xlfn.XLOOKUP($B:$B,Google!A:A,Google!C:C,),0)</f>
        <v>1605.07</v>
      </c>
      <c r="E434" s="70" t="e">
        <f>SUMIF(#REF!,'Compilado 2023 (2)'!$B:$B,#REF!)</f>
        <v>#REF!</v>
      </c>
      <c r="F434" s="70">
        <v>0</v>
      </c>
      <c r="G434" s="70">
        <f ca="1">_xlfn.XLOOKUP(B:B,'E-mail'!A:A,'E-mail'!C:C)</f>
        <v>51.612903225806448</v>
      </c>
      <c r="H434" s="70">
        <f>IFERROR(_xlfn.XLOOKUP($B:$B,#REF!,#REF!),0)</f>
        <v>0</v>
      </c>
      <c r="I434" s="70">
        <v>0</v>
      </c>
      <c r="J434" s="70">
        <v>0</v>
      </c>
      <c r="K434" s="70">
        <v>0</v>
      </c>
      <c r="L434" s="59"/>
      <c r="M434" s="70">
        <v>0</v>
      </c>
      <c r="N434" s="70">
        <v>0</v>
      </c>
      <c r="O434" s="70">
        <v>0</v>
      </c>
      <c r="P434" s="38"/>
      <c r="Q434" s="40"/>
    </row>
    <row r="435" spans="1:17" s="2" customFormat="1" x14ac:dyDescent="0.2">
      <c r="A435" s="16" t="str">
        <f t="shared" si="12"/>
        <v>quinta-feira</v>
      </c>
      <c r="B435" s="17">
        <f t="shared" si="13"/>
        <v>44994</v>
      </c>
      <c r="C435" s="52">
        <f>IFERROR(_xlfn.XLOOKUP($B:$B,'Estatísticos Mensais'!$A:$A,'Estatísticos Mensais'!C:C),0)</f>
        <v>73347.12</v>
      </c>
      <c r="D435" s="69">
        <f>IFERROR(_xlfn.XLOOKUP($B:$B,Google!A:A,Google!C:C,),0)</f>
        <v>804.32</v>
      </c>
      <c r="E435" s="70" t="e">
        <f>SUMIF(#REF!,'Compilado 2023 (2)'!$B:$B,#REF!)</f>
        <v>#REF!</v>
      </c>
      <c r="F435" s="70">
        <v>0</v>
      </c>
      <c r="G435" s="70">
        <f ca="1">_xlfn.XLOOKUP(B:B,'E-mail'!A:A,'E-mail'!C:C)</f>
        <v>51.612903225806448</v>
      </c>
      <c r="H435" s="70">
        <f>IFERROR(_xlfn.XLOOKUP($B:$B,#REF!,#REF!),0)</f>
        <v>0</v>
      </c>
      <c r="I435" s="70">
        <v>0</v>
      </c>
      <c r="J435" s="70">
        <v>0</v>
      </c>
      <c r="K435" s="70">
        <v>0</v>
      </c>
      <c r="L435" s="59"/>
      <c r="M435" s="70">
        <v>0</v>
      </c>
      <c r="N435" s="70">
        <v>0</v>
      </c>
      <c r="O435" s="70">
        <v>0</v>
      </c>
      <c r="P435" s="38"/>
      <c r="Q435" s="40"/>
    </row>
    <row r="436" spans="1:17" s="2" customFormat="1" x14ac:dyDescent="0.2">
      <c r="A436" s="16" t="str">
        <f t="shared" si="12"/>
        <v>sexta-feira</v>
      </c>
      <c r="B436" s="17">
        <f t="shared" si="13"/>
        <v>44995</v>
      </c>
      <c r="C436" s="52">
        <f>IFERROR(_xlfn.XLOOKUP($B:$B,'Estatísticos Mensais'!$A:$A,'Estatísticos Mensais'!C:C),0)</f>
        <v>73576.75</v>
      </c>
      <c r="D436" s="69">
        <f>IFERROR(_xlfn.XLOOKUP($B:$B,Google!A:A,Google!C:C,),0)</f>
        <v>625.32000000000005</v>
      </c>
      <c r="E436" s="70" t="e">
        <f>SUMIF(#REF!,'Compilado 2023 (2)'!$B:$B,#REF!)</f>
        <v>#REF!</v>
      </c>
      <c r="F436" s="70">
        <v>0</v>
      </c>
      <c r="G436" s="70">
        <f ca="1">_xlfn.XLOOKUP(B:B,'E-mail'!A:A,'E-mail'!C:C)</f>
        <v>51.612903225806448</v>
      </c>
      <c r="H436" s="70">
        <f>IFERROR(_xlfn.XLOOKUP($B:$B,#REF!,#REF!),0)</f>
        <v>0</v>
      </c>
      <c r="I436" s="70">
        <v>0</v>
      </c>
      <c r="J436" s="70">
        <v>0</v>
      </c>
      <c r="K436" s="70">
        <v>0</v>
      </c>
      <c r="L436" s="59"/>
      <c r="M436" s="70">
        <v>0</v>
      </c>
      <c r="N436" s="70">
        <v>0</v>
      </c>
      <c r="O436" s="70">
        <v>0</v>
      </c>
      <c r="P436" s="38"/>
      <c r="Q436" s="40"/>
    </row>
    <row r="437" spans="1:17" s="2" customFormat="1" x14ac:dyDescent="0.2">
      <c r="A437" s="16" t="str">
        <f t="shared" si="12"/>
        <v>sábado</v>
      </c>
      <c r="B437" s="17">
        <f t="shared" si="13"/>
        <v>44996</v>
      </c>
      <c r="C437" s="52">
        <f>IFERROR(_xlfn.XLOOKUP($B:$B,'Estatísticos Mensais'!$A:$A,'Estatísticos Mensais'!C:C),0)</f>
        <v>42751</v>
      </c>
      <c r="D437" s="69">
        <f>IFERROR(_xlfn.XLOOKUP($B:$B,Google!A:A,Google!C:C,),0)</f>
        <v>597.41</v>
      </c>
      <c r="E437" s="70" t="e">
        <f>SUMIF(#REF!,'Compilado 2023 (2)'!$B:$B,#REF!)</f>
        <v>#REF!</v>
      </c>
      <c r="F437" s="70">
        <v>0</v>
      </c>
      <c r="G437" s="70">
        <f ca="1">_xlfn.XLOOKUP(B:B,'E-mail'!A:A,'E-mail'!C:C)</f>
        <v>51.612903225806448</v>
      </c>
      <c r="H437" s="70">
        <f>IFERROR(_xlfn.XLOOKUP($B:$B,#REF!,#REF!),0)</f>
        <v>0</v>
      </c>
      <c r="I437" s="70">
        <v>0</v>
      </c>
      <c r="J437" s="70">
        <v>0</v>
      </c>
      <c r="K437" s="70">
        <v>0</v>
      </c>
      <c r="L437" s="59"/>
      <c r="M437" s="70">
        <v>0</v>
      </c>
      <c r="N437" s="70">
        <v>0</v>
      </c>
      <c r="O437" s="70">
        <v>0</v>
      </c>
      <c r="P437" s="38"/>
      <c r="Q437" s="40"/>
    </row>
    <row r="438" spans="1:17" s="2" customFormat="1" x14ac:dyDescent="0.2">
      <c r="A438" s="16" t="str">
        <f t="shared" si="12"/>
        <v>domingo</v>
      </c>
      <c r="B438" s="17">
        <f t="shared" si="13"/>
        <v>44997</v>
      </c>
      <c r="C438" s="52">
        <f>IFERROR(_xlfn.XLOOKUP($B:$B,'Estatísticos Mensais'!$A:$A,'Estatísticos Mensais'!C:C),0)</f>
        <v>30194.880000000001</v>
      </c>
      <c r="D438" s="69">
        <f>IFERROR(_xlfn.XLOOKUP($B:$B,Google!A:A,Google!C:C,),0)</f>
        <v>476.96</v>
      </c>
      <c r="E438" s="70" t="e">
        <f>SUMIF(#REF!,'Compilado 2023 (2)'!$B:$B,#REF!)</f>
        <v>#REF!</v>
      </c>
      <c r="F438" s="70">
        <v>0</v>
      </c>
      <c r="G438" s="70">
        <f ca="1">_xlfn.XLOOKUP(B:B,'E-mail'!A:A,'E-mail'!C:C)</f>
        <v>51.612903225806448</v>
      </c>
      <c r="H438" s="70">
        <f>IFERROR(_xlfn.XLOOKUP($B:$B,#REF!,#REF!),0)</f>
        <v>0</v>
      </c>
      <c r="I438" s="70">
        <v>0</v>
      </c>
      <c r="J438" s="70">
        <v>0</v>
      </c>
      <c r="K438" s="70">
        <v>0</v>
      </c>
      <c r="L438" s="59"/>
      <c r="M438" s="70">
        <v>0</v>
      </c>
      <c r="N438" s="70">
        <v>0</v>
      </c>
      <c r="O438" s="70">
        <v>0</v>
      </c>
      <c r="P438" s="38"/>
      <c r="Q438" s="40"/>
    </row>
    <row r="439" spans="1:17" s="2" customFormat="1" x14ac:dyDescent="0.2">
      <c r="A439" s="16" t="str">
        <f t="shared" si="12"/>
        <v>segunda-feira</v>
      </c>
      <c r="B439" s="17">
        <f t="shared" si="13"/>
        <v>44998</v>
      </c>
      <c r="C439" s="52">
        <f>IFERROR(_xlfn.XLOOKUP($B:$B,'Estatísticos Mensais'!$A:$A,'Estatísticos Mensais'!C:C),0)</f>
        <v>63933.15</v>
      </c>
      <c r="D439" s="69">
        <f>IFERROR(_xlfn.XLOOKUP($B:$B,Google!A:A,Google!C:C,),0)</f>
        <v>666.7</v>
      </c>
      <c r="E439" s="70" t="e">
        <f>SUMIF(#REF!,'Compilado 2023 (2)'!$B:$B,#REF!)</f>
        <v>#REF!</v>
      </c>
      <c r="F439" s="70">
        <v>0</v>
      </c>
      <c r="G439" s="70">
        <f ca="1">_xlfn.XLOOKUP(B:B,'E-mail'!A:A,'E-mail'!C:C)</f>
        <v>51.612903225806448</v>
      </c>
      <c r="H439" s="70">
        <f>IFERROR(_xlfn.XLOOKUP($B:$B,#REF!,#REF!),0)</f>
        <v>0</v>
      </c>
      <c r="I439" s="70">
        <v>0</v>
      </c>
      <c r="J439" s="70">
        <v>0</v>
      </c>
      <c r="K439" s="70">
        <v>0</v>
      </c>
      <c r="L439" s="59"/>
      <c r="M439" s="70">
        <v>0</v>
      </c>
      <c r="N439" s="70">
        <v>0</v>
      </c>
      <c r="O439" s="70">
        <v>0</v>
      </c>
      <c r="P439" s="38"/>
      <c r="Q439" s="40"/>
    </row>
    <row r="440" spans="1:17" s="2" customFormat="1" x14ac:dyDescent="0.2">
      <c r="A440" s="16" t="str">
        <f t="shared" si="12"/>
        <v>terça-feira</v>
      </c>
      <c r="B440" s="17">
        <f t="shared" si="13"/>
        <v>44999</v>
      </c>
      <c r="C440" s="52">
        <f>IFERROR(_xlfn.XLOOKUP($B:$B,'Estatísticos Mensais'!$A:$A,'Estatísticos Mensais'!C:C),0)</f>
        <v>68885.48</v>
      </c>
      <c r="D440" s="69">
        <f>IFERROR(_xlfn.XLOOKUP($B:$B,Google!A:A,Google!C:C,),0)</f>
        <v>547.5</v>
      </c>
      <c r="E440" s="70" t="e">
        <f>SUMIF(#REF!,'Compilado 2023 (2)'!$B:$B,#REF!)</f>
        <v>#REF!</v>
      </c>
      <c r="F440" s="70">
        <v>0</v>
      </c>
      <c r="G440" s="70">
        <f ca="1">_xlfn.XLOOKUP(B:B,'E-mail'!A:A,'E-mail'!C:C)</f>
        <v>51.612903225806448</v>
      </c>
      <c r="H440" s="70">
        <f>IFERROR(_xlfn.XLOOKUP($B:$B,#REF!,#REF!),0)</f>
        <v>0</v>
      </c>
      <c r="I440" s="70">
        <v>0</v>
      </c>
      <c r="J440" s="70">
        <v>0</v>
      </c>
      <c r="K440" s="70">
        <v>0</v>
      </c>
      <c r="L440" s="59"/>
      <c r="M440" s="70">
        <v>0</v>
      </c>
      <c r="N440" s="70">
        <v>0</v>
      </c>
      <c r="O440" s="70">
        <v>0</v>
      </c>
      <c r="P440" s="38"/>
      <c r="Q440" s="40"/>
    </row>
    <row r="441" spans="1:17" s="2" customFormat="1" x14ac:dyDescent="0.2">
      <c r="A441" s="16" t="str">
        <f t="shared" si="12"/>
        <v>quarta-feira</v>
      </c>
      <c r="B441" s="17">
        <f t="shared" si="13"/>
        <v>45000</v>
      </c>
      <c r="C441" s="52">
        <f>IFERROR(_xlfn.XLOOKUP($B:$B,'Estatísticos Mensais'!$A:$A,'Estatísticos Mensais'!C:C),0)</f>
        <v>65588.740000000005</v>
      </c>
      <c r="D441" s="69">
        <f>IFERROR(_xlfn.XLOOKUP($B:$B,Google!A:A,Google!C:C,),0)</f>
        <v>575.14</v>
      </c>
      <c r="E441" s="70" t="e">
        <f>SUMIF(#REF!,'Compilado 2023 (2)'!$B:$B,#REF!)</f>
        <v>#REF!</v>
      </c>
      <c r="F441" s="70">
        <v>0</v>
      </c>
      <c r="G441" s="70">
        <f ca="1">_xlfn.XLOOKUP(B:B,'E-mail'!A:A,'E-mail'!C:C)</f>
        <v>51.612903225806448</v>
      </c>
      <c r="H441" s="70">
        <f>IFERROR(_xlfn.XLOOKUP($B:$B,#REF!,#REF!),0)</f>
        <v>0</v>
      </c>
      <c r="I441" s="70">
        <v>0</v>
      </c>
      <c r="J441" s="70">
        <v>0</v>
      </c>
      <c r="K441" s="70">
        <v>0</v>
      </c>
      <c r="L441" s="59"/>
      <c r="M441" s="70">
        <v>0</v>
      </c>
      <c r="N441" s="70">
        <v>0</v>
      </c>
      <c r="O441" s="70">
        <v>0</v>
      </c>
      <c r="P441" s="38"/>
      <c r="Q441" s="40"/>
    </row>
    <row r="442" spans="1:17" s="2" customFormat="1" x14ac:dyDescent="0.2">
      <c r="A442" s="16" t="str">
        <f t="shared" si="12"/>
        <v>quinta-feira</v>
      </c>
      <c r="B442" s="17">
        <f t="shared" si="13"/>
        <v>45001</v>
      </c>
      <c r="C442" s="52">
        <f>IFERROR(_xlfn.XLOOKUP($B:$B,'Estatísticos Mensais'!$A:$A,'Estatísticos Mensais'!C:C),0)</f>
        <v>71526.350000000006</v>
      </c>
      <c r="D442" s="69">
        <f>IFERROR(_xlfn.XLOOKUP($B:$B,Google!A:A,Google!C:C,),0)</f>
        <v>544.22</v>
      </c>
      <c r="E442" s="70" t="e">
        <f>SUMIF(#REF!,'Compilado 2023 (2)'!$B:$B,#REF!)</f>
        <v>#REF!</v>
      </c>
      <c r="F442" s="70">
        <v>0</v>
      </c>
      <c r="G442" s="70">
        <f ca="1">_xlfn.XLOOKUP(B:B,'E-mail'!A:A,'E-mail'!C:C)</f>
        <v>51.612903225806448</v>
      </c>
      <c r="H442" s="70">
        <f>IFERROR(_xlfn.XLOOKUP($B:$B,#REF!,#REF!),0)</f>
        <v>0</v>
      </c>
      <c r="I442" s="70">
        <v>0</v>
      </c>
      <c r="J442" s="70">
        <v>0</v>
      </c>
      <c r="K442" s="70">
        <v>0</v>
      </c>
      <c r="L442" s="59"/>
      <c r="M442" s="70">
        <v>0</v>
      </c>
      <c r="N442" s="70">
        <v>0</v>
      </c>
      <c r="O442" s="70">
        <v>0</v>
      </c>
      <c r="P442" s="38"/>
      <c r="Q442" s="40"/>
    </row>
    <row r="443" spans="1:17" s="2" customFormat="1" x14ac:dyDescent="0.2">
      <c r="A443" s="16" t="str">
        <f t="shared" si="12"/>
        <v>sexta-feira</v>
      </c>
      <c r="B443" s="17">
        <f t="shared" si="13"/>
        <v>45002</v>
      </c>
      <c r="C443" s="52">
        <f>IFERROR(_xlfn.XLOOKUP($B:$B,'Estatísticos Mensais'!$A:$A,'Estatísticos Mensais'!C:C),0)</f>
        <v>65077.84</v>
      </c>
      <c r="D443" s="69">
        <f>IFERROR(_xlfn.XLOOKUP($B:$B,Google!A:A,Google!C:C,),0)</f>
        <v>477.33</v>
      </c>
      <c r="E443" s="70" t="e">
        <f>SUMIF(#REF!,'Compilado 2023 (2)'!$B:$B,#REF!)</f>
        <v>#REF!</v>
      </c>
      <c r="F443" s="70">
        <v>0</v>
      </c>
      <c r="G443" s="70">
        <f ca="1">_xlfn.XLOOKUP(B:B,'E-mail'!A:A,'E-mail'!C:C)</f>
        <v>51.612903225806448</v>
      </c>
      <c r="H443" s="70">
        <f>IFERROR(_xlfn.XLOOKUP($B:$B,#REF!,#REF!),0)</f>
        <v>0</v>
      </c>
      <c r="I443" s="70">
        <v>0</v>
      </c>
      <c r="J443" s="70">
        <v>0</v>
      </c>
      <c r="K443" s="70">
        <v>0</v>
      </c>
      <c r="L443" s="59"/>
      <c r="M443" s="70">
        <v>0</v>
      </c>
      <c r="N443" s="70">
        <v>0</v>
      </c>
      <c r="O443" s="70">
        <v>0</v>
      </c>
      <c r="P443" s="38"/>
      <c r="Q443" s="40"/>
    </row>
    <row r="444" spans="1:17" s="2" customFormat="1" x14ac:dyDescent="0.2">
      <c r="A444" s="16" t="str">
        <f t="shared" si="12"/>
        <v>sábado</v>
      </c>
      <c r="B444" s="17">
        <f t="shared" si="13"/>
        <v>45003</v>
      </c>
      <c r="C444" s="52">
        <f>IFERROR(_xlfn.XLOOKUP($B:$B,'Estatísticos Mensais'!$A:$A,'Estatísticos Mensais'!C:C),0)</f>
        <v>43165.86</v>
      </c>
      <c r="D444" s="69">
        <f>IFERROR(_xlfn.XLOOKUP($B:$B,Google!A:A,Google!C:C,),0)</f>
        <v>356.3</v>
      </c>
      <c r="E444" s="70" t="e">
        <f>SUMIF(#REF!,'Compilado 2023 (2)'!$B:$B,#REF!)</f>
        <v>#REF!</v>
      </c>
      <c r="F444" s="70">
        <v>0</v>
      </c>
      <c r="G444" s="70">
        <f ca="1">_xlfn.XLOOKUP(B:B,'E-mail'!A:A,'E-mail'!C:C)</f>
        <v>51.612903225806448</v>
      </c>
      <c r="H444" s="70">
        <f>IFERROR(_xlfn.XLOOKUP($B:$B,#REF!,#REF!),0)</f>
        <v>0</v>
      </c>
      <c r="I444" s="70">
        <v>0</v>
      </c>
      <c r="J444" s="70">
        <v>0</v>
      </c>
      <c r="K444" s="70">
        <v>0</v>
      </c>
      <c r="L444" s="59"/>
      <c r="M444" s="70">
        <v>0</v>
      </c>
      <c r="N444" s="70">
        <v>0</v>
      </c>
      <c r="O444" s="70">
        <v>0</v>
      </c>
      <c r="P444" s="38"/>
      <c r="Q444" s="40"/>
    </row>
    <row r="445" spans="1:17" s="2" customFormat="1" x14ac:dyDescent="0.2">
      <c r="A445" s="16" t="str">
        <f t="shared" si="12"/>
        <v>domingo</v>
      </c>
      <c r="B445" s="17">
        <f t="shared" si="13"/>
        <v>45004</v>
      </c>
      <c r="C445" s="52">
        <f>IFERROR(_xlfn.XLOOKUP($B:$B,'Estatísticos Mensais'!$A:$A,'Estatísticos Mensais'!C:C),0)</f>
        <v>27870.09</v>
      </c>
      <c r="D445" s="69">
        <f>IFERROR(_xlfn.XLOOKUP($B:$B,Google!A:A,Google!C:C,),0)</f>
        <v>367.08</v>
      </c>
      <c r="E445" s="70" t="e">
        <f>SUMIF(#REF!,'Compilado 2023 (2)'!$B:$B,#REF!)</f>
        <v>#REF!</v>
      </c>
      <c r="F445" s="70">
        <v>0</v>
      </c>
      <c r="G445" s="70">
        <f ca="1">_xlfn.XLOOKUP(B:B,'E-mail'!A:A,'E-mail'!C:C)</f>
        <v>51.612903225806448</v>
      </c>
      <c r="H445" s="70">
        <f>IFERROR(_xlfn.XLOOKUP($B:$B,#REF!,#REF!),0)</f>
        <v>0</v>
      </c>
      <c r="I445" s="70">
        <v>0</v>
      </c>
      <c r="J445" s="70">
        <v>0</v>
      </c>
      <c r="K445" s="70">
        <v>0</v>
      </c>
      <c r="L445" s="59"/>
      <c r="M445" s="70">
        <v>0</v>
      </c>
      <c r="N445" s="70">
        <v>0</v>
      </c>
      <c r="O445" s="70">
        <v>0</v>
      </c>
      <c r="P445" s="38"/>
      <c r="Q445" s="40"/>
    </row>
    <row r="446" spans="1:17" s="2" customFormat="1" x14ac:dyDescent="0.2">
      <c r="A446" s="16" t="str">
        <f t="shared" si="12"/>
        <v>segunda-feira</v>
      </c>
      <c r="B446" s="17">
        <f t="shared" si="13"/>
        <v>45005</v>
      </c>
      <c r="C446" s="52">
        <f>IFERROR(_xlfn.XLOOKUP($B:$B,'Estatísticos Mensais'!$A:$A,'Estatísticos Mensais'!C:C),0)</f>
        <v>56319.55</v>
      </c>
      <c r="D446" s="69">
        <f>IFERROR(_xlfn.XLOOKUP($B:$B,Google!A:A,Google!C:C,),0)</f>
        <v>537.85</v>
      </c>
      <c r="E446" s="70" t="e">
        <f>SUMIF(#REF!,'Compilado 2023 (2)'!$B:$B,#REF!)</f>
        <v>#REF!</v>
      </c>
      <c r="F446" s="70">
        <v>0</v>
      </c>
      <c r="G446" s="70">
        <f ca="1">_xlfn.XLOOKUP(B:B,'E-mail'!A:A,'E-mail'!C:C)</f>
        <v>51.612903225806448</v>
      </c>
      <c r="H446" s="70">
        <f>IFERROR(_xlfn.XLOOKUP($B:$B,#REF!,#REF!),0)</f>
        <v>0</v>
      </c>
      <c r="I446" s="70">
        <v>0</v>
      </c>
      <c r="J446" s="70">
        <v>0</v>
      </c>
      <c r="K446" s="70">
        <v>0</v>
      </c>
      <c r="L446" s="59"/>
      <c r="M446" s="70">
        <v>0</v>
      </c>
      <c r="N446" s="70">
        <v>0</v>
      </c>
      <c r="O446" s="70">
        <v>0</v>
      </c>
      <c r="P446" s="38"/>
      <c r="Q446" s="40"/>
    </row>
    <row r="447" spans="1:17" s="2" customFormat="1" x14ac:dyDescent="0.2">
      <c r="A447" s="16" t="str">
        <f t="shared" si="12"/>
        <v>terça-feira</v>
      </c>
      <c r="B447" s="17">
        <f t="shared" si="13"/>
        <v>45006</v>
      </c>
      <c r="C447" s="52">
        <f>IFERROR(_xlfn.XLOOKUP($B:$B,'Estatísticos Mensais'!$A:$A,'Estatísticos Mensais'!C:C),0)</f>
        <v>55669.26</v>
      </c>
      <c r="D447" s="69">
        <f>IFERROR(_xlfn.XLOOKUP($B:$B,Google!A:A,Google!C:C,),0)</f>
        <v>571.11</v>
      </c>
      <c r="E447" s="70" t="e">
        <f>SUMIF(#REF!,'Compilado 2023 (2)'!$B:$B,#REF!)</f>
        <v>#REF!</v>
      </c>
      <c r="F447" s="70">
        <v>0</v>
      </c>
      <c r="G447" s="70">
        <f ca="1">_xlfn.XLOOKUP(B:B,'E-mail'!A:A,'E-mail'!C:C)</f>
        <v>51.612903225806448</v>
      </c>
      <c r="H447" s="70">
        <f>IFERROR(_xlfn.XLOOKUP($B:$B,#REF!,#REF!),0)</f>
        <v>0</v>
      </c>
      <c r="I447" s="70">
        <v>0</v>
      </c>
      <c r="J447" s="70">
        <v>0</v>
      </c>
      <c r="K447" s="70">
        <v>0</v>
      </c>
      <c r="L447" s="59"/>
      <c r="M447" s="70">
        <v>0</v>
      </c>
      <c r="N447" s="70">
        <v>0</v>
      </c>
      <c r="O447" s="70">
        <v>0</v>
      </c>
      <c r="P447" s="38"/>
      <c r="Q447" s="40"/>
    </row>
    <row r="448" spans="1:17" s="2" customFormat="1" x14ac:dyDescent="0.2">
      <c r="A448" s="16" t="str">
        <f t="shared" si="12"/>
        <v>quarta-feira</v>
      </c>
      <c r="B448" s="17">
        <f t="shared" si="13"/>
        <v>45007</v>
      </c>
      <c r="C448" s="52">
        <f>IFERROR(_xlfn.XLOOKUP($B:$B,'Estatísticos Mensais'!$A:$A,'Estatísticos Mensais'!C:C),0)</f>
        <v>51833.55</v>
      </c>
      <c r="D448" s="69">
        <f>IFERROR(_xlfn.XLOOKUP($B:$B,Google!A:A,Google!C:C,),0)</f>
        <v>429.16</v>
      </c>
      <c r="E448" s="70" t="e">
        <f>SUMIF(#REF!,'Compilado 2023 (2)'!$B:$B,#REF!)</f>
        <v>#REF!</v>
      </c>
      <c r="F448" s="70">
        <v>0</v>
      </c>
      <c r="G448" s="70">
        <f ca="1">_xlfn.XLOOKUP(B:B,'E-mail'!A:A,'E-mail'!C:C)</f>
        <v>51.612903225806448</v>
      </c>
      <c r="H448" s="70">
        <f>IFERROR(_xlfn.XLOOKUP($B:$B,#REF!,#REF!),0)</f>
        <v>0</v>
      </c>
      <c r="I448" s="70">
        <v>0</v>
      </c>
      <c r="J448" s="70">
        <v>0</v>
      </c>
      <c r="K448" s="70">
        <v>0</v>
      </c>
      <c r="L448" s="59"/>
      <c r="M448" s="70">
        <v>0</v>
      </c>
      <c r="N448" s="70">
        <v>0</v>
      </c>
      <c r="O448" s="70">
        <v>0</v>
      </c>
      <c r="P448" s="38"/>
      <c r="Q448" s="40"/>
    </row>
    <row r="449" spans="1:17" s="2" customFormat="1" x14ac:dyDescent="0.2">
      <c r="A449" s="16" t="str">
        <f t="shared" si="12"/>
        <v>quinta-feira</v>
      </c>
      <c r="B449" s="17">
        <f t="shared" si="13"/>
        <v>45008</v>
      </c>
      <c r="C449" s="52">
        <f>IFERROR(_xlfn.XLOOKUP($B:$B,'Estatísticos Mensais'!$A:$A,'Estatísticos Mensais'!C:C),0)</f>
        <v>60937.8</v>
      </c>
      <c r="D449" s="69">
        <f>IFERROR(_xlfn.XLOOKUP($B:$B,Google!A:A,Google!C:C,),0)</f>
        <v>410.74</v>
      </c>
      <c r="E449" s="70" t="e">
        <f>SUMIF(#REF!,'Compilado 2023 (2)'!$B:$B,#REF!)</f>
        <v>#REF!</v>
      </c>
      <c r="F449" s="70">
        <v>0</v>
      </c>
      <c r="G449" s="70">
        <f ca="1">_xlfn.XLOOKUP(B:B,'E-mail'!A:A,'E-mail'!C:C)</f>
        <v>51.612903225806448</v>
      </c>
      <c r="H449" s="70">
        <f>IFERROR(_xlfn.XLOOKUP($B:$B,#REF!,#REF!),0)</f>
        <v>0</v>
      </c>
      <c r="I449" s="70">
        <v>0</v>
      </c>
      <c r="J449" s="70">
        <v>0</v>
      </c>
      <c r="K449" s="70">
        <v>0</v>
      </c>
      <c r="L449" s="59"/>
      <c r="M449" s="70">
        <v>0</v>
      </c>
      <c r="N449" s="70">
        <v>0</v>
      </c>
      <c r="O449" s="70">
        <v>0</v>
      </c>
      <c r="P449" s="38"/>
      <c r="Q449" s="40"/>
    </row>
    <row r="450" spans="1:17" s="2" customFormat="1" x14ac:dyDescent="0.2">
      <c r="A450" s="16" t="str">
        <f t="shared" si="12"/>
        <v>sexta-feira</v>
      </c>
      <c r="B450" s="17">
        <f t="shared" si="13"/>
        <v>45009</v>
      </c>
      <c r="C450" s="52">
        <f>IFERROR(_xlfn.XLOOKUP($B:$B,'Estatísticos Mensais'!$A:$A,'Estatísticos Mensais'!C:C),0)</f>
        <v>63657.65</v>
      </c>
      <c r="D450" s="69">
        <f>IFERROR(_xlfn.XLOOKUP($B:$B,Google!A:A,Google!C:C,),0)</f>
        <v>384.74</v>
      </c>
      <c r="E450" s="70" t="e">
        <f>SUMIF(#REF!,'Compilado 2023 (2)'!$B:$B,#REF!)</f>
        <v>#REF!</v>
      </c>
      <c r="F450" s="70">
        <v>0</v>
      </c>
      <c r="G450" s="70">
        <f ca="1">_xlfn.XLOOKUP(B:B,'E-mail'!A:A,'E-mail'!C:C)</f>
        <v>51.612903225806448</v>
      </c>
      <c r="H450" s="70">
        <f>IFERROR(_xlfn.XLOOKUP($B:$B,#REF!,#REF!),0)</f>
        <v>0</v>
      </c>
      <c r="I450" s="70">
        <v>0</v>
      </c>
      <c r="J450" s="70">
        <v>0</v>
      </c>
      <c r="K450" s="70">
        <v>0</v>
      </c>
      <c r="L450" s="59"/>
      <c r="M450" s="70">
        <v>0</v>
      </c>
      <c r="N450" s="70">
        <v>0</v>
      </c>
      <c r="O450" s="70">
        <v>0</v>
      </c>
      <c r="P450" s="38"/>
      <c r="Q450" s="40"/>
    </row>
    <row r="451" spans="1:17" s="2" customFormat="1" x14ac:dyDescent="0.2">
      <c r="A451" s="16" t="str">
        <f t="shared" ref="A451:A514" si="14">TEXT(B451,"DDDD")</f>
        <v>sábado</v>
      </c>
      <c r="B451" s="17">
        <f t="shared" si="13"/>
        <v>45010</v>
      </c>
      <c r="C451" s="52">
        <f>IFERROR(_xlfn.XLOOKUP($B:$B,'Estatísticos Mensais'!$A:$A,'Estatísticos Mensais'!C:C),0)</f>
        <v>47069.79</v>
      </c>
      <c r="D451" s="69">
        <f>IFERROR(_xlfn.XLOOKUP($B:$B,Google!A:A,Google!C:C,),0)</f>
        <v>297.32</v>
      </c>
      <c r="E451" s="70" t="e">
        <f>SUMIF(#REF!,'Compilado 2023 (2)'!$B:$B,#REF!)</f>
        <v>#REF!</v>
      </c>
      <c r="F451" s="70">
        <v>0</v>
      </c>
      <c r="G451" s="70">
        <f ca="1">_xlfn.XLOOKUP(B:B,'E-mail'!A:A,'E-mail'!C:C)</f>
        <v>51.612903225806448</v>
      </c>
      <c r="H451" s="70">
        <f>IFERROR(_xlfn.XLOOKUP($B:$B,#REF!,#REF!),0)</f>
        <v>0</v>
      </c>
      <c r="I451" s="70">
        <v>0</v>
      </c>
      <c r="J451" s="70">
        <v>0</v>
      </c>
      <c r="K451" s="70">
        <v>0</v>
      </c>
      <c r="L451" s="59"/>
      <c r="M451" s="70">
        <v>0</v>
      </c>
      <c r="N451" s="70">
        <v>0</v>
      </c>
      <c r="O451" s="70">
        <v>0</v>
      </c>
      <c r="P451" s="38"/>
      <c r="Q451" s="40"/>
    </row>
    <row r="452" spans="1:17" s="2" customFormat="1" x14ac:dyDescent="0.2">
      <c r="A452" s="16" t="str">
        <f t="shared" si="14"/>
        <v>domingo</v>
      </c>
      <c r="B452" s="17">
        <f t="shared" si="13"/>
        <v>45011</v>
      </c>
      <c r="C452" s="52">
        <f>IFERROR(_xlfn.XLOOKUP($B:$B,'Estatísticos Mensais'!$A:$A,'Estatísticos Mensais'!C:C),0)</f>
        <v>32540.959999999999</v>
      </c>
      <c r="D452" s="69">
        <f>IFERROR(_xlfn.XLOOKUP($B:$B,Google!A:A,Google!C:C,),0)</f>
        <v>256.68</v>
      </c>
      <c r="E452" s="70" t="e">
        <f>SUMIF(#REF!,'Compilado 2023 (2)'!$B:$B,#REF!)</f>
        <v>#REF!</v>
      </c>
      <c r="F452" s="70">
        <v>0</v>
      </c>
      <c r="G452" s="70">
        <f ca="1">_xlfn.XLOOKUP(B:B,'E-mail'!A:A,'E-mail'!C:C)</f>
        <v>51.612903225806448</v>
      </c>
      <c r="H452" s="70">
        <f>IFERROR(_xlfn.XLOOKUP($B:$B,#REF!,#REF!),0)</f>
        <v>0</v>
      </c>
      <c r="I452" s="70">
        <v>0</v>
      </c>
      <c r="J452" s="70">
        <v>0</v>
      </c>
      <c r="K452" s="70">
        <v>0</v>
      </c>
      <c r="L452" s="59"/>
      <c r="M452" s="70">
        <v>0</v>
      </c>
      <c r="N452" s="70">
        <v>0</v>
      </c>
      <c r="O452" s="70">
        <v>0</v>
      </c>
      <c r="P452" s="38"/>
      <c r="Q452" s="40"/>
    </row>
    <row r="453" spans="1:17" s="2" customFormat="1" x14ac:dyDescent="0.2">
      <c r="A453" s="16" t="str">
        <f t="shared" si="14"/>
        <v>segunda-feira</v>
      </c>
      <c r="B453" s="17">
        <f t="shared" ref="B453:B516" si="15">B452+1</f>
        <v>45012</v>
      </c>
      <c r="C453" s="52">
        <f>IFERROR(_xlfn.XLOOKUP($B:$B,'Estatísticos Mensais'!$A:$A,'Estatísticos Mensais'!C:C),0)</f>
        <v>52831.55</v>
      </c>
      <c r="D453" s="69">
        <f>IFERROR(_xlfn.XLOOKUP($B:$B,Google!A:A,Google!C:C,),0)</f>
        <v>419.34</v>
      </c>
      <c r="E453" s="70" t="e">
        <f>SUMIF(#REF!,'Compilado 2023 (2)'!$B:$B,#REF!)</f>
        <v>#REF!</v>
      </c>
      <c r="F453" s="70">
        <v>0</v>
      </c>
      <c r="G453" s="70">
        <f ca="1">_xlfn.XLOOKUP(B:B,'E-mail'!A:A,'E-mail'!C:C)</f>
        <v>51.612903225806448</v>
      </c>
      <c r="H453" s="70">
        <f>IFERROR(_xlfn.XLOOKUP($B:$B,#REF!,#REF!),0)</f>
        <v>0</v>
      </c>
      <c r="I453" s="70">
        <v>0</v>
      </c>
      <c r="J453" s="70">
        <v>0</v>
      </c>
      <c r="K453" s="70">
        <v>0</v>
      </c>
      <c r="L453" s="59"/>
      <c r="M453" s="70">
        <v>0</v>
      </c>
      <c r="N453" s="70">
        <v>0</v>
      </c>
      <c r="O453" s="70">
        <v>0</v>
      </c>
      <c r="P453" s="38"/>
      <c r="Q453" s="40"/>
    </row>
    <row r="454" spans="1:17" s="2" customFormat="1" x14ac:dyDescent="0.2">
      <c r="A454" s="16" t="str">
        <f t="shared" si="14"/>
        <v>terça-feira</v>
      </c>
      <c r="B454" s="17">
        <f t="shared" si="15"/>
        <v>45013</v>
      </c>
      <c r="C454" s="52">
        <f>IFERROR(_xlfn.XLOOKUP($B:$B,'Estatísticos Mensais'!$A:$A,'Estatísticos Mensais'!C:C),0)</f>
        <v>50011.32</v>
      </c>
      <c r="D454" s="69">
        <f>IFERROR(_xlfn.XLOOKUP($B:$B,Google!A:A,Google!C:C,),0)</f>
        <v>478.03</v>
      </c>
      <c r="E454" s="70" t="e">
        <f>SUMIF(#REF!,'Compilado 2023 (2)'!$B:$B,#REF!)</f>
        <v>#REF!</v>
      </c>
      <c r="F454" s="70">
        <v>0</v>
      </c>
      <c r="G454" s="70">
        <f ca="1">_xlfn.XLOOKUP(B:B,'E-mail'!A:A,'E-mail'!C:C)</f>
        <v>51.612903225806448</v>
      </c>
      <c r="H454" s="70">
        <f>IFERROR(_xlfn.XLOOKUP($B:$B,#REF!,#REF!),0)</f>
        <v>0</v>
      </c>
      <c r="I454" s="70">
        <v>0</v>
      </c>
      <c r="J454" s="70">
        <v>0</v>
      </c>
      <c r="K454" s="70">
        <v>0</v>
      </c>
      <c r="L454" s="59"/>
      <c r="M454" s="70">
        <v>0</v>
      </c>
      <c r="N454" s="70">
        <v>0</v>
      </c>
      <c r="O454" s="70">
        <v>0</v>
      </c>
      <c r="P454" s="38"/>
      <c r="Q454" s="40"/>
    </row>
    <row r="455" spans="1:17" s="2" customFormat="1" x14ac:dyDescent="0.2">
      <c r="A455" s="16" t="str">
        <f t="shared" si="14"/>
        <v>quarta-feira</v>
      </c>
      <c r="B455" s="17">
        <f t="shared" si="15"/>
        <v>45014</v>
      </c>
      <c r="C455" s="52">
        <f>IFERROR(_xlfn.XLOOKUP($B:$B,'Estatísticos Mensais'!$A:$A,'Estatísticos Mensais'!C:C),0)</f>
        <v>70252.77</v>
      </c>
      <c r="D455" s="69">
        <f>IFERROR(_xlfn.XLOOKUP($B:$B,Google!A:A,Google!C:C,),0)</f>
        <v>499.53</v>
      </c>
      <c r="E455" s="70" t="e">
        <f>SUMIF(#REF!,'Compilado 2023 (2)'!$B:$B,#REF!)</f>
        <v>#REF!</v>
      </c>
      <c r="F455" s="70">
        <v>0</v>
      </c>
      <c r="G455" s="70">
        <f ca="1">_xlfn.XLOOKUP(B:B,'E-mail'!A:A,'E-mail'!C:C)</f>
        <v>51.612903225806448</v>
      </c>
      <c r="H455" s="70">
        <f>IFERROR(_xlfn.XLOOKUP($B:$B,#REF!,#REF!),0)</f>
        <v>0</v>
      </c>
      <c r="I455" s="70">
        <v>0</v>
      </c>
      <c r="J455" s="70">
        <v>0</v>
      </c>
      <c r="K455" s="70">
        <v>0</v>
      </c>
      <c r="L455" s="59"/>
      <c r="M455" s="70">
        <v>0</v>
      </c>
      <c r="N455" s="70">
        <v>0</v>
      </c>
      <c r="O455" s="70">
        <v>0</v>
      </c>
      <c r="P455" s="38"/>
      <c r="Q455" s="40"/>
    </row>
    <row r="456" spans="1:17" s="2" customFormat="1" x14ac:dyDescent="0.2">
      <c r="A456" s="16" t="str">
        <f t="shared" si="14"/>
        <v>quinta-feira</v>
      </c>
      <c r="B456" s="17">
        <f t="shared" si="15"/>
        <v>45015</v>
      </c>
      <c r="C456" s="52">
        <f>IFERROR(_xlfn.XLOOKUP($B:$B,'Estatísticos Mensais'!$A:$A,'Estatísticos Mensais'!C:C),0)</f>
        <v>72330.13</v>
      </c>
      <c r="D456" s="69">
        <f>IFERROR(_xlfn.XLOOKUP($B:$B,Google!A:A,Google!C:C,),0)</f>
        <v>406.94</v>
      </c>
      <c r="E456" s="70" t="e">
        <f>SUMIF(#REF!,'Compilado 2023 (2)'!$B:$B,#REF!)</f>
        <v>#REF!</v>
      </c>
      <c r="F456" s="70">
        <v>0</v>
      </c>
      <c r="G456" s="70">
        <f ca="1">_xlfn.XLOOKUP(B:B,'E-mail'!A:A,'E-mail'!C:C)</f>
        <v>51.612903225806448</v>
      </c>
      <c r="H456" s="70">
        <f>IFERROR(_xlfn.XLOOKUP($B:$B,#REF!,#REF!),0)</f>
        <v>0</v>
      </c>
      <c r="I456" s="70">
        <v>0</v>
      </c>
      <c r="J456" s="70">
        <v>0</v>
      </c>
      <c r="K456" s="70">
        <v>0</v>
      </c>
      <c r="L456" s="59"/>
      <c r="M456" s="70">
        <v>0</v>
      </c>
      <c r="N456" s="70">
        <v>0</v>
      </c>
      <c r="O456" s="70">
        <v>0</v>
      </c>
      <c r="P456" s="38"/>
      <c r="Q456" s="40"/>
    </row>
    <row r="457" spans="1:17" s="2" customFormat="1" x14ac:dyDescent="0.2">
      <c r="A457" s="16" t="str">
        <f t="shared" si="14"/>
        <v>sexta-feira</v>
      </c>
      <c r="B457" s="17">
        <f t="shared" si="15"/>
        <v>45016</v>
      </c>
      <c r="C457" s="52">
        <f>IFERROR(_xlfn.XLOOKUP($B:$B,'Estatísticos Mensais'!$A:$A,'Estatísticos Mensais'!C:C),0)</f>
        <v>69001.09</v>
      </c>
      <c r="D457" s="69">
        <f>IFERROR(_xlfn.XLOOKUP($B:$B,Google!A:A,Google!C:C,),0)</f>
        <v>555</v>
      </c>
      <c r="E457" s="70" t="e">
        <f>SUMIF(#REF!,'Compilado 2023 (2)'!$B:$B,#REF!)</f>
        <v>#REF!</v>
      </c>
      <c r="F457" s="70">
        <v>0</v>
      </c>
      <c r="G457" s="70">
        <f ca="1">_xlfn.XLOOKUP(B:B,'E-mail'!A:A,'E-mail'!C:C)</f>
        <v>51.612903225806448</v>
      </c>
      <c r="H457" s="70">
        <f>IFERROR(_xlfn.XLOOKUP($B:$B,#REF!,#REF!),0)</f>
        <v>0</v>
      </c>
      <c r="I457" s="70">
        <v>0</v>
      </c>
      <c r="J457" s="70">
        <v>0</v>
      </c>
      <c r="K457" s="70">
        <v>0</v>
      </c>
      <c r="L457" s="59"/>
      <c r="M457" s="70">
        <v>0</v>
      </c>
      <c r="N457" s="70">
        <v>0</v>
      </c>
      <c r="O457" s="70">
        <v>0</v>
      </c>
      <c r="P457" s="38"/>
      <c r="Q457" s="40"/>
    </row>
    <row r="458" spans="1:17" s="2" customFormat="1" x14ac:dyDescent="0.2">
      <c r="A458" s="16" t="str">
        <f t="shared" si="14"/>
        <v>sábado</v>
      </c>
      <c r="B458" s="17">
        <f t="shared" si="15"/>
        <v>45017</v>
      </c>
      <c r="C458" s="52">
        <f>IFERROR(_xlfn.XLOOKUP($B:$B,'Estatísticos Mensais'!$A:$A,'Estatísticos Mensais'!C:C),0)</f>
        <v>45316.49</v>
      </c>
      <c r="D458" s="69">
        <f>IFERROR(_xlfn.XLOOKUP($B:$B,Google!A:A,Google!C:C,),0)</f>
        <v>329.7</v>
      </c>
      <c r="E458" s="70" t="e">
        <f>SUMIF(#REF!,'Compilado 2023 (2)'!$B:$B,#REF!)</f>
        <v>#REF!</v>
      </c>
      <c r="F458" s="70">
        <v>0</v>
      </c>
      <c r="G458" s="70">
        <f ca="1">_xlfn.XLOOKUP(B:B,'E-mail'!A:A,'E-mail'!C:C)</f>
        <v>53.333333333333336</v>
      </c>
      <c r="H458" s="70">
        <f>IFERROR(_xlfn.XLOOKUP($B:$B,#REF!,#REF!),0)</f>
        <v>0</v>
      </c>
      <c r="I458" s="70">
        <v>0</v>
      </c>
      <c r="J458" s="70">
        <v>0</v>
      </c>
      <c r="K458" s="70">
        <v>0</v>
      </c>
      <c r="L458" s="59"/>
      <c r="M458" s="70">
        <v>0</v>
      </c>
      <c r="N458" s="70">
        <v>0</v>
      </c>
      <c r="O458" s="70">
        <v>0</v>
      </c>
      <c r="P458" s="38"/>
      <c r="Q458" s="40"/>
    </row>
    <row r="459" spans="1:17" s="2" customFormat="1" x14ac:dyDescent="0.2">
      <c r="A459" s="16" t="str">
        <f t="shared" si="14"/>
        <v>domingo</v>
      </c>
      <c r="B459" s="17">
        <f t="shared" si="15"/>
        <v>45018</v>
      </c>
      <c r="C459" s="52">
        <f>IFERROR(_xlfn.XLOOKUP($B:$B,'Estatísticos Mensais'!$A:$A,'Estatísticos Mensais'!C:C),0)</f>
        <v>31369.98</v>
      </c>
      <c r="D459" s="69">
        <f>IFERROR(_xlfn.XLOOKUP($B:$B,Google!A:A,Google!C:C,),0)</f>
        <v>329.66</v>
      </c>
      <c r="E459" s="70" t="e">
        <f>SUMIF(#REF!,'Compilado 2023 (2)'!$B:$B,#REF!)</f>
        <v>#REF!</v>
      </c>
      <c r="F459" s="70">
        <v>0</v>
      </c>
      <c r="G459" s="70">
        <f ca="1">_xlfn.XLOOKUP(B:B,'E-mail'!A:A,'E-mail'!C:C)</f>
        <v>53.333333333333336</v>
      </c>
      <c r="H459" s="70">
        <f>IFERROR(_xlfn.XLOOKUP($B:$B,#REF!,#REF!),0)</f>
        <v>0</v>
      </c>
      <c r="I459" s="70">
        <v>0</v>
      </c>
      <c r="J459" s="70">
        <v>0</v>
      </c>
      <c r="K459" s="71">
        <v>0</v>
      </c>
      <c r="L459" s="59"/>
      <c r="M459" s="70">
        <v>0</v>
      </c>
      <c r="N459" s="70">
        <v>0</v>
      </c>
      <c r="O459" s="70">
        <v>0</v>
      </c>
      <c r="P459" s="38"/>
      <c r="Q459" s="40"/>
    </row>
    <row r="460" spans="1:17" s="2" customFormat="1" x14ac:dyDescent="0.2">
      <c r="A460" s="16" t="str">
        <f t="shared" si="14"/>
        <v>segunda-feira</v>
      </c>
      <c r="B460" s="17">
        <f t="shared" si="15"/>
        <v>45019</v>
      </c>
      <c r="C460" s="52">
        <f>IFERROR(_xlfn.XLOOKUP($B:$B,'Estatísticos Mensais'!$A:$A,'Estatísticos Mensais'!C:C),0)</f>
        <v>63954.95</v>
      </c>
      <c r="D460" s="69">
        <f>IFERROR(_xlfn.XLOOKUP($B:$B,Google!A:A,Google!C:C,),0)</f>
        <v>437.12</v>
      </c>
      <c r="E460" s="70" t="e">
        <f>SUMIF(#REF!,'Compilado 2023 (2)'!$B:$B,#REF!)</f>
        <v>#REF!</v>
      </c>
      <c r="F460" s="70">
        <v>0</v>
      </c>
      <c r="G460" s="70">
        <f ca="1">_xlfn.XLOOKUP(B:B,'E-mail'!A:A,'E-mail'!C:C)</f>
        <v>53.333333333333336</v>
      </c>
      <c r="H460" s="70">
        <f>IFERROR(_xlfn.XLOOKUP($B:$B,#REF!,#REF!),0)</f>
        <v>0</v>
      </c>
      <c r="I460" s="70">
        <v>0</v>
      </c>
      <c r="J460" s="70">
        <v>0</v>
      </c>
      <c r="K460" s="71">
        <v>0</v>
      </c>
      <c r="L460" s="59"/>
      <c r="M460" s="70">
        <v>0</v>
      </c>
      <c r="N460" s="70">
        <v>0</v>
      </c>
      <c r="O460" s="70">
        <v>0</v>
      </c>
      <c r="P460" s="38"/>
      <c r="Q460" s="40"/>
    </row>
    <row r="461" spans="1:17" s="2" customFormat="1" x14ac:dyDescent="0.2">
      <c r="A461" s="16" t="str">
        <f t="shared" si="14"/>
        <v>terça-feira</v>
      </c>
      <c r="B461" s="17">
        <f t="shared" si="15"/>
        <v>45020</v>
      </c>
      <c r="C461" s="52">
        <f>IFERROR(_xlfn.XLOOKUP($B:$B,'Estatísticos Mensais'!$A:$A,'Estatísticos Mensais'!C:C),0)</f>
        <v>57944.71</v>
      </c>
      <c r="D461" s="69">
        <f>IFERROR(_xlfn.XLOOKUP($B:$B,Google!A:A,Google!C:C,),0)</f>
        <v>592.42999999999995</v>
      </c>
      <c r="E461" s="70" t="e">
        <f>SUMIF(#REF!,'Compilado 2023 (2)'!$B:$B,#REF!)</f>
        <v>#REF!</v>
      </c>
      <c r="F461" s="70">
        <v>0</v>
      </c>
      <c r="G461" s="70">
        <f ca="1">_xlfn.XLOOKUP(B:B,'E-mail'!A:A,'E-mail'!C:C)</f>
        <v>53.333333333333336</v>
      </c>
      <c r="H461" s="70">
        <f>IFERROR(_xlfn.XLOOKUP($B:$B,#REF!,#REF!),0)</f>
        <v>0</v>
      </c>
      <c r="I461" s="70">
        <v>0</v>
      </c>
      <c r="J461" s="70">
        <v>0</v>
      </c>
      <c r="K461" s="71">
        <v>0</v>
      </c>
      <c r="L461" s="59"/>
      <c r="M461" s="70">
        <v>0</v>
      </c>
      <c r="N461" s="70">
        <v>0</v>
      </c>
      <c r="O461" s="70">
        <v>0</v>
      </c>
      <c r="P461" s="38"/>
      <c r="Q461" s="40"/>
    </row>
    <row r="462" spans="1:17" s="2" customFormat="1" x14ac:dyDescent="0.2">
      <c r="A462" s="16" t="str">
        <f t="shared" si="14"/>
        <v>quarta-feira</v>
      </c>
      <c r="B462" s="17">
        <f t="shared" si="15"/>
        <v>45021</v>
      </c>
      <c r="C462" s="52">
        <f>IFERROR(_xlfn.XLOOKUP($B:$B,'Estatísticos Mensais'!$A:$A,'Estatísticos Mensais'!C:C),0)</f>
        <v>73823.710000000006</v>
      </c>
      <c r="D462" s="69">
        <f>IFERROR(_xlfn.XLOOKUP($B:$B,Google!A:A,Google!C:C,),0)</f>
        <v>460.87</v>
      </c>
      <c r="E462" s="70" t="e">
        <f>SUMIF(#REF!,'Compilado 2023 (2)'!$B:$B,#REF!)</f>
        <v>#REF!</v>
      </c>
      <c r="F462" s="70">
        <v>0</v>
      </c>
      <c r="G462" s="70">
        <f ca="1">_xlfn.XLOOKUP(B:B,'E-mail'!A:A,'E-mail'!C:C)</f>
        <v>53.333333333333336</v>
      </c>
      <c r="H462" s="70">
        <f>IFERROR(_xlfn.XLOOKUP($B:$B,#REF!,#REF!),0)</f>
        <v>0</v>
      </c>
      <c r="I462" s="70">
        <v>0</v>
      </c>
      <c r="J462" s="70">
        <v>0</v>
      </c>
      <c r="K462" s="71">
        <v>0</v>
      </c>
      <c r="L462" s="59"/>
      <c r="M462" s="70">
        <v>0</v>
      </c>
      <c r="N462" s="70">
        <v>0</v>
      </c>
      <c r="O462" s="70">
        <v>0</v>
      </c>
      <c r="P462" s="38"/>
      <c r="Q462" s="40"/>
    </row>
    <row r="463" spans="1:17" s="2" customFormat="1" x14ac:dyDescent="0.2">
      <c r="A463" s="16" t="str">
        <f t="shared" si="14"/>
        <v>quinta-feira</v>
      </c>
      <c r="B463" s="17">
        <f t="shared" si="15"/>
        <v>45022</v>
      </c>
      <c r="C463" s="52">
        <f>IFERROR(_xlfn.XLOOKUP($B:$B,'Estatísticos Mensais'!$A:$A,'Estatísticos Mensais'!C:C),0)</f>
        <v>117256.14</v>
      </c>
      <c r="D463" s="69">
        <f>IFERROR(_xlfn.XLOOKUP($B:$B,Google!A:A,Google!C:C,),0)</f>
        <v>473.4</v>
      </c>
      <c r="E463" s="70" t="e">
        <f>SUMIF(#REF!,'Compilado 2023 (2)'!$B:$B,#REF!)</f>
        <v>#REF!</v>
      </c>
      <c r="F463" s="70">
        <v>0</v>
      </c>
      <c r="G463" s="70">
        <f ca="1">_xlfn.XLOOKUP(B:B,'E-mail'!A:A,'E-mail'!C:C)</f>
        <v>53.333333333333336</v>
      </c>
      <c r="H463" s="70">
        <f>IFERROR(_xlfn.XLOOKUP($B:$B,#REF!,#REF!),0)</f>
        <v>0</v>
      </c>
      <c r="I463" s="70">
        <v>0</v>
      </c>
      <c r="J463" s="70">
        <v>0</v>
      </c>
      <c r="K463" s="71">
        <v>0</v>
      </c>
      <c r="L463" s="59"/>
      <c r="M463" s="70">
        <v>0</v>
      </c>
      <c r="N463" s="70">
        <v>0</v>
      </c>
      <c r="O463" s="70">
        <v>0</v>
      </c>
      <c r="P463" s="38"/>
      <c r="Q463" s="40" t="s">
        <v>102</v>
      </c>
    </row>
    <row r="464" spans="1:17" s="2" customFormat="1" x14ac:dyDescent="0.2">
      <c r="A464" s="16" t="str">
        <f t="shared" si="14"/>
        <v>sexta-feira</v>
      </c>
      <c r="B464" s="17">
        <f t="shared" si="15"/>
        <v>45023</v>
      </c>
      <c r="C464" s="52">
        <f>IFERROR(_xlfn.XLOOKUP($B:$B,'Estatísticos Mensais'!$A:$A,'Estatísticos Mensais'!C:C),0)</f>
        <v>34734.199999999997</v>
      </c>
      <c r="D464" s="69">
        <f>IFERROR(_xlfn.XLOOKUP($B:$B,Google!A:A,Google!C:C,),0)</f>
        <v>358.73</v>
      </c>
      <c r="E464" s="70" t="e">
        <f>SUMIF(#REF!,'Compilado 2023 (2)'!$B:$B,#REF!)</f>
        <v>#REF!</v>
      </c>
      <c r="F464" s="70">
        <v>0</v>
      </c>
      <c r="G464" s="70">
        <f ca="1">_xlfn.XLOOKUP(B:B,'E-mail'!A:A,'E-mail'!C:C)</f>
        <v>53.333333333333336</v>
      </c>
      <c r="H464" s="70">
        <f>IFERROR(_xlfn.XLOOKUP($B:$B,#REF!,#REF!),0)</f>
        <v>0</v>
      </c>
      <c r="I464" s="70">
        <v>0</v>
      </c>
      <c r="J464" s="70">
        <v>0</v>
      </c>
      <c r="K464" s="71">
        <v>0</v>
      </c>
      <c r="L464" s="59"/>
      <c r="M464" s="70">
        <v>0</v>
      </c>
      <c r="N464" s="70">
        <v>0</v>
      </c>
      <c r="O464" s="70">
        <v>0</v>
      </c>
      <c r="P464" s="38"/>
      <c r="Q464" s="40"/>
    </row>
    <row r="465" spans="1:17" s="2" customFormat="1" x14ac:dyDescent="0.2">
      <c r="A465" s="16" t="str">
        <f t="shared" si="14"/>
        <v>sábado</v>
      </c>
      <c r="B465" s="17">
        <f t="shared" si="15"/>
        <v>45024</v>
      </c>
      <c r="C465" s="52">
        <f>IFERROR(_xlfn.XLOOKUP($B:$B,'Estatísticos Mensais'!$A:$A,'Estatísticos Mensais'!C:C),0)</f>
        <v>33897.279999999999</v>
      </c>
      <c r="D465" s="69">
        <f>IFERROR(_xlfn.XLOOKUP($B:$B,Google!A:A,Google!C:C,),0)</f>
        <v>360.65</v>
      </c>
      <c r="E465" s="70" t="e">
        <f>SUMIF(#REF!,'Compilado 2023 (2)'!$B:$B,#REF!)</f>
        <v>#REF!</v>
      </c>
      <c r="F465" s="70">
        <v>0</v>
      </c>
      <c r="G465" s="70">
        <f ca="1">_xlfn.XLOOKUP(B:B,'E-mail'!A:A,'E-mail'!C:C)</f>
        <v>53.333333333333336</v>
      </c>
      <c r="H465" s="70">
        <f>IFERROR(_xlfn.XLOOKUP($B:$B,#REF!,#REF!),0)</f>
        <v>0</v>
      </c>
      <c r="I465" s="70">
        <v>0</v>
      </c>
      <c r="J465" s="70">
        <v>0</v>
      </c>
      <c r="K465" s="71">
        <v>0</v>
      </c>
      <c r="L465" s="59"/>
      <c r="M465" s="70">
        <v>0</v>
      </c>
      <c r="N465" s="70">
        <v>0</v>
      </c>
      <c r="O465" s="70">
        <v>0</v>
      </c>
      <c r="P465" s="38"/>
      <c r="Q465" s="40"/>
    </row>
    <row r="466" spans="1:17" s="2" customFormat="1" x14ac:dyDescent="0.2">
      <c r="A466" s="16" t="str">
        <f t="shared" si="14"/>
        <v>domingo</v>
      </c>
      <c r="B466" s="17">
        <f t="shared" si="15"/>
        <v>45025</v>
      </c>
      <c r="C466" s="52">
        <f>IFERROR(_xlfn.XLOOKUP($B:$B,'Estatísticos Mensais'!$A:$A,'Estatísticos Mensais'!C:C),0)</f>
        <v>28990.42</v>
      </c>
      <c r="D466" s="69">
        <f>IFERROR(_xlfn.XLOOKUP($B:$B,Google!A:A,Google!C:C,),0)</f>
        <v>293.31</v>
      </c>
      <c r="E466" s="70" t="e">
        <f>SUMIF(#REF!,'Compilado 2023 (2)'!$B:$B,#REF!)</f>
        <v>#REF!</v>
      </c>
      <c r="F466" s="70">
        <v>0</v>
      </c>
      <c r="G466" s="70">
        <f ca="1">_xlfn.XLOOKUP(B:B,'E-mail'!A:A,'E-mail'!C:C)</f>
        <v>53.333333333333336</v>
      </c>
      <c r="H466" s="70">
        <f>IFERROR(_xlfn.XLOOKUP($B:$B,#REF!,#REF!),0)</f>
        <v>0</v>
      </c>
      <c r="I466" s="70">
        <v>0</v>
      </c>
      <c r="J466" s="70">
        <v>0</v>
      </c>
      <c r="K466" s="71">
        <v>0</v>
      </c>
      <c r="L466" s="59"/>
      <c r="M466" s="70">
        <v>0</v>
      </c>
      <c r="N466" s="70">
        <v>0</v>
      </c>
      <c r="O466" s="70">
        <v>0</v>
      </c>
      <c r="P466" s="38"/>
      <c r="Q466" s="40"/>
    </row>
    <row r="467" spans="1:17" s="2" customFormat="1" x14ac:dyDescent="0.2">
      <c r="A467" s="16" t="str">
        <f t="shared" si="14"/>
        <v>segunda-feira</v>
      </c>
      <c r="B467" s="17">
        <f t="shared" si="15"/>
        <v>45026</v>
      </c>
      <c r="C467" s="52">
        <f>IFERROR(_xlfn.XLOOKUP($B:$B,'Estatísticos Mensais'!$A:$A,'Estatísticos Mensais'!C:C),0)</f>
        <v>56755.53</v>
      </c>
      <c r="D467" s="69">
        <f>IFERROR(_xlfn.XLOOKUP($B:$B,Google!A:A,Google!C:C,),0)</f>
        <v>483.58</v>
      </c>
      <c r="E467" s="70" t="e">
        <f>SUMIF(#REF!,'Compilado 2023 (2)'!$B:$B,#REF!)</f>
        <v>#REF!</v>
      </c>
      <c r="F467" s="70">
        <v>0</v>
      </c>
      <c r="G467" s="70">
        <f ca="1">_xlfn.XLOOKUP(B:B,'E-mail'!A:A,'E-mail'!C:C)</f>
        <v>53.333333333333336</v>
      </c>
      <c r="H467" s="70">
        <f>IFERROR(_xlfn.XLOOKUP($B:$B,#REF!,#REF!),0)</f>
        <v>0</v>
      </c>
      <c r="I467" s="70">
        <v>0</v>
      </c>
      <c r="J467" s="70">
        <v>0</v>
      </c>
      <c r="K467" s="71">
        <v>0</v>
      </c>
      <c r="L467" s="59"/>
      <c r="M467" s="70">
        <v>0</v>
      </c>
      <c r="N467" s="70">
        <v>0</v>
      </c>
      <c r="O467" s="70">
        <v>0</v>
      </c>
      <c r="P467" s="38"/>
      <c r="Q467" s="40" t="s">
        <v>103</v>
      </c>
    </row>
    <row r="468" spans="1:17" s="2" customFormat="1" x14ac:dyDescent="0.2">
      <c r="A468" s="16" t="str">
        <f t="shared" si="14"/>
        <v>terça-feira</v>
      </c>
      <c r="B468" s="17">
        <f t="shared" si="15"/>
        <v>45027</v>
      </c>
      <c r="C468" s="52">
        <f>IFERROR(_xlfn.XLOOKUP($B:$B,'Estatísticos Mensais'!$A:$A,'Estatísticos Mensais'!C:C),0)</f>
        <v>67143.679999999993</v>
      </c>
      <c r="D468" s="69">
        <f>IFERROR(_xlfn.XLOOKUP($B:$B,Google!A:A,Google!C:C,),0)</f>
        <v>553.20000000000005</v>
      </c>
      <c r="E468" s="70" t="e">
        <f>SUMIF(#REF!,'Compilado 2023 (2)'!$B:$B,#REF!)</f>
        <v>#REF!</v>
      </c>
      <c r="F468" s="70">
        <v>0</v>
      </c>
      <c r="G468" s="70">
        <f ca="1">_xlfn.XLOOKUP(B:B,'E-mail'!A:A,'E-mail'!C:C)</f>
        <v>53.333333333333336</v>
      </c>
      <c r="H468" s="70">
        <f>IFERROR(_xlfn.XLOOKUP($B:$B,#REF!,#REF!),0)</f>
        <v>0</v>
      </c>
      <c r="I468" s="70">
        <v>0</v>
      </c>
      <c r="J468" s="70">
        <v>0</v>
      </c>
      <c r="K468" s="71">
        <v>0</v>
      </c>
      <c r="L468" s="59"/>
      <c r="M468" s="70">
        <v>0</v>
      </c>
      <c r="N468" s="70">
        <v>0</v>
      </c>
      <c r="O468" s="70">
        <v>0</v>
      </c>
      <c r="P468" s="38"/>
      <c r="Q468" s="40"/>
    </row>
    <row r="469" spans="1:17" s="2" customFormat="1" x14ac:dyDescent="0.2">
      <c r="A469" s="16" t="str">
        <f t="shared" si="14"/>
        <v>quarta-feira</v>
      </c>
      <c r="B469" s="17">
        <f t="shared" si="15"/>
        <v>45028</v>
      </c>
      <c r="C469" s="52">
        <f>IFERROR(_xlfn.XLOOKUP($B:$B,'Estatísticos Mensais'!$A:$A,'Estatísticos Mensais'!C:C),0)</f>
        <v>87233.29</v>
      </c>
      <c r="D469" s="69">
        <f>IFERROR(_xlfn.XLOOKUP($B:$B,Google!A:A,Google!C:C,),0)</f>
        <v>1081.6300000000001</v>
      </c>
      <c r="E469" s="70" t="e">
        <f>SUMIF(#REF!,'Compilado 2023 (2)'!$B:$B,#REF!)</f>
        <v>#REF!</v>
      </c>
      <c r="F469" s="70">
        <v>0</v>
      </c>
      <c r="G469" s="70">
        <f ca="1">_xlfn.XLOOKUP(B:B,'E-mail'!A:A,'E-mail'!C:C)</f>
        <v>53.333333333333336</v>
      </c>
      <c r="H469" s="70">
        <f>IFERROR(_xlfn.XLOOKUP($B:$B,#REF!,#REF!),0)</f>
        <v>0</v>
      </c>
      <c r="I469" s="70">
        <v>0</v>
      </c>
      <c r="J469" s="70">
        <v>0</v>
      </c>
      <c r="K469" s="71">
        <v>0</v>
      </c>
      <c r="L469" s="59"/>
      <c r="M469" s="70">
        <v>0</v>
      </c>
      <c r="N469" s="70">
        <v>0</v>
      </c>
      <c r="O469" s="70">
        <v>0</v>
      </c>
      <c r="P469" s="38"/>
      <c r="Q469" s="40"/>
    </row>
    <row r="470" spans="1:17" s="2" customFormat="1" x14ac:dyDescent="0.2">
      <c r="A470" s="16" t="str">
        <f t="shared" si="14"/>
        <v>quinta-feira</v>
      </c>
      <c r="B470" s="17">
        <f t="shared" si="15"/>
        <v>45029</v>
      </c>
      <c r="C470" s="52">
        <f>IFERROR(_xlfn.XLOOKUP($B:$B,'Estatísticos Mensais'!$A:$A,'Estatísticos Mensais'!C:C),0)</f>
        <v>94113.84</v>
      </c>
      <c r="D470" s="69">
        <f>IFERROR(_xlfn.XLOOKUP($B:$B,Google!A:A,Google!C:C,),0)</f>
        <v>1339.11</v>
      </c>
      <c r="E470" s="70" t="e">
        <f>SUMIF(#REF!,'Compilado 2023 (2)'!$B:$B,#REF!)</f>
        <v>#REF!</v>
      </c>
      <c r="F470" s="70">
        <v>0</v>
      </c>
      <c r="G470" s="70">
        <f ca="1">_xlfn.XLOOKUP(B:B,'E-mail'!A:A,'E-mail'!C:C)</f>
        <v>53.333333333333336</v>
      </c>
      <c r="H470" s="70">
        <f>IFERROR(_xlfn.XLOOKUP($B:$B,#REF!,#REF!),0)</f>
        <v>0</v>
      </c>
      <c r="I470" s="70">
        <v>0</v>
      </c>
      <c r="J470" s="70">
        <v>0</v>
      </c>
      <c r="K470" s="71">
        <v>0</v>
      </c>
      <c r="L470" s="59"/>
      <c r="M470" s="70">
        <v>0</v>
      </c>
      <c r="N470" s="70">
        <v>0</v>
      </c>
      <c r="O470" s="70">
        <v>0</v>
      </c>
      <c r="P470" s="38"/>
      <c r="Q470" s="40" t="s">
        <v>104</v>
      </c>
    </row>
    <row r="471" spans="1:17" s="2" customFormat="1" x14ac:dyDescent="0.2">
      <c r="A471" s="16" t="str">
        <f t="shared" si="14"/>
        <v>sexta-feira</v>
      </c>
      <c r="B471" s="17">
        <f t="shared" si="15"/>
        <v>45030</v>
      </c>
      <c r="C471" s="52">
        <f>IFERROR(_xlfn.XLOOKUP($B:$B,'Estatísticos Mensais'!$A:$A,'Estatísticos Mensais'!C:C),0)</f>
        <v>85157.58</v>
      </c>
      <c r="D471" s="69">
        <f>IFERROR(_xlfn.XLOOKUP($B:$B,Google!A:A,Google!C:C,),0)</f>
        <v>1378.9</v>
      </c>
      <c r="E471" s="70" t="e">
        <f>SUMIF(#REF!,'Compilado 2023 (2)'!$B:$B,#REF!)</f>
        <v>#REF!</v>
      </c>
      <c r="F471" s="70">
        <v>0</v>
      </c>
      <c r="G471" s="70">
        <f ca="1">_xlfn.XLOOKUP(B:B,'E-mail'!A:A,'E-mail'!C:C)</f>
        <v>53.333333333333336</v>
      </c>
      <c r="H471" s="70">
        <f>IFERROR(_xlfn.XLOOKUP($B:$B,#REF!,#REF!),0)</f>
        <v>0</v>
      </c>
      <c r="I471" s="70">
        <v>0</v>
      </c>
      <c r="J471" s="70">
        <v>0</v>
      </c>
      <c r="K471" s="71">
        <v>0</v>
      </c>
      <c r="L471" s="59"/>
      <c r="M471" s="70">
        <v>15</v>
      </c>
      <c r="N471" s="70">
        <v>0</v>
      </c>
      <c r="O471" s="70">
        <v>0</v>
      </c>
      <c r="P471" s="38"/>
      <c r="Q471" s="40" t="s">
        <v>105</v>
      </c>
    </row>
    <row r="472" spans="1:17" s="2" customFormat="1" x14ac:dyDescent="0.2">
      <c r="A472" s="16" t="str">
        <f t="shared" si="14"/>
        <v>sábado</v>
      </c>
      <c r="B472" s="17">
        <f t="shared" si="15"/>
        <v>45031</v>
      </c>
      <c r="C472" s="52">
        <f>IFERROR(_xlfn.XLOOKUP($B:$B,'Estatísticos Mensais'!$A:$A,'Estatísticos Mensais'!C:C),0)</f>
        <v>54715.27</v>
      </c>
      <c r="D472" s="69">
        <f>IFERROR(_xlfn.XLOOKUP($B:$B,Google!A:A,Google!C:C,),0)</f>
        <v>1072.79</v>
      </c>
      <c r="E472" s="70" t="e">
        <f>SUMIF(#REF!,'Compilado 2023 (2)'!$B:$B,#REF!)</f>
        <v>#REF!</v>
      </c>
      <c r="F472" s="70">
        <v>0</v>
      </c>
      <c r="G472" s="70">
        <f ca="1">_xlfn.XLOOKUP(B:B,'E-mail'!A:A,'E-mail'!C:C)</f>
        <v>53.333333333333336</v>
      </c>
      <c r="H472" s="70">
        <f>IFERROR(_xlfn.XLOOKUP($B:$B,#REF!,#REF!),0)</f>
        <v>0</v>
      </c>
      <c r="I472" s="70">
        <v>0</v>
      </c>
      <c r="J472" s="70">
        <v>0</v>
      </c>
      <c r="K472" s="71">
        <v>0</v>
      </c>
      <c r="L472" s="59"/>
      <c r="M472" s="70">
        <v>0</v>
      </c>
      <c r="N472" s="70">
        <v>0</v>
      </c>
      <c r="O472" s="70">
        <v>0</v>
      </c>
      <c r="P472" s="38"/>
      <c r="Q472" s="40"/>
    </row>
    <row r="473" spans="1:17" s="2" customFormat="1" x14ac:dyDescent="0.2">
      <c r="A473" s="16" t="str">
        <f t="shared" si="14"/>
        <v>domingo</v>
      </c>
      <c r="B473" s="17">
        <f t="shared" si="15"/>
        <v>45032</v>
      </c>
      <c r="C473" s="52">
        <f>IFERROR(_xlfn.XLOOKUP($B:$B,'Estatísticos Mensais'!$A:$A,'Estatísticos Mensais'!C:C),0)</f>
        <v>39098.39</v>
      </c>
      <c r="D473" s="69">
        <f>IFERROR(_xlfn.XLOOKUP($B:$B,Google!A:A,Google!C:C,),0)</f>
        <v>975.99</v>
      </c>
      <c r="E473" s="70" t="e">
        <f>SUMIF(#REF!,'Compilado 2023 (2)'!$B:$B,#REF!)</f>
        <v>#REF!</v>
      </c>
      <c r="F473" s="70">
        <v>0</v>
      </c>
      <c r="G473" s="70">
        <f ca="1">_xlfn.XLOOKUP(B:B,'E-mail'!A:A,'E-mail'!C:C)</f>
        <v>53.333333333333336</v>
      </c>
      <c r="H473" s="70">
        <f>IFERROR(_xlfn.XLOOKUP($B:$B,#REF!,#REF!),0)</f>
        <v>0</v>
      </c>
      <c r="I473" s="70">
        <v>0</v>
      </c>
      <c r="J473" s="70">
        <v>0</v>
      </c>
      <c r="K473" s="71">
        <v>0</v>
      </c>
      <c r="L473" s="59"/>
      <c r="M473" s="70">
        <v>0</v>
      </c>
      <c r="N473" s="70">
        <v>0</v>
      </c>
      <c r="O473" s="70">
        <v>0</v>
      </c>
      <c r="P473" s="38"/>
      <c r="Q473" s="40"/>
    </row>
    <row r="474" spans="1:17" s="2" customFormat="1" x14ac:dyDescent="0.2">
      <c r="A474" s="16" t="str">
        <f t="shared" si="14"/>
        <v>segunda-feira</v>
      </c>
      <c r="B474" s="17">
        <f t="shared" si="15"/>
        <v>45033</v>
      </c>
      <c r="C474" s="52">
        <f>IFERROR(_xlfn.XLOOKUP($B:$B,'Estatísticos Mensais'!$A:$A,'Estatísticos Mensais'!C:C),0)</f>
        <v>79811.199999999997</v>
      </c>
      <c r="D474" s="69">
        <f>IFERROR(_xlfn.XLOOKUP($B:$B,Google!A:A,Google!C:C,),0)</f>
        <v>1604.34</v>
      </c>
      <c r="E474" s="70" t="e">
        <f>SUMIF(#REF!,'Compilado 2023 (2)'!$B:$B,#REF!)</f>
        <v>#REF!</v>
      </c>
      <c r="F474" s="70">
        <v>0</v>
      </c>
      <c r="G474" s="70">
        <f ca="1">_xlfn.XLOOKUP(B:B,'E-mail'!A:A,'E-mail'!C:C)</f>
        <v>53.333333333333336</v>
      </c>
      <c r="H474" s="70">
        <f>IFERROR(_xlfn.XLOOKUP($B:$B,#REF!,#REF!),0)</f>
        <v>0</v>
      </c>
      <c r="I474" s="70">
        <v>0</v>
      </c>
      <c r="J474" s="70">
        <v>0</v>
      </c>
      <c r="K474" s="71">
        <v>0</v>
      </c>
      <c r="L474" s="59"/>
      <c r="M474" s="70">
        <v>0</v>
      </c>
      <c r="N474" s="70">
        <v>0</v>
      </c>
      <c r="O474" s="70">
        <v>0</v>
      </c>
      <c r="P474" s="38"/>
      <c r="Q474" s="40" t="s">
        <v>106</v>
      </c>
    </row>
    <row r="475" spans="1:17" s="2" customFormat="1" x14ac:dyDescent="0.2">
      <c r="A475" s="16" t="str">
        <f t="shared" si="14"/>
        <v>terça-feira</v>
      </c>
      <c r="B475" s="17">
        <f t="shared" si="15"/>
        <v>45034</v>
      </c>
      <c r="C475" s="52">
        <f>IFERROR(_xlfn.XLOOKUP($B:$B,'Estatísticos Mensais'!$A:$A,'Estatísticos Mensais'!C:C),0)</f>
        <v>112196.78</v>
      </c>
      <c r="D475" s="69">
        <f>IFERROR(_xlfn.XLOOKUP($B:$B,Google!A:A,Google!C:C,),0)</f>
        <v>1698.94</v>
      </c>
      <c r="E475" s="70" t="e">
        <f>SUMIF(#REF!,'Compilado 2023 (2)'!$B:$B,#REF!)</f>
        <v>#REF!</v>
      </c>
      <c r="F475" s="70">
        <v>0</v>
      </c>
      <c r="G475" s="70">
        <f ca="1">_xlfn.XLOOKUP(B:B,'E-mail'!A:A,'E-mail'!C:C)</f>
        <v>53.333333333333336</v>
      </c>
      <c r="H475" s="70">
        <f>IFERROR(_xlfn.XLOOKUP($B:$B,#REF!,#REF!),0)</f>
        <v>0</v>
      </c>
      <c r="I475" s="70">
        <v>0</v>
      </c>
      <c r="J475" s="70">
        <v>0</v>
      </c>
      <c r="K475" s="71">
        <v>0</v>
      </c>
      <c r="L475" s="59"/>
      <c r="M475" s="70">
        <v>0</v>
      </c>
      <c r="N475" s="70">
        <v>0</v>
      </c>
      <c r="O475" s="70">
        <v>0</v>
      </c>
      <c r="P475" s="38"/>
      <c r="Q475" s="40" t="s">
        <v>107</v>
      </c>
    </row>
    <row r="476" spans="1:17" s="2" customFormat="1" x14ac:dyDescent="0.2">
      <c r="A476" s="16" t="str">
        <f t="shared" si="14"/>
        <v>quarta-feira</v>
      </c>
      <c r="B476" s="17">
        <f t="shared" si="15"/>
        <v>45035</v>
      </c>
      <c r="C476" s="52">
        <f>IFERROR(_xlfn.XLOOKUP($B:$B,'Estatísticos Mensais'!$A:$A,'Estatísticos Mensais'!C:C),0)</f>
        <v>119385.87</v>
      </c>
      <c r="D476" s="69">
        <f>IFERROR(_xlfn.XLOOKUP($B:$B,Google!A:A,Google!C:C,),0)</f>
        <v>1545.65</v>
      </c>
      <c r="E476" s="70" t="e">
        <f>SUMIF(#REF!,'Compilado 2023 (2)'!$B:$B,#REF!)</f>
        <v>#REF!</v>
      </c>
      <c r="F476" s="70">
        <v>0</v>
      </c>
      <c r="G476" s="70">
        <f ca="1">_xlfn.XLOOKUP(B:B,'E-mail'!A:A,'E-mail'!C:C)</f>
        <v>53.333333333333336</v>
      </c>
      <c r="H476" s="70">
        <f>IFERROR(_xlfn.XLOOKUP($B:$B,#REF!,#REF!),0)</f>
        <v>0</v>
      </c>
      <c r="I476" s="70">
        <v>0</v>
      </c>
      <c r="J476" s="70">
        <v>0</v>
      </c>
      <c r="K476" s="71">
        <v>0</v>
      </c>
      <c r="L476" s="59"/>
      <c r="M476" s="70">
        <v>0</v>
      </c>
      <c r="N476" s="70">
        <v>0</v>
      </c>
      <c r="O476" s="70">
        <v>0</v>
      </c>
      <c r="P476" s="38"/>
      <c r="Q476" s="40"/>
    </row>
    <row r="477" spans="1:17" s="2" customFormat="1" x14ac:dyDescent="0.2">
      <c r="A477" s="16" t="str">
        <f t="shared" si="14"/>
        <v>quinta-feira</v>
      </c>
      <c r="B477" s="17">
        <f t="shared" si="15"/>
        <v>45036</v>
      </c>
      <c r="C477" s="52">
        <f>IFERROR(_xlfn.XLOOKUP($B:$B,'Estatísticos Mensais'!$A:$A,'Estatísticos Mensais'!C:C),0)</f>
        <v>121632.08</v>
      </c>
      <c r="D477" s="69">
        <f>IFERROR(_xlfn.XLOOKUP($B:$B,Google!A:A,Google!C:C,),0)</f>
        <v>1369.74</v>
      </c>
      <c r="E477" s="70" t="e">
        <f>SUMIF(#REF!,'Compilado 2023 (2)'!$B:$B,#REF!)</f>
        <v>#REF!</v>
      </c>
      <c r="F477" s="70">
        <v>0</v>
      </c>
      <c r="G477" s="70">
        <f ca="1">_xlfn.XLOOKUP(B:B,'E-mail'!A:A,'E-mail'!C:C)</f>
        <v>53.333333333333336</v>
      </c>
      <c r="H477" s="70">
        <f>IFERROR(_xlfn.XLOOKUP($B:$B,#REF!,#REF!),0)</f>
        <v>0</v>
      </c>
      <c r="I477" s="70">
        <v>0</v>
      </c>
      <c r="J477" s="70">
        <v>0</v>
      </c>
      <c r="K477" s="71">
        <v>0</v>
      </c>
      <c r="L477" s="59"/>
      <c r="M477" s="70">
        <v>0</v>
      </c>
      <c r="N477" s="70">
        <v>0</v>
      </c>
      <c r="O477" s="70">
        <v>0</v>
      </c>
      <c r="P477" s="38"/>
      <c r="Q477" s="40" t="s">
        <v>108</v>
      </c>
    </row>
    <row r="478" spans="1:17" s="2" customFormat="1" x14ac:dyDescent="0.2">
      <c r="A478" s="16" t="str">
        <f t="shared" si="14"/>
        <v>sexta-feira</v>
      </c>
      <c r="B478" s="17">
        <f t="shared" si="15"/>
        <v>45037</v>
      </c>
      <c r="C478" s="52">
        <f>IFERROR(_xlfn.XLOOKUP($B:$B,'Estatísticos Mensais'!$A:$A,'Estatísticos Mensais'!C:C),0)</f>
        <v>57623.18</v>
      </c>
      <c r="D478" s="69">
        <f>IFERROR(_xlfn.XLOOKUP($B:$B,Google!A:A,Google!C:C,),0)</f>
        <v>779.57</v>
      </c>
      <c r="E478" s="70" t="e">
        <f>SUMIF(#REF!,'Compilado 2023 (2)'!$B:$B,#REF!)</f>
        <v>#REF!</v>
      </c>
      <c r="F478" s="70">
        <v>0</v>
      </c>
      <c r="G478" s="70">
        <f ca="1">_xlfn.XLOOKUP(B:B,'E-mail'!A:A,'E-mail'!C:C)</f>
        <v>53.333333333333336</v>
      </c>
      <c r="H478" s="70">
        <f>IFERROR(_xlfn.XLOOKUP($B:$B,#REF!,#REF!),0)</f>
        <v>0</v>
      </c>
      <c r="I478" s="70">
        <v>0</v>
      </c>
      <c r="J478" s="70">
        <v>0</v>
      </c>
      <c r="K478" s="71">
        <v>0</v>
      </c>
      <c r="L478" s="59"/>
      <c r="M478" s="70">
        <v>0</v>
      </c>
      <c r="N478" s="70">
        <v>0</v>
      </c>
      <c r="O478" s="70">
        <v>0</v>
      </c>
      <c r="P478" s="38"/>
      <c r="Q478" s="40"/>
    </row>
    <row r="479" spans="1:17" s="2" customFormat="1" x14ac:dyDescent="0.2">
      <c r="A479" s="16" t="str">
        <f t="shared" si="14"/>
        <v>sábado</v>
      </c>
      <c r="B479" s="17">
        <f t="shared" si="15"/>
        <v>45038</v>
      </c>
      <c r="C479" s="52">
        <f>IFERROR(_xlfn.XLOOKUP($B:$B,'Estatísticos Mensais'!$A:$A,'Estatísticos Mensais'!C:C),0)</f>
        <v>58465.83</v>
      </c>
      <c r="D479" s="69">
        <f>IFERROR(_xlfn.XLOOKUP($B:$B,Google!A:A,Google!C:C,),0)</f>
        <v>841.37</v>
      </c>
      <c r="E479" s="70" t="e">
        <f>SUMIF(#REF!,'Compilado 2023 (2)'!$B:$B,#REF!)</f>
        <v>#REF!</v>
      </c>
      <c r="F479" s="70">
        <v>0</v>
      </c>
      <c r="G479" s="70">
        <f ca="1">_xlfn.XLOOKUP(B:B,'E-mail'!A:A,'E-mail'!C:C)</f>
        <v>53.333333333333336</v>
      </c>
      <c r="H479" s="70">
        <f>IFERROR(_xlfn.XLOOKUP($B:$B,#REF!,#REF!),0)</f>
        <v>0</v>
      </c>
      <c r="I479" s="70">
        <v>0</v>
      </c>
      <c r="J479" s="70">
        <v>0</v>
      </c>
      <c r="K479" s="71">
        <v>0</v>
      </c>
      <c r="L479" s="59"/>
      <c r="M479" s="70">
        <v>0</v>
      </c>
      <c r="N479" s="70">
        <v>0</v>
      </c>
      <c r="O479" s="70">
        <v>0</v>
      </c>
      <c r="P479" s="38"/>
      <c r="Q479" s="40"/>
    </row>
    <row r="480" spans="1:17" s="2" customFormat="1" x14ac:dyDescent="0.2">
      <c r="A480" s="16" t="str">
        <f t="shared" si="14"/>
        <v>domingo</v>
      </c>
      <c r="B480" s="17">
        <f t="shared" si="15"/>
        <v>45039</v>
      </c>
      <c r="C480" s="52">
        <f>IFERROR(_xlfn.XLOOKUP($B:$B,'Estatísticos Mensais'!$A:$A,'Estatísticos Mensais'!C:C),0)</f>
        <v>57418.16</v>
      </c>
      <c r="D480" s="69">
        <f>IFERROR(_xlfn.XLOOKUP($B:$B,Google!A:A,Google!C:C,),0)</f>
        <v>761.07</v>
      </c>
      <c r="E480" s="70" t="e">
        <f>SUMIF(#REF!,'Compilado 2023 (2)'!$B:$B,#REF!)</f>
        <v>#REF!</v>
      </c>
      <c r="F480" s="70">
        <v>0</v>
      </c>
      <c r="G480" s="70">
        <f ca="1">_xlfn.XLOOKUP(B:B,'E-mail'!A:A,'E-mail'!C:C)</f>
        <v>53.333333333333336</v>
      </c>
      <c r="H480" s="70">
        <f>IFERROR(_xlfn.XLOOKUP($B:$B,#REF!,#REF!),0)</f>
        <v>0</v>
      </c>
      <c r="I480" s="70">
        <v>0</v>
      </c>
      <c r="J480" s="70">
        <v>0</v>
      </c>
      <c r="K480" s="71">
        <v>0</v>
      </c>
      <c r="L480" s="59"/>
      <c r="M480" s="70">
        <v>0</v>
      </c>
      <c r="N480" s="70">
        <v>0</v>
      </c>
      <c r="O480" s="70">
        <v>0</v>
      </c>
      <c r="P480" s="38"/>
      <c r="Q480" s="40" t="s">
        <v>109</v>
      </c>
    </row>
    <row r="481" spans="1:17" s="2" customFormat="1" x14ac:dyDescent="0.2">
      <c r="A481" s="16" t="str">
        <f t="shared" si="14"/>
        <v>segunda-feira</v>
      </c>
      <c r="B481" s="17">
        <f t="shared" si="15"/>
        <v>45040</v>
      </c>
      <c r="C481" s="52">
        <f>IFERROR(_xlfn.XLOOKUP($B:$B,'Estatísticos Mensais'!$A:$A,'Estatísticos Mensais'!C:C),0)</f>
        <v>63525.07</v>
      </c>
      <c r="D481" s="69">
        <f>IFERROR(_xlfn.XLOOKUP($B:$B,Google!A:A,Google!C:C,),0)</f>
        <v>751.01</v>
      </c>
      <c r="E481" s="70" t="e">
        <f>SUMIF(#REF!,'Compilado 2023 (2)'!$B:$B,#REF!)</f>
        <v>#REF!</v>
      </c>
      <c r="F481" s="70">
        <v>0</v>
      </c>
      <c r="G481" s="70">
        <f ca="1">_xlfn.XLOOKUP(B:B,'E-mail'!A:A,'E-mail'!C:C)</f>
        <v>53.333333333333336</v>
      </c>
      <c r="H481" s="70">
        <f>IFERROR(_xlfn.XLOOKUP($B:$B,#REF!,#REF!),0)</f>
        <v>0</v>
      </c>
      <c r="I481" s="70">
        <v>0</v>
      </c>
      <c r="J481" s="70">
        <v>0</v>
      </c>
      <c r="K481" s="71">
        <v>0</v>
      </c>
      <c r="L481" s="59"/>
      <c r="M481" s="70">
        <v>0</v>
      </c>
      <c r="N481" s="70">
        <v>0</v>
      </c>
      <c r="O481" s="70">
        <v>0</v>
      </c>
      <c r="P481" s="38"/>
      <c r="Q481" s="40" t="s">
        <v>110</v>
      </c>
    </row>
    <row r="482" spans="1:17" s="2" customFormat="1" x14ac:dyDescent="0.2">
      <c r="A482" s="16" t="str">
        <f t="shared" si="14"/>
        <v>terça-feira</v>
      </c>
      <c r="B482" s="17">
        <f t="shared" si="15"/>
        <v>45041</v>
      </c>
      <c r="C482" s="52">
        <f>IFERROR(_xlfn.XLOOKUP($B:$B,'Estatísticos Mensais'!$A:$A,'Estatísticos Mensais'!C:C),0)</f>
        <v>73089.83</v>
      </c>
      <c r="D482" s="69">
        <f>IFERROR(_xlfn.XLOOKUP($B:$B,Google!A:A,Google!C:C,),0)</f>
        <v>796.8</v>
      </c>
      <c r="E482" s="70" t="e">
        <f>SUMIF(#REF!,'Compilado 2023 (2)'!$B:$B,#REF!)</f>
        <v>#REF!</v>
      </c>
      <c r="F482" s="70">
        <v>0</v>
      </c>
      <c r="G482" s="70">
        <f ca="1">_xlfn.XLOOKUP(B:B,'E-mail'!A:A,'E-mail'!C:C)</f>
        <v>53.333333333333336</v>
      </c>
      <c r="H482" s="70">
        <f>IFERROR(_xlfn.XLOOKUP($B:$B,#REF!,#REF!),0)</f>
        <v>0</v>
      </c>
      <c r="I482" s="70">
        <v>0</v>
      </c>
      <c r="J482" s="70">
        <v>0</v>
      </c>
      <c r="K482" s="71">
        <v>0</v>
      </c>
      <c r="L482" s="59"/>
      <c r="M482" s="70">
        <v>0</v>
      </c>
      <c r="N482" s="70">
        <v>0</v>
      </c>
      <c r="O482" s="70">
        <v>0</v>
      </c>
      <c r="P482" s="38"/>
      <c r="Q482" s="40"/>
    </row>
    <row r="483" spans="1:17" s="2" customFormat="1" x14ac:dyDescent="0.2">
      <c r="A483" s="16" t="str">
        <f t="shared" si="14"/>
        <v>quarta-feira</v>
      </c>
      <c r="B483" s="17">
        <f t="shared" si="15"/>
        <v>45042</v>
      </c>
      <c r="C483" s="52">
        <f>IFERROR(_xlfn.XLOOKUP($B:$B,'Estatísticos Mensais'!$A:$A,'Estatísticos Mensais'!C:C),0)</f>
        <v>61861.08</v>
      </c>
      <c r="D483" s="69">
        <f>IFERROR(_xlfn.XLOOKUP($B:$B,Google!A:A,Google!C:C,),0)</f>
        <v>1138.58</v>
      </c>
      <c r="E483" s="70" t="e">
        <f>SUMIF(#REF!,'Compilado 2023 (2)'!$B:$B,#REF!)</f>
        <v>#REF!</v>
      </c>
      <c r="F483" s="70">
        <v>0</v>
      </c>
      <c r="G483" s="70">
        <f ca="1">_xlfn.XLOOKUP(B:B,'E-mail'!A:A,'E-mail'!C:C)</f>
        <v>53.333333333333336</v>
      </c>
      <c r="H483" s="70">
        <f>IFERROR(_xlfn.XLOOKUP($B:$B,#REF!,#REF!),0)</f>
        <v>0</v>
      </c>
      <c r="I483" s="70">
        <v>0</v>
      </c>
      <c r="J483" s="70">
        <v>0</v>
      </c>
      <c r="K483" s="71">
        <v>0</v>
      </c>
      <c r="L483" s="59"/>
      <c r="M483" s="70">
        <v>0</v>
      </c>
      <c r="N483" s="70">
        <v>0</v>
      </c>
      <c r="O483" s="70">
        <v>0</v>
      </c>
      <c r="P483" s="38"/>
      <c r="Q483" s="40"/>
    </row>
    <row r="484" spans="1:17" s="2" customFormat="1" x14ac:dyDescent="0.2">
      <c r="A484" s="16" t="str">
        <f t="shared" si="14"/>
        <v>quinta-feira</v>
      </c>
      <c r="B484" s="17">
        <f t="shared" si="15"/>
        <v>45043</v>
      </c>
      <c r="C484" s="52">
        <f>IFERROR(_xlfn.XLOOKUP($B:$B,'Estatísticos Mensais'!$A:$A,'Estatísticos Mensais'!C:C),0)</f>
        <v>72297.61</v>
      </c>
      <c r="D484" s="69">
        <f>IFERROR(_xlfn.XLOOKUP($B:$B,Google!A:A,Google!C:C,),0)</f>
        <v>1323.75</v>
      </c>
      <c r="E484" s="70" t="e">
        <f>SUMIF(#REF!,'Compilado 2023 (2)'!$B:$B,#REF!)</f>
        <v>#REF!</v>
      </c>
      <c r="F484" s="70">
        <v>0</v>
      </c>
      <c r="G484" s="70">
        <f ca="1">_xlfn.XLOOKUP(B:B,'E-mail'!A:A,'E-mail'!C:C)</f>
        <v>53.333333333333336</v>
      </c>
      <c r="H484" s="70">
        <f>IFERROR(_xlfn.XLOOKUP($B:$B,#REF!,#REF!),0)</f>
        <v>0</v>
      </c>
      <c r="I484" s="70">
        <v>0</v>
      </c>
      <c r="J484" s="70">
        <v>0</v>
      </c>
      <c r="K484" s="71">
        <v>0</v>
      </c>
      <c r="L484" s="59"/>
      <c r="M484" s="70">
        <v>0</v>
      </c>
      <c r="N484" s="70">
        <v>0</v>
      </c>
      <c r="O484" s="70">
        <v>0</v>
      </c>
      <c r="P484" s="38"/>
      <c r="Q484" s="40"/>
    </row>
    <row r="485" spans="1:17" s="2" customFormat="1" x14ac:dyDescent="0.2">
      <c r="A485" s="16" t="str">
        <f t="shared" si="14"/>
        <v>sexta-feira</v>
      </c>
      <c r="B485" s="17">
        <f t="shared" si="15"/>
        <v>45044</v>
      </c>
      <c r="C485" s="52">
        <f>IFERROR(_xlfn.XLOOKUP($B:$B,'Estatísticos Mensais'!$A:$A,'Estatísticos Mensais'!C:C),0)</f>
        <v>83524.69</v>
      </c>
      <c r="D485" s="69">
        <f>IFERROR(_xlfn.XLOOKUP($B:$B,Google!A:A,Google!C:C,),0)</f>
        <v>1248.6099999999999</v>
      </c>
      <c r="E485" s="70" t="e">
        <f>SUMIF(#REF!,'Compilado 2023 (2)'!$B:$B,#REF!)</f>
        <v>#REF!</v>
      </c>
      <c r="F485" s="70">
        <v>0</v>
      </c>
      <c r="G485" s="70">
        <f ca="1">_xlfn.XLOOKUP(B:B,'E-mail'!A:A,'E-mail'!C:C)</f>
        <v>53.333333333333336</v>
      </c>
      <c r="H485" s="70">
        <f>IFERROR(_xlfn.XLOOKUP($B:$B,#REF!,#REF!),0)</f>
        <v>0</v>
      </c>
      <c r="I485" s="70">
        <v>0</v>
      </c>
      <c r="J485" s="70">
        <v>0</v>
      </c>
      <c r="K485" s="71">
        <v>0</v>
      </c>
      <c r="L485" s="59"/>
      <c r="M485" s="70">
        <v>0</v>
      </c>
      <c r="N485" s="70">
        <v>0</v>
      </c>
      <c r="O485" s="70">
        <v>0</v>
      </c>
      <c r="P485" s="38"/>
      <c r="Q485" s="40" t="s">
        <v>111</v>
      </c>
    </row>
    <row r="486" spans="1:17" s="2" customFormat="1" x14ac:dyDescent="0.2">
      <c r="A486" s="16" t="str">
        <f t="shared" si="14"/>
        <v>sábado</v>
      </c>
      <c r="B486" s="17">
        <f t="shared" si="15"/>
        <v>45045</v>
      </c>
      <c r="C486" s="52">
        <f>IFERROR(_xlfn.XLOOKUP($B:$B,'Estatísticos Mensais'!$A:$A,'Estatísticos Mensais'!C:C),0)</f>
        <v>48457.47</v>
      </c>
      <c r="D486" s="69">
        <f>IFERROR(_xlfn.XLOOKUP($B:$B,Google!A:A,Google!C:C,),0)</f>
        <v>816.18</v>
      </c>
      <c r="E486" s="70" t="e">
        <f>SUMIF(#REF!,'Compilado 2023 (2)'!$B:$B,#REF!)</f>
        <v>#REF!</v>
      </c>
      <c r="F486" s="70">
        <v>0</v>
      </c>
      <c r="G486" s="70">
        <f ca="1">_xlfn.XLOOKUP(B:B,'E-mail'!A:A,'E-mail'!C:C)</f>
        <v>53.333333333333336</v>
      </c>
      <c r="H486" s="70">
        <f>IFERROR(_xlfn.XLOOKUP($B:$B,#REF!,#REF!),0)</f>
        <v>0</v>
      </c>
      <c r="I486" s="70">
        <v>0</v>
      </c>
      <c r="J486" s="70">
        <v>0</v>
      </c>
      <c r="K486" s="71">
        <v>0</v>
      </c>
      <c r="L486" s="59"/>
      <c r="M486" s="70">
        <v>0</v>
      </c>
      <c r="N486" s="70">
        <v>0</v>
      </c>
      <c r="O486" s="70">
        <v>0</v>
      </c>
      <c r="P486" s="38"/>
      <c r="Q486" s="40"/>
    </row>
    <row r="487" spans="1:17" s="2" customFormat="1" x14ac:dyDescent="0.2">
      <c r="A487" s="16" t="str">
        <f t="shared" si="14"/>
        <v>domingo</v>
      </c>
      <c r="B487" s="17">
        <f t="shared" si="15"/>
        <v>45046</v>
      </c>
      <c r="C487" s="52">
        <f>IFERROR(_xlfn.XLOOKUP($B:$B,'Estatísticos Mensais'!$A:$A,'Estatísticos Mensais'!C:C),0)</f>
        <v>35392.46</v>
      </c>
      <c r="D487" s="69">
        <f>IFERROR(_xlfn.XLOOKUP($B:$B,Google!A:A,Google!C:C,),0)</f>
        <v>1004.03</v>
      </c>
      <c r="E487" s="70" t="e">
        <f>SUMIF(#REF!,'Compilado 2023 (2)'!$B:$B,#REF!)</f>
        <v>#REF!</v>
      </c>
      <c r="F487" s="70">
        <v>0</v>
      </c>
      <c r="G487" s="70">
        <f ca="1">_xlfn.XLOOKUP(B:B,'E-mail'!A:A,'E-mail'!C:C)</f>
        <v>53.333333333333336</v>
      </c>
      <c r="H487" s="70">
        <f>IFERROR(_xlfn.XLOOKUP($B:$B,#REF!,#REF!),0)</f>
        <v>0</v>
      </c>
      <c r="I487" s="70">
        <v>0</v>
      </c>
      <c r="J487" s="70">
        <v>0</v>
      </c>
      <c r="K487" s="71">
        <v>0</v>
      </c>
      <c r="L487" s="59"/>
      <c r="M487" s="70">
        <v>0</v>
      </c>
      <c r="N487" s="70">
        <v>0</v>
      </c>
      <c r="O487" s="70">
        <v>0</v>
      </c>
      <c r="P487" s="38"/>
      <c r="Q487" s="40"/>
    </row>
    <row r="488" spans="1:17" s="2" customFormat="1" x14ac:dyDescent="0.2">
      <c r="A488" s="16" t="str">
        <f t="shared" si="14"/>
        <v>segunda-feira</v>
      </c>
      <c r="B488" s="17">
        <f t="shared" si="15"/>
        <v>45047</v>
      </c>
      <c r="C488" s="52">
        <f>IFERROR(_xlfn.XLOOKUP($B:$B,'Estatísticos Mensais'!$A:$A,'Estatísticos Mensais'!C:C),0)</f>
        <v>42344.4</v>
      </c>
      <c r="D488" s="69">
        <f>IFERROR(_xlfn.XLOOKUP($B:$B,Google!A:A,Google!C:C,),0)</f>
        <v>1106.3599999999999</v>
      </c>
      <c r="E488" s="70" t="e">
        <f>SUMIF(#REF!,'Compilado 2023 (2)'!$B:$B,#REF!)</f>
        <v>#REF!</v>
      </c>
      <c r="F488" s="70">
        <v>0</v>
      </c>
      <c r="G488" s="70">
        <f ca="1">_xlfn.XLOOKUP(B:B,'E-mail'!A:A,'E-mail'!C:C)</f>
        <v>51.612903225806448</v>
      </c>
      <c r="H488" s="70">
        <f>IFERROR(_xlfn.XLOOKUP($B:$B,#REF!,#REF!),0)</f>
        <v>0</v>
      </c>
      <c r="I488" s="70">
        <v>0</v>
      </c>
      <c r="J488" s="70">
        <v>0</v>
      </c>
      <c r="K488" s="71">
        <v>0</v>
      </c>
      <c r="L488" s="59"/>
      <c r="M488" s="70">
        <v>0</v>
      </c>
      <c r="N488" s="70">
        <v>0</v>
      </c>
      <c r="O488" s="70">
        <v>0</v>
      </c>
      <c r="P488" s="38"/>
      <c r="Q488" s="40"/>
    </row>
    <row r="489" spans="1:17" s="2" customFormat="1" x14ac:dyDescent="0.2">
      <c r="A489" s="16" t="str">
        <f t="shared" si="14"/>
        <v>terça-feira</v>
      </c>
      <c r="B489" s="17">
        <f t="shared" si="15"/>
        <v>45048</v>
      </c>
      <c r="C489" s="52">
        <f>IFERROR(_xlfn.XLOOKUP($B:$B,'Estatísticos Mensais'!$A:$A,'Estatísticos Mensais'!C:C),0)</f>
        <v>112788.95</v>
      </c>
      <c r="D489" s="69">
        <f>IFERROR(_xlfn.XLOOKUP($B:$B,Google!A:A,Google!C:C,),0)</f>
        <v>2322.44</v>
      </c>
      <c r="E489" s="70" t="e">
        <f>SUMIF(#REF!,'Compilado 2023 (2)'!$B:$B,#REF!)</f>
        <v>#REF!</v>
      </c>
      <c r="F489" s="70">
        <v>0</v>
      </c>
      <c r="G489" s="70">
        <f ca="1">_xlfn.XLOOKUP(B:B,'E-mail'!A:A,'E-mail'!C:C)</f>
        <v>51.612903225806448</v>
      </c>
      <c r="H489" s="70">
        <f>IFERROR(_xlfn.XLOOKUP($B:$B,#REF!,#REF!),0)</f>
        <v>0</v>
      </c>
      <c r="I489" s="70">
        <v>0</v>
      </c>
      <c r="J489" s="70">
        <v>0</v>
      </c>
      <c r="K489" s="71">
        <v>0</v>
      </c>
      <c r="L489" s="59"/>
      <c r="M489" s="70">
        <v>0</v>
      </c>
      <c r="N489" s="70">
        <v>0</v>
      </c>
      <c r="O489" s="70">
        <v>0</v>
      </c>
      <c r="P489" s="38"/>
      <c r="Q489" s="40" t="s">
        <v>112</v>
      </c>
    </row>
    <row r="490" spans="1:17" s="2" customFormat="1" x14ac:dyDescent="0.2">
      <c r="A490" s="16" t="str">
        <f t="shared" si="14"/>
        <v>quarta-feira</v>
      </c>
      <c r="B490" s="17">
        <f t="shared" si="15"/>
        <v>45049</v>
      </c>
      <c r="C490" s="52">
        <f>IFERROR(_xlfn.XLOOKUP($B:$B,'Estatísticos Mensais'!$A:$A,'Estatísticos Mensais'!C:C),0)</f>
        <v>120576.68</v>
      </c>
      <c r="D490" s="69">
        <f>IFERROR(_xlfn.XLOOKUP($B:$B,Google!A:A,Google!C:C,),0)</f>
        <v>2455.9699999999998</v>
      </c>
      <c r="E490" s="70" t="e">
        <f>SUMIF(#REF!,'Compilado 2023 (2)'!$B:$B,#REF!)</f>
        <v>#REF!</v>
      </c>
      <c r="F490" s="70">
        <v>0</v>
      </c>
      <c r="G490" s="70">
        <f ca="1">_xlfn.XLOOKUP(B:B,'E-mail'!A:A,'E-mail'!C:C)</f>
        <v>51.612903225806448</v>
      </c>
      <c r="H490" s="70">
        <f>IFERROR(_xlfn.XLOOKUP($B:$B,#REF!,#REF!),0)</f>
        <v>0</v>
      </c>
      <c r="I490" s="70">
        <v>0</v>
      </c>
      <c r="J490" s="70">
        <v>0</v>
      </c>
      <c r="K490" s="71">
        <v>0</v>
      </c>
      <c r="L490" s="59"/>
      <c r="M490" s="70">
        <v>0</v>
      </c>
      <c r="N490" s="70">
        <v>0</v>
      </c>
      <c r="O490" s="70">
        <v>0</v>
      </c>
      <c r="P490" s="38"/>
      <c r="Q490" s="40" t="s">
        <v>113</v>
      </c>
    </row>
    <row r="491" spans="1:17" s="2" customFormat="1" x14ac:dyDescent="0.2">
      <c r="A491" s="16" t="str">
        <f t="shared" si="14"/>
        <v>quinta-feira</v>
      </c>
      <c r="B491" s="17">
        <f t="shared" si="15"/>
        <v>45050</v>
      </c>
      <c r="C491" s="52">
        <f>IFERROR(_xlfn.XLOOKUP($B:$B,'Estatísticos Mensais'!$A:$A,'Estatísticos Mensais'!C:C),0)</f>
        <v>120724.16</v>
      </c>
      <c r="D491" s="69">
        <f>IFERROR(_xlfn.XLOOKUP($B:$B,Google!A:A,Google!C:C,),0)</f>
        <v>1673.25</v>
      </c>
      <c r="E491" s="70" t="e">
        <f>SUMIF(#REF!,'Compilado 2023 (2)'!$B:$B,#REF!)</f>
        <v>#REF!</v>
      </c>
      <c r="F491" s="70">
        <v>0</v>
      </c>
      <c r="G491" s="70">
        <f ca="1">_xlfn.XLOOKUP(B:B,'E-mail'!A:A,'E-mail'!C:C)</f>
        <v>51.612903225806448</v>
      </c>
      <c r="H491" s="70">
        <f>IFERROR(_xlfn.XLOOKUP($B:$B,#REF!,#REF!),0)</f>
        <v>0</v>
      </c>
      <c r="I491" s="70">
        <v>0</v>
      </c>
      <c r="J491" s="70">
        <v>0</v>
      </c>
      <c r="K491" s="71">
        <v>0</v>
      </c>
      <c r="L491" s="59"/>
      <c r="M491" s="70">
        <v>0</v>
      </c>
      <c r="N491" s="70">
        <v>0</v>
      </c>
      <c r="O491" s="70">
        <v>0</v>
      </c>
      <c r="P491" s="38"/>
      <c r="Q491" s="40"/>
    </row>
    <row r="492" spans="1:17" s="2" customFormat="1" x14ac:dyDescent="0.2">
      <c r="A492" s="16" t="str">
        <f t="shared" si="14"/>
        <v>sexta-feira</v>
      </c>
      <c r="B492" s="17">
        <f t="shared" si="15"/>
        <v>45051</v>
      </c>
      <c r="C492" s="52">
        <f>IFERROR(_xlfn.XLOOKUP($B:$B,'Estatísticos Mensais'!$A:$A,'Estatísticos Mensais'!C:C),0)</f>
        <v>162168.91</v>
      </c>
      <c r="D492" s="69">
        <f>IFERROR(_xlfn.XLOOKUP($B:$B,Google!A:A,Google!C:C,),0)</f>
        <v>1517.77</v>
      </c>
      <c r="E492" s="70" t="e">
        <f>SUMIF(#REF!,'Compilado 2023 (2)'!$B:$B,#REF!)</f>
        <v>#REF!</v>
      </c>
      <c r="F492" s="70">
        <v>0</v>
      </c>
      <c r="G492" s="70">
        <f ca="1">_xlfn.XLOOKUP(B:B,'E-mail'!A:A,'E-mail'!C:C)</f>
        <v>51.612903225806448</v>
      </c>
      <c r="H492" s="70">
        <f>IFERROR(_xlfn.XLOOKUP($B:$B,#REF!,#REF!),0)</f>
        <v>0</v>
      </c>
      <c r="I492" s="70">
        <v>0</v>
      </c>
      <c r="J492" s="70">
        <v>0</v>
      </c>
      <c r="K492" s="71">
        <v>0</v>
      </c>
      <c r="L492" s="59"/>
      <c r="M492" s="70">
        <v>0</v>
      </c>
      <c r="N492" s="70">
        <v>0</v>
      </c>
      <c r="O492" s="70">
        <v>0</v>
      </c>
      <c r="P492" s="38"/>
      <c r="Q492" s="40"/>
    </row>
    <row r="493" spans="1:17" s="2" customFormat="1" x14ac:dyDescent="0.2">
      <c r="A493" s="16" t="str">
        <f t="shared" si="14"/>
        <v>sábado</v>
      </c>
      <c r="B493" s="17">
        <f t="shared" si="15"/>
        <v>45052</v>
      </c>
      <c r="C493" s="52">
        <f>IFERROR(_xlfn.XLOOKUP($B:$B,'Estatísticos Mensais'!$A:$A,'Estatísticos Mensais'!C:C),0)</f>
        <v>87353.95</v>
      </c>
      <c r="D493" s="69">
        <f>IFERROR(_xlfn.XLOOKUP($B:$B,Google!A:A,Google!C:C,),0)</f>
        <v>1202.47</v>
      </c>
      <c r="E493" s="70" t="e">
        <f>SUMIF(#REF!,'Compilado 2023 (2)'!$B:$B,#REF!)</f>
        <v>#REF!</v>
      </c>
      <c r="F493" s="70">
        <v>0</v>
      </c>
      <c r="G493" s="70">
        <f ca="1">_xlfn.XLOOKUP(B:B,'E-mail'!A:A,'E-mail'!C:C)</f>
        <v>51.612903225806448</v>
      </c>
      <c r="H493" s="70">
        <f>IFERROR(_xlfn.XLOOKUP($B:$B,#REF!,#REF!),0)</f>
        <v>0</v>
      </c>
      <c r="I493" s="70">
        <v>0</v>
      </c>
      <c r="J493" s="70">
        <v>0</v>
      </c>
      <c r="K493" s="71">
        <v>0</v>
      </c>
      <c r="L493" s="59"/>
      <c r="M493" s="70">
        <v>0</v>
      </c>
      <c r="N493" s="70">
        <v>0</v>
      </c>
      <c r="O493" s="70">
        <v>0</v>
      </c>
      <c r="P493" s="38"/>
      <c r="Q493" s="40"/>
    </row>
    <row r="494" spans="1:17" s="2" customFormat="1" x14ac:dyDescent="0.2">
      <c r="A494" s="16" t="str">
        <f t="shared" si="14"/>
        <v>domingo</v>
      </c>
      <c r="B494" s="17">
        <f t="shared" si="15"/>
        <v>45053</v>
      </c>
      <c r="C494" s="52">
        <f>IFERROR(_xlfn.XLOOKUP($B:$B,'Estatísticos Mensais'!$A:$A,'Estatísticos Mensais'!C:C),0)</f>
        <v>78208.12</v>
      </c>
      <c r="D494" s="69">
        <f>IFERROR(_xlfn.XLOOKUP($B:$B,Google!A:A,Google!C:C,),0)</f>
        <v>1282.32</v>
      </c>
      <c r="E494" s="70" t="e">
        <f>SUMIF(#REF!,'Compilado 2023 (2)'!$B:$B,#REF!)</f>
        <v>#REF!</v>
      </c>
      <c r="F494" s="70">
        <v>0</v>
      </c>
      <c r="G494" s="70">
        <f ca="1">_xlfn.XLOOKUP(B:B,'E-mail'!A:A,'E-mail'!C:C)</f>
        <v>51.612903225806448</v>
      </c>
      <c r="H494" s="70">
        <f>IFERROR(_xlfn.XLOOKUP($B:$B,#REF!,#REF!),0)</f>
        <v>0</v>
      </c>
      <c r="I494" s="70">
        <v>0</v>
      </c>
      <c r="J494" s="70">
        <v>0</v>
      </c>
      <c r="K494" s="71">
        <v>0</v>
      </c>
      <c r="L494" s="59"/>
      <c r="M494" s="70">
        <v>0</v>
      </c>
      <c r="N494" s="70">
        <v>0</v>
      </c>
      <c r="O494" s="70">
        <v>0</v>
      </c>
      <c r="P494" s="38"/>
      <c r="Q494" s="40"/>
    </row>
    <row r="495" spans="1:17" s="2" customFormat="1" x14ac:dyDescent="0.2">
      <c r="A495" s="16" t="str">
        <f t="shared" si="14"/>
        <v>segunda-feira</v>
      </c>
      <c r="B495" s="17">
        <f t="shared" si="15"/>
        <v>45054</v>
      </c>
      <c r="C495" s="52">
        <f>IFERROR(_xlfn.XLOOKUP($B:$B,'Estatísticos Mensais'!$A:$A,'Estatísticos Mensais'!C:C),0)</f>
        <v>229170.33</v>
      </c>
      <c r="D495" s="69">
        <f>IFERROR(_xlfn.XLOOKUP($B:$B,Google!A:A,Google!C:C,),0)</f>
        <v>2356.86</v>
      </c>
      <c r="E495" s="70" t="e">
        <f>SUMIF(#REF!,'Compilado 2023 (2)'!$B:$B,#REF!)</f>
        <v>#REF!</v>
      </c>
      <c r="F495" s="70">
        <v>0</v>
      </c>
      <c r="G495" s="70">
        <f ca="1">_xlfn.XLOOKUP(B:B,'E-mail'!A:A,'E-mail'!C:C)</f>
        <v>51.612903225806448</v>
      </c>
      <c r="H495" s="70">
        <f>IFERROR(_xlfn.XLOOKUP($B:$B,#REF!,#REF!),0)</f>
        <v>0</v>
      </c>
      <c r="I495" s="70">
        <v>0</v>
      </c>
      <c r="J495" s="70">
        <v>0</v>
      </c>
      <c r="K495" s="71">
        <v>0</v>
      </c>
      <c r="L495" s="59"/>
      <c r="M495" s="70">
        <v>0</v>
      </c>
      <c r="N495" s="70">
        <v>0</v>
      </c>
      <c r="O495" s="70">
        <v>0</v>
      </c>
      <c r="P495" s="38"/>
      <c r="Q495" s="40"/>
    </row>
    <row r="496" spans="1:17" s="2" customFormat="1" x14ac:dyDescent="0.2">
      <c r="A496" s="16" t="str">
        <f t="shared" si="14"/>
        <v>terça-feira</v>
      </c>
      <c r="B496" s="17">
        <f t="shared" si="15"/>
        <v>45055</v>
      </c>
      <c r="C496" s="52">
        <f>IFERROR(_xlfn.XLOOKUP($B:$B,'Estatísticos Mensais'!$A:$A,'Estatísticos Mensais'!C:C),0)</f>
        <v>242645.95</v>
      </c>
      <c r="D496" s="69">
        <f>IFERROR(_xlfn.XLOOKUP($B:$B,Google!A:A,Google!C:C,),0)</f>
        <v>2350.35</v>
      </c>
      <c r="E496" s="70" t="e">
        <f>SUMIF(#REF!,'Compilado 2023 (2)'!$B:$B,#REF!)</f>
        <v>#REF!</v>
      </c>
      <c r="F496" s="70">
        <v>0</v>
      </c>
      <c r="G496" s="70">
        <f ca="1">_xlfn.XLOOKUP(B:B,'E-mail'!A:A,'E-mail'!C:C)</f>
        <v>51.612903225806448</v>
      </c>
      <c r="H496" s="70">
        <f>IFERROR(_xlfn.XLOOKUP($B:$B,#REF!,#REF!),0)</f>
        <v>0</v>
      </c>
      <c r="I496" s="70">
        <v>0</v>
      </c>
      <c r="J496" s="70">
        <v>0</v>
      </c>
      <c r="K496" s="71">
        <v>0</v>
      </c>
      <c r="L496" s="59"/>
      <c r="M496" s="70">
        <v>0</v>
      </c>
      <c r="N496" s="70">
        <v>0</v>
      </c>
      <c r="O496" s="70">
        <v>0</v>
      </c>
      <c r="P496" s="38"/>
      <c r="Q496" s="40"/>
    </row>
    <row r="497" spans="1:17" s="2" customFormat="1" x14ac:dyDescent="0.2">
      <c r="A497" s="16" t="str">
        <f t="shared" si="14"/>
        <v>quarta-feira</v>
      </c>
      <c r="B497" s="17">
        <f t="shared" si="15"/>
        <v>45056</v>
      </c>
      <c r="C497" s="52">
        <f>IFERROR(_xlfn.XLOOKUP($B:$B,'Estatísticos Mensais'!$A:$A,'Estatísticos Mensais'!C:C),0)</f>
        <v>299456.12</v>
      </c>
      <c r="D497" s="69">
        <f>IFERROR(_xlfn.XLOOKUP($B:$B,Google!A:A,Google!C:C,),0)</f>
        <v>3269.82</v>
      </c>
      <c r="E497" s="70" t="e">
        <f>SUMIF(#REF!,'Compilado 2023 (2)'!$B:$B,#REF!)</f>
        <v>#REF!</v>
      </c>
      <c r="F497" s="70">
        <v>0</v>
      </c>
      <c r="G497" s="70">
        <f ca="1">_xlfn.XLOOKUP(B:B,'E-mail'!A:A,'E-mail'!C:C)</f>
        <v>51.612903225806448</v>
      </c>
      <c r="H497" s="70">
        <f>IFERROR(_xlfn.XLOOKUP($B:$B,#REF!,#REF!),0)</f>
        <v>0</v>
      </c>
      <c r="I497" s="70">
        <v>0</v>
      </c>
      <c r="J497" s="70">
        <v>0</v>
      </c>
      <c r="K497" s="71">
        <v>0</v>
      </c>
      <c r="L497" s="59"/>
      <c r="M497" s="70">
        <v>0</v>
      </c>
      <c r="N497" s="70">
        <v>0</v>
      </c>
      <c r="O497" s="70">
        <v>0</v>
      </c>
      <c r="P497" s="38"/>
      <c r="Q497" s="40" t="s">
        <v>114</v>
      </c>
    </row>
    <row r="498" spans="1:17" s="2" customFormat="1" x14ac:dyDescent="0.2">
      <c r="A498" s="16" t="str">
        <f t="shared" si="14"/>
        <v>quinta-feira</v>
      </c>
      <c r="B498" s="17">
        <f t="shared" si="15"/>
        <v>45057</v>
      </c>
      <c r="C498" s="52">
        <f>IFERROR(_xlfn.XLOOKUP($B:$B,'Estatísticos Mensais'!$A:$A,'Estatísticos Mensais'!C:C),0)</f>
        <v>305603.63</v>
      </c>
      <c r="D498" s="69">
        <f>IFERROR(_xlfn.XLOOKUP($B:$B,Google!A:A,Google!C:C,),0)</f>
        <v>4506.1000000000004</v>
      </c>
      <c r="E498" s="70" t="e">
        <f>SUMIF(#REF!,'Compilado 2023 (2)'!$B:$B,#REF!)</f>
        <v>#REF!</v>
      </c>
      <c r="F498" s="70">
        <v>0</v>
      </c>
      <c r="G498" s="70">
        <f ca="1">_xlfn.XLOOKUP(B:B,'E-mail'!A:A,'E-mail'!C:C)</f>
        <v>51.612903225806448</v>
      </c>
      <c r="H498" s="70">
        <f>IFERROR(_xlfn.XLOOKUP($B:$B,#REF!,#REF!),0)</f>
        <v>0</v>
      </c>
      <c r="I498" s="70">
        <v>0</v>
      </c>
      <c r="J498" s="70">
        <v>0</v>
      </c>
      <c r="K498" s="71">
        <v>0</v>
      </c>
      <c r="L498" s="59"/>
      <c r="M498" s="70">
        <v>0</v>
      </c>
      <c r="N498" s="70">
        <v>0</v>
      </c>
      <c r="O498" s="70">
        <v>0</v>
      </c>
      <c r="P498" s="38"/>
      <c r="Q498" s="40" t="s">
        <v>115</v>
      </c>
    </row>
    <row r="499" spans="1:17" s="2" customFormat="1" x14ac:dyDescent="0.2">
      <c r="A499" s="16" t="str">
        <f t="shared" si="14"/>
        <v>sexta-feira</v>
      </c>
      <c r="B499" s="17">
        <f t="shared" si="15"/>
        <v>45058</v>
      </c>
      <c r="C499" s="52">
        <f>IFERROR(_xlfn.XLOOKUP($B:$B,'Estatísticos Mensais'!$A:$A,'Estatísticos Mensais'!C:C),0)</f>
        <v>527299.01</v>
      </c>
      <c r="D499" s="69">
        <f>IFERROR(_xlfn.XLOOKUP($B:$B,Google!A:A,Google!C:C,),0)</f>
        <v>2374.61</v>
      </c>
      <c r="E499" s="70" t="e">
        <f>SUMIF(#REF!,'Compilado 2023 (2)'!$B:$B,#REF!)</f>
        <v>#REF!</v>
      </c>
      <c r="F499" s="70">
        <v>0</v>
      </c>
      <c r="G499" s="70">
        <f ca="1">_xlfn.XLOOKUP(B:B,'E-mail'!A:A,'E-mail'!C:C)</f>
        <v>51.612903225806448</v>
      </c>
      <c r="H499" s="70">
        <f>IFERROR(_xlfn.XLOOKUP($B:$B,#REF!,#REF!),0)</f>
        <v>0</v>
      </c>
      <c r="I499" s="70">
        <v>0</v>
      </c>
      <c r="J499" s="70">
        <v>0</v>
      </c>
      <c r="K499" s="71">
        <v>0</v>
      </c>
      <c r="L499" s="59"/>
      <c r="M499" s="70">
        <v>0</v>
      </c>
      <c r="N499" s="70">
        <v>0</v>
      </c>
      <c r="O499" s="70">
        <v>0</v>
      </c>
      <c r="P499" s="38"/>
      <c r="Q499" s="40" t="s">
        <v>116</v>
      </c>
    </row>
    <row r="500" spans="1:17" s="2" customFormat="1" x14ac:dyDescent="0.2">
      <c r="A500" s="16" t="str">
        <f t="shared" si="14"/>
        <v>sábado</v>
      </c>
      <c r="B500" s="17">
        <f t="shared" si="15"/>
        <v>45059</v>
      </c>
      <c r="C500" s="52">
        <f>IFERROR(_xlfn.XLOOKUP($B:$B,'Estatísticos Mensais'!$A:$A,'Estatísticos Mensais'!C:C),0)</f>
        <v>570509.35</v>
      </c>
      <c r="D500" s="69">
        <f>IFERROR(_xlfn.XLOOKUP($B:$B,Google!A:A,Google!C:C,),0)</f>
        <v>5078.95</v>
      </c>
      <c r="E500" s="70" t="e">
        <f>SUMIF(#REF!,'Compilado 2023 (2)'!$B:$B,#REF!)</f>
        <v>#REF!</v>
      </c>
      <c r="F500" s="70">
        <v>0</v>
      </c>
      <c r="G500" s="70">
        <f ca="1">_xlfn.XLOOKUP(B:B,'E-mail'!A:A,'E-mail'!C:C)</f>
        <v>51.612903225806448</v>
      </c>
      <c r="H500" s="70">
        <f>IFERROR(_xlfn.XLOOKUP($B:$B,#REF!,#REF!),0)</f>
        <v>0</v>
      </c>
      <c r="I500" s="70">
        <v>0</v>
      </c>
      <c r="J500" s="70">
        <v>0</v>
      </c>
      <c r="K500" s="71">
        <v>0</v>
      </c>
      <c r="L500" s="59"/>
      <c r="M500" s="70">
        <v>0</v>
      </c>
      <c r="N500" s="70">
        <v>0</v>
      </c>
      <c r="O500" s="70">
        <v>0</v>
      </c>
      <c r="P500" s="38"/>
      <c r="Q500" s="40"/>
    </row>
    <row r="501" spans="1:17" s="2" customFormat="1" x14ac:dyDescent="0.2">
      <c r="A501" s="16" t="str">
        <f t="shared" si="14"/>
        <v>domingo</v>
      </c>
      <c r="B501" s="17">
        <f t="shared" si="15"/>
        <v>45060</v>
      </c>
      <c r="C501" s="52">
        <f>IFERROR(_xlfn.XLOOKUP($B:$B,'Estatísticos Mensais'!$A:$A,'Estatísticos Mensais'!C:C),0)</f>
        <v>513678.94</v>
      </c>
      <c r="D501" s="69">
        <f>IFERROR(_xlfn.XLOOKUP($B:$B,Google!A:A,Google!C:C,),0)</f>
        <v>3910.66</v>
      </c>
      <c r="E501" s="70" t="e">
        <f>SUMIF(#REF!,'Compilado 2023 (2)'!$B:$B,#REF!)</f>
        <v>#REF!</v>
      </c>
      <c r="F501" s="70">
        <v>0</v>
      </c>
      <c r="G501" s="70">
        <f ca="1">_xlfn.XLOOKUP(B:B,'E-mail'!A:A,'E-mail'!C:C)</f>
        <v>51.612903225806448</v>
      </c>
      <c r="H501" s="70">
        <f>IFERROR(_xlfn.XLOOKUP($B:$B,#REF!,#REF!),0)</f>
        <v>0</v>
      </c>
      <c r="I501" s="70">
        <v>0</v>
      </c>
      <c r="J501" s="70">
        <v>0</v>
      </c>
      <c r="K501" s="71">
        <v>0</v>
      </c>
      <c r="L501" s="59"/>
      <c r="M501" s="70">
        <v>0</v>
      </c>
      <c r="N501" s="70">
        <v>0</v>
      </c>
      <c r="O501" s="70">
        <v>0</v>
      </c>
      <c r="P501" s="38"/>
      <c r="Q501" s="40" t="s">
        <v>117</v>
      </c>
    </row>
    <row r="502" spans="1:17" s="2" customFormat="1" x14ac:dyDescent="0.2">
      <c r="A502" s="16" t="str">
        <f t="shared" si="14"/>
        <v>segunda-feira</v>
      </c>
      <c r="B502" s="17">
        <f t="shared" si="15"/>
        <v>45061</v>
      </c>
      <c r="C502" s="52">
        <f>IFERROR(_xlfn.XLOOKUP($B:$B,'Estatísticos Mensais'!$A:$A,'Estatísticos Mensais'!C:C),0)</f>
        <v>157142.85999999999</v>
      </c>
      <c r="D502" s="69">
        <f>IFERROR(_xlfn.XLOOKUP($B:$B,Google!A:A,Google!C:C,),0)</f>
        <v>720.2</v>
      </c>
      <c r="E502" s="70" t="e">
        <f>SUMIF(#REF!,'Compilado 2023 (2)'!$B:$B,#REF!)</f>
        <v>#REF!</v>
      </c>
      <c r="F502" s="70">
        <v>0</v>
      </c>
      <c r="G502" s="70">
        <f ca="1">_xlfn.XLOOKUP(B:B,'E-mail'!A:A,'E-mail'!C:C)</f>
        <v>51.612903225806448</v>
      </c>
      <c r="H502" s="70">
        <f>IFERROR(_xlfn.XLOOKUP($B:$B,#REF!,#REF!),0)</f>
        <v>0</v>
      </c>
      <c r="I502" s="70">
        <v>0</v>
      </c>
      <c r="J502" s="70">
        <v>0</v>
      </c>
      <c r="K502" s="71">
        <v>0</v>
      </c>
      <c r="L502" s="59"/>
      <c r="M502" s="70">
        <v>0</v>
      </c>
      <c r="N502" s="70">
        <v>0</v>
      </c>
      <c r="O502" s="70">
        <v>0</v>
      </c>
      <c r="P502" s="38"/>
      <c r="Q502" s="40" t="s">
        <v>118</v>
      </c>
    </row>
    <row r="503" spans="1:17" s="2" customFormat="1" x14ac:dyDescent="0.2">
      <c r="A503" s="16" t="str">
        <f t="shared" si="14"/>
        <v>terça-feira</v>
      </c>
      <c r="B503" s="17">
        <f t="shared" si="15"/>
        <v>45062</v>
      </c>
      <c r="C503" s="52">
        <f>IFERROR(_xlfn.XLOOKUP($B:$B,'Estatísticos Mensais'!$A:$A,'Estatísticos Mensais'!C:C),0)</f>
        <v>129970.04</v>
      </c>
      <c r="D503" s="69">
        <f>IFERROR(_xlfn.XLOOKUP($B:$B,Google!A:A,Google!C:C,),0)</f>
        <v>680.41</v>
      </c>
      <c r="E503" s="70" t="e">
        <f>SUMIF(#REF!,'Compilado 2023 (2)'!$B:$B,#REF!)</f>
        <v>#REF!</v>
      </c>
      <c r="F503" s="70">
        <v>0</v>
      </c>
      <c r="G503" s="70">
        <f ca="1">_xlfn.XLOOKUP(B:B,'E-mail'!A:A,'E-mail'!C:C)</f>
        <v>51.612903225806448</v>
      </c>
      <c r="H503" s="70">
        <f>IFERROR(_xlfn.XLOOKUP($B:$B,#REF!,#REF!),0)</f>
        <v>0</v>
      </c>
      <c r="I503" s="70">
        <v>0</v>
      </c>
      <c r="J503" s="70">
        <v>0</v>
      </c>
      <c r="K503" s="71">
        <v>0</v>
      </c>
      <c r="L503" s="59"/>
      <c r="M503" s="70">
        <v>0</v>
      </c>
      <c r="N503" s="70">
        <v>0</v>
      </c>
      <c r="O503" s="70">
        <v>0</v>
      </c>
      <c r="P503" s="38"/>
      <c r="Q503" s="40"/>
    </row>
    <row r="504" spans="1:17" s="2" customFormat="1" x14ac:dyDescent="0.2">
      <c r="A504" s="16" t="str">
        <f t="shared" si="14"/>
        <v>quarta-feira</v>
      </c>
      <c r="B504" s="17">
        <f t="shared" si="15"/>
        <v>45063</v>
      </c>
      <c r="C504" s="52">
        <f>IFERROR(_xlfn.XLOOKUP($B:$B,'Estatísticos Mensais'!$A:$A,'Estatísticos Mensais'!C:C),0)</f>
        <v>82948.320000000007</v>
      </c>
      <c r="D504" s="69">
        <f>IFERROR(_xlfn.XLOOKUP($B:$B,Google!A:A,Google!C:C,),0)</f>
        <v>632.01</v>
      </c>
      <c r="E504" s="70" t="e">
        <f>SUMIF(#REF!,'Compilado 2023 (2)'!$B:$B,#REF!)</f>
        <v>#REF!</v>
      </c>
      <c r="F504" s="70">
        <v>0</v>
      </c>
      <c r="G504" s="70">
        <f ca="1">_xlfn.XLOOKUP(B:B,'E-mail'!A:A,'E-mail'!C:C)</f>
        <v>51.612903225806448</v>
      </c>
      <c r="H504" s="70">
        <f>IFERROR(_xlfn.XLOOKUP($B:$B,#REF!,#REF!),0)</f>
        <v>0</v>
      </c>
      <c r="I504" s="70">
        <v>0</v>
      </c>
      <c r="J504" s="70">
        <v>0</v>
      </c>
      <c r="K504" s="71">
        <v>0</v>
      </c>
      <c r="L504" s="59"/>
      <c r="M504" s="70">
        <v>0</v>
      </c>
      <c r="N504" s="70">
        <v>0</v>
      </c>
      <c r="O504" s="70">
        <v>0</v>
      </c>
      <c r="P504" s="38"/>
      <c r="Q504" s="40" t="s">
        <v>119</v>
      </c>
    </row>
    <row r="505" spans="1:17" s="2" customFormat="1" x14ac:dyDescent="0.2">
      <c r="A505" s="16" t="str">
        <f t="shared" si="14"/>
        <v>quinta-feira</v>
      </c>
      <c r="B505" s="17">
        <f t="shared" si="15"/>
        <v>45064</v>
      </c>
      <c r="C505" s="52">
        <f>IFERROR(_xlfn.XLOOKUP($B:$B,'Estatísticos Mensais'!$A:$A,'Estatísticos Mensais'!C:C),0)</f>
        <v>56505.78</v>
      </c>
      <c r="D505" s="69">
        <f>IFERROR(_xlfn.XLOOKUP($B:$B,Google!A:A,Google!C:C,),0)</f>
        <v>426.97</v>
      </c>
      <c r="E505" s="70" t="e">
        <f>SUMIF(#REF!,'Compilado 2023 (2)'!$B:$B,#REF!)</f>
        <v>#REF!</v>
      </c>
      <c r="F505" s="70">
        <v>0</v>
      </c>
      <c r="G505" s="70">
        <f ca="1">_xlfn.XLOOKUP(B:B,'E-mail'!A:A,'E-mail'!C:C)</f>
        <v>51.612903225806448</v>
      </c>
      <c r="H505" s="70">
        <f>IFERROR(_xlfn.XLOOKUP($B:$B,#REF!,#REF!),0)</f>
        <v>0</v>
      </c>
      <c r="I505" s="70">
        <v>0</v>
      </c>
      <c r="J505" s="70">
        <v>0</v>
      </c>
      <c r="K505" s="71">
        <v>0</v>
      </c>
      <c r="L505" s="59"/>
      <c r="M505" s="70">
        <v>0</v>
      </c>
      <c r="N505" s="70">
        <v>0</v>
      </c>
      <c r="O505" s="70">
        <v>0</v>
      </c>
      <c r="P505" s="38"/>
      <c r="Q505" s="40"/>
    </row>
    <row r="506" spans="1:17" s="2" customFormat="1" x14ac:dyDescent="0.2">
      <c r="A506" s="16" t="str">
        <f t="shared" si="14"/>
        <v>sexta-feira</v>
      </c>
      <c r="B506" s="17">
        <f t="shared" si="15"/>
        <v>45065</v>
      </c>
      <c r="C506" s="52">
        <f>IFERROR(_xlfn.XLOOKUP($B:$B,'Estatísticos Mensais'!$A:$A,'Estatísticos Mensais'!C:C),0)</f>
        <v>80530.759999999995</v>
      </c>
      <c r="D506" s="69">
        <f>IFERROR(_xlfn.XLOOKUP($B:$B,Google!A:A,Google!C:C,),0)</f>
        <v>361.34</v>
      </c>
      <c r="E506" s="70" t="e">
        <f>SUMIF(#REF!,'Compilado 2023 (2)'!$B:$B,#REF!)</f>
        <v>#REF!</v>
      </c>
      <c r="F506" s="70">
        <v>0</v>
      </c>
      <c r="G506" s="70">
        <f ca="1">_xlfn.XLOOKUP(B:B,'E-mail'!A:A,'E-mail'!C:C)</f>
        <v>51.612903225806448</v>
      </c>
      <c r="H506" s="70">
        <f>IFERROR(_xlfn.XLOOKUP($B:$B,#REF!,#REF!),0)</f>
        <v>0</v>
      </c>
      <c r="I506" s="70">
        <v>0</v>
      </c>
      <c r="J506" s="70">
        <v>0</v>
      </c>
      <c r="K506" s="71">
        <v>0</v>
      </c>
      <c r="L506" s="59"/>
      <c r="M506" s="70">
        <v>0</v>
      </c>
      <c r="N506" s="70">
        <v>0</v>
      </c>
      <c r="O506" s="70">
        <v>0</v>
      </c>
      <c r="P506" s="38"/>
      <c r="Q506" s="40" t="s">
        <v>120</v>
      </c>
    </row>
    <row r="507" spans="1:17" s="2" customFormat="1" x14ac:dyDescent="0.2">
      <c r="A507" s="16" t="str">
        <f t="shared" si="14"/>
        <v>sábado</v>
      </c>
      <c r="B507" s="17">
        <f t="shared" si="15"/>
        <v>45066</v>
      </c>
      <c r="C507" s="52">
        <f>IFERROR(_xlfn.XLOOKUP($B:$B,'Estatísticos Mensais'!$A:$A,'Estatísticos Mensais'!C:C),0)</f>
        <v>39327.93</v>
      </c>
      <c r="D507" s="69">
        <f>IFERROR(_xlfn.XLOOKUP($B:$B,Google!A:A,Google!C:C,),0)</f>
        <v>372.43</v>
      </c>
      <c r="E507" s="70" t="e">
        <f>SUMIF(#REF!,'Compilado 2023 (2)'!$B:$B,#REF!)</f>
        <v>#REF!</v>
      </c>
      <c r="F507" s="70">
        <v>0</v>
      </c>
      <c r="G507" s="70">
        <f ca="1">_xlfn.XLOOKUP(B:B,'E-mail'!A:A,'E-mail'!C:C)</f>
        <v>51.612903225806448</v>
      </c>
      <c r="H507" s="70">
        <f>IFERROR(_xlfn.XLOOKUP($B:$B,#REF!,#REF!),0)</f>
        <v>0</v>
      </c>
      <c r="I507" s="70">
        <v>0</v>
      </c>
      <c r="J507" s="70">
        <v>0</v>
      </c>
      <c r="K507" s="71">
        <v>0</v>
      </c>
      <c r="L507" s="59"/>
      <c r="M507" s="70">
        <v>0</v>
      </c>
      <c r="N507" s="70">
        <v>0</v>
      </c>
      <c r="O507" s="70">
        <v>0</v>
      </c>
      <c r="P507" s="38"/>
      <c r="Q507" s="40"/>
    </row>
    <row r="508" spans="1:17" s="2" customFormat="1" x14ac:dyDescent="0.2">
      <c r="A508" s="16" t="str">
        <f t="shared" si="14"/>
        <v>domingo</v>
      </c>
      <c r="B508" s="17">
        <f t="shared" si="15"/>
        <v>45067</v>
      </c>
      <c r="C508" s="52">
        <f>IFERROR(_xlfn.XLOOKUP($B:$B,'Estatísticos Mensais'!$A:$A,'Estatísticos Mensais'!C:C),0)</f>
        <v>32806.550000000003</v>
      </c>
      <c r="D508" s="69">
        <f>IFERROR(_xlfn.XLOOKUP($B:$B,Google!A:A,Google!C:C,),0)</f>
        <v>297.41000000000003</v>
      </c>
      <c r="E508" s="70" t="e">
        <f>SUMIF(#REF!,'Compilado 2023 (2)'!$B:$B,#REF!)</f>
        <v>#REF!</v>
      </c>
      <c r="F508" s="70">
        <v>0</v>
      </c>
      <c r="G508" s="70">
        <f ca="1">_xlfn.XLOOKUP(B:B,'E-mail'!A:A,'E-mail'!C:C)</f>
        <v>51.612903225806448</v>
      </c>
      <c r="H508" s="70">
        <f>IFERROR(_xlfn.XLOOKUP($B:$B,#REF!,#REF!),0)</f>
        <v>0</v>
      </c>
      <c r="I508" s="70">
        <v>0</v>
      </c>
      <c r="J508" s="70">
        <v>0</v>
      </c>
      <c r="K508" s="71">
        <v>0</v>
      </c>
      <c r="L508" s="59"/>
      <c r="M508" s="70">
        <v>0</v>
      </c>
      <c r="N508" s="70">
        <v>0</v>
      </c>
      <c r="O508" s="70">
        <v>0</v>
      </c>
      <c r="P508" s="38"/>
      <c r="Q508" s="40"/>
    </row>
    <row r="509" spans="1:17" s="2" customFormat="1" x14ac:dyDescent="0.2">
      <c r="A509" s="16" t="str">
        <f t="shared" si="14"/>
        <v>segunda-feira</v>
      </c>
      <c r="B509" s="17">
        <f t="shared" si="15"/>
        <v>45068</v>
      </c>
      <c r="C509" s="52">
        <f>IFERROR(_xlfn.XLOOKUP($B:$B,'Estatísticos Mensais'!$A:$A,'Estatísticos Mensais'!C:C),0)</f>
        <v>73944.570000000007</v>
      </c>
      <c r="D509" s="69">
        <f>IFERROR(_xlfn.XLOOKUP($B:$B,Google!A:A,Google!C:C,),0)</f>
        <v>346.89</v>
      </c>
      <c r="E509" s="70" t="e">
        <f>SUMIF(#REF!,'Compilado 2023 (2)'!$B:$B,#REF!)</f>
        <v>#REF!</v>
      </c>
      <c r="F509" s="70">
        <v>0</v>
      </c>
      <c r="G509" s="70">
        <f ca="1">_xlfn.XLOOKUP(B:B,'E-mail'!A:A,'E-mail'!C:C)</f>
        <v>51.612903225806448</v>
      </c>
      <c r="H509" s="70">
        <f>IFERROR(_xlfn.XLOOKUP($B:$B,#REF!,#REF!),0)</f>
        <v>0</v>
      </c>
      <c r="I509" s="70">
        <v>0</v>
      </c>
      <c r="J509" s="70">
        <v>0</v>
      </c>
      <c r="K509" s="71">
        <v>0</v>
      </c>
      <c r="L509" s="59"/>
      <c r="M509" s="70">
        <v>0</v>
      </c>
      <c r="N509" s="70">
        <v>0</v>
      </c>
      <c r="O509" s="70">
        <v>0</v>
      </c>
      <c r="P509" s="38"/>
      <c r="Q509" s="40" t="s">
        <v>121</v>
      </c>
    </row>
    <row r="510" spans="1:17" s="2" customFormat="1" x14ac:dyDescent="0.2">
      <c r="A510" s="16" t="str">
        <f t="shared" si="14"/>
        <v>terça-feira</v>
      </c>
      <c r="B510" s="17">
        <f t="shared" si="15"/>
        <v>45069</v>
      </c>
      <c r="C510" s="52">
        <f>IFERROR(_xlfn.XLOOKUP($B:$B,'Estatísticos Mensais'!$A:$A,'Estatísticos Mensais'!C:C),0)</f>
        <v>64277.84</v>
      </c>
      <c r="D510" s="69">
        <f>IFERROR(_xlfn.XLOOKUP($B:$B,Google!A:A,Google!C:C,),0)</f>
        <v>414.94</v>
      </c>
      <c r="E510" s="70" t="e">
        <f>SUMIF(#REF!,'Compilado 2023 (2)'!$B:$B,#REF!)</f>
        <v>#REF!</v>
      </c>
      <c r="F510" s="70">
        <v>0</v>
      </c>
      <c r="G510" s="70">
        <f ca="1">_xlfn.XLOOKUP(B:B,'E-mail'!A:A,'E-mail'!C:C)</f>
        <v>51.612903225806448</v>
      </c>
      <c r="H510" s="70">
        <f>IFERROR(_xlfn.XLOOKUP($B:$B,#REF!,#REF!),0)</f>
        <v>0</v>
      </c>
      <c r="I510" s="70">
        <v>0</v>
      </c>
      <c r="J510" s="70">
        <v>0</v>
      </c>
      <c r="K510" s="71">
        <v>0</v>
      </c>
      <c r="L510" s="59"/>
      <c r="M510" s="70">
        <v>0</v>
      </c>
      <c r="N510" s="70">
        <v>0</v>
      </c>
      <c r="O510" s="70">
        <v>0</v>
      </c>
      <c r="P510" s="38"/>
      <c r="Q510" s="40"/>
    </row>
    <row r="511" spans="1:17" s="2" customFormat="1" x14ac:dyDescent="0.2">
      <c r="A511" s="16" t="str">
        <f t="shared" si="14"/>
        <v>quarta-feira</v>
      </c>
      <c r="B511" s="17">
        <f t="shared" si="15"/>
        <v>45070</v>
      </c>
      <c r="C511" s="52">
        <f>IFERROR(_xlfn.XLOOKUP($B:$B,'Estatísticos Mensais'!$A:$A,'Estatísticos Mensais'!C:C),0)</f>
        <v>63557.29</v>
      </c>
      <c r="D511" s="69">
        <f>IFERROR(_xlfn.XLOOKUP($B:$B,Google!A:A,Google!C:C,),0)</f>
        <v>439.74</v>
      </c>
      <c r="E511" s="70" t="e">
        <f>SUMIF(#REF!,'Compilado 2023 (2)'!$B:$B,#REF!)</f>
        <v>#REF!</v>
      </c>
      <c r="F511" s="70">
        <v>0</v>
      </c>
      <c r="G511" s="70">
        <f ca="1">_xlfn.XLOOKUP(B:B,'E-mail'!A:A,'E-mail'!C:C)</f>
        <v>51.612903225806448</v>
      </c>
      <c r="H511" s="70">
        <f>IFERROR(_xlfn.XLOOKUP($B:$B,#REF!,#REF!),0)</f>
        <v>0</v>
      </c>
      <c r="I511" s="70">
        <v>0</v>
      </c>
      <c r="J511" s="70">
        <v>0</v>
      </c>
      <c r="K511" s="71">
        <v>0</v>
      </c>
      <c r="L511" s="59"/>
      <c r="M511" s="70">
        <v>0</v>
      </c>
      <c r="N511" s="70">
        <v>0</v>
      </c>
      <c r="O511" s="70">
        <v>0</v>
      </c>
      <c r="P511" s="38"/>
      <c r="Q511" s="40" t="s">
        <v>122</v>
      </c>
    </row>
    <row r="512" spans="1:17" s="2" customFormat="1" x14ac:dyDescent="0.2">
      <c r="A512" s="16" t="str">
        <f t="shared" si="14"/>
        <v>quinta-feira</v>
      </c>
      <c r="B512" s="17">
        <f t="shared" si="15"/>
        <v>45071</v>
      </c>
      <c r="C512" s="52">
        <f>IFERROR(_xlfn.XLOOKUP($B:$B,'Estatísticos Mensais'!$A:$A,'Estatísticos Mensais'!C:C),0)</f>
        <v>76398.84</v>
      </c>
      <c r="D512" s="69">
        <f>IFERROR(_xlfn.XLOOKUP($B:$B,Google!A:A,Google!C:C,),0)</f>
        <v>483.56</v>
      </c>
      <c r="E512" s="70" t="e">
        <f>SUMIF(#REF!,'Compilado 2023 (2)'!$B:$B,#REF!)</f>
        <v>#REF!</v>
      </c>
      <c r="F512" s="70">
        <v>0</v>
      </c>
      <c r="G512" s="70">
        <f ca="1">_xlfn.XLOOKUP(B:B,'E-mail'!A:A,'E-mail'!C:C)</f>
        <v>51.612903225806448</v>
      </c>
      <c r="H512" s="70">
        <f>IFERROR(_xlfn.XLOOKUP($B:$B,#REF!,#REF!),0)</f>
        <v>0</v>
      </c>
      <c r="I512" s="70">
        <v>0</v>
      </c>
      <c r="J512" s="70">
        <v>0</v>
      </c>
      <c r="K512" s="71">
        <v>0</v>
      </c>
      <c r="L512" s="59"/>
      <c r="M512" s="70">
        <v>0</v>
      </c>
      <c r="N512" s="70">
        <v>0</v>
      </c>
      <c r="O512" s="70">
        <v>0</v>
      </c>
      <c r="P512" s="38"/>
      <c r="Q512" s="40" t="s">
        <v>123</v>
      </c>
    </row>
    <row r="513" spans="1:17" s="2" customFormat="1" x14ac:dyDescent="0.2">
      <c r="A513" s="16" t="str">
        <f t="shared" si="14"/>
        <v>sexta-feira</v>
      </c>
      <c r="B513" s="17">
        <f t="shared" si="15"/>
        <v>45072</v>
      </c>
      <c r="C513" s="52">
        <f>IFERROR(_xlfn.XLOOKUP($B:$B,'Estatísticos Mensais'!$A:$A,'Estatísticos Mensais'!C:C),0)</f>
        <v>77451</v>
      </c>
      <c r="D513" s="69">
        <f>IFERROR(_xlfn.XLOOKUP($B:$B,Google!A:A,Google!C:C,),0)</f>
        <v>367.61</v>
      </c>
      <c r="E513" s="70" t="e">
        <f>SUMIF(#REF!,'Compilado 2023 (2)'!$B:$B,#REF!)</f>
        <v>#REF!</v>
      </c>
      <c r="F513" s="70">
        <v>0</v>
      </c>
      <c r="G513" s="70">
        <f ca="1">_xlfn.XLOOKUP(B:B,'E-mail'!A:A,'E-mail'!C:C)</f>
        <v>51.612903225806448</v>
      </c>
      <c r="H513" s="70">
        <f>IFERROR(_xlfn.XLOOKUP($B:$B,#REF!,#REF!),0)</f>
        <v>0</v>
      </c>
      <c r="I513" s="70">
        <v>0</v>
      </c>
      <c r="J513" s="70">
        <v>0</v>
      </c>
      <c r="K513" s="71">
        <v>0</v>
      </c>
      <c r="L513" s="59"/>
      <c r="M513" s="70">
        <v>0</v>
      </c>
      <c r="N513" s="70">
        <v>0</v>
      </c>
      <c r="O513" s="70">
        <v>0</v>
      </c>
      <c r="P513" s="38"/>
      <c r="Q513" s="40"/>
    </row>
    <row r="514" spans="1:17" s="2" customFormat="1" x14ac:dyDescent="0.2">
      <c r="A514" s="16" t="str">
        <f t="shared" si="14"/>
        <v>sábado</v>
      </c>
      <c r="B514" s="17">
        <f t="shared" si="15"/>
        <v>45073</v>
      </c>
      <c r="C514" s="52">
        <f>IFERROR(_xlfn.XLOOKUP($B:$B,'Estatísticos Mensais'!$A:$A,'Estatísticos Mensais'!C:C),0)</f>
        <v>55449.1</v>
      </c>
      <c r="D514" s="69">
        <f>IFERROR(_xlfn.XLOOKUP($B:$B,Google!A:A,Google!C:C,),0)</f>
        <v>365.87</v>
      </c>
      <c r="E514" s="70" t="e">
        <f>SUMIF(#REF!,'Compilado 2023 (2)'!$B:$B,#REF!)</f>
        <v>#REF!</v>
      </c>
      <c r="F514" s="70">
        <v>0</v>
      </c>
      <c r="G514" s="70">
        <f ca="1">_xlfn.XLOOKUP(B:B,'E-mail'!A:A,'E-mail'!C:C)</f>
        <v>51.612903225806448</v>
      </c>
      <c r="H514" s="70">
        <f>IFERROR(_xlfn.XLOOKUP($B:$B,#REF!,#REF!),0)</f>
        <v>0</v>
      </c>
      <c r="I514" s="70">
        <v>0</v>
      </c>
      <c r="J514" s="70">
        <v>0</v>
      </c>
      <c r="K514" s="71">
        <v>0</v>
      </c>
      <c r="L514" s="59"/>
      <c r="M514" s="70">
        <v>0</v>
      </c>
      <c r="N514" s="70">
        <v>0</v>
      </c>
      <c r="O514" s="70">
        <v>0</v>
      </c>
      <c r="P514" s="38"/>
      <c r="Q514" s="40"/>
    </row>
    <row r="515" spans="1:17" s="2" customFormat="1" x14ac:dyDescent="0.2">
      <c r="A515" s="16" t="str">
        <f t="shared" ref="A515:A566" si="16">TEXT(B515,"DDDD")</f>
        <v>domingo</v>
      </c>
      <c r="B515" s="17">
        <f t="shared" si="15"/>
        <v>45074</v>
      </c>
      <c r="C515" s="52">
        <f>IFERROR(_xlfn.XLOOKUP($B:$B,'Estatísticos Mensais'!$A:$A,'Estatísticos Mensais'!C:C),0)</f>
        <v>35907.269999999997</v>
      </c>
      <c r="D515" s="69">
        <f>IFERROR(_xlfn.XLOOKUP($B:$B,Google!A:A,Google!C:C,),0)</f>
        <v>397.45</v>
      </c>
      <c r="E515" s="70" t="e">
        <f>SUMIF(#REF!,'Compilado 2023 (2)'!$B:$B,#REF!)</f>
        <v>#REF!</v>
      </c>
      <c r="F515" s="70">
        <v>0</v>
      </c>
      <c r="G515" s="70">
        <f ca="1">_xlfn.XLOOKUP(B:B,'E-mail'!A:A,'E-mail'!C:C)</f>
        <v>51.612903225806448</v>
      </c>
      <c r="H515" s="70">
        <f>IFERROR(_xlfn.XLOOKUP($B:$B,#REF!,#REF!),0)</f>
        <v>0</v>
      </c>
      <c r="I515" s="70">
        <v>0</v>
      </c>
      <c r="J515" s="70">
        <v>0</v>
      </c>
      <c r="K515" s="71">
        <v>0</v>
      </c>
      <c r="L515" s="59"/>
      <c r="M515" s="70">
        <v>0</v>
      </c>
      <c r="N515" s="70">
        <v>0</v>
      </c>
      <c r="O515" s="70">
        <v>0</v>
      </c>
      <c r="P515" s="38"/>
      <c r="Q515" s="40"/>
    </row>
    <row r="516" spans="1:17" s="2" customFormat="1" x14ac:dyDescent="0.2">
      <c r="A516" s="16" t="str">
        <f t="shared" si="16"/>
        <v>segunda-feira</v>
      </c>
      <c r="B516" s="17">
        <f t="shared" si="15"/>
        <v>45075</v>
      </c>
      <c r="C516" s="52">
        <f>IFERROR(_xlfn.XLOOKUP($B:$B,'Estatísticos Mensais'!$A:$A,'Estatísticos Mensais'!C:C),0)</f>
        <v>85087.69</v>
      </c>
      <c r="D516" s="69">
        <f>IFERROR(_xlfn.XLOOKUP($B:$B,Google!A:A,Google!C:C,),0)</f>
        <v>471.42</v>
      </c>
      <c r="E516" s="70" t="e">
        <f>SUMIF(#REF!,'Compilado 2023 (2)'!$B:$B,#REF!)</f>
        <v>#REF!</v>
      </c>
      <c r="F516" s="70">
        <v>0</v>
      </c>
      <c r="G516" s="70">
        <f ca="1">_xlfn.XLOOKUP(B:B,'E-mail'!A:A,'E-mail'!C:C)</f>
        <v>51.612903225806448</v>
      </c>
      <c r="H516" s="70">
        <f>IFERROR(_xlfn.XLOOKUP($B:$B,#REF!,#REF!),0)</f>
        <v>0</v>
      </c>
      <c r="I516" s="70">
        <v>0</v>
      </c>
      <c r="J516" s="70">
        <v>0</v>
      </c>
      <c r="K516" s="71">
        <v>0</v>
      </c>
      <c r="L516" s="59"/>
      <c r="M516" s="70">
        <v>0</v>
      </c>
      <c r="N516" s="70">
        <v>0</v>
      </c>
      <c r="O516" s="70">
        <v>0</v>
      </c>
      <c r="P516" s="38"/>
      <c r="Q516" s="40" t="s">
        <v>124</v>
      </c>
    </row>
    <row r="517" spans="1:17" s="2" customFormat="1" x14ac:dyDescent="0.2">
      <c r="A517" s="16" t="str">
        <f t="shared" si="16"/>
        <v>terça-feira</v>
      </c>
      <c r="B517" s="17">
        <f t="shared" ref="B517:B580" si="17">B516+1</f>
        <v>45076</v>
      </c>
      <c r="C517" s="52">
        <f>IFERROR(_xlfn.XLOOKUP($B:$B,'Estatísticos Mensais'!$A:$A,'Estatísticos Mensais'!C:C),0)</f>
        <v>71428.23</v>
      </c>
      <c r="D517" s="69">
        <f>IFERROR(_xlfn.XLOOKUP($B:$B,Google!A:A,Google!C:C,),0)</f>
        <v>422.43</v>
      </c>
      <c r="E517" s="70" t="e">
        <f>SUMIF(#REF!,'Compilado 2023 (2)'!$B:$B,#REF!)</f>
        <v>#REF!</v>
      </c>
      <c r="F517" s="70">
        <v>0</v>
      </c>
      <c r="G517" s="70">
        <f ca="1">_xlfn.XLOOKUP(B:B,'E-mail'!A:A,'E-mail'!C:C)</f>
        <v>51.612903225806448</v>
      </c>
      <c r="H517" s="70">
        <f>IFERROR(_xlfn.XLOOKUP($B:$B,#REF!,#REF!),0)</f>
        <v>0</v>
      </c>
      <c r="I517" s="70">
        <v>0</v>
      </c>
      <c r="J517" s="70">
        <v>0</v>
      </c>
      <c r="K517" s="71">
        <v>0</v>
      </c>
      <c r="L517" s="59"/>
      <c r="M517" s="70">
        <v>0</v>
      </c>
      <c r="N517" s="70">
        <v>0</v>
      </c>
      <c r="O517" s="70">
        <v>0</v>
      </c>
      <c r="P517" s="38"/>
      <c r="Q517" s="40"/>
    </row>
    <row r="518" spans="1:17" s="2" customFormat="1" x14ac:dyDescent="0.2">
      <c r="A518" s="16" t="str">
        <f t="shared" si="16"/>
        <v>quarta-feira</v>
      </c>
      <c r="B518" s="17">
        <f t="shared" si="17"/>
        <v>45077</v>
      </c>
      <c r="C518" s="52">
        <f>IFERROR(_xlfn.XLOOKUP($B:$B,'Estatísticos Mensais'!$A:$A,'Estatísticos Mensais'!C:C),0)</f>
        <v>79730.649999999994</v>
      </c>
      <c r="D518" s="69">
        <f>IFERROR(_xlfn.XLOOKUP($B:$B,Google!A:A,Google!C:C,),0)</f>
        <v>373.62</v>
      </c>
      <c r="E518" s="70" t="e">
        <f>SUMIF(#REF!,'Compilado 2023 (2)'!$B:$B,#REF!)</f>
        <v>#REF!</v>
      </c>
      <c r="F518" s="70">
        <v>0</v>
      </c>
      <c r="G518" s="70">
        <f ca="1">_xlfn.XLOOKUP(B:B,'E-mail'!A:A,'E-mail'!C:C)</f>
        <v>51.612903225806448</v>
      </c>
      <c r="H518" s="70">
        <f>IFERROR(_xlfn.XLOOKUP($B:$B,#REF!,#REF!),0)</f>
        <v>0</v>
      </c>
      <c r="I518" s="70">
        <v>0</v>
      </c>
      <c r="J518" s="70">
        <v>0</v>
      </c>
      <c r="K518" s="71">
        <v>0</v>
      </c>
      <c r="L518" s="59"/>
      <c r="M518" s="70">
        <v>0</v>
      </c>
      <c r="N518" s="70">
        <v>0</v>
      </c>
      <c r="O518" s="70">
        <v>0</v>
      </c>
      <c r="P518" s="38"/>
      <c r="Q518" s="40"/>
    </row>
    <row r="519" spans="1:17" s="2" customFormat="1" x14ac:dyDescent="0.2">
      <c r="A519" s="16" t="str">
        <f t="shared" si="16"/>
        <v>quinta-feira</v>
      </c>
      <c r="B519" s="17">
        <f t="shared" si="17"/>
        <v>45078</v>
      </c>
      <c r="C519" s="52">
        <f>IFERROR(_xlfn.XLOOKUP($B:$B,'Estatísticos Mensais'!$A:$A,'Estatísticos Mensais'!C:C),0)</f>
        <v>69353.710000000006</v>
      </c>
      <c r="D519" s="69">
        <f>IFERROR(_xlfn.XLOOKUP($B:$B,Google!A:A,Google!C:C,),0)</f>
        <v>644.13</v>
      </c>
      <c r="E519" s="70" t="e">
        <f>SUMIF(#REF!,'Compilado 2023 (2)'!$B:$B,#REF!)</f>
        <v>#REF!</v>
      </c>
      <c r="F519" s="71">
        <v>0</v>
      </c>
      <c r="G519" s="70">
        <f ca="1">_xlfn.XLOOKUP(B:B,'E-mail'!A:A,'E-mail'!C:C)</f>
        <v>53.333333333333336</v>
      </c>
      <c r="H519" s="70">
        <f>IFERROR(_xlfn.XLOOKUP($B:$B,#REF!,#REF!),0)</f>
        <v>0</v>
      </c>
      <c r="I519" s="70">
        <v>0</v>
      </c>
      <c r="J519" s="70">
        <v>0</v>
      </c>
      <c r="K519" s="71">
        <v>0</v>
      </c>
      <c r="L519" s="59"/>
      <c r="M519" s="70">
        <v>0</v>
      </c>
      <c r="N519" s="70">
        <v>0</v>
      </c>
      <c r="O519" s="70">
        <v>0</v>
      </c>
      <c r="P519" s="38"/>
      <c r="Q519" s="40" t="s">
        <v>125</v>
      </c>
    </row>
    <row r="520" spans="1:17" s="2" customFormat="1" x14ac:dyDescent="0.2">
      <c r="A520" s="16" t="str">
        <f t="shared" si="16"/>
        <v>sexta-feira</v>
      </c>
      <c r="B520" s="17">
        <f t="shared" si="17"/>
        <v>45079</v>
      </c>
      <c r="C520" s="52">
        <f>IFERROR(_xlfn.XLOOKUP($B:$B,'Estatísticos Mensais'!$A:$A,'Estatísticos Mensais'!C:C),0)</f>
        <v>92678.05</v>
      </c>
      <c r="D520" s="69">
        <f>IFERROR(_xlfn.XLOOKUP($B:$B,Google!A:A,Google!C:C,),0)</f>
        <v>717.73</v>
      </c>
      <c r="E520" s="70" t="e">
        <f>SUMIF(#REF!,'Compilado 2023 (2)'!$B:$B,#REF!)</f>
        <v>#REF!</v>
      </c>
      <c r="F520" s="71">
        <v>0</v>
      </c>
      <c r="G520" s="70">
        <f ca="1">_xlfn.XLOOKUP(B:B,'E-mail'!A:A,'E-mail'!C:C)</f>
        <v>53.333333333333336</v>
      </c>
      <c r="H520" s="70">
        <f>IFERROR(_xlfn.XLOOKUP($B:$B,#REF!,#REF!),0)</f>
        <v>0</v>
      </c>
      <c r="I520" s="70">
        <v>0</v>
      </c>
      <c r="J520" s="70">
        <v>0</v>
      </c>
      <c r="K520" s="71">
        <v>0</v>
      </c>
      <c r="L520" s="59"/>
      <c r="M520" s="70">
        <v>0</v>
      </c>
      <c r="N520" s="70">
        <v>0</v>
      </c>
      <c r="O520" s="70">
        <v>0</v>
      </c>
      <c r="P520" s="38"/>
      <c r="Q520" s="40"/>
    </row>
    <row r="521" spans="1:17" s="2" customFormat="1" x14ac:dyDescent="0.2">
      <c r="A521" s="16" t="str">
        <f t="shared" si="16"/>
        <v>sábado</v>
      </c>
      <c r="B521" s="17">
        <f t="shared" si="17"/>
        <v>45080</v>
      </c>
      <c r="C521" s="52">
        <f>IFERROR(_xlfn.XLOOKUP($B:$B,'Estatísticos Mensais'!$A:$A,'Estatísticos Mensais'!C:C),0)</f>
        <v>46583.77</v>
      </c>
      <c r="D521" s="69">
        <f>IFERROR(_xlfn.XLOOKUP($B:$B,Google!A:A,Google!C:C,),0)</f>
        <v>804.5</v>
      </c>
      <c r="E521" s="70" t="e">
        <f>SUMIF(#REF!,'Compilado 2023 (2)'!$B:$B,#REF!)</f>
        <v>#REF!</v>
      </c>
      <c r="F521" s="71">
        <v>0</v>
      </c>
      <c r="G521" s="70">
        <f ca="1">_xlfn.XLOOKUP(B:B,'E-mail'!A:A,'E-mail'!C:C)</f>
        <v>53.333333333333336</v>
      </c>
      <c r="H521" s="70">
        <f>IFERROR(_xlfn.XLOOKUP($B:$B,#REF!,#REF!),0)</f>
        <v>0</v>
      </c>
      <c r="I521" s="70">
        <v>0</v>
      </c>
      <c r="J521" s="70">
        <v>0</v>
      </c>
      <c r="K521" s="71">
        <v>0</v>
      </c>
      <c r="L521" s="59"/>
      <c r="M521" s="70">
        <v>0</v>
      </c>
      <c r="N521" s="70">
        <v>0</v>
      </c>
      <c r="O521" s="70">
        <v>0</v>
      </c>
      <c r="P521" s="38"/>
      <c r="Q521" s="40"/>
    </row>
    <row r="522" spans="1:17" s="2" customFormat="1" x14ac:dyDescent="0.2">
      <c r="A522" s="16" t="str">
        <f t="shared" si="16"/>
        <v>domingo</v>
      </c>
      <c r="B522" s="17">
        <f t="shared" si="17"/>
        <v>45081</v>
      </c>
      <c r="C522" s="52">
        <f>IFERROR(_xlfn.XLOOKUP($B:$B,'Estatísticos Mensais'!$A:$A,'Estatísticos Mensais'!C:C),0)</f>
        <v>53461.599999999999</v>
      </c>
      <c r="D522" s="69">
        <f>IFERROR(_xlfn.XLOOKUP($B:$B,Google!A:A,Google!C:C,),0)</f>
        <v>740.84</v>
      </c>
      <c r="E522" s="70" t="e">
        <f>SUMIF(#REF!,'Compilado 2023 (2)'!$B:$B,#REF!)</f>
        <v>#REF!</v>
      </c>
      <c r="F522" s="71">
        <v>0</v>
      </c>
      <c r="G522" s="70">
        <f ca="1">_xlfn.XLOOKUP(B:B,'E-mail'!A:A,'E-mail'!C:C)</f>
        <v>53.333333333333336</v>
      </c>
      <c r="H522" s="70">
        <f>IFERROR(_xlfn.XLOOKUP($B:$B,#REF!,#REF!),0)</f>
        <v>0</v>
      </c>
      <c r="I522" s="70">
        <v>0</v>
      </c>
      <c r="J522" s="70">
        <v>0</v>
      </c>
      <c r="K522" s="71">
        <v>0</v>
      </c>
      <c r="L522" s="59"/>
      <c r="M522" s="70">
        <v>0</v>
      </c>
      <c r="N522" s="70">
        <v>0</v>
      </c>
      <c r="O522" s="70">
        <v>0</v>
      </c>
      <c r="P522" s="38"/>
      <c r="Q522" s="40"/>
    </row>
    <row r="523" spans="1:17" s="2" customFormat="1" x14ac:dyDescent="0.2">
      <c r="A523" s="16" t="str">
        <f t="shared" si="16"/>
        <v>segunda-feira</v>
      </c>
      <c r="B523" s="17">
        <f t="shared" si="17"/>
        <v>45082</v>
      </c>
      <c r="C523" s="52">
        <f>IFERROR(_xlfn.XLOOKUP($B:$B,'Estatísticos Mensais'!$A:$A,'Estatísticos Mensais'!C:C),0)</f>
        <v>108978.5</v>
      </c>
      <c r="D523" s="69">
        <f>IFERROR(_xlfn.XLOOKUP($B:$B,Google!A:A,Google!C:C,),0)</f>
        <v>1099.1300000000001</v>
      </c>
      <c r="E523" s="70" t="e">
        <f>SUMIF(#REF!,'Compilado 2023 (2)'!$B:$B,#REF!)</f>
        <v>#REF!</v>
      </c>
      <c r="F523" s="71">
        <v>0</v>
      </c>
      <c r="G523" s="70">
        <f ca="1">_xlfn.XLOOKUP(B:B,'E-mail'!A:A,'E-mail'!C:C)</f>
        <v>53.333333333333336</v>
      </c>
      <c r="H523" s="70">
        <f>IFERROR(_xlfn.XLOOKUP($B:$B,#REF!,#REF!),0)</f>
        <v>0</v>
      </c>
      <c r="I523" s="70">
        <v>0</v>
      </c>
      <c r="J523" s="70">
        <v>0</v>
      </c>
      <c r="K523" s="71">
        <v>0</v>
      </c>
      <c r="L523" s="59"/>
      <c r="M523" s="70">
        <v>0</v>
      </c>
      <c r="N523" s="70">
        <v>0</v>
      </c>
      <c r="O523" s="70">
        <v>0</v>
      </c>
      <c r="P523" s="38"/>
      <c r="Q523" s="40" t="s">
        <v>126</v>
      </c>
    </row>
    <row r="524" spans="1:17" s="2" customFormat="1" x14ac:dyDescent="0.2">
      <c r="A524" s="16" t="str">
        <f t="shared" si="16"/>
        <v>terça-feira</v>
      </c>
      <c r="B524" s="17">
        <f t="shared" si="17"/>
        <v>45083</v>
      </c>
      <c r="C524" s="52">
        <f>IFERROR(_xlfn.XLOOKUP($B:$B,'Estatísticos Mensais'!$A:$A,'Estatísticos Mensais'!C:C),0)</f>
        <v>110507.95</v>
      </c>
      <c r="D524" s="69">
        <f>IFERROR(_xlfn.XLOOKUP($B:$B,Google!A:A,Google!C:C,),0)</f>
        <v>1276.1600000000001</v>
      </c>
      <c r="E524" s="70" t="e">
        <f>SUMIF(#REF!,'Compilado 2023 (2)'!$B:$B,#REF!)</f>
        <v>#REF!</v>
      </c>
      <c r="F524" s="71">
        <v>0</v>
      </c>
      <c r="G524" s="70">
        <f ca="1">_xlfn.XLOOKUP(B:B,'E-mail'!A:A,'E-mail'!C:C)</f>
        <v>53.333333333333336</v>
      </c>
      <c r="H524" s="70">
        <f>IFERROR(_xlfn.XLOOKUP($B:$B,#REF!,#REF!),0)</f>
        <v>0</v>
      </c>
      <c r="I524" s="70">
        <v>0</v>
      </c>
      <c r="J524" s="70">
        <v>0</v>
      </c>
      <c r="K524" s="71">
        <v>0</v>
      </c>
      <c r="L524" s="59"/>
      <c r="M524" s="70">
        <v>0</v>
      </c>
      <c r="N524" s="70">
        <v>0</v>
      </c>
      <c r="O524" s="70">
        <v>0</v>
      </c>
      <c r="P524" s="38"/>
      <c r="Q524" s="40"/>
    </row>
    <row r="525" spans="1:17" s="2" customFormat="1" x14ac:dyDescent="0.2">
      <c r="A525" s="16" t="str">
        <f t="shared" si="16"/>
        <v>quarta-feira</v>
      </c>
      <c r="B525" s="17">
        <f t="shared" si="17"/>
        <v>45084</v>
      </c>
      <c r="C525" s="52">
        <f>IFERROR(_xlfn.XLOOKUP($B:$B,'Estatísticos Mensais'!$A:$A,'Estatísticos Mensais'!C:C),0)</f>
        <v>112268.97</v>
      </c>
      <c r="D525" s="69">
        <f>IFERROR(_xlfn.XLOOKUP($B:$B,Google!A:A,Google!C:C,),0)</f>
        <v>1472.66</v>
      </c>
      <c r="E525" s="70" t="e">
        <f>SUMIF(#REF!,'Compilado 2023 (2)'!$B:$B,#REF!)</f>
        <v>#REF!</v>
      </c>
      <c r="F525" s="71">
        <v>0</v>
      </c>
      <c r="G525" s="70">
        <f ca="1">_xlfn.XLOOKUP(B:B,'E-mail'!A:A,'E-mail'!C:C)</f>
        <v>53.333333333333336</v>
      </c>
      <c r="H525" s="70">
        <f>IFERROR(_xlfn.XLOOKUP($B:$B,#REF!,#REF!),0)</f>
        <v>0</v>
      </c>
      <c r="I525" s="70">
        <v>0</v>
      </c>
      <c r="J525" s="70">
        <v>0</v>
      </c>
      <c r="K525" s="71">
        <v>0</v>
      </c>
      <c r="L525" s="59"/>
      <c r="M525" s="70">
        <v>0</v>
      </c>
      <c r="N525" s="70">
        <v>0</v>
      </c>
      <c r="O525" s="70">
        <v>0</v>
      </c>
      <c r="P525" s="38"/>
      <c r="Q525" s="40"/>
    </row>
    <row r="526" spans="1:17" s="2" customFormat="1" x14ac:dyDescent="0.2">
      <c r="A526" s="16" t="str">
        <f t="shared" si="16"/>
        <v>quinta-feira</v>
      </c>
      <c r="B526" s="17">
        <f t="shared" si="17"/>
        <v>45085</v>
      </c>
      <c r="C526" s="52">
        <f>IFERROR(_xlfn.XLOOKUP($B:$B,'Estatísticos Mensais'!$A:$A,'Estatísticos Mensais'!C:C),0)</f>
        <v>89754.78</v>
      </c>
      <c r="D526" s="69">
        <f>IFERROR(_xlfn.XLOOKUP($B:$B,Google!A:A,Google!C:C,),0)</f>
        <v>1515.41</v>
      </c>
      <c r="E526" s="70" t="e">
        <f>SUMIF(#REF!,'Compilado 2023 (2)'!$B:$B,#REF!)</f>
        <v>#REF!</v>
      </c>
      <c r="F526" s="71">
        <v>0</v>
      </c>
      <c r="G526" s="70">
        <f ca="1">_xlfn.XLOOKUP(B:B,'E-mail'!A:A,'E-mail'!C:C)</f>
        <v>53.333333333333336</v>
      </c>
      <c r="H526" s="70">
        <f>IFERROR(_xlfn.XLOOKUP($B:$B,#REF!,#REF!),0)</f>
        <v>0</v>
      </c>
      <c r="I526" s="70">
        <v>0</v>
      </c>
      <c r="J526" s="70">
        <v>0</v>
      </c>
      <c r="K526" s="71">
        <v>0</v>
      </c>
      <c r="L526" s="59"/>
      <c r="M526" s="70">
        <v>0</v>
      </c>
      <c r="N526" s="70">
        <v>0</v>
      </c>
      <c r="O526" s="70">
        <v>0</v>
      </c>
      <c r="P526" s="38"/>
      <c r="Q526" s="40"/>
    </row>
    <row r="527" spans="1:17" s="2" customFormat="1" x14ac:dyDescent="0.2">
      <c r="A527" s="16" t="str">
        <f t="shared" si="16"/>
        <v>sexta-feira</v>
      </c>
      <c r="B527" s="17">
        <f t="shared" si="17"/>
        <v>45086</v>
      </c>
      <c r="C527" s="52">
        <f>IFERROR(_xlfn.XLOOKUP($B:$B,'Estatísticos Mensais'!$A:$A,'Estatísticos Mensais'!C:C),0)</f>
        <v>115721.65</v>
      </c>
      <c r="D527" s="69">
        <f>IFERROR(_xlfn.XLOOKUP($B:$B,Google!A:A,Google!C:C,),0)</f>
        <v>2148.1999999999998</v>
      </c>
      <c r="E527" s="70" t="e">
        <f>SUMIF(#REF!,'Compilado 2023 (2)'!$B:$B,#REF!)</f>
        <v>#REF!</v>
      </c>
      <c r="F527" s="71">
        <v>0</v>
      </c>
      <c r="G527" s="70">
        <f ca="1">_xlfn.XLOOKUP(B:B,'E-mail'!A:A,'E-mail'!C:C)</f>
        <v>53.333333333333336</v>
      </c>
      <c r="H527" s="70">
        <f>IFERROR(_xlfn.XLOOKUP($B:$B,#REF!,#REF!),0)</f>
        <v>0</v>
      </c>
      <c r="I527" s="70">
        <v>0</v>
      </c>
      <c r="J527" s="70">
        <v>0</v>
      </c>
      <c r="K527" s="71">
        <v>0</v>
      </c>
      <c r="L527" s="59"/>
      <c r="M527" s="70">
        <v>0</v>
      </c>
      <c r="N527" s="70">
        <v>0</v>
      </c>
      <c r="O527" s="70">
        <v>0</v>
      </c>
      <c r="P527" s="38"/>
      <c r="Q527" s="40"/>
    </row>
    <row r="528" spans="1:17" s="2" customFormat="1" x14ac:dyDescent="0.2">
      <c r="A528" s="16" t="str">
        <f t="shared" si="16"/>
        <v>sábado</v>
      </c>
      <c r="B528" s="17">
        <f t="shared" si="17"/>
        <v>45087</v>
      </c>
      <c r="C528" s="52">
        <f>IFERROR(_xlfn.XLOOKUP($B:$B,'Estatísticos Mensais'!$A:$A,'Estatísticos Mensais'!C:C),0)</f>
        <v>102909.64</v>
      </c>
      <c r="D528" s="69">
        <f>IFERROR(_xlfn.XLOOKUP($B:$B,Google!A:A,Google!C:C,),0)</f>
        <v>1565.7</v>
      </c>
      <c r="E528" s="70" t="e">
        <f>SUMIF(#REF!,'Compilado 2023 (2)'!$B:$B,#REF!)</f>
        <v>#REF!</v>
      </c>
      <c r="F528" s="71">
        <v>0</v>
      </c>
      <c r="G528" s="70">
        <f ca="1">_xlfn.XLOOKUP(B:B,'E-mail'!A:A,'E-mail'!C:C)</f>
        <v>53.333333333333336</v>
      </c>
      <c r="H528" s="70">
        <f>IFERROR(_xlfn.XLOOKUP($B:$B,#REF!,#REF!),0)</f>
        <v>0</v>
      </c>
      <c r="I528" s="70">
        <v>0</v>
      </c>
      <c r="J528" s="70">
        <v>0</v>
      </c>
      <c r="K528" s="71">
        <v>0</v>
      </c>
      <c r="L528" s="59"/>
      <c r="M528" s="70">
        <v>0</v>
      </c>
      <c r="N528" s="70">
        <v>0</v>
      </c>
      <c r="O528" s="70">
        <v>0</v>
      </c>
      <c r="P528" s="38"/>
      <c r="Q528" s="40"/>
    </row>
    <row r="529" spans="1:17" s="2" customFormat="1" x14ac:dyDescent="0.2">
      <c r="A529" s="16" t="str">
        <f t="shared" si="16"/>
        <v>domingo</v>
      </c>
      <c r="B529" s="17">
        <f t="shared" si="17"/>
        <v>45088</v>
      </c>
      <c r="C529" s="52">
        <f>IFERROR(_xlfn.XLOOKUP($B:$B,'Estatísticos Mensais'!$A:$A,'Estatísticos Mensais'!C:C),0)</f>
        <v>136501.45000000001</v>
      </c>
      <c r="D529" s="69">
        <f>IFERROR(_xlfn.XLOOKUP($B:$B,Google!A:A,Google!C:C,),0)</f>
        <v>1561.26</v>
      </c>
      <c r="E529" s="70" t="e">
        <f>SUMIF(#REF!,'Compilado 2023 (2)'!$B:$B,#REF!)</f>
        <v>#REF!</v>
      </c>
      <c r="F529" s="71">
        <v>0</v>
      </c>
      <c r="G529" s="70">
        <f ca="1">_xlfn.XLOOKUP(B:B,'E-mail'!A:A,'E-mail'!C:C)</f>
        <v>53.333333333333336</v>
      </c>
      <c r="H529" s="70">
        <f>IFERROR(_xlfn.XLOOKUP($B:$B,#REF!,#REF!),0)</f>
        <v>0</v>
      </c>
      <c r="I529" s="70">
        <v>0</v>
      </c>
      <c r="J529" s="70">
        <v>0</v>
      </c>
      <c r="K529" s="71">
        <v>0</v>
      </c>
      <c r="L529" s="59"/>
      <c r="M529" s="70">
        <v>0</v>
      </c>
      <c r="N529" s="70">
        <v>0</v>
      </c>
      <c r="O529" s="70">
        <v>0</v>
      </c>
      <c r="P529" s="38"/>
      <c r="Q529" s="40"/>
    </row>
    <row r="530" spans="1:17" s="2" customFormat="1" x14ac:dyDescent="0.2">
      <c r="A530" s="16" t="str">
        <f t="shared" si="16"/>
        <v>segunda-feira</v>
      </c>
      <c r="B530" s="17">
        <f t="shared" si="17"/>
        <v>45089</v>
      </c>
      <c r="C530" s="52">
        <f>IFERROR(_xlfn.XLOOKUP($B:$B,'Estatísticos Mensais'!$A:$A,'Estatísticos Mensais'!C:C),0)</f>
        <v>353104.17</v>
      </c>
      <c r="D530" s="69">
        <f>IFERROR(_xlfn.XLOOKUP($B:$B,Google!A:A,Google!C:C,),0)</f>
        <v>3859.45</v>
      </c>
      <c r="E530" s="70" t="e">
        <f>SUMIF(#REF!,'Compilado 2023 (2)'!$B:$B,#REF!)</f>
        <v>#REF!</v>
      </c>
      <c r="F530" s="71">
        <v>0</v>
      </c>
      <c r="G530" s="70">
        <f ca="1">_xlfn.XLOOKUP(B:B,'E-mail'!A:A,'E-mail'!C:C)</f>
        <v>53.333333333333336</v>
      </c>
      <c r="H530" s="70">
        <f>IFERROR(_xlfn.XLOOKUP($B:$B,#REF!,#REF!),0)</f>
        <v>0</v>
      </c>
      <c r="I530" s="70">
        <v>0</v>
      </c>
      <c r="J530" s="70">
        <v>0</v>
      </c>
      <c r="K530" s="71">
        <v>0</v>
      </c>
      <c r="L530" s="59"/>
      <c r="M530" s="70">
        <v>0</v>
      </c>
      <c r="N530" s="70">
        <v>0</v>
      </c>
      <c r="O530" s="70">
        <v>0</v>
      </c>
      <c r="P530" s="38"/>
      <c r="Q530" s="40" t="s">
        <v>127</v>
      </c>
    </row>
    <row r="531" spans="1:17" s="2" customFormat="1" x14ac:dyDescent="0.2">
      <c r="A531" s="16" t="str">
        <f t="shared" si="16"/>
        <v>terça-feira</v>
      </c>
      <c r="B531" s="17">
        <f t="shared" si="17"/>
        <v>45090</v>
      </c>
      <c r="C531" s="52">
        <f>IFERROR(_xlfn.XLOOKUP($B:$B,'Estatísticos Mensais'!$A:$A,'Estatísticos Mensais'!C:C),0)</f>
        <v>76630.16</v>
      </c>
      <c r="D531" s="69">
        <f>IFERROR(_xlfn.XLOOKUP($B:$B,Google!A:A,Google!C:C,),0)</f>
        <v>553.01</v>
      </c>
      <c r="E531" s="70" t="e">
        <f>SUMIF(#REF!,'Compilado 2023 (2)'!$B:$B,#REF!)</f>
        <v>#REF!</v>
      </c>
      <c r="F531" s="71">
        <v>0</v>
      </c>
      <c r="G531" s="70">
        <f ca="1">_xlfn.XLOOKUP(B:B,'E-mail'!A:A,'E-mail'!C:C)</f>
        <v>53.333333333333336</v>
      </c>
      <c r="H531" s="70">
        <f>IFERROR(_xlfn.XLOOKUP($B:$B,#REF!,#REF!),0)</f>
        <v>0</v>
      </c>
      <c r="I531" s="70">
        <v>0</v>
      </c>
      <c r="J531" s="70">
        <v>0</v>
      </c>
      <c r="K531" s="71">
        <v>0</v>
      </c>
      <c r="L531" s="59"/>
      <c r="M531" s="70">
        <v>0</v>
      </c>
      <c r="N531" s="70">
        <v>0</v>
      </c>
      <c r="O531" s="70">
        <v>0</v>
      </c>
      <c r="P531" s="38"/>
      <c r="Q531" s="40" t="s">
        <v>128</v>
      </c>
    </row>
    <row r="532" spans="1:17" s="2" customFormat="1" x14ac:dyDescent="0.2">
      <c r="A532" s="16" t="str">
        <f t="shared" si="16"/>
        <v>quarta-feira</v>
      </c>
      <c r="B532" s="17">
        <f t="shared" si="17"/>
        <v>45091</v>
      </c>
      <c r="C532" s="52">
        <f>IFERROR(_xlfn.XLOOKUP($B:$B,'Estatísticos Mensais'!$A:$A,'Estatísticos Mensais'!C:C),0)</f>
        <v>62634.73</v>
      </c>
      <c r="D532" s="69">
        <f>IFERROR(_xlfn.XLOOKUP($B:$B,Google!A:A,Google!C:C,),0)</f>
        <v>576.76</v>
      </c>
      <c r="E532" s="70" t="e">
        <f>SUMIF(#REF!,'Compilado 2023 (2)'!$B:$B,#REF!)</f>
        <v>#REF!</v>
      </c>
      <c r="F532" s="71">
        <v>0</v>
      </c>
      <c r="G532" s="70">
        <f ca="1">_xlfn.XLOOKUP(B:B,'E-mail'!A:A,'E-mail'!C:C)</f>
        <v>53.333333333333336</v>
      </c>
      <c r="H532" s="70">
        <f>IFERROR(_xlfn.XLOOKUP($B:$B,#REF!,#REF!),0)</f>
        <v>0</v>
      </c>
      <c r="I532" s="70">
        <v>0</v>
      </c>
      <c r="J532" s="70">
        <v>0</v>
      </c>
      <c r="K532" s="71">
        <v>0</v>
      </c>
      <c r="L532" s="59"/>
      <c r="M532" s="70">
        <v>0</v>
      </c>
      <c r="N532" s="70">
        <v>0</v>
      </c>
      <c r="O532" s="70">
        <v>0</v>
      </c>
      <c r="P532" s="38"/>
      <c r="Q532" s="40"/>
    </row>
    <row r="533" spans="1:17" s="2" customFormat="1" x14ac:dyDescent="0.2">
      <c r="A533" s="16" t="str">
        <f t="shared" si="16"/>
        <v>quinta-feira</v>
      </c>
      <c r="B533" s="17">
        <f t="shared" si="17"/>
        <v>45092</v>
      </c>
      <c r="C533" s="52">
        <f>IFERROR(_xlfn.XLOOKUP($B:$B,'Estatísticos Mensais'!$A:$A,'Estatísticos Mensais'!C:C),0)</f>
        <v>61901.54</v>
      </c>
      <c r="D533" s="69">
        <f>IFERROR(_xlfn.XLOOKUP($B:$B,Google!A:A,Google!C:C,),0)</f>
        <v>615.70000000000005</v>
      </c>
      <c r="E533" s="70" t="e">
        <f>SUMIF(#REF!,'Compilado 2023 (2)'!$B:$B,#REF!)</f>
        <v>#REF!</v>
      </c>
      <c r="F533" s="71">
        <v>0</v>
      </c>
      <c r="G533" s="70">
        <f ca="1">_xlfn.XLOOKUP(B:B,'E-mail'!A:A,'E-mail'!C:C)</f>
        <v>53.333333333333336</v>
      </c>
      <c r="H533" s="70">
        <f>IFERROR(_xlfn.XLOOKUP($B:$B,#REF!,#REF!),0)</f>
        <v>0</v>
      </c>
      <c r="I533" s="70">
        <v>0</v>
      </c>
      <c r="J533" s="70">
        <v>0</v>
      </c>
      <c r="K533" s="71">
        <v>0</v>
      </c>
      <c r="L533" s="59"/>
      <c r="M533" s="70">
        <v>0</v>
      </c>
      <c r="N533" s="70">
        <v>0</v>
      </c>
      <c r="O533" s="70">
        <v>0</v>
      </c>
      <c r="P533" s="38"/>
      <c r="Q533" s="40"/>
    </row>
    <row r="534" spans="1:17" s="2" customFormat="1" x14ac:dyDescent="0.2">
      <c r="A534" s="16" t="str">
        <f t="shared" si="16"/>
        <v>sexta-feira</v>
      </c>
      <c r="B534" s="17">
        <f t="shared" si="17"/>
        <v>45093</v>
      </c>
      <c r="C534" s="52">
        <f>IFERROR(_xlfn.XLOOKUP($B:$B,'Estatísticos Mensais'!$A:$A,'Estatísticos Mensais'!C:C),0)</f>
        <v>66215.08</v>
      </c>
      <c r="D534" s="69">
        <f>IFERROR(_xlfn.XLOOKUP($B:$B,Google!A:A,Google!C:C,),0)</f>
        <v>544.71</v>
      </c>
      <c r="E534" s="70" t="e">
        <f>SUMIF(#REF!,'Compilado 2023 (2)'!$B:$B,#REF!)</f>
        <v>#REF!</v>
      </c>
      <c r="F534" s="71">
        <v>0</v>
      </c>
      <c r="G534" s="70">
        <f ca="1">_xlfn.XLOOKUP(B:B,'E-mail'!A:A,'E-mail'!C:C)</f>
        <v>53.333333333333336</v>
      </c>
      <c r="H534" s="70">
        <f>IFERROR(_xlfn.XLOOKUP($B:$B,#REF!,#REF!),0)</f>
        <v>0</v>
      </c>
      <c r="I534" s="70">
        <v>0</v>
      </c>
      <c r="J534" s="70">
        <v>0</v>
      </c>
      <c r="K534" s="71">
        <v>0</v>
      </c>
      <c r="L534" s="59"/>
      <c r="M534" s="70">
        <v>0</v>
      </c>
      <c r="N534" s="70">
        <v>0</v>
      </c>
      <c r="O534" s="70">
        <v>0</v>
      </c>
      <c r="P534" s="38"/>
      <c r="Q534" s="40"/>
    </row>
    <row r="535" spans="1:17" s="2" customFormat="1" x14ac:dyDescent="0.2">
      <c r="A535" s="16" t="str">
        <f t="shared" si="16"/>
        <v>sábado</v>
      </c>
      <c r="B535" s="17">
        <f t="shared" si="17"/>
        <v>45094</v>
      </c>
      <c r="C535" s="52">
        <f>IFERROR(_xlfn.XLOOKUP($B:$B,'Estatísticos Mensais'!$A:$A,'Estatísticos Mensais'!C:C),0)</f>
        <v>38195.82</v>
      </c>
      <c r="D535" s="69">
        <f>IFERROR(_xlfn.XLOOKUP($B:$B,Google!A:A,Google!C:C,),0)</f>
        <v>417.07</v>
      </c>
      <c r="E535" s="70" t="e">
        <f>SUMIF(#REF!,'Compilado 2023 (2)'!$B:$B,#REF!)</f>
        <v>#REF!</v>
      </c>
      <c r="F535" s="71">
        <v>0</v>
      </c>
      <c r="G535" s="70">
        <f ca="1">_xlfn.XLOOKUP(B:B,'E-mail'!A:A,'E-mail'!C:C)</f>
        <v>53.333333333333336</v>
      </c>
      <c r="H535" s="70">
        <f>IFERROR(_xlfn.XLOOKUP($B:$B,#REF!,#REF!),0)</f>
        <v>0</v>
      </c>
      <c r="I535" s="70">
        <v>0</v>
      </c>
      <c r="J535" s="70">
        <v>0</v>
      </c>
      <c r="K535" s="71">
        <v>0</v>
      </c>
      <c r="L535" s="59"/>
      <c r="M535" s="70">
        <v>0</v>
      </c>
      <c r="N535" s="70">
        <v>0</v>
      </c>
      <c r="O535" s="70">
        <v>0</v>
      </c>
      <c r="P535" s="38"/>
      <c r="Q535" s="40"/>
    </row>
    <row r="536" spans="1:17" s="2" customFormat="1" x14ac:dyDescent="0.2">
      <c r="A536" s="16" t="str">
        <f t="shared" si="16"/>
        <v>domingo</v>
      </c>
      <c r="B536" s="17">
        <f t="shared" si="17"/>
        <v>45095</v>
      </c>
      <c r="C536" s="52">
        <f>IFERROR(_xlfn.XLOOKUP($B:$B,'Estatísticos Mensais'!$A:$A,'Estatísticos Mensais'!C:C),0)</f>
        <v>30682.55</v>
      </c>
      <c r="D536" s="69">
        <f>IFERROR(_xlfn.XLOOKUP($B:$B,Google!A:A,Google!C:C,),0)</f>
        <v>494.97</v>
      </c>
      <c r="E536" s="70" t="e">
        <f>SUMIF(#REF!,'Compilado 2023 (2)'!$B:$B,#REF!)</f>
        <v>#REF!</v>
      </c>
      <c r="F536" s="71">
        <v>0</v>
      </c>
      <c r="G536" s="70">
        <f ca="1">_xlfn.XLOOKUP(B:B,'E-mail'!A:A,'E-mail'!C:C)</f>
        <v>53.333333333333336</v>
      </c>
      <c r="H536" s="70">
        <f>IFERROR(_xlfn.XLOOKUP($B:$B,#REF!,#REF!),0)</f>
        <v>0</v>
      </c>
      <c r="I536" s="70">
        <v>0</v>
      </c>
      <c r="J536" s="70">
        <v>0</v>
      </c>
      <c r="K536" s="71">
        <v>0</v>
      </c>
      <c r="L536" s="59"/>
      <c r="M536" s="70">
        <v>0</v>
      </c>
      <c r="N536" s="70">
        <v>0</v>
      </c>
      <c r="O536" s="70">
        <v>0</v>
      </c>
      <c r="P536" s="38"/>
      <c r="Q536" s="40" t="s">
        <v>129</v>
      </c>
    </row>
    <row r="537" spans="1:17" s="2" customFormat="1" x14ac:dyDescent="0.2">
      <c r="A537" s="16" t="str">
        <f t="shared" si="16"/>
        <v>segunda-feira</v>
      </c>
      <c r="B537" s="17">
        <f t="shared" si="17"/>
        <v>45096</v>
      </c>
      <c r="C537" s="52">
        <f>IFERROR(_xlfn.XLOOKUP($B:$B,'Estatísticos Mensais'!$A:$A,'Estatísticos Mensais'!C:C),0)</f>
        <v>53247.97</v>
      </c>
      <c r="D537" s="69">
        <f>IFERROR(_xlfn.XLOOKUP($B:$B,Google!A:A,Google!C:C,),0)</f>
        <v>396.89</v>
      </c>
      <c r="E537" s="70" t="e">
        <f>SUMIF(#REF!,'Compilado 2023 (2)'!$B:$B,#REF!)</f>
        <v>#REF!</v>
      </c>
      <c r="F537" s="71">
        <v>0</v>
      </c>
      <c r="G537" s="70">
        <f ca="1">_xlfn.XLOOKUP(B:B,'E-mail'!A:A,'E-mail'!C:C)</f>
        <v>53.333333333333336</v>
      </c>
      <c r="H537" s="70">
        <f>IFERROR(_xlfn.XLOOKUP($B:$B,#REF!,#REF!),0)</f>
        <v>0</v>
      </c>
      <c r="I537" s="70">
        <v>0</v>
      </c>
      <c r="J537" s="70">
        <v>0</v>
      </c>
      <c r="K537" s="71">
        <v>0</v>
      </c>
      <c r="L537" s="59"/>
      <c r="M537" s="70">
        <v>0</v>
      </c>
      <c r="N537" s="70">
        <v>0</v>
      </c>
      <c r="O537" s="70">
        <v>0</v>
      </c>
      <c r="P537" s="38"/>
      <c r="Q537" s="40"/>
    </row>
    <row r="538" spans="1:17" s="2" customFormat="1" x14ac:dyDescent="0.2">
      <c r="A538" s="16" t="str">
        <f t="shared" si="16"/>
        <v>terça-feira</v>
      </c>
      <c r="B538" s="17">
        <f t="shared" si="17"/>
        <v>45097</v>
      </c>
      <c r="C538" s="52">
        <f>IFERROR(_xlfn.XLOOKUP($B:$B,'Estatísticos Mensais'!$A:$A,'Estatísticos Mensais'!C:C),0)</f>
        <v>65109.03</v>
      </c>
      <c r="D538" s="69">
        <f>IFERROR(_xlfn.XLOOKUP($B:$B,Google!A:A,Google!C:C,),0)</f>
        <v>430.55</v>
      </c>
      <c r="E538" s="70" t="e">
        <f>SUMIF(#REF!,'Compilado 2023 (2)'!$B:$B,#REF!)</f>
        <v>#REF!</v>
      </c>
      <c r="F538" s="71">
        <v>0</v>
      </c>
      <c r="G538" s="70">
        <f ca="1">_xlfn.XLOOKUP(B:B,'E-mail'!A:A,'E-mail'!C:C)</f>
        <v>53.333333333333336</v>
      </c>
      <c r="H538" s="70">
        <f>IFERROR(_xlfn.XLOOKUP($B:$B,#REF!,#REF!),0)</f>
        <v>0</v>
      </c>
      <c r="I538" s="70">
        <v>0</v>
      </c>
      <c r="J538" s="70">
        <v>0</v>
      </c>
      <c r="K538" s="71">
        <v>0</v>
      </c>
      <c r="L538" s="59"/>
      <c r="M538" s="70">
        <v>0</v>
      </c>
      <c r="N538" s="70">
        <v>0</v>
      </c>
      <c r="O538" s="70">
        <v>0</v>
      </c>
      <c r="P538" s="38"/>
      <c r="Q538" s="40"/>
    </row>
    <row r="539" spans="1:17" s="2" customFormat="1" x14ac:dyDescent="0.2">
      <c r="A539" s="16" t="str">
        <f t="shared" si="16"/>
        <v>quarta-feira</v>
      </c>
      <c r="B539" s="17">
        <f t="shared" si="17"/>
        <v>45098</v>
      </c>
      <c r="C539" s="52">
        <f>IFERROR(_xlfn.XLOOKUP($B:$B,'Estatísticos Mensais'!$A:$A,'Estatísticos Mensais'!C:C),0)</f>
        <v>53562.32</v>
      </c>
      <c r="D539" s="69">
        <f>IFERROR(_xlfn.XLOOKUP($B:$B,Google!A:A,Google!C:C,),0)</f>
        <v>454.33</v>
      </c>
      <c r="E539" s="70" t="e">
        <f>SUMIF(#REF!,'Compilado 2023 (2)'!$B:$B,#REF!)</f>
        <v>#REF!</v>
      </c>
      <c r="F539" s="71">
        <v>0</v>
      </c>
      <c r="G539" s="70">
        <f ca="1">_xlfn.XLOOKUP(B:B,'E-mail'!A:A,'E-mail'!C:C)</f>
        <v>53.333333333333336</v>
      </c>
      <c r="H539" s="70">
        <f>IFERROR(_xlfn.XLOOKUP($B:$B,#REF!,#REF!),0)</f>
        <v>0</v>
      </c>
      <c r="I539" s="70">
        <v>0</v>
      </c>
      <c r="J539" s="70">
        <v>0</v>
      </c>
      <c r="K539" s="71">
        <v>0</v>
      </c>
      <c r="L539" s="59"/>
      <c r="M539" s="70">
        <v>0</v>
      </c>
      <c r="N539" s="70">
        <v>0</v>
      </c>
      <c r="O539" s="70">
        <v>0</v>
      </c>
      <c r="P539" s="38"/>
      <c r="Q539" s="40" t="s">
        <v>130</v>
      </c>
    </row>
    <row r="540" spans="1:17" s="2" customFormat="1" x14ac:dyDescent="0.2">
      <c r="A540" s="16" t="str">
        <f t="shared" si="16"/>
        <v>quinta-feira</v>
      </c>
      <c r="B540" s="17">
        <f t="shared" si="17"/>
        <v>45099</v>
      </c>
      <c r="C540" s="52">
        <f>IFERROR(_xlfn.XLOOKUP($B:$B,'Estatísticos Mensais'!$A:$A,'Estatísticos Mensais'!C:C),0)</f>
        <v>56609.27</v>
      </c>
      <c r="D540" s="69">
        <f>IFERROR(_xlfn.XLOOKUP($B:$B,Google!A:A,Google!C:C,),0)</f>
        <v>474.16</v>
      </c>
      <c r="E540" s="70" t="e">
        <f>SUMIF(#REF!,'Compilado 2023 (2)'!$B:$B,#REF!)</f>
        <v>#REF!</v>
      </c>
      <c r="F540" s="71">
        <v>0</v>
      </c>
      <c r="G540" s="70">
        <f ca="1">_xlfn.XLOOKUP(B:B,'E-mail'!A:A,'E-mail'!C:C)</f>
        <v>53.333333333333336</v>
      </c>
      <c r="H540" s="70">
        <f>IFERROR(_xlfn.XLOOKUP($B:$B,#REF!,#REF!),0)</f>
        <v>0</v>
      </c>
      <c r="I540" s="70">
        <v>0</v>
      </c>
      <c r="J540" s="70">
        <v>0</v>
      </c>
      <c r="K540" s="71">
        <v>0</v>
      </c>
      <c r="L540" s="59"/>
      <c r="M540" s="70">
        <v>0</v>
      </c>
      <c r="N540" s="70">
        <v>0</v>
      </c>
      <c r="O540" s="70">
        <v>0</v>
      </c>
      <c r="P540" s="38"/>
      <c r="Q540" s="40"/>
    </row>
    <row r="541" spans="1:17" s="2" customFormat="1" x14ac:dyDescent="0.2">
      <c r="A541" s="16" t="str">
        <f t="shared" si="16"/>
        <v>sexta-feira</v>
      </c>
      <c r="B541" s="17">
        <f t="shared" si="17"/>
        <v>45100</v>
      </c>
      <c r="C541" s="52">
        <f>IFERROR(_xlfn.XLOOKUP($B:$B,'Estatísticos Mensais'!$A:$A,'Estatísticos Mensais'!C:C),0)</f>
        <v>55563.08</v>
      </c>
      <c r="D541" s="69">
        <f>IFERROR(_xlfn.XLOOKUP($B:$B,Google!A:A,Google!C:C,),0)</f>
        <v>441.79</v>
      </c>
      <c r="E541" s="70" t="e">
        <f>SUMIF(#REF!,'Compilado 2023 (2)'!$B:$B,#REF!)</f>
        <v>#REF!</v>
      </c>
      <c r="F541" s="71">
        <v>0</v>
      </c>
      <c r="G541" s="70">
        <f ca="1">_xlfn.XLOOKUP(B:B,'E-mail'!A:A,'E-mail'!C:C)</f>
        <v>53.333333333333336</v>
      </c>
      <c r="H541" s="70">
        <f>IFERROR(_xlfn.XLOOKUP($B:$B,#REF!,#REF!),0)</f>
        <v>0</v>
      </c>
      <c r="I541" s="70">
        <v>0</v>
      </c>
      <c r="J541" s="70">
        <v>0</v>
      </c>
      <c r="K541" s="71">
        <v>0</v>
      </c>
      <c r="L541" s="59"/>
      <c r="M541" s="70">
        <v>0</v>
      </c>
      <c r="N541" s="70">
        <v>0</v>
      </c>
      <c r="O541" s="70">
        <v>0</v>
      </c>
      <c r="P541" s="38"/>
      <c r="Q541" s="40"/>
    </row>
    <row r="542" spans="1:17" s="2" customFormat="1" x14ac:dyDescent="0.2">
      <c r="A542" s="16" t="str">
        <f t="shared" si="16"/>
        <v>sábado</v>
      </c>
      <c r="B542" s="17">
        <f t="shared" si="17"/>
        <v>45101</v>
      </c>
      <c r="C542" s="52">
        <f>IFERROR(_xlfn.XLOOKUP($B:$B,'Estatísticos Mensais'!$A:$A,'Estatísticos Mensais'!C:C),0)</f>
        <v>31017.65</v>
      </c>
      <c r="D542" s="69">
        <f>IFERROR(_xlfn.XLOOKUP($B:$B,Google!A:A,Google!C:C,),0)</f>
        <v>372.46</v>
      </c>
      <c r="E542" s="70" t="e">
        <f>SUMIF(#REF!,'Compilado 2023 (2)'!$B:$B,#REF!)</f>
        <v>#REF!</v>
      </c>
      <c r="F542" s="71">
        <v>0</v>
      </c>
      <c r="G542" s="70">
        <f ca="1">_xlfn.XLOOKUP(B:B,'E-mail'!A:A,'E-mail'!C:C)</f>
        <v>53.333333333333336</v>
      </c>
      <c r="H542" s="70">
        <f>IFERROR(_xlfn.XLOOKUP($B:$B,#REF!,#REF!),0)</f>
        <v>0</v>
      </c>
      <c r="I542" s="70">
        <v>0</v>
      </c>
      <c r="J542" s="70">
        <v>0</v>
      </c>
      <c r="K542" s="71">
        <v>0</v>
      </c>
      <c r="L542" s="59"/>
      <c r="M542" s="70">
        <v>0</v>
      </c>
      <c r="N542" s="70">
        <v>0</v>
      </c>
      <c r="O542" s="70">
        <v>0</v>
      </c>
      <c r="P542" s="38"/>
      <c r="Q542" s="40"/>
    </row>
    <row r="543" spans="1:17" s="2" customFormat="1" x14ac:dyDescent="0.2">
      <c r="A543" s="16" t="str">
        <f t="shared" si="16"/>
        <v>domingo</v>
      </c>
      <c r="B543" s="17">
        <f t="shared" si="17"/>
        <v>45102</v>
      </c>
      <c r="C543" s="52">
        <f>IFERROR(_xlfn.XLOOKUP($B:$B,'Estatísticos Mensais'!$A:$A,'Estatísticos Mensais'!C:C),0)</f>
        <v>24508.92</v>
      </c>
      <c r="D543" s="69">
        <f>IFERROR(_xlfn.XLOOKUP($B:$B,Google!A:A,Google!C:C,),0)</f>
        <v>391.29</v>
      </c>
      <c r="E543" s="70" t="e">
        <f>SUMIF(#REF!,'Compilado 2023 (2)'!$B:$B,#REF!)</f>
        <v>#REF!</v>
      </c>
      <c r="F543" s="71">
        <v>0</v>
      </c>
      <c r="G543" s="70">
        <f ca="1">_xlfn.XLOOKUP(B:B,'E-mail'!A:A,'E-mail'!C:C)</f>
        <v>53.333333333333336</v>
      </c>
      <c r="H543" s="70">
        <f>IFERROR(_xlfn.XLOOKUP($B:$B,#REF!,#REF!),0)</f>
        <v>0</v>
      </c>
      <c r="I543" s="70">
        <v>0</v>
      </c>
      <c r="J543" s="70">
        <v>0</v>
      </c>
      <c r="K543" s="71">
        <v>0</v>
      </c>
      <c r="L543" s="59"/>
      <c r="M543" s="70">
        <v>0</v>
      </c>
      <c r="N543" s="70">
        <v>0</v>
      </c>
      <c r="O543" s="70">
        <v>0</v>
      </c>
      <c r="P543" s="38"/>
      <c r="Q543" s="40"/>
    </row>
    <row r="544" spans="1:17" s="2" customFormat="1" x14ac:dyDescent="0.2">
      <c r="A544" s="16" t="str">
        <f t="shared" si="16"/>
        <v>segunda-feira</v>
      </c>
      <c r="B544" s="17">
        <f t="shared" si="17"/>
        <v>45103</v>
      </c>
      <c r="C544" s="52">
        <f>IFERROR(_xlfn.XLOOKUP($B:$B,'Estatísticos Mensais'!$A:$A,'Estatísticos Mensais'!C:C),0)</f>
        <v>116688.49</v>
      </c>
      <c r="D544" s="69">
        <f>IFERROR(_xlfn.XLOOKUP($B:$B,Google!A:A,Google!C:C,),0)</f>
        <v>636.51</v>
      </c>
      <c r="E544" s="70" t="e">
        <f>SUMIF(#REF!,'Compilado 2023 (2)'!$B:$B,#REF!)</f>
        <v>#REF!</v>
      </c>
      <c r="F544" s="71">
        <v>0</v>
      </c>
      <c r="G544" s="70">
        <f ca="1">_xlfn.XLOOKUP(B:B,'E-mail'!A:A,'E-mail'!C:C)</f>
        <v>53.333333333333336</v>
      </c>
      <c r="H544" s="70">
        <f>IFERROR(_xlfn.XLOOKUP($B:$B,#REF!,#REF!),0)</f>
        <v>0</v>
      </c>
      <c r="I544" s="70">
        <v>0</v>
      </c>
      <c r="J544" s="70">
        <v>0</v>
      </c>
      <c r="K544" s="71">
        <v>0</v>
      </c>
      <c r="L544" s="59"/>
      <c r="M544" s="70">
        <v>0</v>
      </c>
      <c r="N544" s="70">
        <v>0</v>
      </c>
      <c r="O544" s="70">
        <v>0</v>
      </c>
      <c r="P544" s="38"/>
      <c r="Q544" s="40" t="s">
        <v>131</v>
      </c>
    </row>
    <row r="545" spans="1:17" s="2" customFormat="1" x14ac:dyDescent="0.2">
      <c r="A545" s="16" t="str">
        <f t="shared" si="16"/>
        <v>terça-feira</v>
      </c>
      <c r="B545" s="17">
        <f t="shared" si="17"/>
        <v>45104</v>
      </c>
      <c r="C545" s="52">
        <f>IFERROR(_xlfn.XLOOKUP($B:$B,'Estatísticos Mensais'!$A:$A,'Estatísticos Mensais'!C:C),0)</f>
        <v>105795.52</v>
      </c>
      <c r="D545" s="69">
        <f>IFERROR(_xlfn.XLOOKUP($B:$B,Google!A:A,Google!C:C,),0)</f>
        <v>558.16999999999996</v>
      </c>
      <c r="E545" s="70" t="e">
        <f>SUMIF(#REF!,'Compilado 2023 (2)'!$B:$B,#REF!)</f>
        <v>#REF!</v>
      </c>
      <c r="F545" s="71">
        <v>0</v>
      </c>
      <c r="G545" s="70">
        <f ca="1">_xlfn.XLOOKUP(B:B,'E-mail'!A:A,'E-mail'!C:C)</f>
        <v>53.333333333333336</v>
      </c>
      <c r="H545" s="70">
        <f>IFERROR(_xlfn.XLOOKUP($B:$B,#REF!,#REF!),0)</f>
        <v>0</v>
      </c>
      <c r="I545" s="70">
        <v>0</v>
      </c>
      <c r="J545" s="70">
        <v>0</v>
      </c>
      <c r="K545" s="71">
        <v>0</v>
      </c>
      <c r="L545" s="59"/>
      <c r="M545" s="70">
        <v>0</v>
      </c>
      <c r="N545" s="70">
        <v>0</v>
      </c>
      <c r="O545" s="70">
        <v>0</v>
      </c>
      <c r="P545" s="38"/>
      <c r="Q545" s="40" t="s">
        <v>132</v>
      </c>
    </row>
    <row r="546" spans="1:17" s="2" customFormat="1" x14ac:dyDescent="0.2">
      <c r="A546" s="16" t="str">
        <f t="shared" si="16"/>
        <v>quarta-feira</v>
      </c>
      <c r="B546" s="17">
        <f t="shared" si="17"/>
        <v>45105</v>
      </c>
      <c r="C546" s="52">
        <f>IFERROR(_xlfn.XLOOKUP($B:$B,'Estatísticos Mensais'!$A:$A,'Estatísticos Mensais'!C:C),0)</f>
        <v>68415.91</v>
      </c>
      <c r="D546" s="69">
        <f>IFERROR(_xlfn.XLOOKUP($B:$B,Google!A:A,Google!C:C,),0)</f>
        <v>617.79</v>
      </c>
      <c r="E546" s="70" t="e">
        <f>SUMIF(#REF!,'Compilado 2023 (2)'!$B:$B,#REF!)</f>
        <v>#REF!</v>
      </c>
      <c r="F546" s="71">
        <v>0</v>
      </c>
      <c r="G546" s="70">
        <f ca="1">_xlfn.XLOOKUP(B:B,'E-mail'!A:A,'E-mail'!C:C)</f>
        <v>53.333333333333336</v>
      </c>
      <c r="H546" s="70">
        <f>IFERROR(_xlfn.XLOOKUP($B:$B,#REF!,#REF!),0)</f>
        <v>0</v>
      </c>
      <c r="I546" s="70">
        <v>0</v>
      </c>
      <c r="J546" s="70">
        <v>0</v>
      </c>
      <c r="K546" s="71">
        <v>0</v>
      </c>
      <c r="L546" s="59"/>
      <c r="M546" s="70">
        <v>0</v>
      </c>
      <c r="N546" s="70">
        <v>0</v>
      </c>
      <c r="O546" s="70">
        <v>0</v>
      </c>
      <c r="P546" s="38"/>
      <c r="Q546" s="40" t="s">
        <v>133</v>
      </c>
    </row>
    <row r="547" spans="1:17" s="2" customFormat="1" x14ac:dyDescent="0.2">
      <c r="A547" s="16" t="str">
        <f t="shared" si="16"/>
        <v>quinta-feira</v>
      </c>
      <c r="B547" s="17">
        <f t="shared" si="17"/>
        <v>45106</v>
      </c>
      <c r="C547" s="52">
        <f>IFERROR(_xlfn.XLOOKUP($B:$B,'Estatísticos Mensais'!$A:$A,'Estatísticos Mensais'!C:C),0)</f>
        <v>72434.87</v>
      </c>
      <c r="D547" s="69">
        <f>IFERROR(_xlfn.XLOOKUP($B:$B,Google!A:A,Google!C:C,),0)</f>
        <v>602.17999999999995</v>
      </c>
      <c r="E547" s="70" t="e">
        <f>SUMIF(#REF!,'Compilado 2023 (2)'!$B:$B,#REF!)</f>
        <v>#REF!</v>
      </c>
      <c r="F547" s="71">
        <v>0</v>
      </c>
      <c r="G547" s="70">
        <f ca="1">_xlfn.XLOOKUP(B:B,'E-mail'!A:A,'E-mail'!C:C)</f>
        <v>53.333333333333336</v>
      </c>
      <c r="H547" s="70">
        <f>IFERROR(_xlfn.XLOOKUP($B:$B,#REF!,#REF!),0)</f>
        <v>0</v>
      </c>
      <c r="I547" s="70">
        <v>0</v>
      </c>
      <c r="J547" s="70">
        <v>0</v>
      </c>
      <c r="K547" s="71">
        <v>0</v>
      </c>
      <c r="L547" s="59"/>
      <c r="M547" s="70">
        <v>0</v>
      </c>
      <c r="N547" s="70">
        <v>0</v>
      </c>
      <c r="O547" s="70">
        <v>0</v>
      </c>
      <c r="P547" s="38"/>
      <c r="Q547" s="40" t="s">
        <v>134</v>
      </c>
    </row>
    <row r="548" spans="1:17" s="2" customFormat="1" x14ac:dyDescent="0.2">
      <c r="A548" s="16" t="str">
        <f t="shared" si="16"/>
        <v>sexta-feira</v>
      </c>
      <c r="B548" s="17">
        <f t="shared" si="17"/>
        <v>45107</v>
      </c>
      <c r="C548" s="52">
        <f>IFERROR(_xlfn.XLOOKUP($B:$B,'Estatísticos Mensais'!$A:$A,'Estatísticos Mensais'!C:C),0)</f>
        <v>95968.51</v>
      </c>
      <c r="D548" s="69">
        <f>IFERROR(_xlfn.XLOOKUP($B:$B,Google!A:A,Google!C:C,),0)</f>
        <v>464.24</v>
      </c>
      <c r="E548" s="70" t="e">
        <f>SUMIF(#REF!,'Compilado 2023 (2)'!$B:$B,#REF!)</f>
        <v>#REF!</v>
      </c>
      <c r="F548" s="71">
        <v>0</v>
      </c>
      <c r="G548" s="70">
        <f ca="1">_xlfn.XLOOKUP(B:B,'E-mail'!A:A,'E-mail'!C:C)</f>
        <v>53.333333333333336</v>
      </c>
      <c r="H548" s="70">
        <f>IFERROR(_xlfn.XLOOKUP($B:$B,#REF!,#REF!),0)</f>
        <v>0</v>
      </c>
      <c r="I548" s="70">
        <v>0</v>
      </c>
      <c r="J548" s="70">
        <v>0</v>
      </c>
      <c r="K548" s="71">
        <v>0</v>
      </c>
      <c r="L548" s="59"/>
      <c r="M548" s="70">
        <v>0</v>
      </c>
      <c r="N548" s="70">
        <v>0</v>
      </c>
      <c r="O548" s="70">
        <v>0</v>
      </c>
      <c r="P548" s="38"/>
      <c r="Q548" s="40"/>
    </row>
    <row r="549" spans="1:17" s="2" customFormat="1" x14ac:dyDescent="0.2">
      <c r="A549" s="16" t="str">
        <f t="shared" si="16"/>
        <v>sábado</v>
      </c>
      <c r="B549" s="17">
        <f t="shared" si="17"/>
        <v>45108</v>
      </c>
      <c r="C549" s="52">
        <f>IFERROR(_xlfn.XLOOKUP($B:$B,'Estatísticos Mensais'!$A:$A,'Estatísticos Mensais'!C:C),0)</f>
        <v>42324.13</v>
      </c>
      <c r="D549" s="69">
        <f>IFERROR(_xlfn.XLOOKUP($B:$B,Google!A:A,Google!C:C,),0)</f>
        <v>468.71</v>
      </c>
      <c r="E549" s="70" t="e">
        <f>SUMIF(#REF!,'Compilado 2023 (2)'!$B:$B,#REF!)</f>
        <v>#REF!</v>
      </c>
      <c r="F549" s="71">
        <v>0</v>
      </c>
      <c r="G549" s="70">
        <f ca="1">_xlfn.XLOOKUP(B:B,'E-mail'!A:A,'E-mail'!C:C)</f>
        <v>51.612903225806448</v>
      </c>
      <c r="H549" s="70">
        <f>IFERROR(_xlfn.XLOOKUP($B:$B,#REF!,#REF!),0)</f>
        <v>0</v>
      </c>
      <c r="I549" s="70">
        <v>0</v>
      </c>
      <c r="J549" s="70">
        <v>0</v>
      </c>
      <c r="K549" s="71">
        <v>0</v>
      </c>
      <c r="L549" s="59"/>
      <c r="M549" s="70">
        <v>0</v>
      </c>
      <c r="N549" s="70">
        <v>0</v>
      </c>
      <c r="O549" s="70">
        <v>0</v>
      </c>
      <c r="P549" s="38"/>
      <c r="Q549" s="40"/>
    </row>
    <row r="550" spans="1:17" s="2" customFormat="1" x14ac:dyDescent="0.2">
      <c r="A550" s="16" t="str">
        <f t="shared" si="16"/>
        <v>domingo</v>
      </c>
      <c r="B550" s="17">
        <f t="shared" si="17"/>
        <v>45109</v>
      </c>
      <c r="C550" s="52">
        <f>IFERROR(_xlfn.XLOOKUP($B:$B,'Estatísticos Mensais'!$A:$A,'Estatísticos Mensais'!C:C),0)</f>
        <v>29860.62</v>
      </c>
      <c r="D550" s="69">
        <f>IFERROR(_xlfn.XLOOKUP($B:$B,Google!A:A,Google!C:C,),0)</f>
        <v>446.52</v>
      </c>
      <c r="E550" s="70" t="e">
        <f>SUMIF(#REF!,'Compilado 2023 (2)'!$B:$B,#REF!)</f>
        <v>#REF!</v>
      </c>
      <c r="F550" s="71">
        <v>0</v>
      </c>
      <c r="G550" s="70">
        <f ca="1">_xlfn.XLOOKUP(B:B,'E-mail'!A:A,'E-mail'!C:C)</f>
        <v>51.612903225806448</v>
      </c>
      <c r="H550" s="70">
        <f>IFERROR(_xlfn.XLOOKUP($B:$B,#REF!,#REF!),0)</f>
        <v>0</v>
      </c>
      <c r="I550" s="70">
        <v>0</v>
      </c>
      <c r="J550" s="70">
        <v>0</v>
      </c>
      <c r="K550" s="70">
        <v>0</v>
      </c>
      <c r="L550" s="59"/>
      <c r="M550" s="70">
        <v>0</v>
      </c>
      <c r="N550" s="70">
        <v>0</v>
      </c>
      <c r="O550" s="70">
        <v>0</v>
      </c>
      <c r="P550" s="38"/>
      <c r="Q550" s="40"/>
    </row>
    <row r="551" spans="1:17" s="2" customFormat="1" x14ac:dyDescent="0.2">
      <c r="A551" s="16" t="str">
        <f t="shared" si="16"/>
        <v>segunda-feira</v>
      </c>
      <c r="B551" s="17">
        <f t="shared" si="17"/>
        <v>45110</v>
      </c>
      <c r="C551" s="52">
        <f>IFERROR(_xlfn.XLOOKUP($B:$B,'Estatísticos Mensais'!$A:$A,'Estatísticos Mensais'!C:C),0)</f>
        <v>63069.1</v>
      </c>
      <c r="D551" s="69">
        <f>IFERROR(_xlfn.XLOOKUP($B:$B,Google!A:A,Google!C:C,),0)</f>
        <v>532.65</v>
      </c>
      <c r="E551" s="70" t="e">
        <f>SUMIF(#REF!,'Compilado 2023 (2)'!$B:$B,#REF!)</f>
        <v>#REF!</v>
      </c>
      <c r="F551" s="71">
        <v>0</v>
      </c>
      <c r="G551" s="70">
        <f ca="1">_xlfn.XLOOKUP(B:B,'E-mail'!A:A,'E-mail'!C:C)</f>
        <v>51.612903225806448</v>
      </c>
      <c r="H551" s="70">
        <f>IFERROR(_xlfn.XLOOKUP($B:$B,#REF!,#REF!),0)</f>
        <v>0</v>
      </c>
      <c r="I551" s="70">
        <v>0</v>
      </c>
      <c r="J551" s="70">
        <v>0</v>
      </c>
      <c r="K551" s="70">
        <v>0</v>
      </c>
      <c r="L551" s="59"/>
      <c r="M551" s="70">
        <v>0</v>
      </c>
      <c r="N551" s="70">
        <v>0</v>
      </c>
      <c r="O551" s="70">
        <v>0</v>
      </c>
      <c r="P551" s="38"/>
      <c r="Q551" s="40" t="s">
        <v>209</v>
      </c>
    </row>
    <row r="552" spans="1:17" s="2" customFormat="1" x14ac:dyDescent="0.2">
      <c r="A552" s="16" t="str">
        <f t="shared" si="16"/>
        <v>terça-feira</v>
      </c>
      <c r="B552" s="17">
        <f t="shared" si="17"/>
        <v>45111</v>
      </c>
      <c r="C552" s="52">
        <f>IFERROR(_xlfn.XLOOKUP($B:$B,'Estatísticos Mensais'!$A:$A,'Estatísticos Mensais'!C:C),0)</f>
        <v>51273.24</v>
      </c>
      <c r="D552" s="69">
        <f>IFERROR(_xlfn.XLOOKUP($B:$B,Google!A:A,Google!C:C,),0)</f>
        <v>713.77</v>
      </c>
      <c r="E552" s="70" t="e">
        <f>SUMIF(#REF!,'Compilado 2023 (2)'!$B:$B,#REF!)</f>
        <v>#REF!</v>
      </c>
      <c r="F552" s="71">
        <v>0</v>
      </c>
      <c r="G552" s="70">
        <f ca="1">_xlfn.XLOOKUP(B:B,'E-mail'!A:A,'E-mail'!C:C)</f>
        <v>51.612903225806448</v>
      </c>
      <c r="H552" s="70">
        <f>IFERROR(_xlfn.XLOOKUP($B:$B,#REF!,#REF!),0)</f>
        <v>0</v>
      </c>
      <c r="I552" s="70">
        <v>0</v>
      </c>
      <c r="J552" s="70">
        <v>0</v>
      </c>
      <c r="K552" s="70">
        <v>0</v>
      </c>
      <c r="L552" s="59"/>
      <c r="M552" s="70">
        <v>0</v>
      </c>
      <c r="N552" s="70">
        <v>0</v>
      </c>
      <c r="O552" s="70">
        <v>0</v>
      </c>
      <c r="P552" s="38"/>
      <c r="Q552" s="40"/>
    </row>
    <row r="553" spans="1:17" s="2" customFormat="1" x14ac:dyDescent="0.2">
      <c r="A553" s="16" t="str">
        <f t="shared" si="16"/>
        <v>quarta-feira</v>
      </c>
      <c r="B553" s="17">
        <f t="shared" si="17"/>
        <v>45112</v>
      </c>
      <c r="C553" s="52">
        <f>IFERROR(_xlfn.XLOOKUP($B:$B,'Estatísticos Mensais'!$A:$A,'Estatísticos Mensais'!C:C),0)</f>
        <v>57068.22</v>
      </c>
      <c r="D553" s="69">
        <f>IFERROR(_xlfn.XLOOKUP($B:$B,Google!A:A,Google!C:C,),0)</f>
        <v>745.55</v>
      </c>
      <c r="E553" s="70" t="e">
        <f>SUMIF(#REF!,'Compilado 2023 (2)'!$B:$B,#REF!)</f>
        <v>#REF!</v>
      </c>
      <c r="F553" s="71">
        <v>0</v>
      </c>
      <c r="G553" s="70">
        <f ca="1">_xlfn.XLOOKUP(B:B,'E-mail'!A:A,'E-mail'!C:C)</f>
        <v>51.612903225806448</v>
      </c>
      <c r="H553" s="70">
        <f>IFERROR(_xlfn.XLOOKUP($B:$B,#REF!,#REF!),0)</f>
        <v>0</v>
      </c>
      <c r="I553" s="70">
        <v>0</v>
      </c>
      <c r="J553" s="70">
        <v>0</v>
      </c>
      <c r="K553" s="70">
        <v>0</v>
      </c>
      <c r="L553" s="59"/>
      <c r="M553" s="70">
        <v>0</v>
      </c>
      <c r="N553" s="70">
        <v>0</v>
      </c>
      <c r="O553" s="70">
        <v>0</v>
      </c>
      <c r="P553" s="38"/>
      <c r="Q553" s="40"/>
    </row>
    <row r="554" spans="1:17" s="2" customFormat="1" x14ac:dyDescent="0.2">
      <c r="A554" s="16" t="str">
        <f t="shared" si="16"/>
        <v>quinta-feira</v>
      </c>
      <c r="B554" s="17">
        <f t="shared" si="17"/>
        <v>45113</v>
      </c>
      <c r="C554" s="52">
        <f>IFERROR(_xlfn.XLOOKUP($B:$B,'Estatísticos Mensais'!$A:$A,'Estatísticos Mensais'!C:C),0)</f>
        <v>67730.460000000006</v>
      </c>
      <c r="D554" s="69">
        <f>IFERROR(_xlfn.XLOOKUP($B:$B,Google!A:A,Google!C:C,),0)</f>
        <v>798.92</v>
      </c>
      <c r="E554" s="70" t="e">
        <f>SUMIF(#REF!,'Compilado 2023 (2)'!$B:$B,#REF!)</f>
        <v>#REF!</v>
      </c>
      <c r="F554" s="71">
        <v>0</v>
      </c>
      <c r="G554" s="70">
        <f ca="1">_xlfn.XLOOKUP(B:B,'E-mail'!A:A,'E-mail'!C:C)</f>
        <v>51.612903225806448</v>
      </c>
      <c r="H554" s="70">
        <f>IFERROR(_xlfn.XLOOKUP($B:$B,#REF!,#REF!),0)</f>
        <v>0</v>
      </c>
      <c r="I554" s="70">
        <v>0</v>
      </c>
      <c r="J554" s="70">
        <v>0</v>
      </c>
      <c r="K554" s="70">
        <v>0</v>
      </c>
      <c r="L554" s="59"/>
      <c r="M554" s="70">
        <v>0</v>
      </c>
      <c r="N554" s="70">
        <v>0</v>
      </c>
      <c r="O554" s="70">
        <v>0</v>
      </c>
      <c r="P554" s="38"/>
      <c r="Q554" s="40" t="s">
        <v>136</v>
      </c>
    </row>
    <row r="555" spans="1:17" s="2" customFormat="1" x14ac:dyDescent="0.2">
      <c r="A555" s="16" t="str">
        <f t="shared" si="16"/>
        <v>sexta-feira</v>
      </c>
      <c r="B555" s="17">
        <f t="shared" si="17"/>
        <v>45114</v>
      </c>
      <c r="C555" s="52">
        <f>IFERROR(_xlfn.XLOOKUP($B:$B,'Estatísticos Mensais'!$A:$A,'Estatísticos Mensais'!C:C),0)</f>
        <v>58300.55</v>
      </c>
      <c r="D555" s="69">
        <f>IFERROR(_xlfn.XLOOKUP($B:$B,Google!A:A,Google!C:C,),0)</f>
        <v>719.43</v>
      </c>
      <c r="E555" s="70" t="e">
        <f>SUMIF(#REF!,'Compilado 2023 (2)'!$B:$B,#REF!)</f>
        <v>#REF!</v>
      </c>
      <c r="F555" s="71">
        <v>0</v>
      </c>
      <c r="G555" s="70">
        <f ca="1">_xlfn.XLOOKUP(B:B,'E-mail'!A:A,'E-mail'!C:C)</f>
        <v>51.612903225806448</v>
      </c>
      <c r="H555" s="70">
        <f>IFERROR(_xlfn.XLOOKUP($B:$B,#REF!,#REF!),0)</f>
        <v>0</v>
      </c>
      <c r="I555" s="70">
        <v>0</v>
      </c>
      <c r="J555" s="70">
        <v>0</v>
      </c>
      <c r="K555" s="70">
        <v>0</v>
      </c>
      <c r="L555" s="59"/>
      <c r="M555" s="70">
        <v>0</v>
      </c>
      <c r="N555" s="70">
        <v>0</v>
      </c>
      <c r="O555" s="70">
        <v>0</v>
      </c>
      <c r="P555" s="38"/>
      <c r="Q555" s="40" t="s">
        <v>210</v>
      </c>
    </row>
    <row r="556" spans="1:17" s="2" customFormat="1" x14ac:dyDescent="0.2">
      <c r="A556" s="16" t="str">
        <f t="shared" si="16"/>
        <v>sábado</v>
      </c>
      <c r="B556" s="17">
        <f t="shared" si="17"/>
        <v>45115</v>
      </c>
      <c r="C556" s="52">
        <f>IFERROR(_xlfn.XLOOKUP($B:$B,'Estatísticos Mensais'!$A:$A,'Estatísticos Mensais'!C:C),0)</f>
        <v>35975.949999999997</v>
      </c>
      <c r="D556" s="69">
        <f>IFERROR(_xlfn.XLOOKUP($B:$B,Google!A:A,Google!C:C,),0)</f>
        <v>843.49</v>
      </c>
      <c r="E556" s="70" t="e">
        <f>SUMIF(#REF!,'Compilado 2023 (2)'!$B:$B,#REF!)</f>
        <v>#REF!</v>
      </c>
      <c r="F556" s="71">
        <v>0</v>
      </c>
      <c r="G556" s="70">
        <f ca="1">_xlfn.XLOOKUP(B:B,'E-mail'!A:A,'E-mail'!C:C)</f>
        <v>51.612903225806448</v>
      </c>
      <c r="H556" s="70">
        <f>IFERROR(_xlfn.XLOOKUP($B:$B,#REF!,#REF!),0)</f>
        <v>0</v>
      </c>
      <c r="I556" s="70">
        <v>0</v>
      </c>
      <c r="J556" s="70">
        <v>0</v>
      </c>
      <c r="K556" s="70">
        <v>0</v>
      </c>
      <c r="L556" s="59"/>
      <c r="M556" s="70">
        <v>0</v>
      </c>
      <c r="N556" s="70">
        <v>0</v>
      </c>
      <c r="O556" s="70">
        <v>0</v>
      </c>
      <c r="P556" s="38"/>
      <c r="Q556" s="40"/>
    </row>
    <row r="557" spans="1:17" s="2" customFormat="1" x14ac:dyDescent="0.2">
      <c r="A557" s="16" t="str">
        <f t="shared" si="16"/>
        <v>domingo</v>
      </c>
      <c r="B557" s="17">
        <f t="shared" si="17"/>
        <v>45116</v>
      </c>
      <c r="C557" s="52">
        <f>IFERROR(_xlfn.XLOOKUP($B:$B,'Estatísticos Mensais'!$A:$A,'Estatísticos Mensais'!C:C),0)</f>
        <v>29303.97</v>
      </c>
      <c r="D557" s="69">
        <f>IFERROR(_xlfn.XLOOKUP($B:$B,Google!A:A,Google!C:C,),0)</f>
        <v>1026.8499999999999</v>
      </c>
      <c r="E557" s="70" t="e">
        <f>SUMIF(#REF!,'Compilado 2023 (2)'!$B:$B,#REF!)</f>
        <v>#REF!</v>
      </c>
      <c r="F557" s="71">
        <v>0</v>
      </c>
      <c r="G557" s="70">
        <f ca="1">_xlfn.XLOOKUP(B:B,'E-mail'!A:A,'E-mail'!C:C)</f>
        <v>51.612903225806448</v>
      </c>
      <c r="H557" s="70">
        <f>IFERROR(_xlfn.XLOOKUP($B:$B,#REF!,#REF!),0)</f>
        <v>0</v>
      </c>
      <c r="I557" s="70">
        <v>0</v>
      </c>
      <c r="J557" s="70">
        <v>0</v>
      </c>
      <c r="K557" s="70">
        <v>0</v>
      </c>
      <c r="L557" s="59"/>
      <c r="M557" s="70">
        <v>0</v>
      </c>
      <c r="N557" s="70">
        <v>0</v>
      </c>
      <c r="O557" s="70">
        <v>0</v>
      </c>
      <c r="P557" s="38"/>
      <c r="Q557" s="40"/>
    </row>
    <row r="558" spans="1:17" s="2" customFormat="1" x14ac:dyDescent="0.2">
      <c r="A558" s="16" t="str">
        <f t="shared" si="16"/>
        <v>segunda-feira</v>
      </c>
      <c r="B558" s="17">
        <f t="shared" si="17"/>
        <v>45117</v>
      </c>
      <c r="C558" s="52">
        <f>IFERROR(_xlfn.XLOOKUP($B:$B,'Estatísticos Mensais'!$A:$A,'Estatísticos Mensais'!C:C),0)</f>
        <v>61533.279999999999</v>
      </c>
      <c r="D558" s="69">
        <f>IFERROR(_xlfn.XLOOKUP($B:$B,Google!A:A,Google!C:C,),0)</f>
        <v>1164.1400000000001</v>
      </c>
      <c r="E558" s="70" t="e">
        <f>SUMIF(#REF!,'Compilado 2023 (2)'!$B:$B,#REF!)</f>
        <v>#REF!</v>
      </c>
      <c r="F558" s="71">
        <v>0</v>
      </c>
      <c r="G558" s="70">
        <f ca="1">_xlfn.XLOOKUP(B:B,'E-mail'!A:A,'E-mail'!C:C)</f>
        <v>51.612903225806448</v>
      </c>
      <c r="H558" s="70">
        <f>IFERROR(_xlfn.XLOOKUP($B:$B,#REF!,#REF!),0)</f>
        <v>0</v>
      </c>
      <c r="I558" s="70">
        <v>0</v>
      </c>
      <c r="J558" s="70">
        <v>0</v>
      </c>
      <c r="K558" s="70">
        <v>0</v>
      </c>
      <c r="L558" s="59"/>
      <c r="M558" s="70">
        <v>0</v>
      </c>
      <c r="N558" s="70">
        <v>0</v>
      </c>
      <c r="O558" s="70">
        <v>0</v>
      </c>
      <c r="P558" s="38"/>
      <c r="Q558" s="40" t="s">
        <v>138</v>
      </c>
    </row>
    <row r="559" spans="1:17" s="2" customFormat="1" x14ac:dyDescent="0.2">
      <c r="A559" s="16" t="str">
        <f t="shared" si="16"/>
        <v>terça-feira</v>
      </c>
      <c r="B559" s="17">
        <f t="shared" si="17"/>
        <v>45118</v>
      </c>
      <c r="C559" s="52">
        <f>IFERROR(_xlfn.XLOOKUP($B:$B,'Estatísticos Mensais'!$A:$A,'Estatísticos Mensais'!C:C),0)</f>
        <v>63601.54</v>
      </c>
      <c r="D559" s="69">
        <f>IFERROR(_xlfn.XLOOKUP($B:$B,Google!A:A,Google!C:C,),0)</f>
        <v>877.59</v>
      </c>
      <c r="E559" s="70" t="e">
        <f>SUMIF(#REF!,'Compilado 2023 (2)'!$B:$B,#REF!)</f>
        <v>#REF!</v>
      </c>
      <c r="F559" s="71">
        <v>0</v>
      </c>
      <c r="G559" s="70">
        <f ca="1">_xlfn.XLOOKUP(B:B,'E-mail'!A:A,'E-mail'!C:C)</f>
        <v>51.612903225806448</v>
      </c>
      <c r="H559" s="70">
        <f>IFERROR(_xlfn.XLOOKUP($B:$B,#REF!,#REF!),0)</f>
        <v>0</v>
      </c>
      <c r="I559" s="71">
        <v>0</v>
      </c>
      <c r="J559" s="71">
        <v>0</v>
      </c>
      <c r="K559" s="71">
        <v>0</v>
      </c>
      <c r="L559" s="59"/>
      <c r="M559" s="70">
        <v>0</v>
      </c>
      <c r="N559" s="70">
        <v>0</v>
      </c>
      <c r="O559" s="70">
        <v>0</v>
      </c>
      <c r="P559" s="38"/>
      <c r="Q559" s="40"/>
    </row>
    <row r="560" spans="1:17" s="2" customFormat="1" x14ac:dyDescent="0.2">
      <c r="A560" s="16" t="str">
        <f t="shared" si="16"/>
        <v>quarta-feira</v>
      </c>
      <c r="B560" s="17">
        <f t="shared" si="17"/>
        <v>45119</v>
      </c>
      <c r="C560" s="52">
        <f>IFERROR(_xlfn.XLOOKUP($B:$B,'Estatísticos Mensais'!$A:$A,'Estatísticos Mensais'!C:C),0)</f>
        <v>62310.720000000001</v>
      </c>
      <c r="D560" s="69">
        <f>IFERROR(_xlfn.XLOOKUP($B:$B,Google!A:A,Google!C:C,),0)</f>
        <v>1237.43</v>
      </c>
      <c r="E560" s="70" t="e">
        <f>SUMIF(#REF!,'Compilado 2023 (2)'!$B:$B,#REF!)</f>
        <v>#REF!</v>
      </c>
      <c r="F560" s="71">
        <v>0</v>
      </c>
      <c r="G560" s="70">
        <f ca="1">_xlfn.XLOOKUP(B:B,'E-mail'!A:A,'E-mail'!C:C)</f>
        <v>51.612903225806448</v>
      </c>
      <c r="H560" s="70">
        <f>IFERROR(_xlfn.XLOOKUP($B:$B,#REF!,#REF!),0)</f>
        <v>0</v>
      </c>
      <c r="I560" s="71">
        <v>0</v>
      </c>
      <c r="J560" s="71">
        <v>0</v>
      </c>
      <c r="K560" s="71">
        <v>0</v>
      </c>
      <c r="L560" s="59"/>
      <c r="M560" s="70">
        <v>0</v>
      </c>
      <c r="N560" s="70">
        <v>0</v>
      </c>
      <c r="O560" s="70">
        <v>0</v>
      </c>
      <c r="P560" s="38"/>
      <c r="Q560" s="40" t="s">
        <v>139</v>
      </c>
    </row>
    <row r="561" spans="1:17" s="2" customFormat="1" x14ac:dyDescent="0.2">
      <c r="A561" s="16" t="str">
        <f t="shared" si="16"/>
        <v>quinta-feira</v>
      </c>
      <c r="B561" s="17">
        <f t="shared" si="17"/>
        <v>45120</v>
      </c>
      <c r="C561" s="52">
        <f>IFERROR(_xlfn.XLOOKUP($B:$B,'Estatísticos Mensais'!$A:$A,'Estatísticos Mensais'!C:C),0)</f>
        <v>60212.45</v>
      </c>
      <c r="D561" s="69">
        <f>IFERROR(_xlfn.XLOOKUP($B:$B,Google!A:A,Google!C:C,),0)</f>
        <v>770.22</v>
      </c>
      <c r="E561" s="70" t="e">
        <f>SUMIF(#REF!,'Compilado 2023 (2)'!$B:$B,#REF!)</f>
        <v>#REF!</v>
      </c>
      <c r="F561" s="71">
        <v>0</v>
      </c>
      <c r="G561" s="70">
        <f ca="1">_xlfn.XLOOKUP(B:B,'E-mail'!A:A,'E-mail'!C:C)</f>
        <v>51.612903225806448</v>
      </c>
      <c r="H561" s="70">
        <f>IFERROR(_xlfn.XLOOKUP($B:$B,#REF!,#REF!),0)</f>
        <v>0</v>
      </c>
      <c r="I561" s="71">
        <v>0</v>
      </c>
      <c r="J561" s="71">
        <v>0</v>
      </c>
      <c r="K561" s="71">
        <v>0</v>
      </c>
      <c r="L561" s="59"/>
      <c r="M561" s="70">
        <v>0</v>
      </c>
      <c r="N561" s="70">
        <v>0</v>
      </c>
      <c r="O561" s="70">
        <v>0</v>
      </c>
      <c r="P561" s="38"/>
      <c r="Q561" s="40"/>
    </row>
    <row r="562" spans="1:17" s="2" customFormat="1" x14ac:dyDescent="0.2">
      <c r="A562" s="16" t="str">
        <f t="shared" si="16"/>
        <v>sexta-feira</v>
      </c>
      <c r="B562" s="17">
        <f t="shared" si="17"/>
        <v>45121</v>
      </c>
      <c r="C562" s="52">
        <f>IFERROR(_xlfn.XLOOKUP($B:$B,'Estatísticos Mensais'!$A:$A,'Estatísticos Mensais'!C:C),0)</f>
        <v>67998.05</v>
      </c>
      <c r="D562" s="69">
        <f>IFERROR(_xlfn.XLOOKUP($B:$B,Google!A:A,Google!C:C,),0)</f>
        <v>704.24</v>
      </c>
      <c r="E562" s="70" t="e">
        <f>SUMIF(#REF!,'Compilado 2023 (2)'!$B:$B,#REF!)</f>
        <v>#REF!</v>
      </c>
      <c r="F562" s="71">
        <v>0</v>
      </c>
      <c r="G562" s="70">
        <f ca="1">_xlfn.XLOOKUP(B:B,'E-mail'!A:A,'E-mail'!C:C)</f>
        <v>51.612903225806448</v>
      </c>
      <c r="H562" s="70">
        <f>IFERROR(_xlfn.XLOOKUP($B:$B,#REF!,#REF!),0)</f>
        <v>0</v>
      </c>
      <c r="I562" s="71">
        <v>0</v>
      </c>
      <c r="J562" s="71">
        <v>0</v>
      </c>
      <c r="K562" s="71">
        <v>0</v>
      </c>
      <c r="L562" s="59"/>
      <c r="M562" s="70">
        <v>0</v>
      </c>
      <c r="N562" s="70">
        <v>0</v>
      </c>
      <c r="O562" s="70">
        <v>0</v>
      </c>
      <c r="P562" s="38"/>
      <c r="Q562" s="40"/>
    </row>
    <row r="563" spans="1:17" s="2" customFormat="1" x14ac:dyDescent="0.2">
      <c r="A563" s="16" t="str">
        <f t="shared" si="16"/>
        <v>sábado</v>
      </c>
      <c r="B563" s="17">
        <f t="shared" si="17"/>
        <v>45122</v>
      </c>
      <c r="C563" s="52">
        <f>IFERROR(_xlfn.XLOOKUP($B:$B,'Estatísticos Mensais'!$A:$A,'Estatísticos Mensais'!C:C),0)</f>
        <v>38647.75</v>
      </c>
      <c r="D563" s="69">
        <f>IFERROR(_xlfn.XLOOKUP($B:$B,Google!A:A,Google!C:C,),0)</f>
        <v>587.48</v>
      </c>
      <c r="E563" s="70" t="e">
        <f>SUMIF(#REF!,'Compilado 2023 (2)'!$B:$B,#REF!)</f>
        <v>#REF!</v>
      </c>
      <c r="F563" s="71">
        <v>0</v>
      </c>
      <c r="G563" s="70">
        <f ca="1">_xlfn.XLOOKUP(B:B,'E-mail'!A:A,'E-mail'!C:C)</f>
        <v>51.612903225806448</v>
      </c>
      <c r="H563" s="70">
        <f>IFERROR(_xlfn.XLOOKUP($B:$B,#REF!,#REF!),0)</f>
        <v>0</v>
      </c>
      <c r="I563" s="71">
        <v>0</v>
      </c>
      <c r="J563" s="71">
        <v>0</v>
      </c>
      <c r="K563" s="71">
        <v>0</v>
      </c>
      <c r="L563" s="59"/>
      <c r="M563" s="70">
        <v>0</v>
      </c>
      <c r="N563" s="70">
        <v>0</v>
      </c>
      <c r="O563" s="70">
        <v>0</v>
      </c>
      <c r="P563" s="38"/>
      <c r="Q563" s="40"/>
    </row>
    <row r="564" spans="1:17" s="2" customFormat="1" x14ac:dyDescent="0.2">
      <c r="A564" s="16" t="str">
        <f t="shared" si="16"/>
        <v>domingo</v>
      </c>
      <c r="B564" s="17">
        <f t="shared" si="17"/>
        <v>45123</v>
      </c>
      <c r="C564" s="52">
        <f>IFERROR(_xlfn.XLOOKUP($B:$B,'Estatísticos Mensais'!$A:$A,'Estatísticos Mensais'!C:C),0)</f>
        <v>26806.639999999999</v>
      </c>
      <c r="D564" s="69">
        <f>IFERROR(_xlfn.XLOOKUP($B:$B,Google!A:A,Google!C:C,),0)</f>
        <v>610.47</v>
      </c>
      <c r="E564" s="70" t="e">
        <f>SUMIF(#REF!,'Compilado 2023 (2)'!$B:$B,#REF!)</f>
        <v>#REF!</v>
      </c>
      <c r="F564" s="71">
        <v>0</v>
      </c>
      <c r="G564" s="70">
        <f ca="1">_xlfn.XLOOKUP(B:B,'E-mail'!A:A,'E-mail'!C:C)</f>
        <v>51.612903225806448</v>
      </c>
      <c r="H564" s="70">
        <f>IFERROR(_xlfn.XLOOKUP($B:$B,#REF!,#REF!),0)</f>
        <v>0</v>
      </c>
      <c r="I564" s="71">
        <v>0</v>
      </c>
      <c r="J564" s="71">
        <v>0</v>
      </c>
      <c r="K564" s="71">
        <v>0</v>
      </c>
      <c r="L564" s="59"/>
      <c r="M564" s="70">
        <v>0</v>
      </c>
      <c r="N564" s="70">
        <v>0</v>
      </c>
      <c r="O564" s="70">
        <v>0</v>
      </c>
      <c r="P564" s="38"/>
      <c r="Q564" s="40" t="s">
        <v>140</v>
      </c>
    </row>
    <row r="565" spans="1:17" s="2" customFormat="1" x14ac:dyDescent="0.2">
      <c r="A565" s="16" t="str">
        <f t="shared" si="16"/>
        <v>segunda-feira</v>
      </c>
      <c r="B565" s="17">
        <f t="shared" si="17"/>
        <v>45124</v>
      </c>
      <c r="C565" s="52">
        <f>IFERROR(_xlfn.XLOOKUP($B:$B,'Estatísticos Mensais'!$A:$A,'Estatísticos Mensais'!C:C),0)</f>
        <v>67591.179999999993</v>
      </c>
      <c r="D565" s="69">
        <f>IFERROR(_xlfn.XLOOKUP($B:$B,Google!A:A,Google!C:C,),0)</f>
        <v>985.29</v>
      </c>
      <c r="E565" s="70" t="e">
        <f>SUMIF(#REF!,'Compilado 2023 (2)'!$B:$B,#REF!)</f>
        <v>#REF!</v>
      </c>
      <c r="F565" s="71">
        <v>0</v>
      </c>
      <c r="G565" s="70">
        <f ca="1">_xlfn.XLOOKUP(B:B,'E-mail'!A:A,'E-mail'!C:C)</f>
        <v>51.612903225806448</v>
      </c>
      <c r="H565" s="70">
        <f>IFERROR(_xlfn.XLOOKUP($B:$B,#REF!,#REF!),0)</f>
        <v>0</v>
      </c>
      <c r="I565" s="71">
        <v>0</v>
      </c>
      <c r="J565" s="71">
        <v>0</v>
      </c>
      <c r="K565" s="71">
        <v>0</v>
      </c>
      <c r="L565" s="59"/>
      <c r="M565" s="70">
        <v>0</v>
      </c>
      <c r="N565" s="70">
        <v>0</v>
      </c>
      <c r="O565" s="70">
        <v>0</v>
      </c>
      <c r="P565" s="38"/>
      <c r="Q565" s="40"/>
    </row>
    <row r="566" spans="1:17" s="2" customFormat="1" x14ac:dyDescent="0.2">
      <c r="A566" s="16" t="str">
        <f t="shared" si="16"/>
        <v>terça-feira</v>
      </c>
      <c r="B566" s="17">
        <f t="shared" si="17"/>
        <v>45125</v>
      </c>
      <c r="C566" s="52">
        <f>IFERROR(_xlfn.XLOOKUP($B:$B,'Estatísticos Mensais'!$A:$A,'Estatísticos Mensais'!C:C),0)</f>
        <v>40213.870000000003</v>
      </c>
      <c r="D566" s="69">
        <f>IFERROR(_xlfn.XLOOKUP($B:$B,Google!A:A,Google!C:C,),0)</f>
        <v>898.43</v>
      </c>
      <c r="E566" s="70" t="e">
        <f>SUMIF(#REF!,'Compilado 2023 (2)'!$B:$B,#REF!)</f>
        <v>#REF!</v>
      </c>
      <c r="F566" s="71">
        <v>0</v>
      </c>
      <c r="G566" s="70">
        <f ca="1">_xlfn.XLOOKUP(B:B,'E-mail'!A:A,'E-mail'!C:C)</f>
        <v>51.612903225806448</v>
      </c>
      <c r="H566" s="70">
        <f>IFERROR(_xlfn.XLOOKUP($B:$B,#REF!,#REF!),0)</f>
        <v>0</v>
      </c>
      <c r="I566" s="71">
        <v>0</v>
      </c>
      <c r="J566" s="71">
        <v>0</v>
      </c>
      <c r="K566" s="71">
        <v>0</v>
      </c>
      <c r="L566" s="59"/>
      <c r="M566" s="70">
        <v>0</v>
      </c>
      <c r="N566" s="70">
        <v>0</v>
      </c>
      <c r="O566" s="70">
        <v>0</v>
      </c>
      <c r="P566" s="38"/>
      <c r="Q566" s="40"/>
    </row>
    <row r="567" spans="1:17" s="2" customFormat="1" x14ac:dyDescent="0.2">
      <c r="A567" s="16" t="str">
        <f t="shared" ref="A567:A630" si="18">TEXT(B567,"DDDD")</f>
        <v>quarta-feira</v>
      </c>
      <c r="B567" s="17">
        <f t="shared" si="17"/>
        <v>45126</v>
      </c>
      <c r="C567" s="52">
        <f>IFERROR(_xlfn.XLOOKUP($B:$B,'Estatísticos Mensais'!$A:$A,'Estatísticos Mensais'!C:C),0)</f>
        <v>47614.62</v>
      </c>
      <c r="D567" s="69">
        <f>IFERROR(_xlfn.XLOOKUP($B:$B,Google!A:A,Google!C:C,),0)</f>
        <v>885.31</v>
      </c>
      <c r="E567" s="70" t="e">
        <f>SUMIF(#REF!,'Compilado 2023 (2)'!$B:$B,#REF!)</f>
        <v>#REF!</v>
      </c>
      <c r="F567" s="71">
        <v>0</v>
      </c>
      <c r="G567" s="70">
        <f ca="1">_xlfn.XLOOKUP(B:B,'E-mail'!A:A,'E-mail'!C:C)</f>
        <v>51.612903225806448</v>
      </c>
      <c r="H567" s="70">
        <f>IFERROR(_xlfn.XLOOKUP($B:$B,#REF!,#REF!),0)</f>
        <v>0</v>
      </c>
      <c r="I567" s="71">
        <v>0</v>
      </c>
      <c r="J567" s="71">
        <v>0</v>
      </c>
      <c r="K567" s="71">
        <v>0</v>
      </c>
      <c r="L567" s="59"/>
      <c r="M567" s="70">
        <v>0</v>
      </c>
      <c r="N567" s="70">
        <v>0</v>
      </c>
      <c r="O567" s="70">
        <v>0</v>
      </c>
      <c r="P567" s="38"/>
      <c r="Q567" s="40"/>
    </row>
    <row r="568" spans="1:17" s="2" customFormat="1" x14ac:dyDescent="0.2">
      <c r="A568" s="16" t="str">
        <f t="shared" si="18"/>
        <v>quinta-feira</v>
      </c>
      <c r="B568" s="17">
        <f t="shared" si="17"/>
        <v>45127</v>
      </c>
      <c r="C568" s="52">
        <f>IFERROR(_xlfn.XLOOKUP($B:$B,'Estatísticos Mensais'!$A:$A,'Estatísticos Mensais'!C:C),0)</f>
        <v>48753.4</v>
      </c>
      <c r="D568" s="69">
        <f>IFERROR(_xlfn.XLOOKUP($B:$B,Google!A:A,Google!C:C,),0)</f>
        <v>851.39</v>
      </c>
      <c r="E568" s="70" t="e">
        <f>SUMIF(#REF!,'Compilado 2023 (2)'!$B:$B,#REF!)</f>
        <v>#REF!</v>
      </c>
      <c r="F568" s="71">
        <v>0</v>
      </c>
      <c r="G568" s="70">
        <f ca="1">_xlfn.XLOOKUP(B:B,'E-mail'!A:A,'E-mail'!C:C)</f>
        <v>51.612903225806448</v>
      </c>
      <c r="H568" s="70">
        <f>IFERROR(_xlfn.XLOOKUP($B:$B,#REF!,#REF!),0)</f>
        <v>0</v>
      </c>
      <c r="I568" s="71">
        <v>0</v>
      </c>
      <c r="J568" s="71">
        <v>0</v>
      </c>
      <c r="K568" s="71">
        <v>0</v>
      </c>
      <c r="L568" s="59"/>
      <c r="M568" s="70">
        <v>0</v>
      </c>
      <c r="N568" s="70">
        <v>0</v>
      </c>
      <c r="O568" s="70">
        <v>0</v>
      </c>
      <c r="P568" s="38"/>
      <c r="Q568" s="40"/>
    </row>
    <row r="569" spans="1:17" s="2" customFormat="1" x14ac:dyDescent="0.2">
      <c r="A569" s="16" t="str">
        <f t="shared" si="18"/>
        <v>sexta-feira</v>
      </c>
      <c r="B569" s="17">
        <f t="shared" si="17"/>
        <v>45128</v>
      </c>
      <c r="C569" s="52">
        <f>IFERROR(_xlfn.XLOOKUP($B:$B,'Estatísticos Mensais'!$A:$A,'Estatísticos Mensais'!C:C),0)</f>
        <v>49015.22</v>
      </c>
      <c r="D569" s="69">
        <f>IFERROR(_xlfn.XLOOKUP($B:$B,Google!A:A,Google!C:C,),0)</f>
        <v>743.38</v>
      </c>
      <c r="E569" s="70" t="e">
        <f>SUMIF(#REF!,'Compilado 2023 (2)'!$B:$B,#REF!)</f>
        <v>#REF!</v>
      </c>
      <c r="F569" s="71">
        <v>0</v>
      </c>
      <c r="G569" s="70">
        <f ca="1">_xlfn.XLOOKUP(B:B,'E-mail'!A:A,'E-mail'!C:C)</f>
        <v>51.612903225806448</v>
      </c>
      <c r="H569" s="70">
        <f>IFERROR(_xlfn.XLOOKUP($B:$B,#REF!,#REF!),0)</f>
        <v>0</v>
      </c>
      <c r="I569" s="71">
        <v>0</v>
      </c>
      <c r="J569" s="71">
        <v>0</v>
      </c>
      <c r="K569" s="71">
        <v>0</v>
      </c>
      <c r="L569" s="59"/>
      <c r="M569" s="70">
        <v>0</v>
      </c>
      <c r="N569" s="70">
        <v>0</v>
      </c>
      <c r="O569" s="70">
        <v>0</v>
      </c>
      <c r="P569" s="38"/>
      <c r="Q569" s="40"/>
    </row>
    <row r="570" spans="1:17" s="2" customFormat="1" x14ac:dyDescent="0.2">
      <c r="A570" s="16" t="str">
        <f t="shared" si="18"/>
        <v>sábado</v>
      </c>
      <c r="B570" s="17">
        <f t="shared" si="17"/>
        <v>45129</v>
      </c>
      <c r="C570" s="52">
        <f>IFERROR(_xlfn.XLOOKUP($B:$B,'Estatísticos Mensais'!$A:$A,'Estatísticos Mensais'!C:C),0)</f>
        <v>33277.61</v>
      </c>
      <c r="D570" s="69">
        <f>IFERROR(_xlfn.XLOOKUP($B:$B,Google!A:A,Google!C:C,),0)</f>
        <v>505.57</v>
      </c>
      <c r="E570" s="70" t="e">
        <f>SUMIF(#REF!,'Compilado 2023 (2)'!$B:$B,#REF!)</f>
        <v>#REF!</v>
      </c>
      <c r="F570" s="71">
        <v>0</v>
      </c>
      <c r="G570" s="70">
        <f ca="1">_xlfn.XLOOKUP(B:B,'E-mail'!A:A,'E-mail'!C:C)</f>
        <v>51.612903225806448</v>
      </c>
      <c r="H570" s="70">
        <f>IFERROR(_xlfn.XLOOKUP($B:$B,#REF!,#REF!),0)</f>
        <v>0</v>
      </c>
      <c r="I570" s="71">
        <v>0</v>
      </c>
      <c r="J570" s="71">
        <v>0</v>
      </c>
      <c r="K570" s="71">
        <v>0</v>
      </c>
      <c r="L570" s="59"/>
      <c r="M570" s="70">
        <v>0</v>
      </c>
      <c r="N570" s="70">
        <v>0</v>
      </c>
      <c r="O570" s="70">
        <v>0</v>
      </c>
      <c r="P570" s="38"/>
      <c r="Q570" s="40"/>
    </row>
    <row r="571" spans="1:17" s="2" customFormat="1" x14ac:dyDescent="0.2">
      <c r="A571" s="16" t="str">
        <f t="shared" si="18"/>
        <v>domingo</v>
      </c>
      <c r="B571" s="17">
        <f t="shared" si="17"/>
        <v>45130</v>
      </c>
      <c r="C571" s="52">
        <f>IFERROR(_xlfn.XLOOKUP($B:$B,'Estatísticos Mensais'!$A:$A,'Estatísticos Mensais'!C:C),0)</f>
        <v>24143.34</v>
      </c>
      <c r="D571" s="69">
        <f>IFERROR(_xlfn.XLOOKUP($B:$B,Google!A:A,Google!C:C,),0)</f>
        <v>565.17999999999995</v>
      </c>
      <c r="E571" s="70" t="e">
        <f>SUMIF(#REF!,'Compilado 2023 (2)'!$B:$B,#REF!)</f>
        <v>#REF!</v>
      </c>
      <c r="F571" s="71">
        <v>0</v>
      </c>
      <c r="G571" s="70">
        <f ca="1">_xlfn.XLOOKUP(B:B,'E-mail'!A:A,'E-mail'!C:C)</f>
        <v>51.612903225806448</v>
      </c>
      <c r="H571" s="70">
        <f>IFERROR(_xlfn.XLOOKUP($B:$B,#REF!,#REF!),0)</f>
        <v>0</v>
      </c>
      <c r="I571" s="71">
        <v>0</v>
      </c>
      <c r="J571" s="71">
        <v>0</v>
      </c>
      <c r="K571" s="71">
        <v>0</v>
      </c>
      <c r="L571" s="59"/>
      <c r="M571" s="70">
        <v>0</v>
      </c>
      <c r="N571" s="70">
        <v>0</v>
      </c>
      <c r="O571" s="70">
        <v>0</v>
      </c>
      <c r="P571" s="38"/>
      <c r="Q571" s="40"/>
    </row>
    <row r="572" spans="1:17" s="2" customFormat="1" x14ac:dyDescent="0.2">
      <c r="A572" s="16" t="str">
        <f t="shared" si="18"/>
        <v>segunda-feira</v>
      </c>
      <c r="B572" s="17">
        <f t="shared" si="17"/>
        <v>45131</v>
      </c>
      <c r="C572" s="52">
        <f>IFERROR(_xlfn.XLOOKUP($B:$B,'Estatísticos Mensais'!$A:$A,'Estatísticos Mensais'!C:C),0)</f>
        <v>58669.01</v>
      </c>
      <c r="D572" s="69">
        <f>IFERROR(_xlfn.XLOOKUP($B:$B,Google!A:A,Google!C:C,),0)</f>
        <v>840.42</v>
      </c>
      <c r="E572" s="70" t="e">
        <f>SUMIF(#REF!,'Compilado 2023 (2)'!$B:$B,#REF!)</f>
        <v>#REF!</v>
      </c>
      <c r="F572" s="71">
        <v>0</v>
      </c>
      <c r="G572" s="70">
        <f ca="1">_xlfn.XLOOKUP(B:B,'E-mail'!A:A,'E-mail'!C:C)</f>
        <v>51.612903225806448</v>
      </c>
      <c r="H572" s="70">
        <f>IFERROR(_xlfn.XLOOKUP($B:$B,#REF!,#REF!),0)</f>
        <v>0</v>
      </c>
      <c r="I572" s="71">
        <v>0</v>
      </c>
      <c r="J572" s="71">
        <v>0</v>
      </c>
      <c r="K572" s="71">
        <v>0</v>
      </c>
      <c r="L572" s="59"/>
      <c r="M572" s="70">
        <v>0</v>
      </c>
      <c r="N572" s="70">
        <v>0</v>
      </c>
      <c r="O572" s="70">
        <v>0</v>
      </c>
      <c r="P572" s="38"/>
      <c r="Q572" s="40"/>
    </row>
    <row r="573" spans="1:17" s="2" customFormat="1" x14ac:dyDescent="0.2">
      <c r="A573" s="16" t="str">
        <f t="shared" si="18"/>
        <v>terça-feira</v>
      </c>
      <c r="B573" s="17">
        <f t="shared" si="17"/>
        <v>45132</v>
      </c>
      <c r="C573" s="52">
        <f>IFERROR(_xlfn.XLOOKUP($B:$B,'Estatísticos Mensais'!$A:$A,'Estatísticos Mensais'!C:C),0)</f>
        <v>69821.009999999995</v>
      </c>
      <c r="D573" s="69">
        <f>IFERROR(_xlfn.XLOOKUP($B:$B,Google!A:A,Google!C:C,),0)</f>
        <v>712.09</v>
      </c>
      <c r="E573" s="70" t="e">
        <f>SUMIF(#REF!,'Compilado 2023 (2)'!$B:$B,#REF!)</f>
        <v>#REF!</v>
      </c>
      <c r="F573" s="71">
        <v>0</v>
      </c>
      <c r="G573" s="70">
        <f ca="1">_xlfn.XLOOKUP(B:B,'E-mail'!A:A,'E-mail'!C:C)</f>
        <v>51.612903225806448</v>
      </c>
      <c r="H573" s="70">
        <f>IFERROR(_xlfn.XLOOKUP($B:$B,#REF!,#REF!),0)</f>
        <v>0</v>
      </c>
      <c r="I573" s="71">
        <v>0</v>
      </c>
      <c r="J573" s="71">
        <v>0</v>
      </c>
      <c r="K573" s="71">
        <v>0</v>
      </c>
      <c r="L573" s="59"/>
      <c r="M573" s="70">
        <v>0</v>
      </c>
      <c r="N573" s="70">
        <v>0</v>
      </c>
      <c r="O573" s="70">
        <v>0</v>
      </c>
      <c r="P573" s="38"/>
      <c r="Q573" s="40"/>
    </row>
    <row r="574" spans="1:17" s="2" customFormat="1" x14ac:dyDescent="0.2">
      <c r="A574" s="16" t="str">
        <f t="shared" si="18"/>
        <v>quarta-feira</v>
      </c>
      <c r="B574" s="17">
        <f t="shared" si="17"/>
        <v>45133</v>
      </c>
      <c r="C574" s="52">
        <f>IFERROR(_xlfn.XLOOKUP($B:$B,'Estatísticos Mensais'!$A:$A,'Estatísticos Mensais'!C:C),0)</f>
        <v>38679.120000000003</v>
      </c>
      <c r="D574" s="69">
        <f>IFERROR(_xlfn.XLOOKUP($B:$B,Google!A:A,Google!C:C,),0)</f>
        <v>726.96</v>
      </c>
      <c r="E574" s="70" t="e">
        <f>SUMIF(#REF!,'Compilado 2023 (2)'!$B:$B,#REF!)</f>
        <v>#REF!</v>
      </c>
      <c r="F574" s="71">
        <v>0</v>
      </c>
      <c r="G574" s="70">
        <f ca="1">_xlfn.XLOOKUP(B:B,'E-mail'!A:A,'E-mail'!C:C)</f>
        <v>51.612903225806448</v>
      </c>
      <c r="H574" s="70">
        <f>IFERROR(_xlfn.XLOOKUP($B:$B,#REF!,#REF!),0)</f>
        <v>0</v>
      </c>
      <c r="I574" s="71">
        <v>0</v>
      </c>
      <c r="J574" s="71">
        <v>0</v>
      </c>
      <c r="K574" s="71">
        <v>0</v>
      </c>
      <c r="L574" s="59"/>
      <c r="M574" s="70">
        <v>0</v>
      </c>
      <c r="N574" s="70">
        <v>0</v>
      </c>
      <c r="O574" s="70">
        <v>0</v>
      </c>
      <c r="P574" s="38"/>
      <c r="Q574" s="40"/>
    </row>
    <row r="575" spans="1:17" s="2" customFormat="1" x14ac:dyDescent="0.2">
      <c r="A575" s="16" t="str">
        <f t="shared" si="18"/>
        <v>quinta-feira</v>
      </c>
      <c r="B575" s="17">
        <f t="shared" si="17"/>
        <v>45134</v>
      </c>
      <c r="C575" s="52">
        <f>IFERROR(_xlfn.XLOOKUP($B:$B,'Estatísticos Mensais'!$A:$A,'Estatísticos Mensais'!C:C),0)</f>
        <v>55341.440000000002</v>
      </c>
      <c r="D575" s="69">
        <f>IFERROR(_xlfn.XLOOKUP($B:$B,Google!A:A,Google!C:C,),0)</f>
        <v>711.19</v>
      </c>
      <c r="E575" s="70" t="e">
        <f>SUMIF(#REF!,'Compilado 2023 (2)'!$B:$B,#REF!)</f>
        <v>#REF!</v>
      </c>
      <c r="F575" s="71">
        <v>0</v>
      </c>
      <c r="G575" s="70">
        <f ca="1">_xlfn.XLOOKUP(B:B,'E-mail'!A:A,'E-mail'!C:C)</f>
        <v>51.612903225806448</v>
      </c>
      <c r="H575" s="70">
        <f>IFERROR(_xlfn.XLOOKUP($B:$B,#REF!,#REF!),0)</f>
        <v>0</v>
      </c>
      <c r="I575" s="71">
        <v>0</v>
      </c>
      <c r="J575" s="71">
        <v>0</v>
      </c>
      <c r="K575" s="71">
        <v>0</v>
      </c>
      <c r="L575" s="59"/>
      <c r="M575" s="70">
        <v>0</v>
      </c>
      <c r="N575" s="70">
        <v>0</v>
      </c>
      <c r="O575" s="70">
        <v>0</v>
      </c>
      <c r="P575" s="38"/>
      <c r="Q575" s="40"/>
    </row>
    <row r="576" spans="1:17" s="2" customFormat="1" x14ac:dyDescent="0.2">
      <c r="A576" s="16" t="str">
        <f t="shared" si="18"/>
        <v>sexta-feira</v>
      </c>
      <c r="B576" s="17">
        <f t="shared" si="17"/>
        <v>45135</v>
      </c>
      <c r="C576" s="52">
        <f>IFERROR(_xlfn.XLOOKUP($B:$B,'Estatísticos Mensais'!$A:$A,'Estatísticos Mensais'!C:C),0)</f>
        <v>56559.63</v>
      </c>
      <c r="D576" s="69">
        <f>IFERROR(_xlfn.XLOOKUP($B:$B,Google!A:A,Google!C:C,),0)</f>
        <v>703.64</v>
      </c>
      <c r="E576" s="70" t="e">
        <f>SUMIF(#REF!,'Compilado 2023 (2)'!$B:$B,#REF!)</f>
        <v>#REF!</v>
      </c>
      <c r="F576" s="71">
        <v>0</v>
      </c>
      <c r="G576" s="70">
        <f ca="1">_xlfn.XLOOKUP(B:B,'E-mail'!A:A,'E-mail'!C:C)</f>
        <v>51.612903225806448</v>
      </c>
      <c r="H576" s="70">
        <f>IFERROR(_xlfn.XLOOKUP($B:$B,#REF!,#REF!),0)</f>
        <v>0</v>
      </c>
      <c r="I576" s="71">
        <v>0</v>
      </c>
      <c r="J576" s="71">
        <v>0</v>
      </c>
      <c r="K576" s="71">
        <v>0</v>
      </c>
      <c r="L576" s="59"/>
      <c r="M576" s="70">
        <v>0</v>
      </c>
      <c r="N576" s="70">
        <v>0</v>
      </c>
      <c r="O576" s="70">
        <v>0</v>
      </c>
      <c r="P576" s="38"/>
      <c r="Q576" s="40"/>
    </row>
    <row r="577" spans="1:17" s="2" customFormat="1" x14ac:dyDescent="0.2">
      <c r="A577" s="16" t="str">
        <f t="shared" si="18"/>
        <v>sábado</v>
      </c>
      <c r="B577" s="17">
        <f t="shared" si="17"/>
        <v>45136</v>
      </c>
      <c r="C577" s="52">
        <f>IFERROR(_xlfn.XLOOKUP($B:$B,'Estatísticos Mensais'!$A:$A,'Estatísticos Mensais'!C:C),0)</f>
        <v>43999.29</v>
      </c>
      <c r="D577" s="69">
        <f>IFERROR(_xlfn.XLOOKUP($B:$B,Google!A:A,Google!C:C,),0)</f>
        <v>471.07</v>
      </c>
      <c r="E577" s="70" t="e">
        <f>SUMIF(#REF!,'Compilado 2023 (2)'!$B:$B,#REF!)</f>
        <v>#REF!</v>
      </c>
      <c r="F577" s="71">
        <v>0</v>
      </c>
      <c r="G577" s="70">
        <f ca="1">_xlfn.XLOOKUP(B:B,'E-mail'!A:A,'E-mail'!C:C)</f>
        <v>51.612903225806448</v>
      </c>
      <c r="H577" s="70">
        <f>IFERROR(_xlfn.XLOOKUP($B:$B,#REF!,#REF!),0)</f>
        <v>0</v>
      </c>
      <c r="I577" s="71">
        <v>0</v>
      </c>
      <c r="J577" s="71">
        <v>0</v>
      </c>
      <c r="K577" s="71">
        <v>0</v>
      </c>
      <c r="L577" s="59"/>
      <c r="M577" s="70">
        <v>0</v>
      </c>
      <c r="N577" s="70">
        <v>0</v>
      </c>
      <c r="O577" s="70">
        <v>0</v>
      </c>
      <c r="P577" s="38"/>
      <c r="Q577" s="40"/>
    </row>
    <row r="578" spans="1:17" s="2" customFormat="1" x14ac:dyDescent="0.2">
      <c r="A578" s="16" t="str">
        <f t="shared" si="18"/>
        <v>domingo</v>
      </c>
      <c r="B578" s="17">
        <f t="shared" si="17"/>
        <v>45137</v>
      </c>
      <c r="C578" s="52">
        <f>IFERROR(_xlfn.XLOOKUP($B:$B,'Estatísticos Mensais'!$A:$A,'Estatísticos Mensais'!C:C),0)</f>
        <v>39462.46</v>
      </c>
      <c r="D578" s="69">
        <f>IFERROR(_xlfn.XLOOKUP($B:$B,Google!A:A,Google!C:C,),0)</f>
        <v>531.39</v>
      </c>
      <c r="E578" s="70" t="e">
        <f>SUMIF(#REF!,'Compilado 2023 (2)'!$B:$B,#REF!)</f>
        <v>#REF!</v>
      </c>
      <c r="F578" s="71">
        <v>0</v>
      </c>
      <c r="G578" s="70">
        <f ca="1">_xlfn.XLOOKUP(B:B,'E-mail'!A:A,'E-mail'!C:C)</f>
        <v>51.612903225806448</v>
      </c>
      <c r="H578" s="70">
        <f>IFERROR(_xlfn.XLOOKUP($B:$B,#REF!,#REF!),0)</f>
        <v>0</v>
      </c>
      <c r="I578" s="71">
        <v>0</v>
      </c>
      <c r="J578" s="71">
        <v>0</v>
      </c>
      <c r="K578" s="71">
        <v>0</v>
      </c>
      <c r="L578" s="59"/>
      <c r="M578" s="70">
        <v>0</v>
      </c>
      <c r="N578" s="70">
        <v>0</v>
      </c>
      <c r="O578" s="70">
        <v>0</v>
      </c>
      <c r="P578" s="38"/>
      <c r="Q578" s="40"/>
    </row>
    <row r="579" spans="1:17" s="2" customFormat="1" x14ac:dyDescent="0.2">
      <c r="A579" s="16" t="str">
        <f t="shared" si="18"/>
        <v>segunda-feira</v>
      </c>
      <c r="B579" s="17">
        <f t="shared" si="17"/>
        <v>45138</v>
      </c>
      <c r="C579" s="52">
        <f>IFERROR(_xlfn.XLOOKUP($B:$B,'Estatísticos Mensais'!$A:$A,'Estatísticos Mensais'!C:C),0)</f>
        <v>51227.97</v>
      </c>
      <c r="D579" s="69">
        <f>IFERROR(_xlfn.XLOOKUP($B:$B,Google!A:A,Google!C:C,),0)</f>
        <v>782.9</v>
      </c>
      <c r="E579" s="70" t="e">
        <f>SUMIF(#REF!,'Compilado 2023 (2)'!$B:$B,#REF!)</f>
        <v>#REF!</v>
      </c>
      <c r="F579" s="71">
        <v>0</v>
      </c>
      <c r="G579" s="70">
        <f ca="1">_xlfn.XLOOKUP(B:B,'E-mail'!A:A,'E-mail'!C:C)</f>
        <v>51.612903225806448</v>
      </c>
      <c r="H579" s="70">
        <f>IFERROR(_xlfn.XLOOKUP($B:$B,#REF!,#REF!),0)</f>
        <v>0</v>
      </c>
      <c r="I579" s="71">
        <v>0</v>
      </c>
      <c r="J579" s="71">
        <v>0</v>
      </c>
      <c r="K579" s="71">
        <v>0</v>
      </c>
      <c r="L579" s="59"/>
      <c r="M579" s="70">
        <v>0</v>
      </c>
      <c r="N579" s="70">
        <v>0</v>
      </c>
      <c r="O579" s="70">
        <v>0</v>
      </c>
      <c r="P579" s="38"/>
      <c r="Q579" s="40"/>
    </row>
    <row r="580" spans="1:17" s="2" customFormat="1" x14ac:dyDescent="0.2">
      <c r="A580" s="16" t="str">
        <f t="shared" si="18"/>
        <v>terça-feira</v>
      </c>
      <c r="B580" s="17">
        <f t="shared" si="17"/>
        <v>45139</v>
      </c>
      <c r="C580" s="52">
        <f>IFERROR(_xlfn.XLOOKUP($B:$B,'Estatísticos Mensais'!$A:$A,'Estatísticos Mensais'!C:C),0)</f>
        <v>37837.360000000001</v>
      </c>
      <c r="D580" s="69">
        <f>IFERROR(_xlfn.XLOOKUP($B:$B,Google!A:A,Google!C:C,),0)</f>
        <v>730.78</v>
      </c>
      <c r="E580" s="70" t="e">
        <f>SUMIF(#REF!,'Compilado 2023 (2)'!$B:$B,#REF!)</f>
        <v>#REF!</v>
      </c>
      <c r="F580" s="71">
        <v>0</v>
      </c>
      <c r="G580" s="70">
        <f ca="1">_xlfn.XLOOKUP(B:B,'E-mail'!A:A,'E-mail'!C:C)</f>
        <v>51.612903225806448</v>
      </c>
      <c r="H580" s="70">
        <f>IFERROR(_xlfn.XLOOKUP($B:$B,#REF!,#REF!),0)</f>
        <v>0</v>
      </c>
      <c r="I580" s="71">
        <v>0</v>
      </c>
      <c r="J580" s="71">
        <v>0</v>
      </c>
      <c r="K580" s="71">
        <v>0</v>
      </c>
      <c r="L580" s="59"/>
      <c r="M580" s="70">
        <v>0</v>
      </c>
      <c r="N580" s="70">
        <v>0</v>
      </c>
      <c r="O580" s="70">
        <v>0</v>
      </c>
      <c r="P580" s="38"/>
      <c r="Q580" s="40"/>
    </row>
    <row r="581" spans="1:17" s="2" customFormat="1" x14ac:dyDescent="0.2">
      <c r="A581" s="16" t="str">
        <f t="shared" si="18"/>
        <v>quarta-feira</v>
      </c>
      <c r="B581" s="17">
        <f t="shared" ref="B581:B644" si="19">B580+1</f>
        <v>45140</v>
      </c>
      <c r="C581" s="52">
        <f>IFERROR(_xlfn.XLOOKUP($B:$B,'Estatísticos Mensais'!$A:$A,'Estatísticos Mensais'!C:C),0)</f>
        <v>61652.53</v>
      </c>
      <c r="D581" s="69">
        <f>IFERROR(_xlfn.XLOOKUP($B:$B,Google!A:A,Google!C:C,),0)</f>
        <v>837.01</v>
      </c>
      <c r="E581" s="70" t="e">
        <f>SUMIF(#REF!,'Compilado 2023 (2)'!$B:$B,#REF!)</f>
        <v>#REF!</v>
      </c>
      <c r="F581" s="71">
        <v>0</v>
      </c>
      <c r="G581" s="70">
        <f ca="1">_xlfn.XLOOKUP(B:B,'E-mail'!A:A,'E-mail'!C:C)</f>
        <v>51.612903225806448</v>
      </c>
      <c r="H581" s="70">
        <f>IFERROR(_xlfn.XLOOKUP($B:$B,#REF!,#REF!),0)</f>
        <v>0</v>
      </c>
      <c r="I581" s="71">
        <v>0</v>
      </c>
      <c r="J581" s="71">
        <v>0</v>
      </c>
      <c r="K581" s="71">
        <v>0</v>
      </c>
      <c r="L581" s="59"/>
      <c r="M581" s="70">
        <v>0</v>
      </c>
      <c r="N581" s="70">
        <v>0</v>
      </c>
      <c r="O581" s="70">
        <v>0</v>
      </c>
      <c r="P581" s="38"/>
      <c r="Q581" s="40"/>
    </row>
    <row r="582" spans="1:17" s="2" customFormat="1" x14ac:dyDescent="0.2">
      <c r="A582" s="16" t="str">
        <f t="shared" si="18"/>
        <v>quinta-feira</v>
      </c>
      <c r="B582" s="17">
        <f t="shared" si="19"/>
        <v>45141</v>
      </c>
      <c r="C582" s="52">
        <f>IFERROR(_xlfn.XLOOKUP($B:$B,'Estatísticos Mensais'!$A:$A,'Estatísticos Mensais'!C:C),0)</f>
        <v>35391.74</v>
      </c>
      <c r="D582" s="69">
        <f>IFERROR(_xlfn.XLOOKUP($B:$B,Google!A:A,Google!C:C,),0)</f>
        <v>865.25</v>
      </c>
      <c r="E582" s="70" t="e">
        <f>SUMIF(#REF!,'Compilado 2023 (2)'!$B:$B,#REF!)</f>
        <v>#REF!</v>
      </c>
      <c r="F582" s="71">
        <v>0</v>
      </c>
      <c r="G582" s="70">
        <f ca="1">_xlfn.XLOOKUP(B:B,'E-mail'!A:A,'E-mail'!C:C)</f>
        <v>51.612903225806448</v>
      </c>
      <c r="H582" s="70">
        <f>IFERROR(_xlfn.XLOOKUP($B:$B,#REF!,#REF!),0)</f>
        <v>0</v>
      </c>
      <c r="I582" s="71">
        <v>0</v>
      </c>
      <c r="J582" s="71">
        <v>0</v>
      </c>
      <c r="K582" s="71">
        <v>0</v>
      </c>
      <c r="L582" s="59"/>
      <c r="M582" s="70">
        <v>0</v>
      </c>
      <c r="N582" s="70">
        <v>0</v>
      </c>
      <c r="O582" s="70">
        <v>0</v>
      </c>
      <c r="P582" s="38"/>
      <c r="Q582" s="40"/>
    </row>
    <row r="583" spans="1:17" s="2" customFormat="1" x14ac:dyDescent="0.2">
      <c r="A583" s="16" t="str">
        <f t="shared" si="18"/>
        <v>sexta-feira</v>
      </c>
      <c r="B583" s="17">
        <f t="shared" si="19"/>
        <v>45142</v>
      </c>
      <c r="C583" s="52">
        <f>IFERROR(_xlfn.XLOOKUP($B:$B,'Estatísticos Mensais'!$A:$A,'Estatísticos Mensais'!C:C),0)</f>
        <v>78988.06</v>
      </c>
      <c r="D583" s="69">
        <f>IFERROR(_xlfn.XLOOKUP($B:$B,Google!A:A,Google!C:C,),0)</f>
        <v>732.61</v>
      </c>
      <c r="E583" s="70" t="e">
        <f>SUMIF(#REF!,'Compilado 2023 (2)'!$B:$B,#REF!)</f>
        <v>#REF!</v>
      </c>
      <c r="F583" s="71">
        <v>0</v>
      </c>
      <c r="G583" s="70">
        <f ca="1">_xlfn.XLOOKUP(B:B,'E-mail'!A:A,'E-mail'!C:C)</f>
        <v>51.612903225806448</v>
      </c>
      <c r="H583" s="70">
        <f>IFERROR(_xlfn.XLOOKUP($B:$B,#REF!,#REF!),0)</f>
        <v>0</v>
      </c>
      <c r="I583" s="71">
        <v>0</v>
      </c>
      <c r="J583" s="71">
        <v>0</v>
      </c>
      <c r="K583" s="71">
        <v>0</v>
      </c>
      <c r="L583" s="59"/>
      <c r="M583" s="70">
        <v>0</v>
      </c>
      <c r="N583" s="70">
        <v>0</v>
      </c>
      <c r="O583" s="70">
        <v>0</v>
      </c>
      <c r="P583" s="38"/>
      <c r="Q583" s="40"/>
    </row>
    <row r="584" spans="1:17" s="2" customFormat="1" x14ac:dyDescent="0.2">
      <c r="A584" s="16" t="str">
        <f t="shared" si="18"/>
        <v>sábado</v>
      </c>
      <c r="B584" s="17">
        <f t="shared" si="19"/>
        <v>45143</v>
      </c>
      <c r="C584" s="52">
        <f>IFERROR(_xlfn.XLOOKUP($B:$B,'Estatísticos Mensais'!$A:$A,'Estatísticos Mensais'!C:C),0)</f>
        <v>46350.6</v>
      </c>
      <c r="D584" s="69">
        <f>IFERROR(_xlfn.XLOOKUP($B:$B,Google!A:A,Google!C:C,),0)</f>
        <v>645.87</v>
      </c>
      <c r="E584" s="70" t="e">
        <f>SUMIF(#REF!,'Compilado 2023 (2)'!$B:$B,#REF!)</f>
        <v>#REF!</v>
      </c>
      <c r="F584" s="71">
        <v>0</v>
      </c>
      <c r="G584" s="70">
        <f ca="1">_xlfn.XLOOKUP(B:B,'E-mail'!A:A,'E-mail'!C:C)</f>
        <v>51.612903225806448</v>
      </c>
      <c r="H584" s="70">
        <f>IFERROR(_xlfn.XLOOKUP($B:$B,#REF!,#REF!),0)</f>
        <v>0</v>
      </c>
      <c r="I584" s="71">
        <v>0</v>
      </c>
      <c r="J584" s="71">
        <v>0</v>
      </c>
      <c r="K584" s="71">
        <v>0</v>
      </c>
      <c r="L584" s="59"/>
      <c r="M584" s="70">
        <v>0</v>
      </c>
      <c r="N584" s="70">
        <v>0</v>
      </c>
      <c r="O584" s="70">
        <v>0</v>
      </c>
      <c r="P584" s="38"/>
      <c r="Q584" s="40"/>
    </row>
    <row r="585" spans="1:17" s="2" customFormat="1" x14ac:dyDescent="0.2">
      <c r="A585" s="16" t="str">
        <f t="shared" si="18"/>
        <v>domingo</v>
      </c>
      <c r="B585" s="17">
        <f t="shared" si="19"/>
        <v>45144</v>
      </c>
      <c r="C585" s="52">
        <f>IFERROR(_xlfn.XLOOKUP($B:$B,'Estatísticos Mensais'!$A:$A,'Estatísticos Mensais'!C:C),0)</f>
        <v>32215.25</v>
      </c>
      <c r="D585" s="69">
        <f>IFERROR(_xlfn.XLOOKUP($B:$B,Google!A:A,Google!C:C,),0)</f>
        <v>711.53</v>
      </c>
      <c r="E585" s="70" t="e">
        <f>SUMIF(#REF!,'Compilado 2023 (2)'!$B:$B,#REF!)</f>
        <v>#REF!</v>
      </c>
      <c r="F585" s="71">
        <v>0</v>
      </c>
      <c r="G585" s="70">
        <f ca="1">_xlfn.XLOOKUP(B:B,'E-mail'!A:A,'E-mail'!C:C)</f>
        <v>51.612903225806448</v>
      </c>
      <c r="H585" s="70">
        <f>IFERROR(_xlfn.XLOOKUP($B:$B,#REF!,#REF!),0)</f>
        <v>0</v>
      </c>
      <c r="I585" s="71">
        <v>0</v>
      </c>
      <c r="J585" s="71">
        <v>0</v>
      </c>
      <c r="K585" s="71">
        <v>0</v>
      </c>
      <c r="L585" s="59"/>
      <c r="M585" s="70">
        <v>0</v>
      </c>
      <c r="N585" s="70">
        <v>0</v>
      </c>
      <c r="O585" s="70">
        <v>0</v>
      </c>
      <c r="P585" s="38"/>
      <c r="Q585" s="40"/>
    </row>
    <row r="586" spans="1:17" s="2" customFormat="1" x14ac:dyDescent="0.2">
      <c r="A586" s="16" t="str">
        <f t="shared" si="18"/>
        <v>segunda-feira</v>
      </c>
      <c r="B586" s="17">
        <f t="shared" si="19"/>
        <v>45145</v>
      </c>
      <c r="C586" s="52">
        <f>IFERROR(_xlfn.XLOOKUP($B:$B,'Estatísticos Mensais'!$A:$A,'Estatísticos Mensais'!C:C),0)</f>
        <v>69442.070000000007</v>
      </c>
      <c r="D586" s="69">
        <f>IFERROR(_xlfn.XLOOKUP($B:$B,Google!A:A,Google!C:C,),0)</f>
        <v>1005.45</v>
      </c>
      <c r="E586" s="70" t="e">
        <f>SUMIF(#REF!,'Compilado 2023 (2)'!$B:$B,#REF!)</f>
        <v>#REF!</v>
      </c>
      <c r="F586" s="71">
        <v>0</v>
      </c>
      <c r="G586" s="70">
        <f ca="1">_xlfn.XLOOKUP(B:B,'E-mail'!A:A,'E-mail'!C:C)</f>
        <v>51.612903225806448</v>
      </c>
      <c r="H586" s="70">
        <f>IFERROR(_xlfn.XLOOKUP($B:$B,#REF!,#REF!),0)</f>
        <v>0</v>
      </c>
      <c r="I586" s="71">
        <v>0</v>
      </c>
      <c r="J586" s="71">
        <v>0</v>
      </c>
      <c r="K586" s="71">
        <v>0</v>
      </c>
      <c r="L586" s="59"/>
      <c r="M586" s="70">
        <v>0</v>
      </c>
      <c r="N586" s="70">
        <v>0</v>
      </c>
      <c r="O586" s="70">
        <v>0</v>
      </c>
      <c r="P586" s="38"/>
      <c r="Q586" s="40"/>
    </row>
    <row r="587" spans="1:17" s="2" customFormat="1" x14ac:dyDescent="0.2">
      <c r="A587" s="16" t="str">
        <f t="shared" si="18"/>
        <v>terça-feira</v>
      </c>
      <c r="B587" s="17">
        <f t="shared" si="19"/>
        <v>45146</v>
      </c>
      <c r="C587" s="52">
        <f>IFERROR(_xlfn.XLOOKUP($B:$B,'Estatísticos Mensais'!$A:$A,'Estatísticos Mensais'!C:C),0)</f>
        <v>88217.600000000006</v>
      </c>
      <c r="D587" s="69">
        <f>IFERROR(_xlfn.XLOOKUP($B:$B,Google!A:A,Google!C:C,),0)</f>
        <v>927.51</v>
      </c>
      <c r="E587" s="70" t="e">
        <f>SUMIF(#REF!,'Compilado 2023 (2)'!$B:$B,#REF!)</f>
        <v>#REF!</v>
      </c>
      <c r="F587" s="71">
        <v>0</v>
      </c>
      <c r="G587" s="70">
        <f ca="1">_xlfn.XLOOKUP(B:B,'E-mail'!A:A,'E-mail'!C:C)</f>
        <v>51.612903225806448</v>
      </c>
      <c r="H587" s="70">
        <f>IFERROR(_xlfn.XLOOKUP($B:$B,#REF!,#REF!),0)</f>
        <v>0</v>
      </c>
      <c r="I587" s="71">
        <v>0</v>
      </c>
      <c r="J587" s="71">
        <v>0</v>
      </c>
      <c r="K587" s="71">
        <v>0</v>
      </c>
      <c r="L587" s="59"/>
      <c r="M587" s="70">
        <v>0</v>
      </c>
      <c r="N587" s="70">
        <v>0</v>
      </c>
      <c r="O587" s="70">
        <v>0</v>
      </c>
      <c r="P587" s="38"/>
      <c r="Q587" s="40"/>
    </row>
    <row r="588" spans="1:17" s="2" customFormat="1" x14ac:dyDescent="0.2">
      <c r="A588" s="16" t="str">
        <f t="shared" si="18"/>
        <v>quarta-feira</v>
      </c>
      <c r="B588" s="17">
        <f t="shared" si="19"/>
        <v>45147</v>
      </c>
      <c r="C588" s="52">
        <f>IFERROR(_xlfn.XLOOKUP($B:$B,'Estatísticos Mensais'!$A:$A,'Estatísticos Mensais'!C:C),0)</f>
        <v>84627.68</v>
      </c>
      <c r="D588" s="69">
        <f>IFERROR(_xlfn.XLOOKUP($B:$B,Google!A:A,Google!C:C,),0)</f>
        <v>899.78</v>
      </c>
      <c r="E588" s="70" t="e">
        <f>SUMIF(#REF!,'Compilado 2023 (2)'!$B:$B,#REF!)</f>
        <v>#REF!</v>
      </c>
      <c r="F588" s="71">
        <v>0</v>
      </c>
      <c r="G588" s="70">
        <f ca="1">_xlfn.XLOOKUP(B:B,'E-mail'!A:A,'E-mail'!C:C)</f>
        <v>51.612903225806448</v>
      </c>
      <c r="H588" s="70">
        <f>IFERROR(_xlfn.XLOOKUP($B:$B,#REF!,#REF!),0)</f>
        <v>0</v>
      </c>
      <c r="I588" s="71">
        <v>0</v>
      </c>
      <c r="J588" s="71">
        <v>0</v>
      </c>
      <c r="K588" s="71">
        <v>0</v>
      </c>
      <c r="L588" s="59"/>
      <c r="M588" s="70">
        <v>0</v>
      </c>
      <c r="N588" s="70">
        <v>0</v>
      </c>
      <c r="O588" s="70">
        <v>0</v>
      </c>
      <c r="P588" s="38"/>
      <c r="Q588" s="40"/>
    </row>
    <row r="589" spans="1:17" s="2" customFormat="1" x14ac:dyDescent="0.2">
      <c r="A589" s="16" t="str">
        <f t="shared" si="18"/>
        <v>quinta-feira</v>
      </c>
      <c r="B589" s="17">
        <f t="shared" si="19"/>
        <v>45148</v>
      </c>
      <c r="C589" s="52">
        <f>IFERROR(_xlfn.XLOOKUP($B:$B,'Estatísticos Mensais'!$A:$A,'Estatísticos Mensais'!C:C),0)</f>
        <v>84933.05</v>
      </c>
      <c r="D589" s="69">
        <f>IFERROR(_xlfn.XLOOKUP($B:$B,Google!A:A,Google!C:C,),0)</f>
        <v>965.39</v>
      </c>
      <c r="E589" s="70" t="e">
        <f>SUMIF(#REF!,'Compilado 2023 (2)'!$B:$B,#REF!)</f>
        <v>#REF!</v>
      </c>
      <c r="F589" s="71">
        <v>0</v>
      </c>
      <c r="G589" s="70">
        <f ca="1">_xlfn.XLOOKUP(B:B,'E-mail'!A:A,'E-mail'!C:C)</f>
        <v>51.612903225806448</v>
      </c>
      <c r="H589" s="70">
        <f>IFERROR(_xlfn.XLOOKUP($B:$B,#REF!,#REF!),0)</f>
        <v>0</v>
      </c>
      <c r="I589" s="71">
        <v>0</v>
      </c>
      <c r="J589" s="71">
        <v>0</v>
      </c>
      <c r="K589" s="71">
        <v>0</v>
      </c>
      <c r="L589" s="59"/>
      <c r="M589" s="70">
        <v>0</v>
      </c>
      <c r="N589" s="70">
        <v>0</v>
      </c>
      <c r="O589" s="70">
        <v>0</v>
      </c>
      <c r="P589" s="38"/>
      <c r="Q589" s="40"/>
    </row>
    <row r="590" spans="1:17" s="2" customFormat="1" x14ac:dyDescent="0.2">
      <c r="A590" s="16" t="str">
        <f t="shared" si="18"/>
        <v>sexta-feira</v>
      </c>
      <c r="B590" s="17">
        <f t="shared" si="19"/>
        <v>45149</v>
      </c>
      <c r="C590" s="52">
        <f>IFERROR(_xlfn.XLOOKUP($B:$B,'Estatísticos Mensais'!$A:$A,'Estatísticos Mensais'!C:C),0)</f>
        <v>0</v>
      </c>
      <c r="D590" s="69">
        <f>IFERROR(_xlfn.XLOOKUP($B:$B,Google!A:A,Google!C:C,),0)</f>
        <v>0</v>
      </c>
      <c r="E590" s="70" t="e">
        <f>SUMIF(#REF!,'Compilado 2023 (2)'!$B:$B,#REF!)</f>
        <v>#REF!</v>
      </c>
      <c r="F590" s="71">
        <v>0</v>
      </c>
      <c r="G590" s="70">
        <f ca="1">_xlfn.XLOOKUP(B:B,'E-mail'!A:A,'E-mail'!C:C)</f>
        <v>51.612903225806448</v>
      </c>
      <c r="H590" s="70">
        <f>IFERROR(_xlfn.XLOOKUP($B:$B,#REF!,#REF!),0)</f>
        <v>0</v>
      </c>
      <c r="I590" s="71">
        <v>0</v>
      </c>
      <c r="J590" s="71">
        <v>0</v>
      </c>
      <c r="K590" s="71">
        <v>0</v>
      </c>
      <c r="L590" s="59"/>
      <c r="M590" s="70">
        <v>0</v>
      </c>
      <c r="N590" s="70">
        <v>0</v>
      </c>
      <c r="O590" s="70">
        <v>0</v>
      </c>
      <c r="P590" s="38"/>
      <c r="Q590" s="40"/>
    </row>
    <row r="591" spans="1:17" s="2" customFormat="1" x14ac:dyDescent="0.2">
      <c r="A591" s="16" t="str">
        <f t="shared" si="18"/>
        <v>sábado</v>
      </c>
      <c r="B591" s="17">
        <f t="shared" si="19"/>
        <v>45150</v>
      </c>
      <c r="C591" s="52">
        <f>IFERROR(_xlfn.XLOOKUP($B:$B,'Estatísticos Mensais'!$A:$A,'Estatísticos Mensais'!C:C),0)</f>
        <v>0</v>
      </c>
      <c r="D591" s="69">
        <f>IFERROR(_xlfn.XLOOKUP($B:$B,Google!A:A,Google!C:C,),0)</f>
        <v>0</v>
      </c>
      <c r="E591" s="70" t="e">
        <f>SUMIF(#REF!,'Compilado 2023 (2)'!$B:$B,#REF!)</f>
        <v>#REF!</v>
      </c>
      <c r="F591" s="71">
        <v>0</v>
      </c>
      <c r="G591" s="70">
        <f ca="1">_xlfn.XLOOKUP(B:B,'E-mail'!A:A,'E-mail'!C:C)</f>
        <v>51.612903225806448</v>
      </c>
      <c r="H591" s="70">
        <f>IFERROR(_xlfn.XLOOKUP($B:$B,#REF!,#REF!),0)</f>
        <v>0</v>
      </c>
      <c r="I591" s="71">
        <v>0</v>
      </c>
      <c r="J591" s="71">
        <v>0</v>
      </c>
      <c r="K591" s="71">
        <v>0</v>
      </c>
      <c r="L591" s="59"/>
      <c r="M591" s="70">
        <v>0</v>
      </c>
      <c r="N591" s="70">
        <v>0</v>
      </c>
      <c r="O591" s="70">
        <v>0</v>
      </c>
      <c r="P591" s="38"/>
      <c r="Q591" s="40"/>
    </row>
    <row r="592" spans="1:17" s="2" customFormat="1" x14ac:dyDescent="0.2">
      <c r="A592" s="16" t="str">
        <f t="shared" si="18"/>
        <v>domingo</v>
      </c>
      <c r="B592" s="17">
        <f t="shared" si="19"/>
        <v>45151</v>
      </c>
      <c r="C592" s="52">
        <f>IFERROR(_xlfn.XLOOKUP($B:$B,'Estatísticos Mensais'!$A:$A,'Estatísticos Mensais'!C:C),0)</f>
        <v>0</v>
      </c>
      <c r="D592" s="69">
        <f>IFERROR(_xlfn.XLOOKUP($B:$B,Google!A:A,Google!C:C,),0)</f>
        <v>0</v>
      </c>
      <c r="E592" s="70" t="e">
        <f>SUMIF(#REF!,'Compilado 2023 (2)'!$B:$B,#REF!)</f>
        <v>#REF!</v>
      </c>
      <c r="F592" s="71">
        <v>0</v>
      </c>
      <c r="G592" s="70">
        <f ca="1">_xlfn.XLOOKUP(B:B,'E-mail'!A:A,'E-mail'!C:C)</f>
        <v>51.612903225806448</v>
      </c>
      <c r="H592" s="70">
        <f>IFERROR(_xlfn.XLOOKUP($B:$B,#REF!,#REF!),0)</f>
        <v>0</v>
      </c>
      <c r="I592" s="71">
        <v>0</v>
      </c>
      <c r="J592" s="71">
        <v>0</v>
      </c>
      <c r="K592" s="71">
        <v>0</v>
      </c>
      <c r="L592" s="59"/>
      <c r="M592" s="70">
        <v>0</v>
      </c>
      <c r="N592" s="70">
        <v>0</v>
      </c>
      <c r="O592" s="70">
        <v>0</v>
      </c>
      <c r="P592" s="38"/>
      <c r="Q592" s="40"/>
    </row>
    <row r="593" spans="1:17" s="2" customFormat="1" x14ac:dyDescent="0.2">
      <c r="A593" s="16" t="str">
        <f t="shared" si="18"/>
        <v>segunda-feira</v>
      </c>
      <c r="B593" s="17">
        <f t="shared" si="19"/>
        <v>45152</v>
      </c>
      <c r="C593" s="52">
        <f>IFERROR(_xlfn.XLOOKUP($B:$B,'Estatísticos Mensais'!$A:$A,'Estatísticos Mensais'!C:C),0)</f>
        <v>0</v>
      </c>
      <c r="D593" s="69">
        <f>IFERROR(_xlfn.XLOOKUP($B:$B,Google!A:A,Google!C:C,),0)</f>
        <v>0</v>
      </c>
      <c r="E593" s="70" t="e">
        <f>SUMIF(#REF!,'Compilado 2023 (2)'!$B:$B,#REF!)</f>
        <v>#REF!</v>
      </c>
      <c r="F593" s="71">
        <v>0</v>
      </c>
      <c r="G593" s="70">
        <f ca="1">_xlfn.XLOOKUP(B:B,'E-mail'!A:A,'E-mail'!C:C)</f>
        <v>51.612903225806448</v>
      </c>
      <c r="H593" s="70">
        <f>IFERROR(_xlfn.XLOOKUP($B:$B,#REF!,#REF!),0)</f>
        <v>0</v>
      </c>
      <c r="I593" s="71">
        <v>0</v>
      </c>
      <c r="J593" s="71">
        <v>0</v>
      </c>
      <c r="K593" s="71">
        <v>0</v>
      </c>
      <c r="L593" s="59"/>
      <c r="M593" s="70">
        <v>0</v>
      </c>
      <c r="N593" s="70">
        <v>0</v>
      </c>
      <c r="O593" s="70">
        <v>0</v>
      </c>
      <c r="P593" s="38"/>
      <c r="Q593" s="40"/>
    </row>
    <row r="594" spans="1:17" s="2" customFormat="1" x14ac:dyDescent="0.2">
      <c r="A594" s="16" t="str">
        <f t="shared" si="18"/>
        <v>terça-feira</v>
      </c>
      <c r="B594" s="17">
        <f t="shared" si="19"/>
        <v>45153</v>
      </c>
      <c r="C594" s="52">
        <f>IFERROR(_xlfn.XLOOKUP($B:$B,'Estatísticos Mensais'!$A:$A,'Estatísticos Mensais'!C:C),0)</f>
        <v>0</v>
      </c>
      <c r="D594" s="69">
        <f>IFERROR(_xlfn.XLOOKUP($B:$B,Google!A:A,Google!C:C,),0)</f>
        <v>0</v>
      </c>
      <c r="E594" s="70" t="e">
        <f>SUMIF(#REF!,'Compilado 2023 (2)'!$B:$B,#REF!)</f>
        <v>#REF!</v>
      </c>
      <c r="F594" s="71">
        <v>0</v>
      </c>
      <c r="G594" s="70">
        <f ca="1">_xlfn.XLOOKUP(B:B,'E-mail'!A:A,'E-mail'!C:C)</f>
        <v>51.612903225806448</v>
      </c>
      <c r="H594" s="70">
        <f>IFERROR(_xlfn.XLOOKUP($B:$B,#REF!,#REF!),0)</f>
        <v>0</v>
      </c>
      <c r="I594" s="71">
        <v>0</v>
      </c>
      <c r="J594" s="71">
        <v>0</v>
      </c>
      <c r="K594" s="71">
        <v>0</v>
      </c>
      <c r="L594" s="59"/>
      <c r="M594" s="70">
        <v>0</v>
      </c>
      <c r="N594" s="70">
        <v>0</v>
      </c>
      <c r="O594" s="70">
        <v>0</v>
      </c>
      <c r="P594" s="38"/>
      <c r="Q594" s="40"/>
    </row>
    <row r="595" spans="1:17" s="2" customFormat="1" x14ac:dyDescent="0.2">
      <c r="A595" s="16" t="str">
        <f t="shared" si="18"/>
        <v>quarta-feira</v>
      </c>
      <c r="B595" s="17">
        <f t="shared" si="19"/>
        <v>45154</v>
      </c>
      <c r="C595" s="52">
        <f>IFERROR(_xlfn.XLOOKUP($B:$B,'Estatísticos Mensais'!$A:$A,'Estatísticos Mensais'!C:C),0)</f>
        <v>0</v>
      </c>
      <c r="D595" s="69">
        <f>IFERROR(_xlfn.XLOOKUP($B:$B,Google!A:A,Google!C:C,),0)</f>
        <v>0</v>
      </c>
      <c r="E595" s="70" t="e">
        <f>SUMIF(#REF!,'Compilado 2023 (2)'!$B:$B,#REF!)</f>
        <v>#REF!</v>
      </c>
      <c r="F595" s="71">
        <v>0</v>
      </c>
      <c r="G595" s="70">
        <f ca="1">_xlfn.XLOOKUP(B:B,'E-mail'!A:A,'E-mail'!C:C)</f>
        <v>51.612903225806448</v>
      </c>
      <c r="H595" s="70">
        <f>IFERROR(_xlfn.XLOOKUP($B:$B,#REF!,#REF!),0)</f>
        <v>0</v>
      </c>
      <c r="I595" s="71">
        <v>0</v>
      </c>
      <c r="J595" s="71">
        <v>0</v>
      </c>
      <c r="K595" s="71">
        <v>0</v>
      </c>
      <c r="L595" s="59"/>
      <c r="M595" s="70">
        <v>0</v>
      </c>
      <c r="N595" s="70">
        <v>0</v>
      </c>
      <c r="O595" s="70">
        <v>0</v>
      </c>
      <c r="P595" s="38"/>
      <c r="Q595" s="40"/>
    </row>
    <row r="596" spans="1:17" s="2" customFormat="1" x14ac:dyDescent="0.2">
      <c r="A596" s="16" t="str">
        <f t="shared" si="18"/>
        <v>quinta-feira</v>
      </c>
      <c r="B596" s="17">
        <f t="shared" si="19"/>
        <v>45155</v>
      </c>
      <c r="C596" s="52">
        <f>IFERROR(_xlfn.XLOOKUP($B:$B,'Estatísticos Mensais'!$A:$A,'Estatísticos Mensais'!C:C),0)</f>
        <v>0</v>
      </c>
      <c r="D596" s="69">
        <f>IFERROR(_xlfn.XLOOKUP($B:$B,Google!A:A,Google!C:C,),0)</f>
        <v>0</v>
      </c>
      <c r="E596" s="70" t="e">
        <f>SUMIF(#REF!,'Compilado 2023 (2)'!$B:$B,#REF!)</f>
        <v>#REF!</v>
      </c>
      <c r="F596" s="71">
        <v>0</v>
      </c>
      <c r="G596" s="70">
        <f ca="1">_xlfn.XLOOKUP(B:B,'E-mail'!A:A,'E-mail'!C:C)</f>
        <v>51.612903225806448</v>
      </c>
      <c r="H596" s="70">
        <f>IFERROR(_xlfn.XLOOKUP($B:$B,#REF!,#REF!),0)</f>
        <v>0</v>
      </c>
      <c r="I596" s="71">
        <v>0</v>
      </c>
      <c r="J596" s="71">
        <v>0</v>
      </c>
      <c r="K596" s="71">
        <v>0</v>
      </c>
      <c r="L596" s="59"/>
      <c r="M596" s="70">
        <v>0</v>
      </c>
      <c r="N596" s="70">
        <v>0</v>
      </c>
      <c r="O596" s="70">
        <v>0</v>
      </c>
      <c r="P596" s="38"/>
      <c r="Q596" s="40"/>
    </row>
    <row r="597" spans="1:17" s="2" customFormat="1" x14ac:dyDescent="0.2">
      <c r="A597" s="16" t="str">
        <f t="shared" si="18"/>
        <v>sexta-feira</v>
      </c>
      <c r="B597" s="17">
        <f t="shared" si="19"/>
        <v>45156</v>
      </c>
      <c r="C597" s="52">
        <f>IFERROR(_xlfn.XLOOKUP($B:$B,'Estatísticos Mensais'!$A:$A,'Estatísticos Mensais'!C:C),0)</f>
        <v>0</v>
      </c>
      <c r="D597" s="69">
        <f>IFERROR(_xlfn.XLOOKUP($B:$B,Google!A:A,Google!C:C,),0)</f>
        <v>0</v>
      </c>
      <c r="E597" s="70" t="e">
        <f>SUMIF(#REF!,'Compilado 2023 (2)'!$B:$B,#REF!)</f>
        <v>#REF!</v>
      </c>
      <c r="F597" s="71">
        <v>0</v>
      </c>
      <c r="G597" s="70">
        <f ca="1">_xlfn.XLOOKUP(B:B,'E-mail'!A:A,'E-mail'!C:C)</f>
        <v>51.612903225806448</v>
      </c>
      <c r="H597" s="70">
        <f>IFERROR(_xlfn.XLOOKUP($B:$B,#REF!,#REF!),0)</f>
        <v>0</v>
      </c>
      <c r="I597" s="71">
        <v>0</v>
      </c>
      <c r="J597" s="71">
        <v>0</v>
      </c>
      <c r="K597" s="71">
        <v>0</v>
      </c>
      <c r="L597" s="59"/>
      <c r="M597" s="70">
        <v>0</v>
      </c>
      <c r="N597" s="70">
        <v>0</v>
      </c>
      <c r="O597" s="70">
        <v>0</v>
      </c>
      <c r="P597" s="38"/>
      <c r="Q597" s="40"/>
    </row>
    <row r="598" spans="1:17" s="2" customFormat="1" x14ac:dyDescent="0.2">
      <c r="A598" s="16" t="str">
        <f t="shared" si="18"/>
        <v>sábado</v>
      </c>
      <c r="B598" s="17">
        <f t="shared" si="19"/>
        <v>45157</v>
      </c>
      <c r="C598" s="52">
        <f>IFERROR(_xlfn.XLOOKUP($B:$B,'Estatísticos Mensais'!$A:$A,'Estatísticos Mensais'!C:C),0)</f>
        <v>0</v>
      </c>
      <c r="D598" s="69">
        <f>IFERROR(_xlfn.XLOOKUP($B:$B,Google!A:A,Google!C:C,),0)</f>
        <v>0</v>
      </c>
      <c r="E598" s="70" t="e">
        <f>SUMIF(#REF!,'Compilado 2023 (2)'!$B:$B,#REF!)</f>
        <v>#REF!</v>
      </c>
      <c r="F598" s="71">
        <v>0</v>
      </c>
      <c r="G598" s="70">
        <f ca="1">_xlfn.XLOOKUP(B:B,'E-mail'!A:A,'E-mail'!C:C)</f>
        <v>51.612903225806448</v>
      </c>
      <c r="H598" s="70">
        <f>IFERROR(_xlfn.XLOOKUP($B:$B,#REF!,#REF!),0)</f>
        <v>0</v>
      </c>
      <c r="I598" s="71">
        <v>0</v>
      </c>
      <c r="J598" s="71">
        <v>0</v>
      </c>
      <c r="K598" s="71">
        <v>0</v>
      </c>
      <c r="L598" s="59"/>
      <c r="M598" s="70">
        <v>0</v>
      </c>
      <c r="N598" s="70">
        <v>0</v>
      </c>
      <c r="O598" s="70">
        <v>0</v>
      </c>
      <c r="P598" s="38"/>
      <c r="Q598" s="40"/>
    </row>
    <row r="599" spans="1:17" s="2" customFormat="1" x14ac:dyDescent="0.2">
      <c r="A599" s="16" t="str">
        <f t="shared" si="18"/>
        <v>domingo</v>
      </c>
      <c r="B599" s="17">
        <f t="shared" si="19"/>
        <v>45158</v>
      </c>
      <c r="C599" s="52">
        <f>IFERROR(_xlfn.XLOOKUP($B:$B,'Estatísticos Mensais'!$A:$A,'Estatísticos Mensais'!C:C),0)</f>
        <v>0</v>
      </c>
      <c r="D599" s="69">
        <f>IFERROR(_xlfn.XLOOKUP($B:$B,Google!A:A,Google!C:C,),0)</f>
        <v>0</v>
      </c>
      <c r="E599" s="70" t="e">
        <f>SUMIF(#REF!,'Compilado 2023 (2)'!$B:$B,#REF!)</f>
        <v>#REF!</v>
      </c>
      <c r="F599" s="71">
        <v>0</v>
      </c>
      <c r="G599" s="70">
        <f ca="1">_xlfn.XLOOKUP(B:B,'E-mail'!A:A,'E-mail'!C:C)</f>
        <v>51.612903225806448</v>
      </c>
      <c r="H599" s="70">
        <f>IFERROR(_xlfn.XLOOKUP($B:$B,#REF!,#REF!),0)</f>
        <v>0</v>
      </c>
      <c r="I599" s="71">
        <v>0</v>
      </c>
      <c r="J599" s="71">
        <v>0</v>
      </c>
      <c r="K599" s="71">
        <v>0</v>
      </c>
      <c r="L599" s="59"/>
      <c r="M599" s="70">
        <v>0</v>
      </c>
      <c r="N599" s="70">
        <v>0</v>
      </c>
      <c r="O599" s="70">
        <v>0</v>
      </c>
      <c r="P599" s="38"/>
      <c r="Q599" s="40"/>
    </row>
    <row r="600" spans="1:17" s="2" customFormat="1" x14ac:dyDescent="0.2">
      <c r="A600" s="16" t="str">
        <f t="shared" si="18"/>
        <v>segunda-feira</v>
      </c>
      <c r="B600" s="17">
        <f t="shared" si="19"/>
        <v>45159</v>
      </c>
      <c r="C600" s="52">
        <f>IFERROR(_xlfn.XLOOKUP($B:$B,'Estatísticos Mensais'!$A:$A,'Estatísticos Mensais'!C:C),0)</f>
        <v>0</v>
      </c>
      <c r="D600" s="69">
        <f>IFERROR(_xlfn.XLOOKUP($B:$B,Google!A:A,Google!C:C,),0)</f>
        <v>0</v>
      </c>
      <c r="E600" s="70" t="e">
        <f>SUMIF(#REF!,'Compilado 2023 (2)'!$B:$B,#REF!)</f>
        <v>#REF!</v>
      </c>
      <c r="F600" s="71">
        <v>0</v>
      </c>
      <c r="G600" s="70">
        <f ca="1">_xlfn.XLOOKUP(B:B,'E-mail'!A:A,'E-mail'!C:C)</f>
        <v>51.612903225806448</v>
      </c>
      <c r="H600" s="70">
        <f>IFERROR(_xlfn.XLOOKUP($B:$B,#REF!,#REF!),0)</f>
        <v>0</v>
      </c>
      <c r="I600" s="71">
        <v>0</v>
      </c>
      <c r="J600" s="71">
        <v>0</v>
      </c>
      <c r="K600" s="71">
        <v>0</v>
      </c>
      <c r="L600" s="59"/>
      <c r="M600" s="70">
        <v>0</v>
      </c>
      <c r="N600" s="70">
        <v>0</v>
      </c>
      <c r="O600" s="70">
        <v>0</v>
      </c>
      <c r="P600" s="38"/>
      <c r="Q600" s="40"/>
    </row>
    <row r="601" spans="1:17" s="2" customFormat="1" x14ac:dyDescent="0.2">
      <c r="A601" s="16" t="str">
        <f t="shared" si="18"/>
        <v>terça-feira</v>
      </c>
      <c r="B601" s="17">
        <f t="shared" si="19"/>
        <v>45160</v>
      </c>
      <c r="C601" s="52">
        <f>IFERROR(_xlfn.XLOOKUP($B:$B,'Estatísticos Mensais'!$A:$A,'Estatísticos Mensais'!C:C),0)</f>
        <v>0</v>
      </c>
      <c r="D601" s="69">
        <f>IFERROR(_xlfn.XLOOKUP($B:$B,Google!A:A,Google!C:C,),0)</f>
        <v>0</v>
      </c>
      <c r="E601" s="70" t="e">
        <f>SUMIF(#REF!,'Compilado 2023 (2)'!$B:$B,#REF!)</f>
        <v>#REF!</v>
      </c>
      <c r="F601" s="71">
        <v>0</v>
      </c>
      <c r="G601" s="70">
        <f ca="1">_xlfn.XLOOKUP(B:B,'E-mail'!A:A,'E-mail'!C:C)</f>
        <v>51.612903225806448</v>
      </c>
      <c r="H601" s="70">
        <f>IFERROR(_xlfn.XLOOKUP($B:$B,#REF!,#REF!),0)</f>
        <v>0</v>
      </c>
      <c r="I601" s="71">
        <v>0</v>
      </c>
      <c r="J601" s="71">
        <v>0</v>
      </c>
      <c r="K601" s="71">
        <v>0</v>
      </c>
      <c r="L601" s="59"/>
      <c r="M601" s="70">
        <v>0</v>
      </c>
      <c r="N601" s="70">
        <v>0</v>
      </c>
      <c r="O601" s="70">
        <v>0</v>
      </c>
      <c r="P601" s="38"/>
      <c r="Q601" s="40"/>
    </row>
    <row r="602" spans="1:17" s="2" customFormat="1" x14ac:dyDescent="0.2">
      <c r="A602" s="16" t="str">
        <f t="shared" si="18"/>
        <v>quarta-feira</v>
      </c>
      <c r="B602" s="17">
        <f t="shared" si="19"/>
        <v>45161</v>
      </c>
      <c r="C602" s="52">
        <f>IFERROR(_xlfn.XLOOKUP($B:$B,'Estatísticos Mensais'!$A:$A,'Estatísticos Mensais'!C:C),0)</f>
        <v>0</v>
      </c>
      <c r="D602" s="69">
        <f>IFERROR(_xlfn.XLOOKUP($B:$B,Google!A:A,Google!C:C,),0)</f>
        <v>0</v>
      </c>
      <c r="E602" s="70" t="e">
        <f>SUMIF(#REF!,'Compilado 2023 (2)'!$B:$B,#REF!)</f>
        <v>#REF!</v>
      </c>
      <c r="F602" s="71">
        <v>0</v>
      </c>
      <c r="G602" s="70">
        <f ca="1">_xlfn.XLOOKUP(B:B,'E-mail'!A:A,'E-mail'!C:C)</f>
        <v>51.612903225806448</v>
      </c>
      <c r="H602" s="70">
        <f>IFERROR(_xlfn.XLOOKUP($B:$B,#REF!,#REF!),0)</f>
        <v>0</v>
      </c>
      <c r="I602" s="71">
        <v>0</v>
      </c>
      <c r="J602" s="71">
        <v>0</v>
      </c>
      <c r="K602" s="71">
        <v>0</v>
      </c>
      <c r="L602" s="59"/>
      <c r="M602" s="70">
        <v>0</v>
      </c>
      <c r="N602" s="70">
        <v>0</v>
      </c>
      <c r="O602" s="70">
        <v>0</v>
      </c>
      <c r="P602" s="38"/>
      <c r="Q602" s="40"/>
    </row>
    <row r="603" spans="1:17" s="2" customFormat="1" x14ac:dyDescent="0.2">
      <c r="A603" s="16" t="str">
        <f t="shared" si="18"/>
        <v>quinta-feira</v>
      </c>
      <c r="B603" s="17">
        <f t="shared" si="19"/>
        <v>45162</v>
      </c>
      <c r="C603" s="52">
        <f>IFERROR(_xlfn.XLOOKUP($B:$B,'Estatísticos Mensais'!$A:$A,'Estatísticos Mensais'!C:C),0)</f>
        <v>0</v>
      </c>
      <c r="D603" s="69">
        <f>IFERROR(_xlfn.XLOOKUP($B:$B,Google!A:A,Google!C:C,),0)</f>
        <v>0</v>
      </c>
      <c r="E603" s="70" t="e">
        <f>SUMIF(#REF!,'Compilado 2023 (2)'!$B:$B,#REF!)</f>
        <v>#REF!</v>
      </c>
      <c r="F603" s="71">
        <v>0</v>
      </c>
      <c r="G603" s="70">
        <f ca="1">_xlfn.XLOOKUP(B:B,'E-mail'!A:A,'E-mail'!C:C)</f>
        <v>51.612903225806448</v>
      </c>
      <c r="H603" s="70">
        <f>IFERROR(_xlfn.XLOOKUP($B:$B,#REF!,#REF!),0)</f>
        <v>0</v>
      </c>
      <c r="I603" s="71">
        <v>0</v>
      </c>
      <c r="J603" s="71">
        <v>0</v>
      </c>
      <c r="K603" s="71">
        <v>0</v>
      </c>
      <c r="L603" s="59"/>
      <c r="M603" s="70">
        <v>0</v>
      </c>
      <c r="N603" s="70">
        <v>0</v>
      </c>
      <c r="O603" s="70">
        <v>0</v>
      </c>
      <c r="P603" s="38"/>
      <c r="Q603" s="40"/>
    </row>
    <row r="604" spans="1:17" s="2" customFormat="1" x14ac:dyDescent="0.2">
      <c r="A604" s="16" t="str">
        <f t="shared" si="18"/>
        <v>sexta-feira</v>
      </c>
      <c r="B604" s="17">
        <f t="shared" si="19"/>
        <v>45163</v>
      </c>
      <c r="C604" s="52">
        <f>IFERROR(_xlfn.XLOOKUP($B:$B,'Estatísticos Mensais'!$A:$A,'Estatísticos Mensais'!C:C),0)</f>
        <v>0</v>
      </c>
      <c r="D604" s="69">
        <f>IFERROR(_xlfn.XLOOKUP($B:$B,Google!A:A,Google!C:C,),0)</f>
        <v>0</v>
      </c>
      <c r="E604" s="70" t="e">
        <f>SUMIF(#REF!,'Compilado 2023 (2)'!$B:$B,#REF!)</f>
        <v>#REF!</v>
      </c>
      <c r="F604" s="71">
        <v>0</v>
      </c>
      <c r="G604" s="70">
        <f ca="1">_xlfn.XLOOKUP(B:B,'E-mail'!A:A,'E-mail'!C:C)</f>
        <v>51.612903225806448</v>
      </c>
      <c r="H604" s="70">
        <f>IFERROR(_xlfn.XLOOKUP($B:$B,#REF!,#REF!),0)</f>
        <v>0</v>
      </c>
      <c r="I604" s="71">
        <v>0</v>
      </c>
      <c r="J604" s="71">
        <v>0</v>
      </c>
      <c r="K604" s="71">
        <v>0</v>
      </c>
      <c r="L604" s="59"/>
      <c r="M604" s="70">
        <v>0</v>
      </c>
      <c r="N604" s="70">
        <v>0</v>
      </c>
      <c r="O604" s="70">
        <v>0</v>
      </c>
      <c r="P604" s="38"/>
      <c r="Q604" s="40"/>
    </row>
    <row r="605" spans="1:17" s="2" customFormat="1" x14ac:dyDescent="0.2">
      <c r="A605" s="16" t="str">
        <f t="shared" si="18"/>
        <v>sábado</v>
      </c>
      <c r="B605" s="17">
        <f t="shared" si="19"/>
        <v>45164</v>
      </c>
      <c r="C605" s="52">
        <f>IFERROR(_xlfn.XLOOKUP($B:$B,'Estatísticos Mensais'!$A:$A,'Estatísticos Mensais'!C:C),0)</f>
        <v>0</v>
      </c>
      <c r="D605" s="69">
        <f>IFERROR(_xlfn.XLOOKUP($B:$B,Google!A:A,Google!C:C,),0)</f>
        <v>0</v>
      </c>
      <c r="E605" s="70" t="e">
        <f>SUMIF(#REF!,'Compilado 2023 (2)'!$B:$B,#REF!)</f>
        <v>#REF!</v>
      </c>
      <c r="F605" s="71">
        <v>0</v>
      </c>
      <c r="G605" s="70">
        <f ca="1">_xlfn.XLOOKUP(B:B,'E-mail'!A:A,'E-mail'!C:C)</f>
        <v>51.612903225806448</v>
      </c>
      <c r="H605" s="70">
        <f>IFERROR(_xlfn.XLOOKUP($B:$B,#REF!,#REF!),0)</f>
        <v>0</v>
      </c>
      <c r="I605" s="71">
        <v>0</v>
      </c>
      <c r="J605" s="71">
        <v>0</v>
      </c>
      <c r="K605" s="71">
        <v>0</v>
      </c>
      <c r="L605" s="59"/>
      <c r="M605" s="70">
        <v>0</v>
      </c>
      <c r="N605" s="70">
        <v>0</v>
      </c>
      <c r="O605" s="70">
        <v>0</v>
      </c>
      <c r="P605" s="38"/>
      <c r="Q605" s="40"/>
    </row>
    <row r="606" spans="1:17" s="2" customFormat="1" x14ac:dyDescent="0.2">
      <c r="A606" s="16" t="str">
        <f t="shared" si="18"/>
        <v>domingo</v>
      </c>
      <c r="B606" s="17">
        <f t="shared" si="19"/>
        <v>45165</v>
      </c>
      <c r="C606" s="52">
        <f>IFERROR(_xlfn.XLOOKUP($B:$B,'Estatísticos Mensais'!$A:$A,'Estatísticos Mensais'!C:C),0)</f>
        <v>0</v>
      </c>
      <c r="D606" s="69">
        <f>IFERROR(_xlfn.XLOOKUP($B:$B,Google!A:A,Google!C:C,),0)</f>
        <v>0</v>
      </c>
      <c r="E606" s="70" t="e">
        <f>SUMIF(#REF!,'Compilado 2023 (2)'!$B:$B,#REF!)</f>
        <v>#REF!</v>
      </c>
      <c r="F606" s="71">
        <v>0</v>
      </c>
      <c r="G606" s="70">
        <f ca="1">_xlfn.XLOOKUP(B:B,'E-mail'!A:A,'E-mail'!C:C)</f>
        <v>51.612903225806448</v>
      </c>
      <c r="H606" s="70">
        <f>IFERROR(_xlfn.XLOOKUP($B:$B,#REF!,#REF!),0)</f>
        <v>0</v>
      </c>
      <c r="I606" s="71">
        <v>0</v>
      </c>
      <c r="J606" s="71">
        <v>0</v>
      </c>
      <c r="K606" s="71">
        <v>0</v>
      </c>
      <c r="L606" s="59"/>
      <c r="M606" s="70">
        <v>0</v>
      </c>
      <c r="N606" s="70">
        <v>0</v>
      </c>
      <c r="O606" s="70">
        <v>0</v>
      </c>
      <c r="P606" s="38"/>
      <c r="Q606" s="40"/>
    </row>
    <row r="607" spans="1:17" s="2" customFormat="1" x14ac:dyDescent="0.2">
      <c r="A607" s="16" t="str">
        <f t="shared" si="18"/>
        <v>segunda-feira</v>
      </c>
      <c r="B607" s="17">
        <f t="shared" si="19"/>
        <v>45166</v>
      </c>
      <c r="C607" s="52">
        <f>IFERROR(_xlfn.XLOOKUP($B:$B,'Estatísticos Mensais'!$A:$A,'Estatísticos Mensais'!C:C),0)</f>
        <v>0</v>
      </c>
      <c r="D607" s="69">
        <f>IFERROR(_xlfn.XLOOKUP($B:$B,Google!A:A,Google!C:C,),0)</f>
        <v>0</v>
      </c>
      <c r="E607" s="70" t="e">
        <f>SUMIF(#REF!,'Compilado 2023 (2)'!$B:$B,#REF!)</f>
        <v>#REF!</v>
      </c>
      <c r="F607" s="71">
        <v>0</v>
      </c>
      <c r="G607" s="70">
        <f ca="1">_xlfn.XLOOKUP(B:B,'E-mail'!A:A,'E-mail'!C:C)</f>
        <v>51.612903225806448</v>
      </c>
      <c r="H607" s="70">
        <f>IFERROR(_xlfn.XLOOKUP($B:$B,#REF!,#REF!),0)</f>
        <v>0</v>
      </c>
      <c r="I607" s="71">
        <v>0</v>
      </c>
      <c r="J607" s="71">
        <v>0</v>
      </c>
      <c r="K607" s="71">
        <v>0</v>
      </c>
      <c r="L607" s="59"/>
      <c r="M607" s="70">
        <v>0</v>
      </c>
      <c r="N607" s="70">
        <v>0</v>
      </c>
      <c r="O607" s="70">
        <v>0</v>
      </c>
      <c r="P607" s="38"/>
      <c r="Q607" s="40"/>
    </row>
    <row r="608" spans="1:17" s="2" customFormat="1" x14ac:dyDescent="0.2">
      <c r="A608" s="16" t="str">
        <f t="shared" si="18"/>
        <v>terça-feira</v>
      </c>
      <c r="B608" s="17">
        <f t="shared" si="19"/>
        <v>45167</v>
      </c>
      <c r="C608" s="52">
        <f>IFERROR(_xlfn.XLOOKUP($B:$B,'Estatísticos Mensais'!$A:$A,'Estatísticos Mensais'!C:C),0)</f>
        <v>0</v>
      </c>
      <c r="D608" s="69">
        <f>IFERROR(_xlfn.XLOOKUP($B:$B,Google!A:A,Google!C:C,),0)</f>
        <v>0</v>
      </c>
      <c r="E608" s="70" t="e">
        <f>SUMIF(#REF!,'Compilado 2023 (2)'!$B:$B,#REF!)</f>
        <v>#REF!</v>
      </c>
      <c r="F608" s="71">
        <v>0</v>
      </c>
      <c r="G608" s="70">
        <f ca="1">_xlfn.XLOOKUP(B:B,'E-mail'!A:A,'E-mail'!C:C)</f>
        <v>51.612903225806448</v>
      </c>
      <c r="H608" s="70">
        <f>IFERROR(_xlfn.XLOOKUP($B:$B,#REF!,#REF!),0)</f>
        <v>0</v>
      </c>
      <c r="I608" s="71">
        <v>0</v>
      </c>
      <c r="J608" s="71">
        <v>0</v>
      </c>
      <c r="K608" s="71">
        <v>0</v>
      </c>
      <c r="L608" s="59"/>
      <c r="M608" s="70">
        <v>0</v>
      </c>
      <c r="N608" s="70">
        <v>0</v>
      </c>
      <c r="O608" s="70">
        <v>0</v>
      </c>
      <c r="P608" s="38"/>
      <c r="Q608" s="40"/>
    </row>
    <row r="609" spans="1:17" s="2" customFormat="1" x14ac:dyDescent="0.2">
      <c r="A609" s="16" t="str">
        <f t="shared" si="18"/>
        <v>quarta-feira</v>
      </c>
      <c r="B609" s="17">
        <f t="shared" si="19"/>
        <v>45168</v>
      </c>
      <c r="C609" s="52">
        <f>IFERROR(_xlfn.XLOOKUP($B:$B,'Estatísticos Mensais'!$A:$A,'Estatísticos Mensais'!C:C),0)</f>
        <v>0</v>
      </c>
      <c r="D609" s="69">
        <f>IFERROR(_xlfn.XLOOKUP($B:$B,Google!A:A,Google!C:C,),0)</f>
        <v>0</v>
      </c>
      <c r="E609" s="70" t="e">
        <f>SUMIF(#REF!,'Compilado 2023 (2)'!$B:$B,#REF!)</f>
        <v>#REF!</v>
      </c>
      <c r="F609" s="71">
        <v>0</v>
      </c>
      <c r="G609" s="70">
        <f ca="1">_xlfn.XLOOKUP(B:B,'E-mail'!A:A,'E-mail'!C:C)</f>
        <v>51.612903225806448</v>
      </c>
      <c r="H609" s="70">
        <f>IFERROR(_xlfn.XLOOKUP($B:$B,#REF!,#REF!),0)</f>
        <v>0</v>
      </c>
      <c r="I609" s="71">
        <v>0</v>
      </c>
      <c r="J609" s="71">
        <v>0</v>
      </c>
      <c r="K609" s="71">
        <v>0</v>
      </c>
      <c r="L609" s="59"/>
      <c r="M609" s="70">
        <v>0</v>
      </c>
      <c r="N609" s="70">
        <v>0</v>
      </c>
      <c r="O609" s="70">
        <v>0</v>
      </c>
      <c r="P609" s="38"/>
      <c r="Q609" s="40"/>
    </row>
    <row r="610" spans="1:17" s="2" customFormat="1" x14ac:dyDescent="0.2">
      <c r="A610" s="16" t="str">
        <f t="shared" si="18"/>
        <v>quinta-feira</v>
      </c>
      <c r="B610" s="17">
        <f t="shared" si="19"/>
        <v>45169</v>
      </c>
      <c r="C610" s="52">
        <f>IFERROR(_xlfn.XLOOKUP($B:$B,'Estatísticos Mensais'!$A:$A,'Estatísticos Mensais'!C:C),0)</f>
        <v>0</v>
      </c>
      <c r="D610" s="69">
        <f>IFERROR(_xlfn.XLOOKUP($B:$B,Google!A:A,Google!C:C,),0)</f>
        <v>0</v>
      </c>
      <c r="E610" s="70" t="e">
        <f>SUMIF(#REF!,'Compilado 2023 (2)'!$B:$B,#REF!)</f>
        <v>#REF!</v>
      </c>
      <c r="F610" s="71">
        <v>0</v>
      </c>
      <c r="G610" s="70">
        <f ca="1">_xlfn.XLOOKUP(B:B,'E-mail'!A:A,'E-mail'!C:C)</f>
        <v>51.612903225806448</v>
      </c>
      <c r="H610" s="70">
        <f>IFERROR(_xlfn.XLOOKUP($B:$B,#REF!,#REF!),0)</f>
        <v>0</v>
      </c>
      <c r="I610" s="71">
        <v>0</v>
      </c>
      <c r="J610" s="71">
        <v>0</v>
      </c>
      <c r="K610" s="71">
        <v>0</v>
      </c>
      <c r="L610" s="59"/>
      <c r="M610" s="70">
        <v>0</v>
      </c>
      <c r="N610" s="70">
        <v>0</v>
      </c>
      <c r="O610" s="70">
        <v>0</v>
      </c>
      <c r="P610" s="38"/>
      <c r="Q610" s="40"/>
    </row>
    <row r="611" spans="1:17" s="2" customFormat="1" x14ac:dyDescent="0.2">
      <c r="A611" s="16" t="str">
        <f t="shared" si="18"/>
        <v>sexta-feira</v>
      </c>
      <c r="B611" s="17">
        <f t="shared" si="19"/>
        <v>45170</v>
      </c>
      <c r="C611" s="52">
        <f>IFERROR(_xlfn.XLOOKUP($B:$B,'Estatísticos Mensais'!$A:$A,'Estatísticos Mensais'!C:C),0)</f>
        <v>0</v>
      </c>
      <c r="D611" s="69">
        <f>IFERROR(_xlfn.XLOOKUP($B:$B,Google!A:A,Google!C:C,),0)</f>
        <v>0</v>
      </c>
      <c r="E611" s="70" t="e">
        <f>SUMIF(#REF!,'Compilado 2023 (2)'!$B:$B,#REF!)</f>
        <v>#REF!</v>
      </c>
      <c r="F611" s="71">
        <v>0</v>
      </c>
      <c r="G611" s="70">
        <f ca="1">_xlfn.XLOOKUP(B:B,'E-mail'!A:A,'E-mail'!C:C)</f>
        <v>53.333333333333336</v>
      </c>
      <c r="H611" s="70">
        <f>IFERROR(_xlfn.XLOOKUP($B:$B,#REF!,#REF!),0)</f>
        <v>0</v>
      </c>
      <c r="I611" s="71">
        <v>0</v>
      </c>
      <c r="J611" s="71">
        <v>0</v>
      </c>
      <c r="K611" s="71">
        <v>0</v>
      </c>
      <c r="L611" s="59"/>
      <c r="M611" s="70">
        <v>0</v>
      </c>
      <c r="N611" s="70">
        <v>0</v>
      </c>
      <c r="O611" s="70">
        <v>0</v>
      </c>
      <c r="P611" s="38"/>
      <c r="Q611" s="40"/>
    </row>
    <row r="612" spans="1:17" s="2" customFormat="1" x14ac:dyDescent="0.2">
      <c r="A612" s="16" t="str">
        <f t="shared" si="18"/>
        <v>sábado</v>
      </c>
      <c r="B612" s="17">
        <f t="shared" si="19"/>
        <v>45171</v>
      </c>
      <c r="C612" s="52">
        <f>IFERROR(_xlfn.XLOOKUP($B:$B,'Estatísticos Mensais'!$A:$A,'Estatísticos Mensais'!C:C),0)</f>
        <v>0</v>
      </c>
      <c r="D612" s="69">
        <f>IFERROR(_xlfn.XLOOKUP($B:$B,Google!A:A,Google!C:C,),0)</f>
        <v>0</v>
      </c>
      <c r="E612" s="70" t="e">
        <f>SUMIF(#REF!,'Compilado 2023 (2)'!$B:$B,#REF!)</f>
        <v>#REF!</v>
      </c>
      <c r="F612" s="71">
        <v>0</v>
      </c>
      <c r="G612" s="70">
        <f ca="1">_xlfn.XLOOKUP(B:B,'E-mail'!A:A,'E-mail'!C:C)</f>
        <v>53.333333333333336</v>
      </c>
      <c r="H612" s="70">
        <f>IFERROR(_xlfn.XLOOKUP($B:$B,#REF!,#REF!),0)</f>
        <v>0</v>
      </c>
      <c r="I612" s="71">
        <v>0</v>
      </c>
      <c r="J612" s="71">
        <v>0</v>
      </c>
      <c r="K612" s="71">
        <v>0</v>
      </c>
      <c r="L612" s="59"/>
      <c r="M612" s="70">
        <v>0</v>
      </c>
      <c r="N612" s="70">
        <v>0</v>
      </c>
      <c r="O612" s="70">
        <v>0</v>
      </c>
      <c r="P612" s="38"/>
      <c r="Q612" s="40"/>
    </row>
    <row r="613" spans="1:17" s="2" customFormat="1" x14ac:dyDescent="0.2">
      <c r="A613" s="16" t="str">
        <f t="shared" si="18"/>
        <v>domingo</v>
      </c>
      <c r="B613" s="17">
        <f t="shared" si="19"/>
        <v>45172</v>
      </c>
      <c r="C613" s="52">
        <f>IFERROR(_xlfn.XLOOKUP($B:$B,'Estatísticos Mensais'!$A:$A,'Estatísticos Mensais'!C:C),0)</f>
        <v>0</v>
      </c>
      <c r="D613" s="69">
        <f>IFERROR(_xlfn.XLOOKUP($B:$B,Google!A:A,Google!C:C,),0)</f>
        <v>0</v>
      </c>
      <c r="E613" s="70" t="e">
        <f>SUMIF(#REF!,'Compilado 2023 (2)'!$B:$B,#REF!)</f>
        <v>#REF!</v>
      </c>
      <c r="F613" s="71">
        <v>0</v>
      </c>
      <c r="G613" s="70">
        <f ca="1">_xlfn.XLOOKUP(B:B,'E-mail'!A:A,'E-mail'!C:C)</f>
        <v>53.333333333333336</v>
      </c>
      <c r="H613" s="70">
        <f>IFERROR(_xlfn.XLOOKUP($B:$B,#REF!,#REF!),0)</f>
        <v>0</v>
      </c>
      <c r="I613" s="71">
        <v>0</v>
      </c>
      <c r="J613" s="71">
        <v>0</v>
      </c>
      <c r="K613" s="71">
        <v>0</v>
      </c>
      <c r="L613" s="59"/>
      <c r="M613" s="70">
        <v>0</v>
      </c>
      <c r="N613" s="70">
        <v>0</v>
      </c>
      <c r="O613" s="70">
        <v>0</v>
      </c>
      <c r="P613" s="38"/>
      <c r="Q613" s="40"/>
    </row>
    <row r="614" spans="1:17" s="2" customFormat="1" x14ac:dyDescent="0.2">
      <c r="A614" s="16" t="str">
        <f t="shared" si="18"/>
        <v>segunda-feira</v>
      </c>
      <c r="B614" s="17">
        <f t="shared" si="19"/>
        <v>45173</v>
      </c>
      <c r="C614" s="52">
        <f>IFERROR(_xlfn.XLOOKUP($B:$B,'Estatísticos Mensais'!$A:$A,'Estatísticos Mensais'!C:C),0)</f>
        <v>0</v>
      </c>
      <c r="D614" s="69">
        <f>IFERROR(_xlfn.XLOOKUP($B:$B,Google!A:A,Google!C:C,),0)</f>
        <v>0</v>
      </c>
      <c r="E614" s="70" t="e">
        <f>SUMIF(#REF!,'Compilado 2023 (2)'!$B:$B,#REF!)</f>
        <v>#REF!</v>
      </c>
      <c r="F614" s="71">
        <v>0</v>
      </c>
      <c r="G614" s="70">
        <f ca="1">_xlfn.XLOOKUP(B:B,'E-mail'!A:A,'E-mail'!C:C)</f>
        <v>53.333333333333336</v>
      </c>
      <c r="H614" s="70">
        <f>IFERROR(_xlfn.XLOOKUP($B:$B,#REF!,#REF!),0)</f>
        <v>0</v>
      </c>
      <c r="I614" s="71">
        <v>0</v>
      </c>
      <c r="J614" s="71">
        <v>0</v>
      </c>
      <c r="K614" s="71">
        <v>0</v>
      </c>
      <c r="L614" s="59"/>
      <c r="M614" s="70">
        <v>0</v>
      </c>
      <c r="N614" s="70">
        <v>0</v>
      </c>
      <c r="O614" s="70">
        <v>0</v>
      </c>
      <c r="P614" s="38"/>
      <c r="Q614" s="40"/>
    </row>
    <row r="615" spans="1:17" s="2" customFormat="1" x14ac:dyDescent="0.2">
      <c r="A615" s="16" t="str">
        <f t="shared" si="18"/>
        <v>terça-feira</v>
      </c>
      <c r="B615" s="17">
        <f t="shared" si="19"/>
        <v>45174</v>
      </c>
      <c r="C615" s="52">
        <f>IFERROR(_xlfn.XLOOKUP($B:$B,'Estatísticos Mensais'!$A:$A,'Estatísticos Mensais'!C:C),0)</f>
        <v>0</v>
      </c>
      <c r="D615" s="69">
        <f>IFERROR(_xlfn.XLOOKUP($B:$B,Google!A:A,Google!C:C,),0)</f>
        <v>0</v>
      </c>
      <c r="E615" s="70" t="e">
        <f>SUMIF(#REF!,'Compilado 2023 (2)'!$B:$B,#REF!)</f>
        <v>#REF!</v>
      </c>
      <c r="F615" s="71">
        <v>0</v>
      </c>
      <c r="G615" s="70">
        <f ca="1">_xlfn.XLOOKUP(B:B,'E-mail'!A:A,'E-mail'!C:C)</f>
        <v>53.333333333333336</v>
      </c>
      <c r="H615" s="70">
        <f>IFERROR(_xlfn.XLOOKUP($B:$B,#REF!,#REF!),0)</f>
        <v>0</v>
      </c>
      <c r="I615" s="71">
        <v>0</v>
      </c>
      <c r="J615" s="71">
        <v>0</v>
      </c>
      <c r="K615" s="71">
        <v>0</v>
      </c>
      <c r="L615" s="59"/>
      <c r="M615" s="70">
        <v>0</v>
      </c>
      <c r="N615" s="70">
        <v>0</v>
      </c>
      <c r="O615" s="70">
        <v>0</v>
      </c>
      <c r="P615" s="38"/>
      <c r="Q615" s="40"/>
    </row>
    <row r="616" spans="1:17" s="2" customFormat="1" x14ac:dyDescent="0.2">
      <c r="A616" s="16" t="str">
        <f t="shared" si="18"/>
        <v>quarta-feira</v>
      </c>
      <c r="B616" s="17">
        <f t="shared" si="19"/>
        <v>45175</v>
      </c>
      <c r="C616" s="52">
        <f>IFERROR(_xlfn.XLOOKUP($B:$B,'Estatísticos Mensais'!$A:$A,'Estatísticos Mensais'!C:C),0)</f>
        <v>0</v>
      </c>
      <c r="D616" s="69">
        <f>IFERROR(_xlfn.XLOOKUP($B:$B,Google!A:A,Google!C:C,),0)</f>
        <v>0</v>
      </c>
      <c r="E616" s="70" t="e">
        <f>SUMIF(#REF!,'Compilado 2023 (2)'!$B:$B,#REF!)</f>
        <v>#REF!</v>
      </c>
      <c r="F616" s="71">
        <v>0</v>
      </c>
      <c r="G616" s="70">
        <f ca="1">_xlfn.XLOOKUP(B:B,'E-mail'!A:A,'E-mail'!C:C)</f>
        <v>53.333333333333336</v>
      </c>
      <c r="H616" s="70">
        <f>IFERROR(_xlfn.XLOOKUP($B:$B,#REF!,#REF!),0)</f>
        <v>0</v>
      </c>
      <c r="I616" s="71">
        <v>0</v>
      </c>
      <c r="J616" s="71">
        <v>0</v>
      </c>
      <c r="K616" s="71">
        <v>0</v>
      </c>
      <c r="L616" s="59"/>
      <c r="M616" s="70">
        <v>0</v>
      </c>
      <c r="N616" s="70">
        <v>0</v>
      </c>
      <c r="O616" s="70">
        <v>0</v>
      </c>
      <c r="P616" s="38"/>
      <c r="Q616" s="40"/>
    </row>
    <row r="617" spans="1:17" s="2" customFormat="1" x14ac:dyDescent="0.2">
      <c r="A617" s="16" t="str">
        <f t="shared" si="18"/>
        <v>quinta-feira</v>
      </c>
      <c r="B617" s="17">
        <f t="shared" si="19"/>
        <v>45176</v>
      </c>
      <c r="C617" s="52">
        <f>IFERROR(_xlfn.XLOOKUP($B:$B,'Estatísticos Mensais'!$A:$A,'Estatísticos Mensais'!C:C),0)</f>
        <v>0</v>
      </c>
      <c r="D617" s="69">
        <f>IFERROR(_xlfn.XLOOKUP($B:$B,Google!A:A,Google!C:C,),0)</f>
        <v>0</v>
      </c>
      <c r="E617" s="70" t="e">
        <f>SUMIF(#REF!,'Compilado 2023 (2)'!$B:$B,#REF!)</f>
        <v>#REF!</v>
      </c>
      <c r="F617" s="71">
        <v>0</v>
      </c>
      <c r="G617" s="70">
        <f ca="1">_xlfn.XLOOKUP(B:B,'E-mail'!A:A,'E-mail'!C:C)</f>
        <v>53.333333333333336</v>
      </c>
      <c r="H617" s="70">
        <f>IFERROR(_xlfn.XLOOKUP($B:$B,#REF!,#REF!),0)</f>
        <v>0</v>
      </c>
      <c r="I617" s="71">
        <v>0</v>
      </c>
      <c r="J617" s="71">
        <v>0</v>
      </c>
      <c r="K617" s="71">
        <v>0</v>
      </c>
      <c r="L617" s="59"/>
      <c r="M617" s="70">
        <v>0</v>
      </c>
      <c r="N617" s="70">
        <v>0</v>
      </c>
      <c r="O617" s="70">
        <v>0</v>
      </c>
      <c r="P617" s="38"/>
      <c r="Q617" s="40"/>
    </row>
    <row r="618" spans="1:17" s="2" customFormat="1" x14ac:dyDescent="0.2">
      <c r="A618" s="16" t="str">
        <f t="shared" si="18"/>
        <v>sexta-feira</v>
      </c>
      <c r="B618" s="17">
        <f t="shared" si="19"/>
        <v>45177</v>
      </c>
      <c r="C618" s="52">
        <f>IFERROR(_xlfn.XLOOKUP($B:$B,'Estatísticos Mensais'!$A:$A,'Estatísticos Mensais'!C:C),0)</f>
        <v>0</v>
      </c>
      <c r="D618" s="69">
        <f>IFERROR(_xlfn.XLOOKUP($B:$B,Google!A:A,Google!C:C,),0)</f>
        <v>0</v>
      </c>
      <c r="E618" s="70" t="e">
        <f>SUMIF(#REF!,'Compilado 2023 (2)'!$B:$B,#REF!)</f>
        <v>#REF!</v>
      </c>
      <c r="F618" s="71">
        <v>0</v>
      </c>
      <c r="G618" s="70">
        <f ca="1">_xlfn.XLOOKUP(B:B,'E-mail'!A:A,'E-mail'!C:C)</f>
        <v>53.333333333333336</v>
      </c>
      <c r="H618" s="70">
        <f>IFERROR(_xlfn.XLOOKUP($B:$B,#REF!,#REF!),0)</f>
        <v>0</v>
      </c>
      <c r="I618" s="71">
        <v>0</v>
      </c>
      <c r="J618" s="71">
        <v>0</v>
      </c>
      <c r="K618" s="71">
        <v>0</v>
      </c>
      <c r="L618" s="59"/>
      <c r="M618" s="70">
        <v>0</v>
      </c>
      <c r="N618" s="70">
        <v>0</v>
      </c>
      <c r="O618" s="70">
        <v>0</v>
      </c>
      <c r="P618" s="38"/>
      <c r="Q618" s="40"/>
    </row>
    <row r="619" spans="1:17" s="2" customFormat="1" x14ac:dyDescent="0.2">
      <c r="A619" s="16" t="str">
        <f t="shared" si="18"/>
        <v>sábado</v>
      </c>
      <c r="B619" s="17">
        <f t="shared" si="19"/>
        <v>45178</v>
      </c>
      <c r="C619" s="52">
        <f>IFERROR(_xlfn.XLOOKUP($B:$B,'Estatísticos Mensais'!$A:$A,'Estatísticos Mensais'!C:C),0)</f>
        <v>0</v>
      </c>
      <c r="D619" s="69">
        <f>IFERROR(_xlfn.XLOOKUP($B:$B,Google!A:A,Google!C:C,),0)</f>
        <v>0</v>
      </c>
      <c r="E619" s="70" t="e">
        <f>SUMIF(#REF!,'Compilado 2023 (2)'!$B:$B,#REF!)</f>
        <v>#REF!</v>
      </c>
      <c r="F619" s="71">
        <v>0</v>
      </c>
      <c r="G619" s="70">
        <f ca="1">_xlfn.XLOOKUP(B:B,'E-mail'!A:A,'E-mail'!C:C)</f>
        <v>53.333333333333336</v>
      </c>
      <c r="H619" s="70">
        <f>IFERROR(_xlfn.XLOOKUP($B:$B,#REF!,#REF!),0)</f>
        <v>0</v>
      </c>
      <c r="I619" s="71">
        <v>0</v>
      </c>
      <c r="J619" s="71">
        <v>0</v>
      </c>
      <c r="K619" s="71">
        <v>0</v>
      </c>
      <c r="L619" s="59"/>
      <c r="M619" s="70">
        <v>0</v>
      </c>
      <c r="N619" s="70">
        <v>0</v>
      </c>
      <c r="O619" s="70">
        <v>0</v>
      </c>
      <c r="P619" s="38"/>
      <c r="Q619" s="40"/>
    </row>
    <row r="620" spans="1:17" s="2" customFormat="1" x14ac:dyDescent="0.2">
      <c r="A620" s="16" t="str">
        <f t="shared" si="18"/>
        <v>domingo</v>
      </c>
      <c r="B620" s="17">
        <f t="shared" si="19"/>
        <v>45179</v>
      </c>
      <c r="C620" s="52">
        <f>IFERROR(_xlfn.XLOOKUP($B:$B,'Estatísticos Mensais'!$A:$A,'Estatísticos Mensais'!C:C),0)</f>
        <v>0</v>
      </c>
      <c r="D620" s="69">
        <f>IFERROR(_xlfn.XLOOKUP($B:$B,Google!A:A,Google!C:C,),0)</f>
        <v>0</v>
      </c>
      <c r="E620" s="70" t="e">
        <f>SUMIF(#REF!,'Compilado 2023 (2)'!$B:$B,#REF!)</f>
        <v>#REF!</v>
      </c>
      <c r="F620" s="71">
        <v>0</v>
      </c>
      <c r="G620" s="70">
        <f ca="1">_xlfn.XLOOKUP(B:B,'E-mail'!A:A,'E-mail'!C:C)</f>
        <v>53.333333333333336</v>
      </c>
      <c r="H620" s="70">
        <f>IFERROR(_xlfn.XLOOKUP($B:$B,#REF!,#REF!),0)</f>
        <v>0</v>
      </c>
      <c r="I620" s="71">
        <v>0</v>
      </c>
      <c r="J620" s="71">
        <v>0</v>
      </c>
      <c r="K620" s="71">
        <v>0</v>
      </c>
      <c r="L620" s="59"/>
      <c r="M620" s="70">
        <v>0</v>
      </c>
      <c r="N620" s="70">
        <v>0</v>
      </c>
      <c r="O620" s="70">
        <v>0</v>
      </c>
      <c r="P620" s="38"/>
      <c r="Q620" s="40"/>
    </row>
    <row r="621" spans="1:17" s="2" customFormat="1" x14ac:dyDescent="0.2">
      <c r="A621" s="16" t="str">
        <f t="shared" si="18"/>
        <v>segunda-feira</v>
      </c>
      <c r="B621" s="17">
        <f t="shared" si="19"/>
        <v>45180</v>
      </c>
      <c r="C621" s="52">
        <f>IFERROR(_xlfn.XLOOKUP($B:$B,'Estatísticos Mensais'!$A:$A,'Estatísticos Mensais'!C:C),0)</f>
        <v>0</v>
      </c>
      <c r="D621" s="69">
        <f>IFERROR(_xlfn.XLOOKUP($B:$B,Google!A:A,Google!C:C,),0)</f>
        <v>0</v>
      </c>
      <c r="E621" s="70" t="e">
        <f>SUMIF(#REF!,'Compilado 2023 (2)'!$B:$B,#REF!)</f>
        <v>#REF!</v>
      </c>
      <c r="F621" s="71">
        <v>0</v>
      </c>
      <c r="G621" s="70">
        <f ca="1">_xlfn.XLOOKUP(B:B,'E-mail'!A:A,'E-mail'!C:C)</f>
        <v>53.333333333333336</v>
      </c>
      <c r="H621" s="70">
        <f>IFERROR(_xlfn.XLOOKUP($B:$B,#REF!,#REF!),0)</f>
        <v>0</v>
      </c>
      <c r="I621" s="71">
        <v>0</v>
      </c>
      <c r="J621" s="71">
        <v>0</v>
      </c>
      <c r="K621" s="71">
        <v>0</v>
      </c>
      <c r="L621" s="59"/>
      <c r="M621" s="70">
        <v>0</v>
      </c>
      <c r="N621" s="70">
        <v>0</v>
      </c>
      <c r="O621" s="70">
        <v>0</v>
      </c>
      <c r="P621" s="38"/>
      <c r="Q621" s="40"/>
    </row>
    <row r="622" spans="1:17" s="2" customFormat="1" x14ac:dyDescent="0.2">
      <c r="A622" s="16" t="str">
        <f t="shared" si="18"/>
        <v>terça-feira</v>
      </c>
      <c r="B622" s="17">
        <f t="shared" si="19"/>
        <v>45181</v>
      </c>
      <c r="C622" s="52">
        <f>IFERROR(_xlfn.XLOOKUP($B:$B,'Estatísticos Mensais'!$A:$A,'Estatísticos Mensais'!C:C),0)</f>
        <v>0</v>
      </c>
      <c r="D622" s="69">
        <f>IFERROR(_xlfn.XLOOKUP($B:$B,Google!A:A,Google!C:C,),0)</f>
        <v>0</v>
      </c>
      <c r="E622" s="70" t="e">
        <f>SUMIF(#REF!,'Compilado 2023 (2)'!$B:$B,#REF!)</f>
        <v>#REF!</v>
      </c>
      <c r="F622" s="71">
        <v>0</v>
      </c>
      <c r="G622" s="70">
        <f ca="1">_xlfn.XLOOKUP(B:B,'E-mail'!A:A,'E-mail'!C:C)</f>
        <v>53.333333333333336</v>
      </c>
      <c r="H622" s="70">
        <f>IFERROR(_xlfn.XLOOKUP($B:$B,#REF!,#REF!),0)</f>
        <v>0</v>
      </c>
      <c r="I622" s="71">
        <v>0</v>
      </c>
      <c r="J622" s="71">
        <v>0</v>
      </c>
      <c r="K622" s="71">
        <v>0</v>
      </c>
      <c r="L622" s="59"/>
      <c r="M622" s="70">
        <v>0</v>
      </c>
      <c r="N622" s="70">
        <v>0</v>
      </c>
      <c r="O622" s="70">
        <v>0</v>
      </c>
      <c r="P622" s="38"/>
      <c r="Q622" s="40"/>
    </row>
    <row r="623" spans="1:17" s="2" customFormat="1" x14ac:dyDescent="0.2">
      <c r="A623" s="16" t="str">
        <f t="shared" si="18"/>
        <v>quarta-feira</v>
      </c>
      <c r="B623" s="17">
        <f t="shared" si="19"/>
        <v>45182</v>
      </c>
      <c r="C623" s="52">
        <f>IFERROR(_xlfn.XLOOKUP($B:$B,'Estatísticos Mensais'!$A:$A,'Estatísticos Mensais'!C:C),0)</f>
        <v>0</v>
      </c>
      <c r="D623" s="69">
        <f>IFERROR(_xlfn.XLOOKUP($B:$B,Google!A:A,Google!C:C,),0)</f>
        <v>0</v>
      </c>
      <c r="E623" s="70" t="e">
        <f>SUMIF(#REF!,'Compilado 2023 (2)'!$B:$B,#REF!)</f>
        <v>#REF!</v>
      </c>
      <c r="F623" s="71">
        <v>0</v>
      </c>
      <c r="G623" s="70">
        <f ca="1">_xlfn.XLOOKUP(B:B,'E-mail'!A:A,'E-mail'!C:C)</f>
        <v>53.333333333333336</v>
      </c>
      <c r="H623" s="70">
        <f>IFERROR(_xlfn.XLOOKUP($B:$B,#REF!,#REF!),0)</f>
        <v>0</v>
      </c>
      <c r="I623" s="71">
        <v>0</v>
      </c>
      <c r="J623" s="71">
        <v>0</v>
      </c>
      <c r="K623" s="71">
        <v>0</v>
      </c>
      <c r="L623" s="59"/>
      <c r="M623" s="70">
        <v>0</v>
      </c>
      <c r="N623" s="70">
        <v>0</v>
      </c>
      <c r="O623" s="70">
        <v>0</v>
      </c>
      <c r="P623" s="38"/>
      <c r="Q623" s="40"/>
    </row>
    <row r="624" spans="1:17" s="2" customFormat="1" x14ac:dyDescent="0.2">
      <c r="A624" s="16" t="str">
        <f t="shared" si="18"/>
        <v>quinta-feira</v>
      </c>
      <c r="B624" s="17">
        <f t="shared" si="19"/>
        <v>45183</v>
      </c>
      <c r="C624" s="52">
        <f>IFERROR(_xlfn.XLOOKUP($B:$B,'Estatísticos Mensais'!$A:$A,'Estatísticos Mensais'!C:C),0)</f>
        <v>0</v>
      </c>
      <c r="D624" s="69">
        <f>IFERROR(_xlfn.XLOOKUP($B:$B,Google!A:A,Google!C:C,),0)</f>
        <v>0</v>
      </c>
      <c r="E624" s="70" t="e">
        <f>SUMIF(#REF!,'Compilado 2023 (2)'!$B:$B,#REF!)</f>
        <v>#REF!</v>
      </c>
      <c r="F624" s="71">
        <v>0</v>
      </c>
      <c r="G624" s="70">
        <f ca="1">_xlfn.XLOOKUP(B:B,'E-mail'!A:A,'E-mail'!C:C)</f>
        <v>53.333333333333336</v>
      </c>
      <c r="H624" s="70">
        <f>IFERROR(_xlfn.XLOOKUP($B:$B,#REF!,#REF!),0)</f>
        <v>0</v>
      </c>
      <c r="I624" s="71">
        <v>0</v>
      </c>
      <c r="J624" s="71">
        <v>0</v>
      </c>
      <c r="K624" s="71">
        <v>0</v>
      </c>
      <c r="L624" s="59"/>
      <c r="M624" s="70">
        <v>0</v>
      </c>
      <c r="N624" s="70">
        <v>0</v>
      </c>
      <c r="O624" s="70">
        <v>0</v>
      </c>
      <c r="P624" s="38"/>
      <c r="Q624" s="40"/>
    </row>
    <row r="625" spans="1:17" s="2" customFormat="1" x14ac:dyDescent="0.2">
      <c r="A625" s="16" t="str">
        <f t="shared" si="18"/>
        <v>sexta-feira</v>
      </c>
      <c r="B625" s="17">
        <f t="shared" si="19"/>
        <v>45184</v>
      </c>
      <c r="C625" s="52">
        <f>IFERROR(_xlfn.XLOOKUP($B:$B,'Estatísticos Mensais'!$A:$A,'Estatísticos Mensais'!C:C),0)</f>
        <v>0</v>
      </c>
      <c r="D625" s="69">
        <f>IFERROR(_xlfn.XLOOKUP($B:$B,Google!A:A,Google!C:C,),0)</f>
        <v>0</v>
      </c>
      <c r="E625" s="70" t="e">
        <f>SUMIF(#REF!,'Compilado 2023 (2)'!$B:$B,#REF!)</f>
        <v>#REF!</v>
      </c>
      <c r="F625" s="71">
        <v>0</v>
      </c>
      <c r="G625" s="70">
        <f ca="1">_xlfn.XLOOKUP(B:B,'E-mail'!A:A,'E-mail'!C:C)</f>
        <v>53.333333333333336</v>
      </c>
      <c r="H625" s="70">
        <f>IFERROR(_xlfn.XLOOKUP($B:$B,#REF!,#REF!),0)</f>
        <v>0</v>
      </c>
      <c r="I625" s="71">
        <v>0</v>
      </c>
      <c r="J625" s="71">
        <v>0</v>
      </c>
      <c r="K625" s="71">
        <v>0</v>
      </c>
      <c r="L625" s="59"/>
      <c r="M625" s="70">
        <v>0</v>
      </c>
      <c r="N625" s="70">
        <v>0</v>
      </c>
      <c r="O625" s="70">
        <v>0</v>
      </c>
      <c r="P625" s="38"/>
      <c r="Q625" s="40"/>
    </row>
    <row r="626" spans="1:17" s="2" customFormat="1" x14ac:dyDescent="0.2">
      <c r="A626" s="16" t="str">
        <f t="shared" si="18"/>
        <v>sábado</v>
      </c>
      <c r="B626" s="17">
        <f t="shared" si="19"/>
        <v>45185</v>
      </c>
      <c r="C626" s="52">
        <f>IFERROR(_xlfn.XLOOKUP($B:$B,'Estatísticos Mensais'!$A:$A,'Estatísticos Mensais'!C:C),0)</f>
        <v>0</v>
      </c>
      <c r="D626" s="69">
        <f>IFERROR(_xlfn.XLOOKUP($B:$B,Google!A:A,Google!C:C,),0)</f>
        <v>0</v>
      </c>
      <c r="E626" s="70" t="e">
        <f>SUMIF(#REF!,'Compilado 2023 (2)'!$B:$B,#REF!)</f>
        <v>#REF!</v>
      </c>
      <c r="F626" s="71">
        <v>0</v>
      </c>
      <c r="G626" s="70">
        <f ca="1">_xlfn.XLOOKUP(B:B,'E-mail'!A:A,'E-mail'!C:C)</f>
        <v>53.333333333333336</v>
      </c>
      <c r="H626" s="70">
        <f>IFERROR(_xlfn.XLOOKUP($B:$B,#REF!,#REF!),0)</f>
        <v>0</v>
      </c>
      <c r="I626" s="71">
        <v>0</v>
      </c>
      <c r="J626" s="71">
        <v>0</v>
      </c>
      <c r="K626" s="71">
        <v>0</v>
      </c>
      <c r="L626" s="59"/>
      <c r="M626" s="70">
        <v>0</v>
      </c>
      <c r="N626" s="70">
        <v>0</v>
      </c>
      <c r="O626" s="70">
        <v>0</v>
      </c>
      <c r="P626" s="38"/>
      <c r="Q626" s="40"/>
    </row>
    <row r="627" spans="1:17" s="2" customFormat="1" x14ac:dyDescent="0.2">
      <c r="A627" s="16" t="str">
        <f t="shared" si="18"/>
        <v>domingo</v>
      </c>
      <c r="B627" s="17">
        <f t="shared" si="19"/>
        <v>45186</v>
      </c>
      <c r="C627" s="52">
        <f>IFERROR(_xlfn.XLOOKUP($B:$B,'Estatísticos Mensais'!$A:$A,'Estatísticos Mensais'!C:C),0)</f>
        <v>0</v>
      </c>
      <c r="D627" s="69">
        <f>IFERROR(_xlfn.XLOOKUP($B:$B,Google!A:A,Google!C:C,),0)</f>
        <v>0</v>
      </c>
      <c r="E627" s="70" t="e">
        <f>SUMIF(#REF!,'Compilado 2023 (2)'!$B:$B,#REF!)</f>
        <v>#REF!</v>
      </c>
      <c r="F627" s="71">
        <v>0</v>
      </c>
      <c r="G627" s="70">
        <f ca="1">_xlfn.XLOOKUP(B:B,'E-mail'!A:A,'E-mail'!C:C)</f>
        <v>53.333333333333336</v>
      </c>
      <c r="H627" s="70">
        <f>IFERROR(_xlfn.XLOOKUP($B:$B,#REF!,#REF!),0)</f>
        <v>0</v>
      </c>
      <c r="I627" s="71">
        <v>0</v>
      </c>
      <c r="J627" s="71">
        <v>0</v>
      </c>
      <c r="K627" s="71">
        <v>0</v>
      </c>
      <c r="L627" s="59"/>
      <c r="M627" s="70">
        <v>0</v>
      </c>
      <c r="N627" s="70">
        <v>0</v>
      </c>
      <c r="O627" s="70">
        <v>0</v>
      </c>
      <c r="P627" s="38"/>
      <c r="Q627" s="40"/>
    </row>
    <row r="628" spans="1:17" s="2" customFormat="1" x14ac:dyDescent="0.2">
      <c r="A628" s="16" t="str">
        <f t="shared" si="18"/>
        <v>segunda-feira</v>
      </c>
      <c r="B628" s="17">
        <f t="shared" si="19"/>
        <v>45187</v>
      </c>
      <c r="C628" s="52">
        <f>IFERROR(_xlfn.XLOOKUP($B:$B,'Estatísticos Mensais'!$A:$A,'Estatísticos Mensais'!C:C),0)</f>
        <v>0</v>
      </c>
      <c r="D628" s="69">
        <f>IFERROR(_xlfn.XLOOKUP($B:$B,Google!A:A,Google!C:C,),0)</f>
        <v>0</v>
      </c>
      <c r="E628" s="70" t="e">
        <f>SUMIF(#REF!,'Compilado 2023 (2)'!$B:$B,#REF!)</f>
        <v>#REF!</v>
      </c>
      <c r="F628" s="71">
        <v>0</v>
      </c>
      <c r="G628" s="70">
        <f ca="1">_xlfn.XLOOKUP(B:B,'E-mail'!A:A,'E-mail'!C:C)</f>
        <v>53.333333333333336</v>
      </c>
      <c r="H628" s="70">
        <f>IFERROR(_xlfn.XLOOKUP($B:$B,#REF!,#REF!),0)</f>
        <v>0</v>
      </c>
      <c r="I628" s="71">
        <v>0</v>
      </c>
      <c r="J628" s="71">
        <v>0</v>
      </c>
      <c r="K628" s="71">
        <v>0</v>
      </c>
      <c r="L628" s="59"/>
      <c r="M628" s="70">
        <v>0</v>
      </c>
      <c r="N628" s="70">
        <v>0</v>
      </c>
      <c r="O628" s="70">
        <v>0</v>
      </c>
      <c r="P628" s="38"/>
      <c r="Q628" s="40"/>
    </row>
    <row r="629" spans="1:17" s="2" customFormat="1" x14ac:dyDescent="0.2">
      <c r="A629" s="16" t="str">
        <f t="shared" si="18"/>
        <v>terça-feira</v>
      </c>
      <c r="B629" s="17">
        <f t="shared" si="19"/>
        <v>45188</v>
      </c>
      <c r="C629" s="52">
        <f>IFERROR(_xlfn.XLOOKUP($B:$B,'Estatísticos Mensais'!$A:$A,'Estatísticos Mensais'!C:C),0)</f>
        <v>0</v>
      </c>
      <c r="D629" s="69">
        <f>IFERROR(_xlfn.XLOOKUP($B:$B,Google!A:A,Google!C:C,),0)</f>
        <v>0</v>
      </c>
      <c r="E629" s="70" t="e">
        <f>SUMIF(#REF!,'Compilado 2023 (2)'!$B:$B,#REF!)</f>
        <v>#REF!</v>
      </c>
      <c r="F629" s="71">
        <v>0</v>
      </c>
      <c r="G629" s="70">
        <f ca="1">_xlfn.XLOOKUP(B:B,'E-mail'!A:A,'E-mail'!C:C)</f>
        <v>53.333333333333336</v>
      </c>
      <c r="H629" s="70">
        <f>IFERROR(_xlfn.XLOOKUP($B:$B,#REF!,#REF!),0)</f>
        <v>0</v>
      </c>
      <c r="I629" s="71">
        <v>0</v>
      </c>
      <c r="J629" s="71">
        <v>0</v>
      </c>
      <c r="K629" s="71">
        <v>0</v>
      </c>
      <c r="L629" s="59"/>
      <c r="M629" s="70">
        <v>0</v>
      </c>
      <c r="N629" s="70">
        <v>0</v>
      </c>
      <c r="O629" s="70">
        <v>0</v>
      </c>
      <c r="P629" s="38"/>
      <c r="Q629" s="40"/>
    </row>
    <row r="630" spans="1:17" s="2" customFormat="1" x14ac:dyDescent="0.2">
      <c r="A630" s="16" t="str">
        <f t="shared" si="18"/>
        <v>quarta-feira</v>
      </c>
      <c r="B630" s="17">
        <f t="shared" si="19"/>
        <v>45189</v>
      </c>
      <c r="C630" s="52">
        <f>IFERROR(_xlfn.XLOOKUP($B:$B,'Estatísticos Mensais'!$A:$A,'Estatísticos Mensais'!C:C),0)</f>
        <v>0</v>
      </c>
      <c r="D630" s="69">
        <f>IFERROR(_xlfn.XLOOKUP($B:$B,Google!A:A,Google!C:C,),0)</f>
        <v>0</v>
      </c>
      <c r="E630" s="70" t="e">
        <f>SUMIF(#REF!,'Compilado 2023 (2)'!$B:$B,#REF!)</f>
        <v>#REF!</v>
      </c>
      <c r="F630" s="71">
        <v>0</v>
      </c>
      <c r="G630" s="70">
        <f ca="1">_xlfn.XLOOKUP(B:B,'E-mail'!A:A,'E-mail'!C:C)</f>
        <v>53.333333333333336</v>
      </c>
      <c r="H630" s="70">
        <f>IFERROR(_xlfn.XLOOKUP($B:$B,#REF!,#REF!),0)</f>
        <v>0</v>
      </c>
      <c r="I630" s="71">
        <v>0</v>
      </c>
      <c r="J630" s="71">
        <v>0</v>
      </c>
      <c r="K630" s="71">
        <v>0</v>
      </c>
      <c r="L630" s="59"/>
      <c r="M630" s="70">
        <v>0</v>
      </c>
      <c r="N630" s="70">
        <v>0</v>
      </c>
      <c r="O630" s="70">
        <v>0</v>
      </c>
      <c r="P630" s="38"/>
      <c r="Q630" s="40"/>
    </row>
    <row r="631" spans="1:17" s="2" customFormat="1" x14ac:dyDescent="0.2">
      <c r="A631" s="16" t="str">
        <f t="shared" ref="A631:A694" si="20">TEXT(B631,"DDDD")</f>
        <v>quinta-feira</v>
      </c>
      <c r="B631" s="17">
        <f t="shared" si="19"/>
        <v>45190</v>
      </c>
      <c r="C631" s="52">
        <f>IFERROR(_xlfn.XLOOKUP($B:$B,'Estatísticos Mensais'!$A:$A,'Estatísticos Mensais'!C:C),0)</f>
        <v>0</v>
      </c>
      <c r="D631" s="69">
        <f>IFERROR(_xlfn.XLOOKUP($B:$B,Google!A:A,Google!C:C,),0)</f>
        <v>0</v>
      </c>
      <c r="E631" s="70" t="e">
        <f>SUMIF(#REF!,'Compilado 2023 (2)'!$B:$B,#REF!)</f>
        <v>#REF!</v>
      </c>
      <c r="F631" s="71">
        <v>0</v>
      </c>
      <c r="G631" s="70">
        <f ca="1">_xlfn.XLOOKUP(B:B,'E-mail'!A:A,'E-mail'!C:C)</f>
        <v>53.333333333333336</v>
      </c>
      <c r="H631" s="70">
        <f>IFERROR(_xlfn.XLOOKUP($B:$B,#REF!,#REF!),0)</f>
        <v>0</v>
      </c>
      <c r="I631" s="71">
        <v>0</v>
      </c>
      <c r="J631" s="71">
        <v>0</v>
      </c>
      <c r="K631" s="71">
        <v>0</v>
      </c>
      <c r="L631" s="59"/>
      <c r="M631" s="70">
        <v>0</v>
      </c>
      <c r="N631" s="70">
        <v>0</v>
      </c>
      <c r="O631" s="70">
        <v>0</v>
      </c>
      <c r="P631" s="38"/>
      <c r="Q631" s="40"/>
    </row>
    <row r="632" spans="1:17" s="2" customFormat="1" x14ac:dyDescent="0.2">
      <c r="A632" s="16" t="str">
        <f t="shared" si="20"/>
        <v>sexta-feira</v>
      </c>
      <c r="B632" s="17">
        <f t="shared" si="19"/>
        <v>45191</v>
      </c>
      <c r="C632" s="52">
        <f>IFERROR(_xlfn.XLOOKUP($B:$B,'Estatísticos Mensais'!$A:$A,'Estatísticos Mensais'!C:C),0)</f>
        <v>0</v>
      </c>
      <c r="D632" s="69">
        <f>IFERROR(_xlfn.XLOOKUP($B:$B,Google!A:A,Google!C:C,),0)</f>
        <v>0</v>
      </c>
      <c r="E632" s="70" t="e">
        <f>SUMIF(#REF!,'Compilado 2023 (2)'!$B:$B,#REF!)</f>
        <v>#REF!</v>
      </c>
      <c r="F632" s="71">
        <v>0</v>
      </c>
      <c r="G632" s="70">
        <f ca="1">_xlfn.XLOOKUP(B:B,'E-mail'!A:A,'E-mail'!C:C)</f>
        <v>53.333333333333336</v>
      </c>
      <c r="H632" s="70">
        <f>IFERROR(_xlfn.XLOOKUP($B:$B,#REF!,#REF!),0)</f>
        <v>0</v>
      </c>
      <c r="I632" s="71">
        <v>0</v>
      </c>
      <c r="J632" s="71">
        <v>0</v>
      </c>
      <c r="K632" s="71">
        <v>0</v>
      </c>
      <c r="L632" s="59"/>
      <c r="M632" s="70">
        <v>0</v>
      </c>
      <c r="N632" s="70">
        <v>0</v>
      </c>
      <c r="O632" s="70">
        <v>0</v>
      </c>
      <c r="P632" s="38"/>
      <c r="Q632" s="40"/>
    </row>
    <row r="633" spans="1:17" s="2" customFormat="1" x14ac:dyDescent="0.2">
      <c r="A633" s="16" t="str">
        <f t="shared" si="20"/>
        <v>sábado</v>
      </c>
      <c r="B633" s="17">
        <f t="shared" si="19"/>
        <v>45192</v>
      </c>
      <c r="C633" s="52">
        <f>IFERROR(_xlfn.XLOOKUP($B:$B,'Estatísticos Mensais'!$A:$A,'Estatísticos Mensais'!C:C),0)</f>
        <v>0</v>
      </c>
      <c r="D633" s="69">
        <f>IFERROR(_xlfn.XLOOKUP($B:$B,Google!A:A,Google!C:C,),0)</f>
        <v>0</v>
      </c>
      <c r="E633" s="70" t="e">
        <f>SUMIF(#REF!,'Compilado 2023 (2)'!$B:$B,#REF!)</f>
        <v>#REF!</v>
      </c>
      <c r="F633" s="71">
        <v>0</v>
      </c>
      <c r="G633" s="70">
        <f ca="1">_xlfn.XLOOKUP(B:B,'E-mail'!A:A,'E-mail'!C:C)</f>
        <v>53.333333333333336</v>
      </c>
      <c r="H633" s="70">
        <f>IFERROR(_xlfn.XLOOKUP($B:$B,#REF!,#REF!),0)</f>
        <v>0</v>
      </c>
      <c r="I633" s="71">
        <v>0</v>
      </c>
      <c r="J633" s="71">
        <v>0</v>
      </c>
      <c r="K633" s="71">
        <v>0</v>
      </c>
      <c r="L633" s="59"/>
      <c r="M633" s="70">
        <v>0</v>
      </c>
      <c r="N633" s="70">
        <v>0</v>
      </c>
      <c r="O633" s="70">
        <v>0</v>
      </c>
      <c r="P633" s="38"/>
      <c r="Q633" s="40"/>
    </row>
    <row r="634" spans="1:17" s="2" customFormat="1" x14ac:dyDescent="0.2">
      <c r="A634" s="16" t="str">
        <f t="shared" si="20"/>
        <v>domingo</v>
      </c>
      <c r="B634" s="17">
        <f t="shared" si="19"/>
        <v>45193</v>
      </c>
      <c r="C634" s="52">
        <f>IFERROR(_xlfn.XLOOKUP($B:$B,'Estatísticos Mensais'!$A:$A,'Estatísticos Mensais'!C:C),0)</f>
        <v>0</v>
      </c>
      <c r="D634" s="69">
        <f>IFERROR(_xlfn.XLOOKUP($B:$B,Google!A:A,Google!C:C,),0)</f>
        <v>0</v>
      </c>
      <c r="E634" s="70" t="e">
        <f>SUMIF(#REF!,'Compilado 2023 (2)'!$B:$B,#REF!)</f>
        <v>#REF!</v>
      </c>
      <c r="F634" s="71">
        <v>0</v>
      </c>
      <c r="G634" s="70">
        <f ca="1">_xlfn.XLOOKUP(B:B,'E-mail'!A:A,'E-mail'!C:C)</f>
        <v>53.333333333333336</v>
      </c>
      <c r="H634" s="70">
        <f>IFERROR(_xlfn.XLOOKUP($B:$B,#REF!,#REF!),0)</f>
        <v>0</v>
      </c>
      <c r="I634" s="71">
        <v>0</v>
      </c>
      <c r="J634" s="71">
        <v>0</v>
      </c>
      <c r="K634" s="71">
        <v>0</v>
      </c>
      <c r="L634" s="59"/>
      <c r="M634" s="70">
        <v>0</v>
      </c>
      <c r="N634" s="70">
        <v>0</v>
      </c>
      <c r="O634" s="70">
        <v>0</v>
      </c>
      <c r="P634" s="38"/>
      <c r="Q634" s="40"/>
    </row>
    <row r="635" spans="1:17" s="2" customFormat="1" x14ac:dyDescent="0.2">
      <c r="A635" s="16" t="str">
        <f t="shared" si="20"/>
        <v>segunda-feira</v>
      </c>
      <c r="B635" s="17">
        <f t="shared" si="19"/>
        <v>45194</v>
      </c>
      <c r="C635" s="52">
        <f>IFERROR(_xlfn.XLOOKUP($B:$B,'Estatísticos Mensais'!$A:$A,'Estatísticos Mensais'!C:C),0)</f>
        <v>0</v>
      </c>
      <c r="D635" s="69">
        <f>IFERROR(_xlfn.XLOOKUP($B:$B,Google!A:A,Google!C:C,),0)</f>
        <v>0</v>
      </c>
      <c r="E635" s="70" t="e">
        <f>SUMIF(#REF!,'Compilado 2023 (2)'!$B:$B,#REF!)</f>
        <v>#REF!</v>
      </c>
      <c r="F635" s="71">
        <v>0</v>
      </c>
      <c r="G635" s="70">
        <f ca="1">_xlfn.XLOOKUP(B:B,'E-mail'!A:A,'E-mail'!C:C)</f>
        <v>53.333333333333336</v>
      </c>
      <c r="H635" s="70">
        <f>IFERROR(_xlfn.XLOOKUP($B:$B,#REF!,#REF!),0)</f>
        <v>0</v>
      </c>
      <c r="I635" s="71">
        <v>0</v>
      </c>
      <c r="J635" s="71">
        <v>0</v>
      </c>
      <c r="K635" s="71">
        <v>0</v>
      </c>
      <c r="L635" s="59"/>
      <c r="M635" s="70">
        <v>0</v>
      </c>
      <c r="N635" s="70">
        <v>0</v>
      </c>
      <c r="O635" s="70">
        <v>0</v>
      </c>
      <c r="P635" s="38"/>
      <c r="Q635" s="40"/>
    </row>
    <row r="636" spans="1:17" s="2" customFormat="1" x14ac:dyDescent="0.2">
      <c r="A636" s="16" t="str">
        <f t="shared" si="20"/>
        <v>terça-feira</v>
      </c>
      <c r="B636" s="17">
        <f t="shared" si="19"/>
        <v>45195</v>
      </c>
      <c r="C636" s="52">
        <f>IFERROR(_xlfn.XLOOKUP($B:$B,'Estatísticos Mensais'!$A:$A,'Estatísticos Mensais'!C:C),0)</f>
        <v>0</v>
      </c>
      <c r="D636" s="69">
        <f>IFERROR(_xlfn.XLOOKUP($B:$B,Google!A:A,Google!C:C,),0)</f>
        <v>0</v>
      </c>
      <c r="E636" s="70" t="e">
        <f>SUMIF(#REF!,'Compilado 2023 (2)'!$B:$B,#REF!)</f>
        <v>#REF!</v>
      </c>
      <c r="F636" s="71">
        <v>0</v>
      </c>
      <c r="G636" s="70">
        <f ca="1">_xlfn.XLOOKUP(B:B,'E-mail'!A:A,'E-mail'!C:C)</f>
        <v>53.333333333333336</v>
      </c>
      <c r="H636" s="70">
        <f>IFERROR(_xlfn.XLOOKUP($B:$B,#REF!,#REF!),0)</f>
        <v>0</v>
      </c>
      <c r="I636" s="71">
        <v>0</v>
      </c>
      <c r="J636" s="71">
        <v>0</v>
      </c>
      <c r="K636" s="71">
        <v>0</v>
      </c>
      <c r="L636" s="59"/>
      <c r="M636" s="70">
        <v>0</v>
      </c>
      <c r="N636" s="70">
        <v>0</v>
      </c>
      <c r="O636" s="70">
        <v>0</v>
      </c>
      <c r="P636" s="38"/>
      <c r="Q636" s="40"/>
    </row>
    <row r="637" spans="1:17" s="2" customFormat="1" x14ac:dyDescent="0.2">
      <c r="A637" s="16" t="str">
        <f t="shared" si="20"/>
        <v>quarta-feira</v>
      </c>
      <c r="B637" s="17">
        <f t="shared" si="19"/>
        <v>45196</v>
      </c>
      <c r="C637" s="52">
        <f>IFERROR(_xlfn.XLOOKUP($B:$B,'Estatísticos Mensais'!$A:$A,'Estatísticos Mensais'!C:C),0)</f>
        <v>0</v>
      </c>
      <c r="D637" s="69">
        <f>IFERROR(_xlfn.XLOOKUP($B:$B,Google!A:A,Google!C:C,),0)</f>
        <v>0</v>
      </c>
      <c r="E637" s="70" t="e">
        <f>SUMIF(#REF!,'Compilado 2023 (2)'!$B:$B,#REF!)</f>
        <v>#REF!</v>
      </c>
      <c r="F637" s="71">
        <v>0</v>
      </c>
      <c r="G637" s="70">
        <f ca="1">_xlfn.XLOOKUP(B:B,'E-mail'!A:A,'E-mail'!C:C)</f>
        <v>53.333333333333336</v>
      </c>
      <c r="H637" s="70">
        <f>IFERROR(_xlfn.XLOOKUP($B:$B,#REF!,#REF!),0)</f>
        <v>0</v>
      </c>
      <c r="I637" s="71">
        <v>0</v>
      </c>
      <c r="J637" s="71">
        <v>0</v>
      </c>
      <c r="K637" s="71">
        <v>0</v>
      </c>
      <c r="L637" s="59"/>
      <c r="M637" s="70">
        <v>0</v>
      </c>
      <c r="N637" s="70">
        <v>0</v>
      </c>
      <c r="O637" s="70">
        <v>0</v>
      </c>
      <c r="P637" s="38"/>
      <c r="Q637" s="40"/>
    </row>
    <row r="638" spans="1:17" s="2" customFormat="1" x14ac:dyDescent="0.2">
      <c r="A638" s="16" t="str">
        <f t="shared" si="20"/>
        <v>quinta-feira</v>
      </c>
      <c r="B638" s="17">
        <f t="shared" si="19"/>
        <v>45197</v>
      </c>
      <c r="C638" s="52">
        <f>IFERROR(_xlfn.XLOOKUP($B:$B,'Estatísticos Mensais'!$A:$A,'Estatísticos Mensais'!C:C),0)</f>
        <v>0</v>
      </c>
      <c r="D638" s="69">
        <f>IFERROR(_xlfn.XLOOKUP($B:$B,Google!A:A,Google!C:C,),0)</f>
        <v>0</v>
      </c>
      <c r="E638" s="70" t="e">
        <f>SUMIF(#REF!,'Compilado 2023 (2)'!$B:$B,#REF!)</f>
        <v>#REF!</v>
      </c>
      <c r="F638" s="71">
        <v>0</v>
      </c>
      <c r="G638" s="70">
        <f ca="1">_xlfn.XLOOKUP(B:B,'E-mail'!A:A,'E-mail'!C:C)</f>
        <v>53.333333333333336</v>
      </c>
      <c r="H638" s="70">
        <f>IFERROR(_xlfn.XLOOKUP($B:$B,#REF!,#REF!),0)</f>
        <v>0</v>
      </c>
      <c r="I638" s="71">
        <v>0</v>
      </c>
      <c r="J638" s="71">
        <v>0</v>
      </c>
      <c r="K638" s="71">
        <v>0</v>
      </c>
      <c r="L638" s="59"/>
      <c r="M638" s="70">
        <v>0</v>
      </c>
      <c r="N638" s="70">
        <v>0</v>
      </c>
      <c r="O638" s="70">
        <v>0</v>
      </c>
      <c r="P638" s="38"/>
      <c r="Q638" s="40"/>
    </row>
    <row r="639" spans="1:17" s="2" customFormat="1" x14ac:dyDescent="0.2">
      <c r="A639" s="16" t="str">
        <f t="shared" si="20"/>
        <v>sexta-feira</v>
      </c>
      <c r="B639" s="17">
        <f t="shared" si="19"/>
        <v>45198</v>
      </c>
      <c r="C639" s="52">
        <f>IFERROR(_xlfn.XLOOKUP($B:$B,'Estatísticos Mensais'!$A:$A,'Estatísticos Mensais'!C:C),0)</f>
        <v>0</v>
      </c>
      <c r="D639" s="69">
        <f>IFERROR(_xlfn.XLOOKUP($B:$B,Google!A:A,Google!C:C,),0)</f>
        <v>0</v>
      </c>
      <c r="E639" s="70" t="e">
        <f>SUMIF(#REF!,'Compilado 2023 (2)'!$B:$B,#REF!)</f>
        <v>#REF!</v>
      </c>
      <c r="F639" s="71">
        <v>0</v>
      </c>
      <c r="G639" s="70">
        <f ca="1">_xlfn.XLOOKUP(B:B,'E-mail'!A:A,'E-mail'!C:C)</f>
        <v>53.333333333333336</v>
      </c>
      <c r="H639" s="70">
        <f>IFERROR(_xlfn.XLOOKUP($B:$B,#REF!,#REF!),0)</f>
        <v>0</v>
      </c>
      <c r="I639" s="71">
        <v>0</v>
      </c>
      <c r="J639" s="71">
        <v>0</v>
      </c>
      <c r="K639" s="71">
        <v>0</v>
      </c>
      <c r="L639" s="59"/>
      <c r="M639" s="70">
        <v>0</v>
      </c>
      <c r="N639" s="70">
        <v>0</v>
      </c>
      <c r="O639" s="70">
        <v>0</v>
      </c>
      <c r="P639" s="38"/>
      <c r="Q639" s="40"/>
    </row>
    <row r="640" spans="1:17" s="2" customFormat="1" x14ac:dyDescent="0.2">
      <c r="A640" s="16" t="str">
        <f t="shared" si="20"/>
        <v>sábado</v>
      </c>
      <c r="B640" s="17">
        <f t="shared" si="19"/>
        <v>45199</v>
      </c>
      <c r="C640" s="52">
        <f>IFERROR(_xlfn.XLOOKUP($B:$B,'Estatísticos Mensais'!$A:$A,'Estatísticos Mensais'!C:C),0)</f>
        <v>0</v>
      </c>
      <c r="D640" s="69">
        <f>IFERROR(_xlfn.XLOOKUP($B:$B,Google!A:A,Google!C:C,),0)</f>
        <v>0</v>
      </c>
      <c r="E640" s="70" t="e">
        <f>SUMIF(#REF!,'Compilado 2023 (2)'!$B:$B,#REF!)</f>
        <v>#REF!</v>
      </c>
      <c r="F640" s="71">
        <v>0</v>
      </c>
      <c r="G640" s="70">
        <f ca="1">_xlfn.XLOOKUP(B:B,'E-mail'!A:A,'E-mail'!C:C)</f>
        <v>53.333333333333336</v>
      </c>
      <c r="H640" s="70">
        <f>IFERROR(_xlfn.XLOOKUP($B:$B,#REF!,#REF!),0)</f>
        <v>0</v>
      </c>
      <c r="I640" s="71">
        <v>0</v>
      </c>
      <c r="J640" s="71">
        <v>0</v>
      </c>
      <c r="K640" s="71">
        <v>0</v>
      </c>
      <c r="L640" s="59"/>
      <c r="M640" s="70">
        <v>0</v>
      </c>
      <c r="N640" s="70">
        <v>0</v>
      </c>
      <c r="O640" s="70">
        <v>0</v>
      </c>
      <c r="P640" s="38"/>
      <c r="Q640" s="40"/>
    </row>
    <row r="641" spans="1:17" s="2" customFormat="1" x14ac:dyDescent="0.2">
      <c r="A641" s="16" t="str">
        <f t="shared" si="20"/>
        <v>domingo</v>
      </c>
      <c r="B641" s="17">
        <f t="shared" si="19"/>
        <v>45200</v>
      </c>
      <c r="C641" s="52">
        <f>IFERROR(_xlfn.XLOOKUP($B:$B,'Estatísticos Mensais'!$A:$A,'Estatísticos Mensais'!C:C),0)</f>
        <v>0</v>
      </c>
      <c r="D641" s="69">
        <f>IFERROR(_xlfn.XLOOKUP($B:$B,Google!A:A,Google!C:C,),0)</f>
        <v>0</v>
      </c>
      <c r="E641" s="70" t="e">
        <f>SUMIF(#REF!,'Compilado 2023 (2)'!$B:$B,#REF!)</f>
        <v>#REF!</v>
      </c>
      <c r="F641" s="71">
        <v>0</v>
      </c>
      <c r="G641" s="70">
        <f ca="1">_xlfn.XLOOKUP(B:B,'E-mail'!A:A,'E-mail'!C:C)</f>
        <v>51.612903225806448</v>
      </c>
      <c r="H641" s="70">
        <f>IFERROR(_xlfn.XLOOKUP($B:$B,#REF!,#REF!),0)</f>
        <v>0</v>
      </c>
      <c r="I641" s="71">
        <v>0</v>
      </c>
      <c r="J641" s="71">
        <v>0</v>
      </c>
      <c r="K641" s="71">
        <v>0</v>
      </c>
      <c r="L641" s="59"/>
      <c r="M641" s="70">
        <v>0</v>
      </c>
      <c r="N641" s="70">
        <v>0</v>
      </c>
      <c r="O641" s="70">
        <v>0</v>
      </c>
      <c r="P641" s="38"/>
      <c r="Q641" s="40"/>
    </row>
    <row r="642" spans="1:17" s="2" customFormat="1" x14ac:dyDescent="0.2">
      <c r="A642" s="16" t="str">
        <f t="shared" si="20"/>
        <v>segunda-feira</v>
      </c>
      <c r="B642" s="17">
        <f t="shared" si="19"/>
        <v>45201</v>
      </c>
      <c r="C642" s="52">
        <f>IFERROR(_xlfn.XLOOKUP($B:$B,'Estatísticos Mensais'!$A:$A,'Estatísticos Mensais'!C:C),0)</f>
        <v>0</v>
      </c>
      <c r="D642" s="69">
        <f>IFERROR(_xlfn.XLOOKUP($B:$B,Google!A:A,Google!C:C,),0)</f>
        <v>0</v>
      </c>
      <c r="E642" s="70" t="e">
        <f>SUMIF(#REF!,'Compilado 2023 (2)'!$B:$B,#REF!)</f>
        <v>#REF!</v>
      </c>
      <c r="F642" s="71">
        <v>0</v>
      </c>
      <c r="G642" s="70">
        <f ca="1">_xlfn.XLOOKUP(B:B,'E-mail'!A:A,'E-mail'!C:C)</f>
        <v>51.612903225806448</v>
      </c>
      <c r="H642" s="70">
        <f>IFERROR(_xlfn.XLOOKUP($B:$B,#REF!,#REF!),0)</f>
        <v>0</v>
      </c>
      <c r="I642" s="71">
        <v>0</v>
      </c>
      <c r="J642" s="71">
        <v>0</v>
      </c>
      <c r="K642" s="71">
        <v>0</v>
      </c>
      <c r="L642" s="59"/>
      <c r="M642" s="70">
        <v>0</v>
      </c>
      <c r="N642" s="70">
        <v>0</v>
      </c>
      <c r="O642" s="70">
        <v>0</v>
      </c>
      <c r="P642" s="38"/>
      <c r="Q642" s="40"/>
    </row>
    <row r="643" spans="1:17" s="2" customFormat="1" x14ac:dyDescent="0.2">
      <c r="A643" s="16" t="str">
        <f t="shared" si="20"/>
        <v>terça-feira</v>
      </c>
      <c r="B643" s="17">
        <f t="shared" si="19"/>
        <v>45202</v>
      </c>
      <c r="C643" s="52">
        <f>IFERROR(_xlfn.XLOOKUP($B:$B,'Estatísticos Mensais'!$A:$A,'Estatísticos Mensais'!C:C),0)</f>
        <v>0</v>
      </c>
      <c r="D643" s="69">
        <f>IFERROR(_xlfn.XLOOKUP($B:$B,Google!A:A,Google!C:C,),0)</f>
        <v>0</v>
      </c>
      <c r="E643" s="70" t="e">
        <f>SUMIF(#REF!,'Compilado 2023 (2)'!$B:$B,#REF!)</f>
        <v>#REF!</v>
      </c>
      <c r="F643" s="71">
        <v>0</v>
      </c>
      <c r="G643" s="70">
        <f ca="1">_xlfn.XLOOKUP(B:B,'E-mail'!A:A,'E-mail'!C:C)</f>
        <v>51.612903225806448</v>
      </c>
      <c r="H643" s="70">
        <f>IFERROR(_xlfn.XLOOKUP($B:$B,#REF!,#REF!),0)</f>
        <v>0</v>
      </c>
      <c r="I643" s="71">
        <v>0</v>
      </c>
      <c r="J643" s="71">
        <v>0</v>
      </c>
      <c r="K643" s="71">
        <v>0</v>
      </c>
      <c r="L643" s="59"/>
      <c r="M643" s="70">
        <v>0</v>
      </c>
      <c r="N643" s="70">
        <v>0</v>
      </c>
      <c r="O643" s="70">
        <v>0</v>
      </c>
      <c r="P643" s="38"/>
      <c r="Q643" s="40"/>
    </row>
    <row r="644" spans="1:17" s="2" customFormat="1" x14ac:dyDescent="0.2">
      <c r="A644" s="16" t="str">
        <f t="shared" si="20"/>
        <v>quarta-feira</v>
      </c>
      <c r="B644" s="17">
        <f t="shared" si="19"/>
        <v>45203</v>
      </c>
      <c r="C644" s="52">
        <f>IFERROR(_xlfn.XLOOKUP($B:$B,'Estatísticos Mensais'!$A:$A,'Estatísticos Mensais'!C:C),0)</f>
        <v>0</v>
      </c>
      <c r="D644" s="69">
        <f>IFERROR(_xlfn.XLOOKUP($B:$B,Google!A:A,Google!C:C,),0)</f>
        <v>0</v>
      </c>
      <c r="E644" s="70" t="e">
        <f>SUMIF(#REF!,'Compilado 2023 (2)'!$B:$B,#REF!)</f>
        <v>#REF!</v>
      </c>
      <c r="F644" s="71">
        <v>0</v>
      </c>
      <c r="G644" s="70">
        <f ca="1">_xlfn.XLOOKUP(B:B,'E-mail'!A:A,'E-mail'!C:C)</f>
        <v>51.612903225806448</v>
      </c>
      <c r="H644" s="70">
        <f>IFERROR(_xlfn.XLOOKUP($B:$B,#REF!,#REF!),0)</f>
        <v>0</v>
      </c>
      <c r="I644" s="71">
        <v>0</v>
      </c>
      <c r="J644" s="71">
        <v>0</v>
      </c>
      <c r="K644" s="71">
        <v>0</v>
      </c>
      <c r="L644" s="59"/>
      <c r="M644" s="70">
        <v>0</v>
      </c>
      <c r="N644" s="70">
        <v>0</v>
      </c>
      <c r="O644" s="70">
        <v>0</v>
      </c>
      <c r="P644" s="38"/>
      <c r="Q644" s="40"/>
    </row>
    <row r="645" spans="1:17" s="2" customFormat="1" x14ac:dyDescent="0.2">
      <c r="A645" s="16" t="str">
        <f t="shared" si="20"/>
        <v>quinta-feira</v>
      </c>
      <c r="B645" s="17">
        <f t="shared" ref="B645:B708" si="21">B644+1</f>
        <v>45204</v>
      </c>
      <c r="C645" s="52">
        <f>IFERROR(_xlfn.XLOOKUP($B:$B,'Estatísticos Mensais'!$A:$A,'Estatísticos Mensais'!C:C),0)</f>
        <v>0</v>
      </c>
      <c r="D645" s="69">
        <f>IFERROR(_xlfn.XLOOKUP($B:$B,Google!A:A,Google!C:C,),0)</f>
        <v>0</v>
      </c>
      <c r="E645" s="70" t="e">
        <f>SUMIF(#REF!,'Compilado 2023 (2)'!$B:$B,#REF!)</f>
        <v>#REF!</v>
      </c>
      <c r="F645" s="71">
        <v>0</v>
      </c>
      <c r="G645" s="70">
        <f ca="1">_xlfn.XLOOKUP(B:B,'E-mail'!A:A,'E-mail'!C:C)</f>
        <v>51.612903225806448</v>
      </c>
      <c r="H645" s="70">
        <f>IFERROR(_xlfn.XLOOKUP($B:$B,#REF!,#REF!),0)</f>
        <v>0</v>
      </c>
      <c r="I645" s="71">
        <v>0</v>
      </c>
      <c r="J645" s="71">
        <v>0</v>
      </c>
      <c r="K645" s="71">
        <v>0</v>
      </c>
      <c r="L645" s="59"/>
      <c r="M645" s="70">
        <v>0</v>
      </c>
      <c r="N645" s="70">
        <v>0</v>
      </c>
      <c r="O645" s="70">
        <v>0</v>
      </c>
      <c r="P645" s="38"/>
      <c r="Q645" s="40"/>
    </row>
    <row r="646" spans="1:17" s="2" customFormat="1" x14ac:dyDescent="0.2">
      <c r="A646" s="16" t="str">
        <f t="shared" si="20"/>
        <v>sexta-feira</v>
      </c>
      <c r="B646" s="17">
        <f t="shared" si="21"/>
        <v>45205</v>
      </c>
      <c r="C646" s="52">
        <f>IFERROR(_xlfn.XLOOKUP($B:$B,'Estatísticos Mensais'!$A:$A,'Estatísticos Mensais'!C:C),0)</f>
        <v>0</v>
      </c>
      <c r="D646" s="69">
        <f>IFERROR(_xlfn.XLOOKUP($B:$B,Google!A:A,Google!C:C,),0)</f>
        <v>0</v>
      </c>
      <c r="E646" s="70" t="e">
        <f>SUMIF(#REF!,'Compilado 2023 (2)'!$B:$B,#REF!)</f>
        <v>#REF!</v>
      </c>
      <c r="F646" s="71">
        <v>0</v>
      </c>
      <c r="G646" s="70">
        <f ca="1">_xlfn.XLOOKUP(B:B,'E-mail'!A:A,'E-mail'!C:C)</f>
        <v>51.612903225806448</v>
      </c>
      <c r="H646" s="70">
        <f>IFERROR(_xlfn.XLOOKUP($B:$B,#REF!,#REF!),0)</f>
        <v>0</v>
      </c>
      <c r="I646" s="71">
        <v>0</v>
      </c>
      <c r="J646" s="71">
        <v>0</v>
      </c>
      <c r="K646" s="71">
        <v>0</v>
      </c>
      <c r="L646" s="59"/>
      <c r="M646" s="70">
        <v>0</v>
      </c>
      <c r="N646" s="70">
        <v>0</v>
      </c>
      <c r="O646" s="70">
        <v>0</v>
      </c>
      <c r="P646" s="38"/>
      <c r="Q646" s="40"/>
    </row>
    <row r="647" spans="1:17" s="2" customFormat="1" x14ac:dyDescent="0.2">
      <c r="A647" s="16" t="str">
        <f t="shared" si="20"/>
        <v>sábado</v>
      </c>
      <c r="B647" s="17">
        <f t="shared" si="21"/>
        <v>45206</v>
      </c>
      <c r="C647" s="52">
        <f>IFERROR(_xlfn.XLOOKUP($B:$B,'Estatísticos Mensais'!$A:$A,'Estatísticos Mensais'!C:C),0)</f>
        <v>0</v>
      </c>
      <c r="D647" s="69">
        <f>IFERROR(_xlfn.XLOOKUP($B:$B,Google!A:A,Google!C:C,),0)</f>
        <v>0</v>
      </c>
      <c r="E647" s="70" t="e">
        <f>SUMIF(#REF!,'Compilado 2023 (2)'!$B:$B,#REF!)</f>
        <v>#REF!</v>
      </c>
      <c r="F647" s="71">
        <v>0</v>
      </c>
      <c r="G647" s="70">
        <f ca="1">_xlfn.XLOOKUP(B:B,'E-mail'!A:A,'E-mail'!C:C)</f>
        <v>51.612903225806448</v>
      </c>
      <c r="H647" s="70">
        <f>IFERROR(_xlfn.XLOOKUP($B:$B,#REF!,#REF!),0)</f>
        <v>0</v>
      </c>
      <c r="I647" s="71">
        <v>0</v>
      </c>
      <c r="J647" s="71">
        <v>0</v>
      </c>
      <c r="K647" s="71">
        <v>0</v>
      </c>
      <c r="L647" s="59"/>
      <c r="M647" s="70">
        <v>0</v>
      </c>
      <c r="N647" s="70">
        <v>0</v>
      </c>
      <c r="O647" s="70">
        <v>0</v>
      </c>
      <c r="P647" s="38"/>
      <c r="Q647" s="40"/>
    </row>
    <row r="648" spans="1:17" s="2" customFormat="1" x14ac:dyDescent="0.2">
      <c r="A648" s="16" t="str">
        <f t="shared" si="20"/>
        <v>domingo</v>
      </c>
      <c r="B648" s="17">
        <f t="shared" si="21"/>
        <v>45207</v>
      </c>
      <c r="C648" s="52">
        <f>IFERROR(_xlfn.XLOOKUP($B:$B,'Estatísticos Mensais'!$A:$A,'Estatísticos Mensais'!C:C),0)</f>
        <v>0</v>
      </c>
      <c r="D648" s="69">
        <f>IFERROR(_xlfn.XLOOKUP($B:$B,Google!A:A,Google!C:C,),0)</f>
        <v>0</v>
      </c>
      <c r="E648" s="70" t="e">
        <f>SUMIF(#REF!,'Compilado 2023 (2)'!$B:$B,#REF!)</f>
        <v>#REF!</v>
      </c>
      <c r="F648" s="71">
        <v>0</v>
      </c>
      <c r="G648" s="70">
        <f ca="1">_xlfn.XLOOKUP(B:B,'E-mail'!A:A,'E-mail'!C:C)</f>
        <v>51.612903225806448</v>
      </c>
      <c r="H648" s="70">
        <f>IFERROR(_xlfn.XLOOKUP($B:$B,#REF!,#REF!),0)</f>
        <v>0</v>
      </c>
      <c r="I648" s="71">
        <v>0</v>
      </c>
      <c r="J648" s="71">
        <v>0</v>
      </c>
      <c r="K648" s="71">
        <v>0</v>
      </c>
      <c r="L648" s="59"/>
      <c r="M648" s="70">
        <v>0</v>
      </c>
      <c r="N648" s="70">
        <v>0</v>
      </c>
      <c r="O648" s="70">
        <v>0</v>
      </c>
      <c r="P648" s="38"/>
      <c r="Q648" s="40"/>
    </row>
    <row r="649" spans="1:17" s="2" customFormat="1" x14ac:dyDescent="0.2">
      <c r="A649" s="16" t="str">
        <f t="shared" si="20"/>
        <v>segunda-feira</v>
      </c>
      <c r="B649" s="17">
        <f t="shared" si="21"/>
        <v>45208</v>
      </c>
      <c r="C649" s="52">
        <f>IFERROR(_xlfn.XLOOKUP($B:$B,'Estatísticos Mensais'!$A:$A,'Estatísticos Mensais'!C:C),0)</f>
        <v>0</v>
      </c>
      <c r="D649" s="69">
        <f>IFERROR(_xlfn.XLOOKUP($B:$B,Google!A:A,Google!C:C,),0)</f>
        <v>0</v>
      </c>
      <c r="E649" s="70" t="e">
        <f>SUMIF(#REF!,'Compilado 2023 (2)'!$B:$B,#REF!)</f>
        <v>#REF!</v>
      </c>
      <c r="F649" s="71">
        <v>0</v>
      </c>
      <c r="G649" s="70">
        <f ca="1">_xlfn.XLOOKUP(B:B,'E-mail'!A:A,'E-mail'!C:C)</f>
        <v>51.612903225806448</v>
      </c>
      <c r="H649" s="70">
        <f>IFERROR(_xlfn.XLOOKUP($B:$B,#REF!,#REF!),0)</f>
        <v>0</v>
      </c>
      <c r="I649" s="71">
        <v>0</v>
      </c>
      <c r="J649" s="71">
        <v>0</v>
      </c>
      <c r="K649" s="71">
        <v>0</v>
      </c>
      <c r="L649" s="59"/>
      <c r="M649" s="70">
        <v>0</v>
      </c>
      <c r="N649" s="70">
        <v>0</v>
      </c>
      <c r="O649" s="70">
        <v>0</v>
      </c>
      <c r="P649" s="38"/>
      <c r="Q649" s="40"/>
    </row>
    <row r="650" spans="1:17" s="2" customFormat="1" x14ac:dyDescent="0.2">
      <c r="A650" s="16" t="str">
        <f t="shared" si="20"/>
        <v>terça-feira</v>
      </c>
      <c r="B650" s="17">
        <f t="shared" si="21"/>
        <v>45209</v>
      </c>
      <c r="C650" s="52">
        <f>IFERROR(_xlfn.XLOOKUP($B:$B,'Estatísticos Mensais'!$A:$A,'Estatísticos Mensais'!C:C),0)</f>
        <v>0</v>
      </c>
      <c r="D650" s="69">
        <f>IFERROR(_xlfn.XLOOKUP($B:$B,Google!A:A,Google!C:C,),0)</f>
        <v>0</v>
      </c>
      <c r="E650" s="70" t="e">
        <f>SUMIF(#REF!,'Compilado 2023 (2)'!$B:$B,#REF!)</f>
        <v>#REF!</v>
      </c>
      <c r="F650" s="71">
        <v>0</v>
      </c>
      <c r="G650" s="70">
        <f ca="1">_xlfn.XLOOKUP(B:B,'E-mail'!A:A,'E-mail'!C:C)</f>
        <v>51.612903225806448</v>
      </c>
      <c r="H650" s="70">
        <f>IFERROR(_xlfn.XLOOKUP($B:$B,#REF!,#REF!),0)</f>
        <v>0</v>
      </c>
      <c r="I650" s="71">
        <v>0</v>
      </c>
      <c r="J650" s="71">
        <v>0</v>
      </c>
      <c r="K650" s="71">
        <v>0</v>
      </c>
      <c r="L650" s="59"/>
      <c r="M650" s="70">
        <v>0</v>
      </c>
      <c r="N650" s="70">
        <v>0</v>
      </c>
      <c r="O650" s="70">
        <v>0</v>
      </c>
      <c r="P650" s="38"/>
      <c r="Q650" s="40"/>
    </row>
    <row r="651" spans="1:17" s="2" customFormat="1" x14ac:dyDescent="0.2">
      <c r="A651" s="16" t="str">
        <f t="shared" si="20"/>
        <v>quarta-feira</v>
      </c>
      <c r="B651" s="17">
        <f t="shared" si="21"/>
        <v>45210</v>
      </c>
      <c r="C651" s="52">
        <f>IFERROR(_xlfn.XLOOKUP($B:$B,'Estatísticos Mensais'!$A:$A,'Estatísticos Mensais'!C:C),0)</f>
        <v>0</v>
      </c>
      <c r="D651" s="69">
        <f>IFERROR(_xlfn.XLOOKUP($B:$B,Google!A:A,Google!C:C,),0)</f>
        <v>0</v>
      </c>
      <c r="E651" s="70" t="e">
        <f>SUMIF(#REF!,'Compilado 2023 (2)'!$B:$B,#REF!)</f>
        <v>#REF!</v>
      </c>
      <c r="F651" s="71">
        <v>0</v>
      </c>
      <c r="G651" s="70">
        <f ca="1">_xlfn.XLOOKUP(B:B,'E-mail'!A:A,'E-mail'!C:C)</f>
        <v>51.612903225806448</v>
      </c>
      <c r="H651" s="70">
        <f>IFERROR(_xlfn.XLOOKUP($B:$B,#REF!,#REF!),0)</f>
        <v>0</v>
      </c>
      <c r="I651" s="71">
        <v>0</v>
      </c>
      <c r="J651" s="71">
        <v>0</v>
      </c>
      <c r="K651" s="71">
        <v>0</v>
      </c>
      <c r="L651" s="59"/>
      <c r="M651" s="70">
        <v>0</v>
      </c>
      <c r="N651" s="70">
        <v>0</v>
      </c>
      <c r="O651" s="70">
        <v>0</v>
      </c>
      <c r="P651" s="38"/>
      <c r="Q651" s="40"/>
    </row>
    <row r="652" spans="1:17" s="2" customFormat="1" x14ac:dyDescent="0.2">
      <c r="A652" s="16" t="str">
        <f t="shared" si="20"/>
        <v>quinta-feira</v>
      </c>
      <c r="B652" s="17">
        <f t="shared" si="21"/>
        <v>45211</v>
      </c>
      <c r="C652" s="52">
        <f>IFERROR(_xlfn.XLOOKUP($B:$B,'Estatísticos Mensais'!$A:$A,'Estatísticos Mensais'!C:C),0)</f>
        <v>0</v>
      </c>
      <c r="D652" s="69">
        <f>IFERROR(_xlfn.XLOOKUP($B:$B,Google!A:A,Google!C:C,),0)</f>
        <v>0</v>
      </c>
      <c r="E652" s="70" t="e">
        <f>SUMIF(#REF!,'Compilado 2023 (2)'!$B:$B,#REF!)</f>
        <v>#REF!</v>
      </c>
      <c r="F652" s="71">
        <v>0</v>
      </c>
      <c r="G652" s="70">
        <f ca="1">_xlfn.XLOOKUP(B:B,'E-mail'!A:A,'E-mail'!C:C)</f>
        <v>51.612903225806448</v>
      </c>
      <c r="H652" s="70">
        <f>IFERROR(_xlfn.XLOOKUP($B:$B,#REF!,#REF!),0)</f>
        <v>0</v>
      </c>
      <c r="I652" s="71">
        <v>0</v>
      </c>
      <c r="J652" s="71">
        <v>0</v>
      </c>
      <c r="K652" s="71">
        <v>0</v>
      </c>
      <c r="L652" s="59"/>
      <c r="M652" s="70">
        <v>0</v>
      </c>
      <c r="N652" s="70">
        <v>0</v>
      </c>
      <c r="O652" s="70">
        <v>0</v>
      </c>
      <c r="P652" s="38"/>
      <c r="Q652" s="40"/>
    </row>
    <row r="653" spans="1:17" s="2" customFormat="1" x14ac:dyDescent="0.2">
      <c r="A653" s="16" t="str">
        <f t="shared" si="20"/>
        <v>sexta-feira</v>
      </c>
      <c r="B653" s="17">
        <f t="shared" si="21"/>
        <v>45212</v>
      </c>
      <c r="C653" s="52">
        <f>IFERROR(_xlfn.XLOOKUP($B:$B,'Estatísticos Mensais'!$A:$A,'Estatísticos Mensais'!C:C),0)</f>
        <v>0</v>
      </c>
      <c r="D653" s="69">
        <f>IFERROR(_xlfn.XLOOKUP($B:$B,Google!A:A,Google!C:C,),0)</f>
        <v>0</v>
      </c>
      <c r="E653" s="70" t="e">
        <f>SUMIF(#REF!,'Compilado 2023 (2)'!$B:$B,#REF!)</f>
        <v>#REF!</v>
      </c>
      <c r="F653" s="71">
        <v>0</v>
      </c>
      <c r="G653" s="70">
        <f ca="1">_xlfn.XLOOKUP(B:B,'E-mail'!A:A,'E-mail'!C:C)</f>
        <v>51.612903225806448</v>
      </c>
      <c r="H653" s="70">
        <f>IFERROR(_xlfn.XLOOKUP($B:$B,#REF!,#REF!),0)</f>
        <v>0</v>
      </c>
      <c r="I653" s="71">
        <v>0</v>
      </c>
      <c r="J653" s="71">
        <v>0</v>
      </c>
      <c r="K653" s="71">
        <v>0</v>
      </c>
      <c r="L653" s="59"/>
      <c r="M653" s="70">
        <v>0</v>
      </c>
      <c r="N653" s="70">
        <v>0</v>
      </c>
      <c r="O653" s="70">
        <v>0</v>
      </c>
      <c r="P653" s="38"/>
      <c r="Q653" s="40"/>
    </row>
    <row r="654" spans="1:17" s="2" customFormat="1" x14ac:dyDescent="0.2">
      <c r="A654" s="16" t="str">
        <f t="shared" si="20"/>
        <v>sábado</v>
      </c>
      <c r="B654" s="17">
        <f t="shared" si="21"/>
        <v>45213</v>
      </c>
      <c r="C654" s="52">
        <f>IFERROR(_xlfn.XLOOKUP($B:$B,'Estatísticos Mensais'!$A:$A,'Estatísticos Mensais'!C:C),0)</f>
        <v>0</v>
      </c>
      <c r="D654" s="69">
        <f>IFERROR(_xlfn.XLOOKUP($B:$B,Google!A:A,Google!C:C,),0)</f>
        <v>0</v>
      </c>
      <c r="E654" s="70" t="e">
        <f>SUMIF(#REF!,'Compilado 2023 (2)'!$B:$B,#REF!)</f>
        <v>#REF!</v>
      </c>
      <c r="F654" s="71">
        <v>0</v>
      </c>
      <c r="G654" s="70">
        <f ca="1">_xlfn.XLOOKUP(B:B,'E-mail'!A:A,'E-mail'!C:C)</f>
        <v>51.612903225806448</v>
      </c>
      <c r="H654" s="70">
        <f>IFERROR(_xlfn.XLOOKUP($B:$B,#REF!,#REF!),0)</f>
        <v>0</v>
      </c>
      <c r="I654" s="71">
        <v>0</v>
      </c>
      <c r="J654" s="71">
        <v>0</v>
      </c>
      <c r="K654" s="71">
        <v>0</v>
      </c>
      <c r="L654" s="59"/>
      <c r="M654" s="70">
        <v>0</v>
      </c>
      <c r="N654" s="70">
        <v>0</v>
      </c>
      <c r="O654" s="70">
        <v>0</v>
      </c>
      <c r="P654" s="38"/>
      <c r="Q654" s="40"/>
    </row>
    <row r="655" spans="1:17" s="2" customFormat="1" x14ac:dyDescent="0.2">
      <c r="A655" s="16" t="str">
        <f t="shared" si="20"/>
        <v>domingo</v>
      </c>
      <c r="B655" s="17">
        <f t="shared" si="21"/>
        <v>45214</v>
      </c>
      <c r="C655" s="52">
        <f>IFERROR(_xlfn.XLOOKUP($B:$B,'Estatísticos Mensais'!$A:$A,'Estatísticos Mensais'!C:C),0)</f>
        <v>0</v>
      </c>
      <c r="D655" s="69">
        <f>IFERROR(_xlfn.XLOOKUP($B:$B,Google!A:A,Google!C:C,),0)</f>
        <v>0</v>
      </c>
      <c r="E655" s="70" t="e">
        <f>SUMIF(#REF!,'Compilado 2023 (2)'!$B:$B,#REF!)</f>
        <v>#REF!</v>
      </c>
      <c r="F655" s="71">
        <v>0</v>
      </c>
      <c r="G655" s="70">
        <f ca="1">_xlfn.XLOOKUP(B:B,'E-mail'!A:A,'E-mail'!C:C)</f>
        <v>51.612903225806448</v>
      </c>
      <c r="H655" s="70">
        <f>IFERROR(_xlfn.XLOOKUP($B:$B,#REF!,#REF!),0)</f>
        <v>0</v>
      </c>
      <c r="I655" s="71">
        <v>0</v>
      </c>
      <c r="J655" s="71">
        <v>0</v>
      </c>
      <c r="K655" s="71">
        <v>0</v>
      </c>
      <c r="L655" s="59"/>
      <c r="M655" s="70">
        <v>0</v>
      </c>
      <c r="N655" s="70">
        <v>0</v>
      </c>
      <c r="O655" s="70">
        <v>0</v>
      </c>
      <c r="P655" s="38"/>
      <c r="Q655" s="40"/>
    </row>
    <row r="656" spans="1:17" s="2" customFormat="1" x14ac:dyDescent="0.2">
      <c r="A656" s="16" t="str">
        <f t="shared" si="20"/>
        <v>segunda-feira</v>
      </c>
      <c r="B656" s="17">
        <f t="shared" si="21"/>
        <v>45215</v>
      </c>
      <c r="C656" s="52">
        <f>IFERROR(_xlfn.XLOOKUP($B:$B,'Estatísticos Mensais'!$A:$A,'Estatísticos Mensais'!C:C),0)</f>
        <v>0</v>
      </c>
      <c r="D656" s="69">
        <f>IFERROR(_xlfn.XLOOKUP($B:$B,Google!A:A,Google!C:C,),0)</f>
        <v>0</v>
      </c>
      <c r="E656" s="70" t="e">
        <f>SUMIF(#REF!,'Compilado 2023 (2)'!$B:$B,#REF!)</f>
        <v>#REF!</v>
      </c>
      <c r="F656" s="71">
        <v>0</v>
      </c>
      <c r="G656" s="70">
        <f ca="1">_xlfn.XLOOKUP(B:B,'E-mail'!A:A,'E-mail'!C:C)</f>
        <v>51.612903225806448</v>
      </c>
      <c r="H656" s="70">
        <f>IFERROR(_xlfn.XLOOKUP($B:$B,#REF!,#REF!),0)</f>
        <v>0</v>
      </c>
      <c r="I656" s="71">
        <v>0</v>
      </c>
      <c r="J656" s="71">
        <v>0</v>
      </c>
      <c r="K656" s="71">
        <v>0</v>
      </c>
      <c r="L656" s="59"/>
      <c r="M656" s="70">
        <v>0</v>
      </c>
      <c r="N656" s="70">
        <v>0</v>
      </c>
      <c r="O656" s="70">
        <v>0</v>
      </c>
      <c r="P656" s="38"/>
      <c r="Q656" s="40"/>
    </row>
    <row r="657" spans="1:17" s="2" customFormat="1" x14ac:dyDescent="0.2">
      <c r="A657" s="16" t="str">
        <f t="shared" si="20"/>
        <v>terça-feira</v>
      </c>
      <c r="B657" s="17">
        <f t="shared" si="21"/>
        <v>45216</v>
      </c>
      <c r="C657" s="52">
        <f>IFERROR(_xlfn.XLOOKUP($B:$B,'Estatísticos Mensais'!$A:$A,'Estatísticos Mensais'!C:C),0)</f>
        <v>0</v>
      </c>
      <c r="D657" s="69">
        <f>IFERROR(_xlfn.XLOOKUP($B:$B,Google!A:A,Google!C:C,),0)</f>
        <v>0</v>
      </c>
      <c r="E657" s="70" t="e">
        <f>SUMIF(#REF!,'Compilado 2023 (2)'!$B:$B,#REF!)</f>
        <v>#REF!</v>
      </c>
      <c r="F657" s="71">
        <v>0</v>
      </c>
      <c r="G657" s="70">
        <f ca="1">_xlfn.XLOOKUP(B:B,'E-mail'!A:A,'E-mail'!C:C)</f>
        <v>51.612903225806448</v>
      </c>
      <c r="H657" s="70">
        <f>IFERROR(_xlfn.XLOOKUP($B:$B,#REF!,#REF!),0)</f>
        <v>0</v>
      </c>
      <c r="I657" s="71">
        <v>0</v>
      </c>
      <c r="J657" s="71">
        <v>0</v>
      </c>
      <c r="K657" s="71">
        <v>0</v>
      </c>
      <c r="L657" s="59"/>
      <c r="M657" s="70">
        <v>0</v>
      </c>
      <c r="N657" s="70">
        <v>0</v>
      </c>
      <c r="O657" s="70">
        <v>0</v>
      </c>
      <c r="P657" s="38"/>
      <c r="Q657" s="40"/>
    </row>
    <row r="658" spans="1:17" s="2" customFormat="1" x14ac:dyDescent="0.2">
      <c r="A658" s="16" t="str">
        <f t="shared" si="20"/>
        <v>quarta-feira</v>
      </c>
      <c r="B658" s="17">
        <f t="shared" si="21"/>
        <v>45217</v>
      </c>
      <c r="C658" s="52">
        <f>IFERROR(_xlfn.XLOOKUP($B:$B,'Estatísticos Mensais'!$A:$A,'Estatísticos Mensais'!C:C),0)</f>
        <v>0</v>
      </c>
      <c r="D658" s="69">
        <f>IFERROR(_xlfn.XLOOKUP($B:$B,Google!A:A,Google!C:C,),0)</f>
        <v>0</v>
      </c>
      <c r="E658" s="70" t="e">
        <f>SUMIF(#REF!,'Compilado 2023 (2)'!$B:$B,#REF!)</f>
        <v>#REF!</v>
      </c>
      <c r="F658" s="71">
        <v>0</v>
      </c>
      <c r="G658" s="70">
        <f ca="1">_xlfn.XLOOKUP(B:B,'E-mail'!A:A,'E-mail'!C:C)</f>
        <v>51.612903225806448</v>
      </c>
      <c r="H658" s="70">
        <f>IFERROR(_xlfn.XLOOKUP($B:$B,#REF!,#REF!),0)</f>
        <v>0</v>
      </c>
      <c r="I658" s="71">
        <v>0</v>
      </c>
      <c r="J658" s="71">
        <v>0</v>
      </c>
      <c r="K658" s="71">
        <v>0</v>
      </c>
      <c r="L658" s="59"/>
      <c r="M658" s="70">
        <v>0</v>
      </c>
      <c r="N658" s="70">
        <v>0</v>
      </c>
      <c r="O658" s="70">
        <v>0</v>
      </c>
      <c r="P658" s="38"/>
      <c r="Q658" s="40"/>
    </row>
    <row r="659" spans="1:17" s="2" customFormat="1" x14ac:dyDescent="0.2">
      <c r="A659" s="16" t="str">
        <f t="shared" si="20"/>
        <v>quinta-feira</v>
      </c>
      <c r="B659" s="17">
        <f t="shared" si="21"/>
        <v>45218</v>
      </c>
      <c r="C659" s="52">
        <f>IFERROR(_xlfn.XLOOKUP($B:$B,'Estatísticos Mensais'!$A:$A,'Estatísticos Mensais'!C:C),0)</f>
        <v>0</v>
      </c>
      <c r="D659" s="69">
        <f>IFERROR(_xlfn.XLOOKUP($B:$B,Google!A:A,Google!C:C,),0)</f>
        <v>0</v>
      </c>
      <c r="E659" s="70" t="e">
        <f>SUMIF(#REF!,'Compilado 2023 (2)'!$B:$B,#REF!)</f>
        <v>#REF!</v>
      </c>
      <c r="F659" s="71">
        <v>0</v>
      </c>
      <c r="G659" s="70">
        <f ca="1">_xlfn.XLOOKUP(B:B,'E-mail'!A:A,'E-mail'!C:C)</f>
        <v>51.612903225806448</v>
      </c>
      <c r="H659" s="70">
        <f>IFERROR(_xlfn.XLOOKUP($B:$B,#REF!,#REF!),0)</f>
        <v>0</v>
      </c>
      <c r="I659" s="71">
        <v>0</v>
      </c>
      <c r="J659" s="71">
        <v>0</v>
      </c>
      <c r="K659" s="71">
        <v>0</v>
      </c>
      <c r="L659" s="59"/>
      <c r="M659" s="70">
        <v>0</v>
      </c>
      <c r="N659" s="70">
        <v>0</v>
      </c>
      <c r="O659" s="70">
        <v>0</v>
      </c>
      <c r="P659" s="38"/>
      <c r="Q659" s="40"/>
    </row>
    <row r="660" spans="1:17" s="2" customFormat="1" x14ac:dyDescent="0.2">
      <c r="A660" s="16" t="str">
        <f t="shared" si="20"/>
        <v>sexta-feira</v>
      </c>
      <c r="B660" s="17">
        <f t="shared" si="21"/>
        <v>45219</v>
      </c>
      <c r="C660" s="52">
        <f>IFERROR(_xlfn.XLOOKUP($B:$B,'Estatísticos Mensais'!$A:$A,'Estatísticos Mensais'!C:C),0)</f>
        <v>0</v>
      </c>
      <c r="D660" s="69">
        <f>IFERROR(_xlfn.XLOOKUP($B:$B,Google!A:A,Google!C:C,),0)</f>
        <v>0</v>
      </c>
      <c r="E660" s="70" t="e">
        <f>SUMIF(#REF!,'Compilado 2023 (2)'!$B:$B,#REF!)</f>
        <v>#REF!</v>
      </c>
      <c r="F660" s="71">
        <v>0</v>
      </c>
      <c r="G660" s="70">
        <f ca="1">_xlfn.XLOOKUP(B:B,'E-mail'!A:A,'E-mail'!C:C)</f>
        <v>51.612903225806448</v>
      </c>
      <c r="H660" s="70">
        <f>IFERROR(_xlfn.XLOOKUP($B:$B,#REF!,#REF!),0)</f>
        <v>0</v>
      </c>
      <c r="I660" s="71">
        <v>0</v>
      </c>
      <c r="J660" s="71">
        <v>0</v>
      </c>
      <c r="K660" s="71">
        <v>0</v>
      </c>
      <c r="L660" s="59"/>
      <c r="M660" s="70">
        <v>0</v>
      </c>
      <c r="N660" s="70">
        <v>0</v>
      </c>
      <c r="O660" s="70">
        <v>0</v>
      </c>
      <c r="P660" s="38"/>
      <c r="Q660" s="40"/>
    </row>
    <row r="661" spans="1:17" s="2" customFormat="1" x14ac:dyDescent="0.2">
      <c r="A661" s="16" t="str">
        <f t="shared" si="20"/>
        <v>sábado</v>
      </c>
      <c r="B661" s="17">
        <f t="shared" si="21"/>
        <v>45220</v>
      </c>
      <c r="C661" s="52">
        <f>IFERROR(_xlfn.XLOOKUP($B:$B,'Estatísticos Mensais'!$A:$A,'Estatísticos Mensais'!C:C),0)</f>
        <v>0</v>
      </c>
      <c r="D661" s="69">
        <f>IFERROR(_xlfn.XLOOKUP($B:$B,Google!A:A,Google!C:C,),0)</f>
        <v>0</v>
      </c>
      <c r="E661" s="70" t="e">
        <f>SUMIF(#REF!,'Compilado 2023 (2)'!$B:$B,#REF!)</f>
        <v>#REF!</v>
      </c>
      <c r="F661" s="71">
        <v>0</v>
      </c>
      <c r="G661" s="70">
        <f ca="1">_xlfn.XLOOKUP(B:B,'E-mail'!A:A,'E-mail'!C:C)</f>
        <v>51.612903225806448</v>
      </c>
      <c r="H661" s="70">
        <f>IFERROR(_xlfn.XLOOKUP($B:$B,#REF!,#REF!),0)</f>
        <v>0</v>
      </c>
      <c r="I661" s="71">
        <v>0</v>
      </c>
      <c r="J661" s="71">
        <v>0</v>
      </c>
      <c r="K661" s="71">
        <v>0</v>
      </c>
      <c r="L661" s="59"/>
      <c r="M661" s="70">
        <v>0</v>
      </c>
      <c r="N661" s="70">
        <v>0</v>
      </c>
      <c r="O661" s="70">
        <v>0</v>
      </c>
      <c r="P661" s="38"/>
      <c r="Q661" s="40"/>
    </row>
    <row r="662" spans="1:17" s="2" customFormat="1" x14ac:dyDescent="0.2">
      <c r="A662" s="16" t="str">
        <f t="shared" si="20"/>
        <v>domingo</v>
      </c>
      <c r="B662" s="17">
        <f t="shared" si="21"/>
        <v>45221</v>
      </c>
      <c r="C662" s="52">
        <f>IFERROR(_xlfn.XLOOKUP($B:$B,'Estatísticos Mensais'!$A:$A,'Estatísticos Mensais'!C:C),0)</f>
        <v>0</v>
      </c>
      <c r="D662" s="69">
        <f>IFERROR(_xlfn.XLOOKUP($B:$B,Google!A:A,Google!C:C,),0)</f>
        <v>0</v>
      </c>
      <c r="E662" s="70" t="e">
        <f>SUMIF(#REF!,'Compilado 2023 (2)'!$B:$B,#REF!)</f>
        <v>#REF!</v>
      </c>
      <c r="F662" s="71">
        <v>0</v>
      </c>
      <c r="G662" s="70">
        <f ca="1">_xlfn.XLOOKUP(B:B,'E-mail'!A:A,'E-mail'!C:C)</f>
        <v>51.612903225806448</v>
      </c>
      <c r="H662" s="70">
        <f>IFERROR(_xlfn.XLOOKUP($B:$B,#REF!,#REF!),0)</f>
        <v>0</v>
      </c>
      <c r="I662" s="71">
        <v>0</v>
      </c>
      <c r="J662" s="71">
        <v>0</v>
      </c>
      <c r="K662" s="71">
        <v>0</v>
      </c>
      <c r="L662" s="59"/>
      <c r="M662" s="70">
        <v>0</v>
      </c>
      <c r="N662" s="70">
        <v>0</v>
      </c>
      <c r="O662" s="70">
        <v>0</v>
      </c>
      <c r="P662" s="38"/>
      <c r="Q662" s="40"/>
    </row>
    <row r="663" spans="1:17" s="2" customFormat="1" x14ac:dyDescent="0.2">
      <c r="A663" s="16" t="str">
        <f t="shared" si="20"/>
        <v>segunda-feira</v>
      </c>
      <c r="B663" s="17">
        <f t="shared" si="21"/>
        <v>45222</v>
      </c>
      <c r="C663" s="52">
        <f>IFERROR(_xlfn.XLOOKUP($B:$B,'Estatísticos Mensais'!$A:$A,'Estatísticos Mensais'!C:C),0)</f>
        <v>0</v>
      </c>
      <c r="D663" s="69">
        <f>IFERROR(_xlfn.XLOOKUP($B:$B,Google!A:A,Google!C:C,),0)</f>
        <v>0</v>
      </c>
      <c r="E663" s="70" t="e">
        <f>SUMIF(#REF!,'Compilado 2023 (2)'!$B:$B,#REF!)</f>
        <v>#REF!</v>
      </c>
      <c r="F663" s="71">
        <v>0</v>
      </c>
      <c r="G663" s="70">
        <f ca="1">_xlfn.XLOOKUP(B:B,'E-mail'!A:A,'E-mail'!C:C)</f>
        <v>51.612903225806448</v>
      </c>
      <c r="H663" s="70">
        <f>IFERROR(_xlfn.XLOOKUP($B:$B,#REF!,#REF!),0)</f>
        <v>0</v>
      </c>
      <c r="I663" s="71">
        <v>0</v>
      </c>
      <c r="J663" s="71">
        <v>0</v>
      </c>
      <c r="K663" s="71">
        <v>0</v>
      </c>
      <c r="L663" s="59"/>
      <c r="M663" s="70">
        <v>0</v>
      </c>
      <c r="N663" s="70">
        <v>0</v>
      </c>
      <c r="O663" s="70">
        <v>0</v>
      </c>
      <c r="P663" s="38"/>
      <c r="Q663" s="40"/>
    </row>
    <row r="664" spans="1:17" s="2" customFormat="1" x14ac:dyDescent="0.2">
      <c r="A664" s="16" t="str">
        <f t="shared" si="20"/>
        <v>terça-feira</v>
      </c>
      <c r="B664" s="17">
        <f t="shared" si="21"/>
        <v>45223</v>
      </c>
      <c r="C664" s="52">
        <f>IFERROR(_xlfn.XLOOKUP($B:$B,'Estatísticos Mensais'!$A:$A,'Estatísticos Mensais'!C:C),0)</f>
        <v>0</v>
      </c>
      <c r="D664" s="69">
        <f>IFERROR(_xlfn.XLOOKUP($B:$B,Google!A:A,Google!C:C,),0)</f>
        <v>0</v>
      </c>
      <c r="E664" s="70" t="e">
        <f>SUMIF(#REF!,'Compilado 2023 (2)'!$B:$B,#REF!)</f>
        <v>#REF!</v>
      </c>
      <c r="F664" s="71">
        <v>0</v>
      </c>
      <c r="G664" s="70">
        <f ca="1">_xlfn.XLOOKUP(B:B,'E-mail'!A:A,'E-mail'!C:C)</f>
        <v>51.612903225806448</v>
      </c>
      <c r="H664" s="70">
        <f>IFERROR(_xlfn.XLOOKUP($B:$B,#REF!,#REF!),0)</f>
        <v>0</v>
      </c>
      <c r="I664" s="71">
        <v>0</v>
      </c>
      <c r="J664" s="71">
        <v>0</v>
      </c>
      <c r="K664" s="71">
        <v>0</v>
      </c>
      <c r="L664" s="59"/>
      <c r="M664" s="70">
        <v>0</v>
      </c>
      <c r="N664" s="70">
        <v>0</v>
      </c>
      <c r="O664" s="70">
        <v>0</v>
      </c>
      <c r="P664" s="38"/>
      <c r="Q664" s="40"/>
    </row>
    <row r="665" spans="1:17" s="2" customFormat="1" x14ac:dyDescent="0.2">
      <c r="A665" s="16" t="str">
        <f t="shared" si="20"/>
        <v>quarta-feira</v>
      </c>
      <c r="B665" s="17">
        <f t="shared" si="21"/>
        <v>45224</v>
      </c>
      <c r="C665" s="52">
        <f>IFERROR(_xlfn.XLOOKUP($B:$B,'Estatísticos Mensais'!$A:$A,'Estatísticos Mensais'!C:C),0)</f>
        <v>0</v>
      </c>
      <c r="D665" s="69">
        <f>IFERROR(_xlfn.XLOOKUP($B:$B,Google!A:A,Google!C:C,),0)</f>
        <v>0</v>
      </c>
      <c r="E665" s="70" t="e">
        <f>SUMIF(#REF!,'Compilado 2023 (2)'!$B:$B,#REF!)</f>
        <v>#REF!</v>
      </c>
      <c r="F665" s="71">
        <v>0</v>
      </c>
      <c r="G665" s="70">
        <f ca="1">_xlfn.XLOOKUP(B:B,'E-mail'!A:A,'E-mail'!C:C)</f>
        <v>51.612903225806448</v>
      </c>
      <c r="H665" s="70">
        <f>IFERROR(_xlfn.XLOOKUP($B:$B,#REF!,#REF!),0)</f>
        <v>0</v>
      </c>
      <c r="I665" s="71">
        <v>0</v>
      </c>
      <c r="J665" s="71">
        <v>0</v>
      </c>
      <c r="K665" s="71">
        <v>0</v>
      </c>
      <c r="L665" s="59"/>
      <c r="M665" s="70">
        <v>0</v>
      </c>
      <c r="N665" s="70">
        <v>0</v>
      </c>
      <c r="O665" s="70">
        <v>0</v>
      </c>
      <c r="P665" s="38"/>
      <c r="Q665" s="40"/>
    </row>
    <row r="666" spans="1:17" s="2" customFormat="1" x14ac:dyDescent="0.2">
      <c r="A666" s="16" t="str">
        <f t="shared" si="20"/>
        <v>quinta-feira</v>
      </c>
      <c r="B666" s="17">
        <f t="shared" si="21"/>
        <v>45225</v>
      </c>
      <c r="C666" s="52">
        <f>IFERROR(_xlfn.XLOOKUP($B:$B,'Estatísticos Mensais'!$A:$A,'Estatísticos Mensais'!C:C),0)</f>
        <v>0</v>
      </c>
      <c r="D666" s="69">
        <f>IFERROR(_xlfn.XLOOKUP($B:$B,Google!A:A,Google!C:C,),0)</f>
        <v>0</v>
      </c>
      <c r="E666" s="70" t="e">
        <f>SUMIF(#REF!,'Compilado 2023 (2)'!$B:$B,#REF!)</f>
        <v>#REF!</v>
      </c>
      <c r="F666" s="71">
        <v>0</v>
      </c>
      <c r="G666" s="70">
        <f ca="1">_xlfn.XLOOKUP(B:B,'E-mail'!A:A,'E-mail'!C:C)</f>
        <v>51.612903225806448</v>
      </c>
      <c r="H666" s="70">
        <f>IFERROR(_xlfn.XLOOKUP($B:$B,#REF!,#REF!),0)</f>
        <v>0</v>
      </c>
      <c r="I666" s="71">
        <v>0</v>
      </c>
      <c r="J666" s="71">
        <v>0</v>
      </c>
      <c r="K666" s="71">
        <v>0</v>
      </c>
      <c r="L666" s="59"/>
      <c r="M666" s="70">
        <v>0</v>
      </c>
      <c r="N666" s="70">
        <v>0</v>
      </c>
      <c r="O666" s="70">
        <v>0</v>
      </c>
      <c r="P666" s="38"/>
      <c r="Q666" s="40"/>
    </row>
    <row r="667" spans="1:17" s="2" customFormat="1" x14ac:dyDescent="0.2">
      <c r="A667" s="16" t="str">
        <f t="shared" si="20"/>
        <v>sexta-feira</v>
      </c>
      <c r="B667" s="17">
        <f t="shared" si="21"/>
        <v>45226</v>
      </c>
      <c r="C667" s="52">
        <f>IFERROR(_xlfn.XLOOKUP($B:$B,'Estatísticos Mensais'!$A:$A,'Estatísticos Mensais'!C:C),0)</f>
        <v>0</v>
      </c>
      <c r="D667" s="69">
        <f>IFERROR(_xlfn.XLOOKUP($B:$B,Google!A:A,Google!C:C,),0)</f>
        <v>0</v>
      </c>
      <c r="E667" s="70" t="e">
        <f>SUMIF(#REF!,'Compilado 2023 (2)'!$B:$B,#REF!)</f>
        <v>#REF!</v>
      </c>
      <c r="F667" s="71">
        <v>0</v>
      </c>
      <c r="G667" s="70">
        <f ca="1">_xlfn.XLOOKUP(B:B,'E-mail'!A:A,'E-mail'!C:C)</f>
        <v>51.612903225806448</v>
      </c>
      <c r="H667" s="70">
        <f>IFERROR(_xlfn.XLOOKUP($B:$B,#REF!,#REF!),0)</f>
        <v>0</v>
      </c>
      <c r="I667" s="71">
        <v>0</v>
      </c>
      <c r="J667" s="71">
        <v>0</v>
      </c>
      <c r="K667" s="71">
        <v>0</v>
      </c>
      <c r="L667" s="59"/>
      <c r="M667" s="70">
        <v>0</v>
      </c>
      <c r="N667" s="70">
        <v>0</v>
      </c>
      <c r="O667" s="70">
        <v>0</v>
      </c>
      <c r="P667" s="38"/>
      <c r="Q667" s="40"/>
    </row>
    <row r="668" spans="1:17" s="2" customFormat="1" x14ac:dyDescent="0.2">
      <c r="A668" s="16" t="str">
        <f t="shared" si="20"/>
        <v>sábado</v>
      </c>
      <c r="B668" s="17">
        <f t="shared" si="21"/>
        <v>45227</v>
      </c>
      <c r="C668" s="52">
        <f>IFERROR(_xlfn.XLOOKUP($B:$B,'Estatísticos Mensais'!$A:$A,'Estatísticos Mensais'!C:C),0)</f>
        <v>0</v>
      </c>
      <c r="D668" s="69">
        <f>IFERROR(_xlfn.XLOOKUP($B:$B,Google!A:A,Google!C:C,),0)</f>
        <v>0</v>
      </c>
      <c r="E668" s="70" t="e">
        <f>SUMIF(#REF!,'Compilado 2023 (2)'!$B:$B,#REF!)</f>
        <v>#REF!</v>
      </c>
      <c r="F668" s="71">
        <v>0</v>
      </c>
      <c r="G668" s="70">
        <f ca="1">_xlfn.XLOOKUP(B:B,'E-mail'!A:A,'E-mail'!C:C)</f>
        <v>51.612903225806448</v>
      </c>
      <c r="H668" s="70">
        <f>IFERROR(_xlfn.XLOOKUP($B:$B,#REF!,#REF!),0)</f>
        <v>0</v>
      </c>
      <c r="I668" s="71">
        <v>0</v>
      </c>
      <c r="J668" s="71">
        <v>0</v>
      </c>
      <c r="K668" s="71">
        <v>0</v>
      </c>
      <c r="L668" s="59"/>
      <c r="M668" s="70">
        <v>0</v>
      </c>
      <c r="N668" s="70">
        <v>0</v>
      </c>
      <c r="O668" s="70">
        <v>0</v>
      </c>
      <c r="P668" s="38"/>
      <c r="Q668" s="40"/>
    </row>
    <row r="669" spans="1:17" s="2" customFormat="1" x14ac:dyDescent="0.2">
      <c r="A669" s="16" t="str">
        <f t="shared" si="20"/>
        <v>domingo</v>
      </c>
      <c r="B669" s="17">
        <f t="shared" si="21"/>
        <v>45228</v>
      </c>
      <c r="C669" s="52">
        <f>IFERROR(_xlfn.XLOOKUP($B:$B,'Estatísticos Mensais'!$A:$A,'Estatísticos Mensais'!C:C),0)</f>
        <v>0</v>
      </c>
      <c r="D669" s="69">
        <f>IFERROR(_xlfn.XLOOKUP($B:$B,Google!A:A,Google!C:C,),0)</f>
        <v>0</v>
      </c>
      <c r="E669" s="70" t="e">
        <f>SUMIF(#REF!,'Compilado 2023 (2)'!$B:$B,#REF!)</f>
        <v>#REF!</v>
      </c>
      <c r="F669" s="71">
        <v>0</v>
      </c>
      <c r="G669" s="70">
        <f ca="1">_xlfn.XLOOKUP(B:B,'E-mail'!A:A,'E-mail'!C:C)</f>
        <v>51.612903225806448</v>
      </c>
      <c r="H669" s="70">
        <f>IFERROR(_xlfn.XLOOKUP($B:$B,#REF!,#REF!),0)</f>
        <v>0</v>
      </c>
      <c r="I669" s="71">
        <v>0</v>
      </c>
      <c r="J669" s="71">
        <v>0</v>
      </c>
      <c r="K669" s="71">
        <v>0</v>
      </c>
      <c r="L669" s="59"/>
      <c r="M669" s="70">
        <v>0</v>
      </c>
      <c r="N669" s="70">
        <v>0</v>
      </c>
      <c r="O669" s="70">
        <v>0</v>
      </c>
      <c r="P669" s="38"/>
      <c r="Q669" s="40"/>
    </row>
    <row r="670" spans="1:17" s="2" customFormat="1" x14ac:dyDescent="0.2">
      <c r="A670" s="16" t="str">
        <f t="shared" si="20"/>
        <v>segunda-feira</v>
      </c>
      <c r="B670" s="17">
        <f t="shared" si="21"/>
        <v>45229</v>
      </c>
      <c r="C670" s="52">
        <f>IFERROR(_xlfn.XLOOKUP($B:$B,'Estatísticos Mensais'!$A:$A,'Estatísticos Mensais'!C:C),0)</f>
        <v>0</v>
      </c>
      <c r="D670" s="69">
        <f>IFERROR(_xlfn.XLOOKUP($B:$B,Google!A:A,Google!C:C,),0)</f>
        <v>0</v>
      </c>
      <c r="E670" s="70" t="e">
        <f>SUMIF(#REF!,'Compilado 2023 (2)'!$B:$B,#REF!)</f>
        <v>#REF!</v>
      </c>
      <c r="F670" s="71">
        <v>0</v>
      </c>
      <c r="G670" s="70">
        <f ca="1">_xlfn.XLOOKUP(B:B,'E-mail'!A:A,'E-mail'!C:C)</f>
        <v>51.612903225806448</v>
      </c>
      <c r="H670" s="70">
        <f>IFERROR(_xlfn.XLOOKUP($B:$B,#REF!,#REF!),0)</f>
        <v>0</v>
      </c>
      <c r="I670" s="71">
        <v>0</v>
      </c>
      <c r="J670" s="71">
        <v>0</v>
      </c>
      <c r="K670" s="71">
        <v>0</v>
      </c>
      <c r="L670" s="59"/>
      <c r="M670" s="70">
        <v>0</v>
      </c>
      <c r="N670" s="70">
        <v>0</v>
      </c>
      <c r="O670" s="70">
        <v>0</v>
      </c>
      <c r="P670" s="38"/>
      <c r="Q670" s="40"/>
    </row>
    <row r="671" spans="1:17" s="2" customFormat="1" x14ac:dyDescent="0.2">
      <c r="A671" s="16" t="str">
        <f t="shared" si="20"/>
        <v>terça-feira</v>
      </c>
      <c r="B671" s="17">
        <f t="shared" si="21"/>
        <v>45230</v>
      </c>
      <c r="C671" s="52">
        <f>IFERROR(_xlfn.XLOOKUP($B:$B,'Estatísticos Mensais'!$A:$A,'Estatísticos Mensais'!C:C),0)</f>
        <v>0</v>
      </c>
      <c r="D671" s="69">
        <f>IFERROR(_xlfn.XLOOKUP($B:$B,Google!A:A,Google!C:C,),0)</f>
        <v>0</v>
      </c>
      <c r="E671" s="70" t="e">
        <f>SUMIF(#REF!,'Compilado 2023 (2)'!$B:$B,#REF!)</f>
        <v>#REF!</v>
      </c>
      <c r="F671" s="71">
        <v>0</v>
      </c>
      <c r="G671" s="70">
        <f ca="1">_xlfn.XLOOKUP(B:B,'E-mail'!A:A,'E-mail'!C:C)</f>
        <v>51.612903225806448</v>
      </c>
      <c r="H671" s="70">
        <f>IFERROR(_xlfn.XLOOKUP($B:$B,#REF!,#REF!),0)</f>
        <v>0</v>
      </c>
      <c r="I671" s="71">
        <v>0</v>
      </c>
      <c r="J671" s="71">
        <v>0</v>
      </c>
      <c r="K671" s="71">
        <v>0</v>
      </c>
      <c r="L671" s="59"/>
      <c r="M671" s="70">
        <v>0</v>
      </c>
      <c r="N671" s="70">
        <v>0</v>
      </c>
      <c r="O671" s="70">
        <v>0</v>
      </c>
      <c r="P671" s="38"/>
      <c r="Q671" s="40"/>
    </row>
    <row r="672" spans="1:17" s="2" customFormat="1" x14ac:dyDescent="0.2">
      <c r="A672" s="16" t="str">
        <f t="shared" si="20"/>
        <v>quarta-feira</v>
      </c>
      <c r="B672" s="17">
        <f t="shared" si="21"/>
        <v>45231</v>
      </c>
      <c r="C672" s="52">
        <f>IFERROR(_xlfn.XLOOKUP($B:$B,'Estatísticos Mensais'!$A:$A,'Estatísticos Mensais'!C:C),0)</f>
        <v>0</v>
      </c>
      <c r="D672" s="69">
        <f>IFERROR(_xlfn.XLOOKUP($B:$B,Google!A:A,Google!C:C,),0)</f>
        <v>0</v>
      </c>
      <c r="E672" s="70" t="e">
        <f>SUMIF(#REF!,'Compilado 2023 (2)'!$B:$B,#REF!)</f>
        <v>#REF!</v>
      </c>
      <c r="F672" s="71">
        <v>0</v>
      </c>
      <c r="G672" s="70">
        <f ca="1">_xlfn.XLOOKUP(B:B,'E-mail'!A:A,'E-mail'!C:C)</f>
        <v>53.333333333333336</v>
      </c>
      <c r="H672" s="70">
        <f>IFERROR(_xlfn.XLOOKUP($B:$B,#REF!,#REF!),0)</f>
        <v>0</v>
      </c>
      <c r="I672" s="71">
        <v>0</v>
      </c>
      <c r="J672" s="71">
        <v>0</v>
      </c>
      <c r="K672" s="71">
        <v>0</v>
      </c>
      <c r="L672" s="59"/>
      <c r="M672" s="70">
        <v>0</v>
      </c>
      <c r="N672" s="70">
        <v>0</v>
      </c>
      <c r="O672" s="70">
        <v>0</v>
      </c>
      <c r="P672" s="38"/>
      <c r="Q672" s="40"/>
    </row>
    <row r="673" spans="1:17" s="2" customFormat="1" x14ac:dyDescent="0.2">
      <c r="A673" s="16" t="str">
        <f t="shared" si="20"/>
        <v>quinta-feira</v>
      </c>
      <c r="B673" s="17">
        <f t="shared" si="21"/>
        <v>45232</v>
      </c>
      <c r="C673" s="52">
        <f>IFERROR(_xlfn.XLOOKUP($B:$B,'Estatísticos Mensais'!$A:$A,'Estatísticos Mensais'!C:C),0)</f>
        <v>0</v>
      </c>
      <c r="D673" s="69">
        <f>IFERROR(_xlfn.XLOOKUP($B:$B,Google!A:A,Google!C:C,),0)</f>
        <v>0</v>
      </c>
      <c r="E673" s="70" t="e">
        <f>SUMIF(#REF!,'Compilado 2023 (2)'!$B:$B,#REF!)</f>
        <v>#REF!</v>
      </c>
      <c r="F673" s="71">
        <v>0</v>
      </c>
      <c r="G673" s="70">
        <f ca="1">_xlfn.XLOOKUP(B:B,'E-mail'!A:A,'E-mail'!C:C)</f>
        <v>53.333333333333336</v>
      </c>
      <c r="H673" s="70">
        <f>IFERROR(_xlfn.XLOOKUP($B:$B,#REF!,#REF!),0)</f>
        <v>0</v>
      </c>
      <c r="I673" s="71">
        <v>0</v>
      </c>
      <c r="J673" s="71">
        <v>0</v>
      </c>
      <c r="K673" s="71">
        <v>0</v>
      </c>
      <c r="L673" s="59"/>
      <c r="M673" s="70">
        <v>0</v>
      </c>
      <c r="N673" s="70">
        <v>0</v>
      </c>
      <c r="O673" s="70">
        <v>0</v>
      </c>
      <c r="P673" s="38"/>
      <c r="Q673" s="40"/>
    </row>
    <row r="674" spans="1:17" s="2" customFormat="1" x14ac:dyDescent="0.2">
      <c r="A674" s="16" t="str">
        <f t="shared" si="20"/>
        <v>sexta-feira</v>
      </c>
      <c r="B674" s="17">
        <f t="shared" si="21"/>
        <v>45233</v>
      </c>
      <c r="C674" s="52">
        <f>IFERROR(_xlfn.XLOOKUP($B:$B,'Estatísticos Mensais'!$A:$A,'Estatísticos Mensais'!C:C),0)</f>
        <v>0</v>
      </c>
      <c r="D674" s="69">
        <f>IFERROR(_xlfn.XLOOKUP($B:$B,Google!A:A,Google!C:C,),0)</f>
        <v>0</v>
      </c>
      <c r="E674" s="70" t="e">
        <f>SUMIF(#REF!,'Compilado 2023 (2)'!$B:$B,#REF!)</f>
        <v>#REF!</v>
      </c>
      <c r="F674" s="71">
        <v>0</v>
      </c>
      <c r="G674" s="70">
        <f ca="1">_xlfn.XLOOKUP(B:B,'E-mail'!A:A,'E-mail'!C:C)</f>
        <v>53.333333333333336</v>
      </c>
      <c r="H674" s="70">
        <f>IFERROR(_xlfn.XLOOKUP($B:$B,#REF!,#REF!),0)</f>
        <v>0</v>
      </c>
      <c r="I674" s="71">
        <v>0</v>
      </c>
      <c r="J674" s="71">
        <v>0</v>
      </c>
      <c r="K674" s="71">
        <v>0</v>
      </c>
      <c r="L674" s="59"/>
      <c r="M674" s="70">
        <v>0</v>
      </c>
      <c r="N674" s="70">
        <v>0</v>
      </c>
      <c r="O674" s="70">
        <v>0</v>
      </c>
      <c r="P674" s="38"/>
      <c r="Q674" s="40"/>
    </row>
    <row r="675" spans="1:17" s="2" customFormat="1" x14ac:dyDescent="0.2">
      <c r="A675" s="16" t="str">
        <f t="shared" si="20"/>
        <v>sábado</v>
      </c>
      <c r="B675" s="17">
        <f t="shared" si="21"/>
        <v>45234</v>
      </c>
      <c r="C675" s="52">
        <f>IFERROR(_xlfn.XLOOKUP($B:$B,'Estatísticos Mensais'!$A:$A,'Estatísticos Mensais'!C:C),0)</f>
        <v>0</v>
      </c>
      <c r="D675" s="69">
        <f>IFERROR(_xlfn.XLOOKUP($B:$B,Google!A:A,Google!C:C,),0)</f>
        <v>0</v>
      </c>
      <c r="E675" s="70" t="e">
        <f>SUMIF(#REF!,'Compilado 2023 (2)'!$B:$B,#REF!)</f>
        <v>#REF!</v>
      </c>
      <c r="F675" s="71">
        <v>0</v>
      </c>
      <c r="G675" s="70">
        <f ca="1">_xlfn.XLOOKUP(B:B,'E-mail'!A:A,'E-mail'!C:C)</f>
        <v>53.333333333333336</v>
      </c>
      <c r="H675" s="70">
        <f>IFERROR(_xlfn.XLOOKUP($B:$B,#REF!,#REF!),0)</f>
        <v>0</v>
      </c>
      <c r="I675" s="71">
        <v>0</v>
      </c>
      <c r="J675" s="71">
        <v>0</v>
      </c>
      <c r="K675" s="71">
        <v>0</v>
      </c>
      <c r="L675" s="59"/>
      <c r="M675" s="70">
        <v>0</v>
      </c>
      <c r="N675" s="70">
        <v>0</v>
      </c>
      <c r="O675" s="70">
        <v>0</v>
      </c>
      <c r="P675" s="38"/>
      <c r="Q675" s="40"/>
    </row>
    <row r="676" spans="1:17" s="2" customFormat="1" x14ac:dyDescent="0.2">
      <c r="A676" s="16" t="str">
        <f t="shared" si="20"/>
        <v>domingo</v>
      </c>
      <c r="B676" s="17">
        <f t="shared" si="21"/>
        <v>45235</v>
      </c>
      <c r="C676" s="52">
        <f>IFERROR(_xlfn.XLOOKUP($B:$B,'Estatísticos Mensais'!$A:$A,'Estatísticos Mensais'!C:C),0)</f>
        <v>0</v>
      </c>
      <c r="D676" s="69">
        <f>IFERROR(_xlfn.XLOOKUP($B:$B,Google!A:A,Google!C:C,),0)</f>
        <v>0</v>
      </c>
      <c r="E676" s="70" t="e">
        <f>SUMIF(#REF!,'Compilado 2023 (2)'!$B:$B,#REF!)</f>
        <v>#REF!</v>
      </c>
      <c r="F676" s="71">
        <v>0</v>
      </c>
      <c r="G676" s="70">
        <f ca="1">_xlfn.XLOOKUP(B:B,'E-mail'!A:A,'E-mail'!C:C)</f>
        <v>53.333333333333336</v>
      </c>
      <c r="H676" s="70">
        <f>IFERROR(_xlfn.XLOOKUP($B:$B,#REF!,#REF!),0)</f>
        <v>0</v>
      </c>
      <c r="I676" s="71">
        <v>0</v>
      </c>
      <c r="J676" s="71">
        <v>0</v>
      </c>
      <c r="K676" s="71">
        <v>0</v>
      </c>
      <c r="L676" s="59"/>
      <c r="M676" s="70">
        <v>0</v>
      </c>
      <c r="N676" s="70">
        <v>0</v>
      </c>
      <c r="O676" s="70">
        <v>0</v>
      </c>
      <c r="P676" s="38"/>
      <c r="Q676" s="40"/>
    </row>
    <row r="677" spans="1:17" s="2" customFormat="1" x14ac:dyDescent="0.2">
      <c r="A677" s="16" t="str">
        <f t="shared" si="20"/>
        <v>segunda-feira</v>
      </c>
      <c r="B677" s="17">
        <f t="shared" si="21"/>
        <v>45236</v>
      </c>
      <c r="C677" s="52">
        <f>IFERROR(_xlfn.XLOOKUP($B:$B,'Estatísticos Mensais'!$A:$A,'Estatísticos Mensais'!C:C),0)</f>
        <v>0</v>
      </c>
      <c r="D677" s="69">
        <f>IFERROR(_xlfn.XLOOKUP($B:$B,Google!A:A,Google!C:C,),0)</f>
        <v>0</v>
      </c>
      <c r="E677" s="70" t="e">
        <f>SUMIF(#REF!,'Compilado 2023 (2)'!$B:$B,#REF!)</f>
        <v>#REF!</v>
      </c>
      <c r="F677" s="71">
        <v>0</v>
      </c>
      <c r="G677" s="70">
        <f ca="1">_xlfn.XLOOKUP(B:B,'E-mail'!A:A,'E-mail'!C:C)</f>
        <v>53.333333333333336</v>
      </c>
      <c r="H677" s="70">
        <f>IFERROR(_xlfn.XLOOKUP($B:$B,#REF!,#REF!),0)</f>
        <v>0</v>
      </c>
      <c r="I677" s="71">
        <v>0</v>
      </c>
      <c r="J677" s="71">
        <v>0</v>
      </c>
      <c r="K677" s="71">
        <v>0</v>
      </c>
      <c r="L677" s="59"/>
      <c r="M677" s="70">
        <v>0</v>
      </c>
      <c r="N677" s="70">
        <v>0</v>
      </c>
      <c r="O677" s="70">
        <v>0</v>
      </c>
      <c r="P677" s="38"/>
      <c r="Q677" s="40"/>
    </row>
    <row r="678" spans="1:17" s="2" customFormat="1" x14ac:dyDescent="0.2">
      <c r="A678" s="16" t="str">
        <f t="shared" si="20"/>
        <v>terça-feira</v>
      </c>
      <c r="B678" s="17">
        <f t="shared" si="21"/>
        <v>45237</v>
      </c>
      <c r="C678" s="52">
        <f>IFERROR(_xlfn.XLOOKUP($B:$B,'Estatísticos Mensais'!$A:$A,'Estatísticos Mensais'!C:C),0)</f>
        <v>0</v>
      </c>
      <c r="D678" s="69">
        <f>IFERROR(_xlfn.XLOOKUP($B:$B,Google!A:A,Google!C:C,),0)</f>
        <v>0</v>
      </c>
      <c r="E678" s="70" t="e">
        <f>SUMIF(#REF!,'Compilado 2023 (2)'!$B:$B,#REF!)</f>
        <v>#REF!</v>
      </c>
      <c r="F678" s="71">
        <v>0</v>
      </c>
      <c r="G678" s="70">
        <f ca="1">_xlfn.XLOOKUP(B:B,'E-mail'!A:A,'E-mail'!C:C)</f>
        <v>53.333333333333336</v>
      </c>
      <c r="H678" s="70">
        <f>IFERROR(_xlfn.XLOOKUP($B:$B,#REF!,#REF!),0)</f>
        <v>0</v>
      </c>
      <c r="I678" s="71">
        <v>0</v>
      </c>
      <c r="J678" s="71">
        <v>0</v>
      </c>
      <c r="K678" s="71">
        <v>0</v>
      </c>
      <c r="L678" s="59"/>
      <c r="M678" s="70">
        <v>0</v>
      </c>
      <c r="N678" s="70">
        <v>0</v>
      </c>
      <c r="O678" s="70">
        <v>0</v>
      </c>
      <c r="P678" s="38"/>
      <c r="Q678" s="40"/>
    </row>
    <row r="679" spans="1:17" s="2" customFormat="1" x14ac:dyDescent="0.2">
      <c r="A679" s="16" t="str">
        <f t="shared" si="20"/>
        <v>quarta-feira</v>
      </c>
      <c r="B679" s="17">
        <f t="shared" si="21"/>
        <v>45238</v>
      </c>
      <c r="C679" s="52">
        <f>IFERROR(_xlfn.XLOOKUP($B:$B,'Estatísticos Mensais'!$A:$A,'Estatísticos Mensais'!C:C),0)</f>
        <v>0</v>
      </c>
      <c r="D679" s="69">
        <f>IFERROR(_xlfn.XLOOKUP($B:$B,Google!A:A,Google!C:C,),0)</f>
        <v>0</v>
      </c>
      <c r="E679" s="70" t="e">
        <f>SUMIF(#REF!,'Compilado 2023 (2)'!$B:$B,#REF!)</f>
        <v>#REF!</v>
      </c>
      <c r="F679" s="71">
        <v>0</v>
      </c>
      <c r="G679" s="70">
        <f ca="1">_xlfn.XLOOKUP(B:B,'E-mail'!A:A,'E-mail'!C:C)</f>
        <v>53.333333333333336</v>
      </c>
      <c r="H679" s="70">
        <f>IFERROR(_xlfn.XLOOKUP($B:$B,#REF!,#REF!),0)</f>
        <v>0</v>
      </c>
      <c r="I679" s="71">
        <v>0</v>
      </c>
      <c r="J679" s="71">
        <v>0</v>
      </c>
      <c r="K679" s="71">
        <v>0</v>
      </c>
      <c r="L679" s="59"/>
      <c r="M679" s="70">
        <v>0</v>
      </c>
      <c r="N679" s="70">
        <v>0</v>
      </c>
      <c r="O679" s="70">
        <v>0</v>
      </c>
      <c r="P679" s="38"/>
      <c r="Q679" s="40"/>
    </row>
    <row r="680" spans="1:17" s="2" customFormat="1" x14ac:dyDescent="0.2">
      <c r="A680" s="16" t="str">
        <f t="shared" si="20"/>
        <v>quinta-feira</v>
      </c>
      <c r="B680" s="17">
        <f t="shared" si="21"/>
        <v>45239</v>
      </c>
      <c r="C680" s="52">
        <f>IFERROR(_xlfn.XLOOKUP($B:$B,'Estatísticos Mensais'!$A:$A,'Estatísticos Mensais'!C:C),0)</f>
        <v>0</v>
      </c>
      <c r="D680" s="69">
        <f>IFERROR(_xlfn.XLOOKUP($B:$B,Google!A:A,Google!C:C,),0)</f>
        <v>0</v>
      </c>
      <c r="E680" s="70" t="e">
        <f>SUMIF(#REF!,'Compilado 2023 (2)'!$B:$B,#REF!)</f>
        <v>#REF!</v>
      </c>
      <c r="F680" s="71">
        <v>0</v>
      </c>
      <c r="G680" s="70">
        <f ca="1">_xlfn.XLOOKUP(B:B,'E-mail'!A:A,'E-mail'!C:C)</f>
        <v>53.333333333333336</v>
      </c>
      <c r="H680" s="70">
        <f>IFERROR(_xlfn.XLOOKUP($B:$B,#REF!,#REF!),0)</f>
        <v>0</v>
      </c>
      <c r="I680" s="71">
        <v>0</v>
      </c>
      <c r="J680" s="71">
        <v>0</v>
      </c>
      <c r="K680" s="71">
        <v>0</v>
      </c>
      <c r="L680" s="59"/>
      <c r="M680" s="70">
        <v>0</v>
      </c>
      <c r="N680" s="70">
        <v>0</v>
      </c>
      <c r="O680" s="70">
        <v>0</v>
      </c>
      <c r="P680" s="38"/>
      <c r="Q680" s="40"/>
    </row>
    <row r="681" spans="1:17" s="2" customFormat="1" x14ac:dyDescent="0.2">
      <c r="A681" s="16" t="str">
        <f t="shared" si="20"/>
        <v>sexta-feira</v>
      </c>
      <c r="B681" s="17">
        <f t="shared" si="21"/>
        <v>45240</v>
      </c>
      <c r="C681" s="52">
        <f>IFERROR(_xlfn.XLOOKUP($B:$B,'Estatísticos Mensais'!$A:$A,'Estatísticos Mensais'!C:C),0)</f>
        <v>0</v>
      </c>
      <c r="D681" s="69">
        <f>IFERROR(_xlfn.XLOOKUP($B:$B,Google!A:A,Google!C:C,),0)</f>
        <v>0</v>
      </c>
      <c r="E681" s="70" t="e">
        <f>SUMIF(#REF!,'Compilado 2023 (2)'!$B:$B,#REF!)</f>
        <v>#REF!</v>
      </c>
      <c r="F681" s="71">
        <v>0</v>
      </c>
      <c r="G681" s="70">
        <f ca="1">_xlfn.XLOOKUP(B:B,'E-mail'!A:A,'E-mail'!C:C)</f>
        <v>53.333333333333336</v>
      </c>
      <c r="H681" s="70">
        <f>IFERROR(_xlfn.XLOOKUP($B:$B,#REF!,#REF!),0)</f>
        <v>0</v>
      </c>
      <c r="I681" s="71">
        <v>0</v>
      </c>
      <c r="J681" s="71">
        <v>0</v>
      </c>
      <c r="K681" s="71">
        <v>0</v>
      </c>
      <c r="L681" s="59"/>
      <c r="M681" s="70">
        <v>0</v>
      </c>
      <c r="N681" s="70">
        <v>0</v>
      </c>
      <c r="O681" s="70">
        <v>0</v>
      </c>
      <c r="P681" s="38"/>
      <c r="Q681" s="40"/>
    </row>
    <row r="682" spans="1:17" s="2" customFormat="1" x14ac:dyDescent="0.2">
      <c r="A682" s="16" t="str">
        <f t="shared" si="20"/>
        <v>sábado</v>
      </c>
      <c r="B682" s="17">
        <f t="shared" si="21"/>
        <v>45241</v>
      </c>
      <c r="C682" s="52">
        <f>IFERROR(_xlfn.XLOOKUP($B:$B,'Estatísticos Mensais'!$A:$A,'Estatísticos Mensais'!C:C),0)</f>
        <v>0</v>
      </c>
      <c r="D682" s="69">
        <f>IFERROR(_xlfn.XLOOKUP($B:$B,Google!A:A,Google!C:C,),0)</f>
        <v>0</v>
      </c>
      <c r="E682" s="70" t="e">
        <f>SUMIF(#REF!,'Compilado 2023 (2)'!$B:$B,#REF!)</f>
        <v>#REF!</v>
      </c>
      <c r="F682" s="71">
        <v>0</v>
      </c>
      <c r="G682" s="70">
        <f ca="1">_xlfn.XLOOKUP(B:B,'E-mail'!A:A,'E-mail'!C:C)</f>
        <v>53.333333333333336</v>
      </c>
      <c r="H682" s="70">
        <f>IFERROR(_xlfn.XLOOKUP($B:$B,#REF!,#REF!),0)</f>
        <v>0</v>
      </c>
      <c r="I682" s="71">
        <v>0</v>
      </c>
      <c r="J682" s="71">
        <v>0</v>
      </c>
      <c r="K682" s="71">
        <v>0</v>
      </c>
      <c r="L682" s="59"/>
      <c r="M682" s="70">
        <v>0</v>
      </c>
      <c r="N682" s="70">
        <v>0</v>
      </c>
      <c r="O682" s="70">
        <v>0</v>
      </c>
      <c r="P682" s="38"/>
      <c r="Q682" s="40"/>
    </row>
    <row r="683" spans="1:17" s="2" customFormat="1" x14ac:dyDescent="0.2">
      <c r="A683" s="16" t="str">
        <f t="shared" si="20"/>
        <v>domingo</v>
      </c>
      <c r="B683" s="17">
        <f t="shared" si="21"/>
        <v>45242</v>
      </c>
      <c r="C683" s="52">
        <f>IFERROR(_xlfn.XLOOKUP($B:$B,'Estatísticos Mensais'!$A:$A,'Estatísticos Mensais'!C:C),0)</f>
        <v>0</v>
      </c>
      <c r="D683" s="69">
        <f>IFERROR(_xlfn.XLOOKUP($B:$B,Google!A:A,Google!C:C,),0)</f>
        <v>0</v>
      </c>
      <c r="E683" s="70" t="e">
        <f>SUMIF(#REF!,'Compilado 2023 (2)'!$B:$B,#REF!)</f>
        <v>#REF!</v>
      </c>
      <c r="F683" s="71">
        <v>0</v>
      </c>
      <c r="G683" s="70">
        <f ca="1">_xlfn.XLOOKUP(B:B,'E-mail'!A:A,'E-mail'!C:C)</f>
        <v>53.333333333333336</v>
      </c>
      <c r="H683" s="70">
        <f>IFERROR(_xlfn.XLOOKUP($B:$B,#REF!,#REF!),0)</f>
        <v>0</v>
      </c>
      <c r="I683" s="71">
        <v>0</v>
      </c>
      <c r="J683" s="71">
        <v>0</v>
      </c>
      <c r="K683" s="71">
        <v>0</v>
      </c>
      <c r="L683" s="59"/>
      <c r="M683" s="70">
        <v>0</v>
      </c>
      <c r="N683" s="70">
        <v>0</v>
      </c>
      <c r="O683" s="70">
        <v>0</v>
      </c>
      <c r="P683" s="38"/>
      <c r="Q683" s="40"/>
    </row>
    <row r="684" spans="1:17" s="2" customFormat="1" x14ac:dyDescent="0.2">
      <c r="A684" s="16" t="str">
        <f t="shared" si="20"/>
        <v>segunda-feira</v>
      </c>
      <c r="B684" s="17">
        <f t="shared" si="21"/>
        <v>45243</v>
      </c>
      <c r="C684" s="52">
        <f>IFERROR(_xlfn.XLOOKUP($B:$B,'Estatísticos Mensais'!$A:$A,'Estatísticos Mensais'!C:C),0)</f>
        <v>0</v>
      </c>
      <c r="D684" s="69">
        <f>IFERROR(_xlfn.XLOOKUP($B:$B,Google!A:A,Google!C:C,),0)</f>
        <v>0</v>
      </c>
      <c r="E684" s="70" t="e">
        <f>SUMIF(#REF!,'Compilado 2023 (2)'!$B:$B,#REF!)</f>
        <v>#REF!</v>
      </c>
      <c r="F684" s="71">
        <v>0</v>
      </c>
      <c r="G684" s="70">
        <f ca="1">_xlfn.XLOOKUP(B:B,'E-mail'!A:A,'E-mail'!C:C)</f>
        <v>53.333333333333336</v>
      </c>
      <c r="H684" s="70">
        <f>IFERROR(_xlfn.XLOOKUP($B:$B,#REF!,#REF!),0)</f>
        <v>0</v>
      </c>
      <c r="I684" s="71">
        <v>0</v>
      </c>
      <c r="J684" s="71">
        <v>0</v>
      </c>
      <c r="K684" s="71">
        <v>0</v>
      </c>
      <c r="L684" s="59"/>
      <c r="M684" s="70">
        <v>0</v>
      </c>
      <c r="N684" s="70">
        <v>0</v>
      </c>
      <c r="O684" s="70">
        <v>0</v>
      </c>
      <c r="P684" s="38"/>
      <c r="Q684" s="40"/>
    </row>
    <row r="685" spans="1:17" s="2" customFormat="1" x14ac:dyDescent="0.2">
      <c r="A685" s="16" t="str">
        <f t="shared" si="20"/>
        <v>terça-feira</v>
      </c>
      <c r="B685" s="17">
        <f t="shared" si="21"/>
        <v>45244</v>
      </c>
      <c r="C685" s="52">
        <f>IFERROR(_xlfn.XLOOKUP($B:$B,'Estatísticos Mensais'!$A:$A,'Estatísticos Mensais'!C:C),0)</f>
        <v>0</v>
      </c>
      <c r="D685" s="69">
        <f>IFERROR(_xlfn.XLOOKUP($B:$B,Google!A:A,Google!C:C,),0)</f>
        <v>0</v>
      </c>
      <c r="E685" s="70" t="e">
        <f>SUMIF(#REF!,'Compilado 2023 (2)'!$B:$B,#REF!)</f>
        <v>#REF!</v>
      </c>
      <c r="F685" s="71">
        <v>0</v>
      </c>
      <c r="G685" s="70">
        <f ca="1">_xlfn.XLOOKUP(B:B,'E-mail'!A:A,'E-mail'!C:C)</f>
        <v>53.333333333333336</v>
      </c>
      <c r="H685" s="70">
        <f>IFERROR(_xlfn.XLOOKUP($B:$B,#REF!,#REF!),0)</f>
        <v>0</v>
      </c>
      <c r="I685" s="71">
        <v>0</v>
      </c>
      <c r="J685" s="71">
        <v>0</v>
      </c>
      <c r="K685" s="71">
        <v>0</v>
      </c>
      <c r="L685" s="59"/>
      <c r="M685" s="70">
        <v>0</v>
      </c>
      <c r="N685" s="70">
        <v>0</v>
      </c>
      <c r="O685" s="70">
        <v>0</v>
      </c>
      <c r="P685" s="38"/>
      <c r="Q685" s="40"/>
    </row>
    <row r="686" spans="1:17" s="2" customFormat="1" x14ac:dyDescent="0.2">
      <c r="A686" s="16" t="str">
        <f t="shared" si="20"/>
        <v>quarta-feira</v>
      </c>
      <c r="B686" s="17">
        <f t="shared" si="21"/>
        <v>45245</v>
      </c>
      <c r="C686" s="52">
        <f>IFERROR(_xlfn.XLOOKUP($B:$B,'Estatísticos Mensais'!$A:$A,'Estatísticos Mensais'!C:C),0)</f>
        <v>0</v>
      </c>
      <c r="D686" s="69">
        <f>IFERROR(_xlfn.XLOOKUP($B:$B,Google!A:A,Google!C:C,),0)</f>
        <v>0</v>
      </c>
      <c r="E686" s="70" t="e">
        <f>SUMIF(#REF!,'Compilado 2023 (2)'!$B:$B,#REF!)</f>
        <v>#REF!</v>
      </c>
      <c r="F686" s="71">
        <v>0</v>
      </c>
      <c r="G686" s="70">
        <f ca="1">_xlfn.XLOOKUP(B:B,'E-mail'!A:A,'E-mail'!C:C)</f>
        <v>53.333333333333336</v>
      </c>
      <c r="H686" s="70">
        <f>IFERROR(_xlfn.XLOOKUP($B:$B,#REF!,#REF!),0)</f>
        <v>0</v>
      </c>
      <c r="I686" s="71">
        <v>0</v>
      </c>
      <c r="J686" s="71">
        <v>0</v>
      </c>
      <c r="K686" s="71">
        <v>0</v>
      </c>
      <c r="L686" s="59"/>
      <c r="M686" s="70">
        <v>0</v>
      </c>
      <c r="N686" s="70">
        <v>0</v>
      </c>
      <c r="O686" s="70">
        <v>0</v>
      </c>
      <c r="P686" s="38"/>
      <c r="Q686" s="40"/>
    </row>
    <row r="687" spans="1:17" s="2" customFormat="1" x14ac:dyDescent="0.2">
      <c r="A687" s="16" t="str">
        <f t="shared" si="20"/>
        <v>quinta-feira</v>
      </c>
      <c r="B687" s="17">
        <f t="shared" si="21"/>
        <v>45246</v>
      </c>
      <c r="C687" s="52">
        <f>IFERROR(_xlfn.XLOOKUP($B:$B,'Estatísticos Mensais'!$A:$A,'Estatísticos Mensais'!C:C),0)</f>
        <v>0</v>
      </c>
      <c r="D687" s="69">
        <f>IFERROR(_xlfn.XLOOKUP($B:$B,Google!A:A,Google!C:C,),0)</f>
        <v>0</v>
      </c>
      <c r="E687" s="70" t="e">
        <f>SUMIF(#REF!,'Compilado 2023 (2)'!$B:$B,#REF!)</f>
        <v>#REF!</v>
      </c>
      <c r="F687" s="71">
        <v>0</v>
      </c>
      <c r="G687" s="70">
        <f ca="1">_xlfn.XLOOKUP(B:B,'E-mail'!A:A,'E-mail'!C:C)</f>
        <v>53.333333333333336</v>
      </c>
      <c r="H687" s="70">
        <f>IFERROR(_xlfn.XLOOKUP($B:$B,#REF!,#REF!),0)</f>
        <v>0</v>
      </c>
      <c r="I687" s="71">
        <v>0</v>
      </c>
      <c r="J687" s="71">
        <v>0</v>
      </c>
      <c r="K687" s="71">
        <v>0</v>
      </c>
      <c r="L687" s="59"/>
      <c r="M687" s="70">
        <v>0</v>
      </c>
      <c r="N687" s="70">
        <v>0</v>
      </c>
      <c r="O687" s="70">
        <v>0</v>
      </c>
      <c r="P687" s="38"/>
      <c r="Q687" s="40"/>
    </row>
    <row r="688" spans="1:17" s="2" customFormat="1" x14ac:dyDescent="0.2">
      <c r="A688" s="16" t="str">
        <f t="shared" si="20"/>
        <v>sexta-feira</v>
      </c>
      <c r="B688" s="17">
        <f t="shared" si="21"/>
        <v>45247</v>
      </c>
      <c r="C688" s="52">
        <f>IFERROR(_xlfn.XLOOKUP($B:$B,'Estatísticos Mensais'!$A:$A,'Estatísticos Mensais'!C:C),0)</f>
        <v>0</v>
      </c>
      <c r="D688" s="69">
        <f>IFERROR(_xlfn.XLOOKUP($B:$B,Google!A:A,Google!C:C,),0)</f>
        <v>0</v>
      </c>
      <c r="E688" s="70" t="e">
        <f>SUMIF(#REF!,'Compilado 2023 (2)'!$B:$B,#REF!)</f>
        <v>#REF!</v>
      </c>
      <c r="F688" s="71">
        <v>0</v>
      </c>
      <c r="G688" s="70">
        <f ca="1">_xlfn.XLOOKUP(B:B,'E-mail'!A:A,'E-mail'!C:C)</f>
        <v>53.333333333333336</v>
      </c>
      <c r="H688" s="70">
        <f>IFERROR(_xlfn.XLOOKUP($B:$B,#REF!,#REF!),0)</f>
        <v>0</v>
      </c>
      <c r="I688" s="71">
        <v>0</v>
      </c>
      <c r="J688" s="71">
        <v>0</v>
      </c>
      <c r="K688" s="71">
        <v>0</v>
      </c>
      <c r="L688" s="59"/>
      <c r="M688" s="70">
        <v>0</v>
      </c>
      <c r="N688" s="70">
        <v>0</v>
      </c>
      <c r="O688" s="70">
        <v>0</v>
      </c>
      <c r="P688" s="38"/>
      <c r="Q688" s="40"/>
    </row>
    <row r="689" spans="1:17" s="2" customFormat="1" x14ac:dyDescent="0.2">
      <c r="A689" s="16" t="str">
        <f t="shared" si="20"/>
        <v>sábado</v>
      </c>
      <c r="B689" s="17">
        <f t="shared" si="21"/>
        <v>45248</v>
      </c>
      <c r="C689" s="52">
        <f>IFERROR(_xlfn.XLOOKUP($B:$B,'Estatísticos Mensais'!$A:$A,'Estatísticos Mensais'!C:C),0)</f>
        <v>0</v>
      </c>
      <c r="D689" s="69">
        <f>IFERROR(_xlfn.XLOOKUP($B:$B,Google!A:A,Google!C:C,),0)</f>
        <v>0</v>
      </c>
      <c r="E689" s="70" t="e">
        <f>SUMIF(#REF!,'Compilado 2023 (2)'!$B:$B,#REF!)</f>
        <v>#REF!</v>
      </c>
      <c r="F689" s="71">
        <v>0</v>
      </c>
      <c r="G689" s="70">
        <f ca="1">_xlfn.XLOOKUP(B:B,'E-mail'!A:A,'E-mail'!C:C)</f>
        <v>53.333333333333336</v>
      </c>
      <c r="H689" s="70">
        <f>IFERROR(_xlfn.XLOOKUP($B:$B,#REF!,#REF!),0)</f>
        <v>0</v>
      </c>
      <c r="I689" s="71">
        <v>0</v>
      </c>
      <c r="J689" s="71">
        <v>0</v>
      </c>
      <c r="K689" s="71">
        <v>0</v>
      </c>
      <c r="L689" s="59"/>
      <c r="M689" s="70">
        <v>0</v>
      </c>
      <c r="N689" s="70">
        <v>0</v>
      </c>
      <c r="O689" s="70">
        <v>0</v>
      </c>
      <c r="P689" s="38"/>
      <c r="Q689" s="40"/>
    </row>
    <row r="690" spans="1:17" s="2" customFormat="1" x14ac:dyDescent="0.2">
      <c r="A690" s="16" t="str">
        <f t="shared" si="20"/>
        <v>domingo</v>
      </c>
      <c r="B690" s="17">
        <f t="shared" si="21"/>
        <v>45249</v>
      </c>
      <c r="C690" s="52">
        <f>IFERROR(_xlfn.XLOOKUP($B:$B,'Estatísticos Mensais'!$A:$A,'Estatísticos Mensais'!C:C),0)</f>
        <v>0</v>
      </c>
      <c r="D690" s="69">
        <f>IFERROR(_xlfn.XLOOKUP($B:$B,Google!A:A,Google!C:C,),0)</f>
        <v>0</v>
      </c>
      <c r="E690" s="70" t="e">
        <f>SUMIF(#REF!,'Compilado 2023 (2)'!$B:$B,#REF!)</f>
        <v>#REF!</v>
      </c>
      <c r="F690" s="71">
        <v>0</v>
      </c>
      <c r="G690" s="70">
        <f ca="1">_xlfn.XLOOKUP(B:B,'E-mail'!A:A,'E-mail'!C:C)</f>
        <v>53.333333333333336</v>
      </c>
      <c r="H690" s="70">
        <f>IFERROR(_xlfn.XLOOKUP($B:$B,#REF!,#REF!),0)</f>
        <v>0</v>
      </c>
      <c r="I690" s="71">
        <v>0</v>
      </c>
      <c r="J690" s="71">
        <v>0</v>
      </c>
      <c r="K690" s="71">
        <v>0</v>
      </c>
      <c r="L690" s="59"/>
      <c r="M690" s="70">
        <v>0</v>
      </c>
      <c r="N690" s="70">
        <v>0</v>
      </c>
      <c r="O690" s="70">
        <v>0</v>
      </c>
      <c r="P690" s="38"/>
      <c r="Q690" s="40"/>
    </row>
    <row r="691" spans="1:17" s="2" customFormat="1" x14ac:dyDescent="0.2">
      <c r="A691" s="16" t="str">
        <f t="shared" si="20"/>
        <v>segunda-feira</v>
      </c>
      <c r="B691" s="17">
        <f t="shared" si="21"/>
        <v>45250</v>
      </c>
      <c r="C691" s="52">
        <f>IFERROR(_xlfn.XLOOKUP($B:$B,'Estatísticos Mensais'!$A:$A,'Estatísticos Mensais'!C:C),0)</f>
        <v>0</v>
      </c>
      <c r="D691" s="69">
        <f>IFERROR(_xlfn.XLOOKUP($B:$B,Google!A:A,Google!C:C,),0)</f>
        <v>0</v>
      </c>
      <c r="E691" s="70" t="e">
        <f>SUMIF(#REF!,'Compilado 2023 (2)'!$B:$B,#REF!)</f>
        <v>#REF!</v>
      </c>
      <c r="F691" s="71">
        <v>0</v>
      </c>
      <c r="G691" s="70">
        <f ca="1">_xlfn.XLOOKUP(B:B,'E-mail'!A:A,'E-mail'!C:C)</f>
        <v>53.333333333333336</v>
      </c>
      <c r="H691" s="70">
        <f>IFERROR(_xlfn.XLOOKUP($B:$B,#REF!,#REF!),0)</f>
        <v>0</v>
      </c>
      <c r="I691" s="71">
        <v>0</v>
      </c>
      <c r="J691" s="71">
        <v>0</v>
      </c>
      <c r="K691" s="71">
        <v>0</v>
      </c>
      <c r="L691" s="59"/>
      <c r="M691" s="70">
        <v>0</v>
      </c>
      <c r="N691" s="70">
        <v>0</v>
      </c>
      <c r="O691" s="70">
        <v>0</v>
      </c>
      <c r="P691" s="38"/>
      <c r="Q691" s="40"/>
    </row>
    <row r="692" spans="1:17" s="2" customFormat="1" x14ac:dyDescent="0.2">
      <c r="A692" s="16" t="str">
        <f t="shared" si="20"/>
        <v>terça-feira</v>
      </c>
      <c r="B692" s="17">
        <f t="shared" si="21"/>
        <v>45251</v>
      </c>
      <c r="C692" s="52">
        <f>IFERROR(_xlfn.XLOOKUP($B:$B,'Estatísticos Mensais'!$A:$A,'Estatísticos Mensais'!C:C),0)</f>
        <v>0</v>
      </c>
      <c r="D692" s="69">
        <f>IFERROR(_xlfn.XLOOKUP($B:$B,Google!A:A,Google!C:C,),0)</f>
        <v>0</v>
      </c>
      <c r="E692" s="70" t="e">
        <f>SUMIF(#REF!,'Compilado 2023 (2)'!$B:$B,#REF!)</f>
        <v>#REF!</v>
      </c>
      <c r="F692" s="71">
        <v>0</v>
      </c>
      <c r="G692" s="70">
        <f ca="1">_xlfn.XLOOKUP(B:B,'E-mail'!A:A,'E-mail'!C:C)</f>
        <v>53.333333333333336</v>
      </c>
      <c r="H692" s="70">
        <f>IFERROR(_xlfn.XLOOKUP($B:$B,#REF!,#REF!),0)</f>
        <v>0</v>
      </c>
      <c r="I692" s="71">
        <v>0</v>
      </c>
      <c r="J692" s="71">
        <v>0</v>
      </c>
      <c r="K692" s="71">
        <v>0</v>
      </c>
      <c r="L692" s="59"/>
      <c r="M692" s="70">
        <v>0</v>
      </c>
      <c r="N692" s="70">
        <v>0</v>
      </c>
      <c r="O692" s="70">
        <v>0</v>
      </c>
      <c r="P692" s="38"/>
      <c r="Q692" s="40"/>
    </row>
    <row r="693" spans="1:17" s="2" customFormat="1" x14ac:dyDescent="0.2">
      <c r="A693" s="16" t="str">
        <f t="shared" si="20"/>
        <v>quarta-feira</v>
      </c>
      <c r="B693" s="17">
        <f t="shared" si="21"/>
        <v>45252</v>
      </c>
      <c r="C693" s="52">
        <f>IFERROR(_xlfn.XLOOKUP($B:$B,'Estatísticos Mensais'!$A:$A,'Estatísticos Mensais'!C:C),0)</f>
        <v>0</v>
      </c>
      <c r="D693" s="69">
        <f>IFERROR(_xlfn.XLOOKUP($B:$B,Google!A:A,Google!C:C,),0)</f>
        <v>0</v>
      </c>
      <c r="E693" s="70" t="e">
        <f>SUMIF(#REF!,'Compilado 2023 (2)'!$B:$B,#REF!)</f>
        <v>#REF!</v>
      </c>
      <c r="F693" s="71">
        <v>0</v>
      </c>
      <c r="G693" s="70">
        <f ca="1">_xlfn.XLOOKUP(B:B,'E-mail'!A:A,'E-mail'!C:C)</f>
        <v>53.333333333333336</v>
      </c>
      <c r="H693" s="70">
        <f>IFERROR(_xlfn.XLOOKUP($B:$B,#REF!,#REF!),0)</f>
        <v>0</v>
      </c>
      <c r="I693" s="71">
        <v>0</v>
      </c>
      <c r="J693" s="71">
        <v>0</v>
      </c>
      <c r="K693" s="71">
        <v>0</v>
      </c>
      <c r="L693" s="59"/>
      <c r="M693" s="70">
        <v>0</v>
      </c>
      <c r="N693" s="70">
        <v>0</v>
      </c>
      <c r="O693" s="70">
        <v>0</v>
      </c>
      <c r="P693" s="38"/>
      <c r="Q693" s="40"/>
    </row>
    <row r="694" spans="1:17" s="2" customFormat="1" x14ac:dyDescent="0.2">
      <c r="A694" s="16" t="str">
        <f t="shared" si="20"/>
        <v>quinta-feira</v>
      </c>
      <c r="B694" s="17">
        <f t="shared" si="21"/>
        <v>45253</v>
      </c>
      <c r="C694" s="52">
        <f>IFERROR(_xlfn.XLOOKUP($B:$B,'Estatísticos Mensais'!$A:$A,'Estatísticos Mensais'!C:C),0)</f>
        <v>0</v>
      </c>
      <c r="D694" s="69">
        <f>IFERROR(_xlfn.XLOOKUP($B:$B,Google!A:A,Google!C:C,),0)</f>
        <v>0</v>
      </c>
      <c r="E694" s="70" t="e">
        <f>SUMIF(#REF!,'Compilado 2023 (2)'!$B:$B,#REF!)</f>
        <v>#REF!</v>
      </c>
      <c r="F694" s="71">
        <v>0</v>
      </c>
      <c r="G694" s="70">
        <f ca="1">_xlfn.XLOOKUP(B:B,'E-mail'!A:A,'E-mail'!C:C)</f>
        <v>53.333333333333336</v>
      </c>
      <c r="H694" s="70">
        <f>IFERROR(_xlfn.XLOOKUP($B:$B,#REF!,#REF!),0)</f>
        <v>0</v>
      </c>
      <c r="I694" s="71">
        <v>0</v>
      </c>
      <c r="J694" s="71">
        <v>0</v>
      </c>
      <c r="K694" s="71">
        <v>0</v>
      </c>
      <c r="L694" s="59"/>
      <c r="M694" s="70">
        <v>0</v>
      </c>
      <c r="N694" s="70">
        <v>0</v>
      </c>
      <c r="O694" s="70">
        <v>0</v>
      </c>
      <c r="P694" s="38"/>
      <c r="Q694" s="40"/>
    </row>
    <row r="695" spans="1:17" s="2" customFormat="1" x14ac:dyDescent="0.2">
      <c r="A695" s="16" t="str">
        <f t="shared" ref="A695:A732" si="22">TEXT(B695,"DDDD")</f>
        <v>sexta-feira</v>
      </c>
      <c r="B695" s="17">
        <f t="shared" si="21"/>
        <v>45254</v>
      </c>
      <c r="C695" s="52">
        <f>IFERROR(_xlfn.XLOOKUP($B:$B,'Estatísticos Mensais'!$A:$A,'Estatísticos Mensais'!C:C),0)</f>
        <v>0</v>
      </c>
      <c r="D695" s="69">
        <f>IFERROR(_xlfn.XLOOKUP($B:$B,Google!A:A,Google!C:C,),0)</f>
        <v>0</v>
      </c>
      <c r="E695" s="70" t="e">
        <f>SUMIF(#REF!,'Compilado 2023 (2)'!$B:$B,#REF!)</f>
        <v>#REF!</v>
      </c>
      <c r="F695" s="71">
        <v>0</v>
      </c>
      <c r="G695" s="70">
        <f ca="1">_xlfn.XLOOKUP(B:B,'E-mail'!A:A,'E-mail'!C:C)</f>
        <v>53.333333333333336</v>
      </c>
      <c r="H695" s="70">
        <f>IFERROR(_xlfn.XLOOKUP($B:$B,#REF!,#REF!),0)</f>
        <v>0</v>
      </c>
      <c r="I695" s="71">
        <v>0</v>
      </c>
      <c r="J695" s="71">
        <v>0</v>
      </c>
      <c r="K695" s="71">
        <v>0</v>
      </c>
      <c r="L695" s="59"/>
      <c r="M695" s="70">
        <v>0</v>
      </c>
      <c r="N695" s="70">
        <v>0</v>
      </c>
      <c r="O695" s="70">
        <v>0</v>
      </c>
      <c r="P695" s="38"/>
      <c r="Q695" s="40"/>
    </row>
    <row r="696" spans="1:17" s="2" customFormat="1" x14ac:dyDescent="0.2">
      <c r="A696" s="16" t="str">
        <f t="shared" si="22"/>
        <v>sábado</v>
      </c>
      <c r="B696" s="17">
        <f t="shared" si="21"/>
        <v>45255</v>
      </c>
      <c r="C696" s="52">
        <f>IFERROR(_xlfn.XLOOKUP($B:$B,'Estatísticos Mensais'!$A:$A,'Estatísticos Mensais'!C:C),0)</f>
        <v>0</v>
      </c>
      <c r="D696" s="69">
        <f>IFERROR(_xlfn.XLOOKUP($B:$B,Google!A:A,Google!C:C,),0)</f>
        <v>0</v>
      </c>
      <c r="E696" s="70" t="e">
        <f>SUMIF(#REF!,'Compilado 2023 (2)'!$B:$B,#REF!)</f>
        <v>#REF!</v>
      </c>
      <c r="F696" s="71">
        <v>0</v>
      </c>
      <c r="G696" s="70">
        <f ca="1">_xlfn.XLOOKUP(B:B,'E-mail'!A:A,'E-mail'!C:C)</f>
        <v>53.333333333333336</v>
      </c>
      <c r="H696" s="70">
        <f>IFERROR(_xlfn.XLOOKUP($B:$B,#REF!,#REF!),0)</f>
        <v>0</v>
      </c>
      <c r="I696" s="71">
        <v>0</v>
      </c>
      <c r="J696" s="71">
        <v>0</v>
      </c>
      <c r="K696" s="71">
        <v>0</v>
      </c>
      <c r="L696" s="59"/>
      <c r="M696" s="70">
        <v>0</v>
      </c>
      <c r="N696" s="70">
        <v>0</v>
      </c>
      <c r="O696" s="70">
        <v>0</v>
      </c>
      <c r="P696" s="38"/>
      <c r="Q696" s="40"/>
    </row>
    <row r="697" spans="1:17" s="2" customFormat="1" x14ac:dyDescent="0.2">
      <c r="A697" s="16" t="str">
        <f t="shared" si="22"/>
        <v>domingo</v>
      </c>
      <c r="B697" s="17">
        <f t="shared" si="21"/>
        <v>45256</v>
      </c>
      <c r="C697" s="52">
        <f>IFERROR(_xlfn.XLOOKUP($B:$B,'Estatísticos Mensais'!$A:$A,'Estatísticos Mensais'!C:C),0)</f>
        <v>0</v>
      </c>
      <c r="D697" s="69">
        <f>IFERROR(_xlfn.XLOOKUP($B:$B,Google!A:A,Google!C:C,),0)</f>
        <v>0</v>
      </c>
      <c r="E697" s="70" t="e">
        <f>SUMIF(#REF!,'Compilado 2023 (2)'!$B:$B,#REF!)</f>
        <v>#REF!</v>
      </c>
      <c r="F697" s="71">
        <v>0</v>
      </c>
      <c r="G697" s="70">
        <f ca="1">_xlfn.XLOOKUP(B:B,'E-mail'!A:A,'E-mail'!C:C)</f>
        <v>53.333333333333336</v>
      </c>
      <c r="H697" s="70">
        <f>IFERROR(_xlfn.XLOOKUP($B:$B,#REF!,#REF!),0)</f>
        <v>0</v>
      </c>
      <c r="I697" s="71">
        <v>0</v>
      </c>
      <c r="J697" s="71">
        <v>0</v>
      </c>
      <c r="K697" s="71">
        <v>0</v>
      </c>
      <c r="L697" s="59"/>
      <c r="M697" s="70">
        <v>0</v>
      </c>
      <c r="N697" s="70">
        <v>0</v>
      </c>
      <c r="O697" s="70">
        <v>0</v>
      </c>
      <c r="P697" s="38"/>
      <c r="Q697" s="40"/>
    </row>
    <row r="698" spans="1:17" s="2" customFormat="1" x14ac:dyDescent="0.2">
      <c r="A698" s="16" t="str">
        <f t="shared" si="22"/>
        <v>segunda-feira</v>
      </c>
      <c r="B698" s="17">
        <f t="shared" si="21"/>
        <v>45257</v>
      </c>
      <c r="C698" s="52">
        <f>IFERROR(_xlfn.XLOOKUP($B:$B,'Estatísticos Mensais'!$A:$A,'Estatísticos Mensais'!C:C),0)</f>
        <v>0</v>
      </c>
      <c r="D698" s="69">
        <f>IFERROR(_xlfn.XLOOKUP($B:$B,Google!A:A,Google!C:C,),0)</f>
        <v>0</v>
      </c>
      <c r="E698" s="70" t="e">
        <f>SUMIF(#REF!,'Compilado 2023 (2)'!$B:$B,#REF!)</f>
        <v>#REF!</v>
      </c>
      <c r="F698" s="71">
        <v>0</v>
      </c>
      <c r="G698" s="70">
        <f ca="1">_xlfn.XLOOKUP(B:B,'E-mail'!A:A,'E-mail'!C:C)</f>
        <v>53.333333333333336</v>
      </c>
      <c r="H698" s="70">
        <f>IFERROR(_xlfn.XLOOKUP($B:$B,#REF!,#REF!),0)</f>
        <v>0</v>
      </c>
      <c r="I698" s="71">
        <v>0</v>
      </c>
      <c r="J698" s="71">
        <v>0</v>
      </c>
      <c r="K698" s="71">
        <v>0</v>
      </c>
      <c r="L698" s="59"/>
      <c r="M698" s="70">
        <v>0</v>
      </c>
      <c r="N698" s="70">
        <v>0</v>
      </c>
      <c r="O698" s="70">
        <v>0</v>
      </c>
      <c r="P698" s="38"/>
      <c r="Q698" s="40"/>
    </row>
    <row r="699" spans="1:17" s="2" customFormat="1" x14ac:dyDescent="0.2">
      <c r="A699" s="16" t="str">
        <f t="shared" si="22"/>
        <v>terça-feira</v>
      </c>
      <c r="B699" s="17">
        <f t="shared" si="21"/>
        <v>45258</v>
      </c>
      <c r="C699" s="52">
        <f>IFERROR(_xlfn.XLOOKUP($B:$B,'Estatísticos Mensais'!$A:$A,'Estatísticos Mensais'!C:C),0)</f>
        <v>0</v>
      </c>
      <c r="D699" s="69">
        <f>IFERROR(_xlfn.XLOOKUP($B:$B,Google!A:A,Google!C:C,),0)</f>
        <v>0</v>
      </c>
      <c r="E699" s="70" t="e">
        <f>SUMIF(#REF!,'Compilado 2023 (2)'!$B:$B,#REF!)</f>
        <v>#REF!</v>
      </c>
      <c r="F699" s="71">
        <v>0</v>
      </c>
      <c r="G699" s="70">
        <f ca="1">_xlfn.XLOOKUP(B:B,'E-mail'!A:A,'E-mail'!C:C)</f>
        <v>53.333333333333336</v>
      </c>
      <c r="H699" s="70">
        <f>IFERROR(_xlfn.XLOOKUP($B:$B,#REF!,#REF!),0)</f>
        <v>0</v>
      </c>
      <c r="I699" s="71">
        <v>0</v>
      </c>
      <c r="J699" s="71">
        <v>0</v>
      </c>
      <c r="K699" s="71">
        <v>0</v>
      </c>
      <c r="L699" s="59"/>
      <c r="M699" s="70">
        <v>0</v>
      </c>
      <c r="N699" s="70">
        <v>0</v>
      </c>
      <c r="O699" s="70">
        <v>0</v>
      </c>
      <c r="P699" s="38"/>
      <c r="Q699" s="40"/>
    </row>
    <row r="700" spans="1:17" s="2" customFormat="1" x14ac:dyDescent="0.2">
      <c r="A700" s="16" t="str">
        <f t="shared" si="22"/>
        <v>quarta-feira</v>
      </c>
      <c r="B700" s="17">
        <f t="shared" si="21"/>
        <v>45259</v>
      </c>
      <c r="C700" s="52">
        <f>IFERROR(_xlfn.XLOOKUP($B:$B,'Estatísticos Mensais'!$A:$A,'Estatísticos Mensais'!C:C),0)</f>
        <v>0</v>
      </c>
      <c r="D700" s="69">
        <f>IFERROR(_xlfn.XLOOKUP($B:$B,Google!A:A,Google!C:C,),0)</f>
        <v>0</v>
      </c>
      <c r="E700" s="70" t="e">
        <f>SUMIF(#REF!,'Compilado 2023 (2)'!$B:$B,#REF!)</f>
        <v>#REF!</v>
      </c>
      <c r="F700" s="71">
        <v>0</v>
      </c>
      <c r="G700" s="70">
        <f ca="1">_xlfn.XLOOKUP(B:B,'E-mail'!A:A,'E-mail'!C:C)</f>
        <v>53.333333333333336</v>
      </c>
      <c r="H700" s="70">
        <f>IFERROR(_xlfn.XLOOKUP($B:$B,#REF!,#REF!),0)</f>
        <v>0</v>
      </c>
      <c r="I700" s="71">
        <v>0</v>
      </c>
      <c r="J700" s="71">
        <v>0</v>
      </c>
      <c r="K700" s="71">
        <v>0</v>
      </c>
      <c r="L700" s="59"/>
      <c r="M700" s="70">
        <v>0</v>
      </c>
      <c r="N700" s="70">
        <v>0</v>
      </c>
      <c r="O700" s="70">
        <v>0</v>
      </c>
      <c r="P700" s="38"/>
      <c r="Q700" s="40"/>
    </row>
    <row r="701" spans="1:17" s="2" customFormat="1" x14ac:dyDescent="0.2">
      <c r="A701" s="16" t="str">
        <f t="shared" si="22"/>
        <v>quinta-feira</v>
      </c>
      <c r="B701" s="17">
        <f t="shared" si="21"/>
        <v>45260</v>
      </c>
      <c r="C701" s="52">
        <f>IFERROR(_xlfn.XLOOKUP($B:$B,'Estatísticos Mensais'!$A:$A,'Estatísticos Mensais'!C:C),0)</f>
        <v>0</v>
      </c>
      <c r="D701" s="69">
        <f>IFERROR(_xlfn.XLOOKUP($B:$B,Google!A:A,Google!C:C,),0)</f>
        <v>0</v>
      </c>
      <c r="E701" s="70" t="e">
        <f>SUMIF(#REF!,'Compilado 2023 (2)'!$B:$B,#REF!)</f>
        <v>#REF!</v>
      </c>
      <c r="F701" s="71">
        <v>0</v>
      </c>
      <c r="G701" s="70">
        <f ca="1">_xlfn.XLOOKUP(B:B,'E-mail'!A:A,'E-mail'!C:C)</f>
        <v>53.333333333333336</v>
      </c>
      <c r="H701" s="70">
        <f>IFERROR(_xlfn.XLOOKUP($B:$B,#REF!,#REF!),0)</f>
        <v>0</v>
      </c>
      <c r="I701" s="71">
        <v>0</v>
      </c>
      <c r="J701" s="71">
        <v>0</v>
      </c>
      <c r="K701" s="71">
        <v>0</v>
      </c>
      <c r="L701" s="59"/>
      <c r="M701" s="70">
        <v>0</v>
      </c>
      <c r="N701" s="70">
        <v>0</v>
      </c>
      <c r="O701" s="70">
        <v>0</v>
      </c>
      <c r="P701" s="38"/>
      <c r="Q701" s="40"/>
    </row>
    <row r="702" spans="1:17" s="2" customFormat="1" x14ac:dyDescent="0.2">
      <c r="A702" s="16" t="str">
        <f t="shared" si="22"/>
        <v>sexta-feira</v>
      </c>
      <c r="B702" s="17">
        <f t="shared" si="21"/>
        <v>45261</v>
      </c>
      <c r="C702" s="52">
        <f>IFERROR(_xlfn.XLOOKUP($B:$B,'Estatísticos Mensais'!$A:$A,'Estatísticos Mensais'!C:C),0)</f>
        <v>0</v>
      </c>
      <c r="D702" s="69">
        <f>IFERROR(_xlfn.XLOOKUP($B:$B,Google!A:A,Google!C:C,),0)</f>
        <v>0</v>
      </c>
      <c r="E702" s="70" t="e">
        <f>SUMIF(#REF!,'Compilado 2023 (2)'!$B:$B,#REF!)</f>
        <v>#REF!</v>
      </c>
      <c r="F702" s="71">
        <v>0</v>
      </c>
      <c r="G702" s="70">
        <f ca="1">_xlfn.XLOOKUP(B:B,'E-mail'!A:A,'E-mail'!C:C)</f>
        <v>51.612903225806448</v>
      </c>
      <c r="H702" s="70">
        <f>IFERROR(_xlfn.XLOOKUP($B:$B,#REF!,#REF!),0)</f>
        <v>0</v>
      </c>
      <c r="I702" s="71">
        <v>0</v>
      </c>
      <c r="J702" s="71">
        <v>0</v>
      </c>
      <c r="K702" s="71">
        <v>0</v>
      </c>
      <c r="L702" s="59"/>
      <c r="M702" s="70">
        <v>0</v>
      </c>
      <c r="N702" s="70">
        <v>0</v>
      </c>
      <c r="O702" s="70">
        <v>0</v>
      </c>
      <c r="P702" s="38"/>
      <c r="Q702" s="40"/>
    </row>
    <row r="703" spans="1:17" s="2" customFormat="1" x14ac:dyDescent="0.2">
      <c r="A703" s="16" t="str">
        <f t="shared" si="22"/>
        <v>sábado</v>
      </c>
      <c r="B703" s="17">
        <f t="shared" si="21"/>
        <v>45262</v>
      </c>
      <c r="C703" s="52">
        <f>IFERROR(_xlfn.XLOOKUP($B:$B,'Estatísticos Mensais'!$A:$A,'Estatísticos Mensais'!C:C),0)</f>
        <v>0</v>
      </c>
      <c r="D703" s="69">
        <f>IFERROR(_xlfn.XLOOKUP($B:$B,Google!A:A,Google!C:C,),0)</f>
        <v>0</v>
      </c>
      <c r="E703" s="70" t="e">
        <f>SUMIF(#REF!,'Compilado 2023 (2)'!$B:$B,#REF!)</f>
        <v>#REF!</v>
      </c>
      <c r="F703" s="71">
        <v>0</v>
      </c>
      <c r="G703" s="70">
        <f ca="1">_xlfn.XLOOKUP(B:B,'E-mail'!A:A,'E-mail'!C:C)</f>
        <v>51.612903225806448</v>
      </c>
      <c r="H703" s="70">
        <f>IFERROR(_xlfn.XLOOKUP($B:$B,#REF!,#REF!),0)</f>
        <v>0</v>
      </c>
      <c r="I703" s="71">
        <v>0</v>
      </c>
      <c r="J703" s="71">
        <v>0</v>
      </c>
      <c r="K703" s="71">
        <v>0</v>
      </c>
      <c r="L703" s="59"/>
      <c r="M703" s="70">
        <v>0</v>
      </c>
      <c r="N703" s="70">
        <v>0</v>
      </c>
      <c r="O703" s="70">
        <v>0</v>
      </c>
      <c r="P703" s="38"/>
      <c r="Q703" s="40"/>
    </row>
    <row r="704" spans="1:17" s="2" customFormat="1" x14ac:dyDescent="0.2">
      <c r="A704" s="16" t="str">
        <f t="shared" si="22"/>
        <v>domingo</v>
      </c>
      <c r="B704" s="17">
        <f t="shared" si="21"/>
        <v>45263</v>
      </c>
      <c r="C704" s="52">
        <f>IFERROR(_xlfn.XLOOKUP($B:$B,'Estatísticos Mensais'!$A:$A,'Estatísticos Mensais'!C:C),0)</f>
        <v>0</v>
      </c>
      <c r="D704" s="69">
        <f>IFERROR(_xlfn.XLOOKUP($B:$B,Google!A:A,Google!C:C,),0)</f>
        <v>0</v>
      </c>
      <c r="E704" s="70" t="e">
        <f>SUMIF(#REF!,'Compilado 2023 (2)'!$B:$B,#REF!)</f>
        <v>#REF!</v>
      </c>
      <c r="F704" s="71">
        <v>0</v>
      </c>
      <c r="G704" s="70">
        <f ca="1">_xlfn.XLOOKUP(B:B,'E-mail'!A:A,'E-mail'!C:C)</f>
        <v>51.612903225806448</v>
      </c>
      <c r="H704" s="70">
        <f>IFERROR(_xlfn.XLOOKUP($B:$B,#REF!,#REF!),0)</f>
        <v>0</v>
      </c>
      <c r="I704" s="71">
        <v>0</v>
      </c>
      <c r="J704" s="71">
        <v>0</v>
      </c>
      <c r="K704" s="71">
        <v>0</v>
      </c>
      <c r="L704" s="59"/>
      <c r="M704" s="70">
        <v>0</v>
      </c>
      <c r="N704" s="70">
        <v>0</v>
      </c>
      <c r="O704" s="70">
        <v>0</v>
      </c>
      <c r="P704" s="38"/>
      <c r="Q704" s="40"/>
    </row>
    <row r="705" spans="1:17" s="2" customFormat="1" x14ac:dyDescent="0.2">
      <c r="A705" s="16" t="str">
        <f t="shared" si="22"/>
        <v>segunda-feira</v>
      </c>
      <c r="B705" s="17">
        <f t="shared" si="21"/>
        <v>45264</v>
      </c>
      <c r="C705" s="52">
        <f>IFERROR(_xlfn.XLOOKUP($B:$B,'Estatísticos Mensais'!$A:$A,'Estatísticos Mensais'!C:C),0)</f>
        <v>0</v>
      </c>
      <c r="D705" s="69">
        <f>IFERROR(_xlfn.XLOOKUP($B:$B,Google!A:A,Google!C:C,),0)</f>
        <v>0</v>
      </c>
      <c r="E705" s="70" t="e">
        <f>SUMIF(#REF!,'Compilado 2023 (2)'!$B:$B,#REF!)</f>
        <v>#REF!</v>
      </c>
      <c r="F705" s="71">
        <v>0</v>
      </c>
      <c r="G705" s="70">
        <f ca="1">_xlfn.XLOOKUP(B:B,'E-mail'!A:A,'E-mail'!C:C)</f>
        <v>51.612903225806448</v>
      </c>
      <c r="H705" s="70">
        <f>IFERROR(_xlfn.XLOOKUP($B:$B,#REF!,#REF!),0)</f>
        <v>0</v>
      </c>
      <c r="I705" s="71">
        <v>0</v>
      </c>
      <c r="J705" s="71">
        <v>0</v>
      </c>
      <c r="K705" s="71">
        <v>0</v>
      </c>
      <c r="L705" s="59"/>
      <c r="M705" s="70">
        <v>0</v>
      </c>
      <c r="N705" s="70">
        <v>0</v>
      </c>
      <c r="O705" s="70">
        <v>0</v>
      </c>
      <c r="P705" s="38"/>
      <c r="Q705" s="40"/>
    </row>
    <row r="706" spans="1:17" s="2" customFormat="1" x14ac:dyDescent="0.2">
      <c r="A706" s="16" t="str">
        <f t="shared" si="22"/>
        <v>terça-feira</v>
      </c>
      <c r="B706" s="17">
        <f t="shared" si="21"/>
        <v>45265</v>
      </c>
      <c r="C706" s="52">
        <f>IFERROR(_xlfn.XLOOKUP($B:$B,'Estatísticos Mensais'!$A:$A,'Estatísticos Mensais'!C:C),0)</f>
        <v>0</v>
      </c>
      <c r="D706" s="69">
        <f>IFERROR(_xlfn.XLOOKUP($B:$B,Google!A:A,Google!C:C,),0)</f>
        <v>0</v>
      </c>
      <c r="E706" s="70" t="e">
        <f>SUMIF(#REF!,'Compilado 2023 (2)'!$B:$B,#REF!)</f>
        <v>#REF!</v>
      </c>
      <c r="F706" s="71">
        <v>0</v>
      </c>
      <c r="G706" s="70">
        <f ca="1">_xlfn.XLOOKUP(B:B,'E-mail'!A:A,'E-mail'!C:C)</f>
        <v>51.612903225806448</v>
      </c>
      <c r="H706" s="70">
        <f>IFERROR(_xlfn.XLOOKUP($B:$B,#REF!,#REF!),0)</f>
        <v>0</v>
      </c>
      <c r="I706" s="71">
        <v>0</v>
      </c>
      <c r="J706" s="71">
        <v>0</v>
      </c>
      <c r="K706" s="71">
        <v>0</v>
      </c>
      <c r="L706" s="59"/>
      <c r="M706" s="70">
        <v>0</v>
      </c>
      <c r="N706" s="70">
        <v>0</v>
      </c>
      <c r="O706" s="70">
        <v>0</v>
      </c>
      <c r="P706" s="38"/>
      <c r="Q706" s="40"/>
    </row>
    <row r="707" spans="1:17" s="2" customFormat="1" x14ac:dyDescent="0.2">
      <c r="A707" s="16" t="str">
        <f t="shared" si="22"/>
        <v>quarta-feira</v>
      </c>
      <c r="B707" s="17">
        <f t="shared" si="21"/>
        <v>45266</v>
      </c>
      <c r="C707" s="52">
        <f>IFERROR(_xlfn.XLOOKUP($B:$B,'Estatísticos Mensais'!$A:$A,'Estatísticos Mensais'!C:C),0)</f>
        <v>0</v>
      </c>
      <c r="D707" s="69">
        <f>IFERROR(_xlfn.XLOOKUP($B:$B,Google!A:A,Google!C:C,),0)</f>
        <v>0</v>
      </c>
      <c r="E707" s="70" t="e">
        <f>SUMIF(#REF!,'Compilado 2023 (2)'!$B:$B,#REF!)</f>
        <v>#REF!</v>
      </c>
      <c r="F707" s="71">
        <v>0</v>
      </c>
      <c r="G707" s="70">
        <f ca="1">_xlfn.XLOOKUP(B:B,'E-mail'!A:A,'E-mail'!C:C)</f>
        <v>51.612903225806448</v>
      </c>
      <c r="H707" s="70">
        <f>IFERROR(_xlfn.XLOOKUP($B:$B,#REF!,#REF!),0)</f>
        <v>0</v>
      </c>
      <c r="I707" s="71">
        <v>0</v>
      </c>
      <c r="J707" s="71">
        <v>0</v>
      </c>
      <c r="K707" s="71">
        <v>0</v>
      </c>
      <c r="L707" s="59"/>
      <c r="M707" s="70">
        <v>0</v>
      </c>
      <c r="N707" s="70">
        <v>0</v>
      </c>
      <c r="O707" s="70">
        <v>0</v>
      </c>
      <c r="P707" s="38"/>
      <c r="Q707" s="40"/>
    </row>
    <row r="708" spans="1:17" s="2" customFormat="1" x14ac:dyDescent="0.2">
      <c r="A708" s="16" t="str">
        <f t="shared" si="22"/>
        <v>quinta-feira</v>
      </c>
      <c r="B708" s="17">
        <f t="shared" si="21"/>
        <v>45267</v>
      </c>
      <c r="C708" s="52">
        <f>IFERROR(_xlfn.XLOOKUP($B:$B,'Estatísticos Mensais'!$A:$A,'Estatísticos Mensais'!C:C),0)</f>
        <v>0</v>
      </c>
      <c r="D708" s="69">
        <f>IFERROR(_xlfn.XLOOKUP($B:$B,Google!A:A,Google!C:C,),0)</f>
        <v>0</v>
      </c>
      <c r="E708" s="70" t="e">
        <f>SUMIF(#REF!,'Compilado 2023 (2)'!$B:$B,#REF!)</f>
        <v>#REF!</v>
      </c>
      <c r="F708" s="71">
        <v>0</v>
      </c>
      <c r="G708" s="70">
        <f ca="1">_xlfn.XLOOKUP(B:B,'E-mail'!A:A,'E-mail'!C:C)</f>
        <v>51.612903225806448</v>
      </c>
      <c r="H708" s="70">
        <f>IFERROR(_xlfn.XLOOKUP($B:$B,#REF!,#REF!),0)</f>
        <v>0</v>
      </c>
      <c r="I708" s="71">
        <v>0</v>
      </c>
      <c r="J708" s="71">
        <v>0</v>
      </c>
      <c r="K708" s="71">
        <v>0</v>
      </c>
      <c r="L708" s="59"/>
      <c r="M708" s="70">
        <v>0</v>
      </c>
      <c r="N708" s="70">
        <v>0</v>
      </c>
      <c r="O708" s="70">
        <v>0</v>
      </c>
      <c r="P708" s="38"/>
      <c r="Q708" s="40"/>
    </row>
    <row r="709" spans="1:17" s="2" customFormat="1" x14ac:dyDescent="0.2">
      <c r="A709" s="16" t="str">
        <f t="shared" si="22"/>
        <v>sexta-feira</v>
      </c>
      <c r="B709" s="17">
        <f t="shared" ref="B709:B732" si="23">B708+1</f>
        <v>45268</v>
      </c>
      <c r="C709" s="52">
        <f>IFERROR(_xlfn.XLOOKUP($B:$B,'Estatísticos Mensais'!$A:$A,'Estatísticos Mensais'!C:C),0)</f>
        <v>0</v>
      </c>
      <c r="D709" s="69">
        <f>IFERROR(_xlfn.XLOOKUP($B:$B,Google!A:A,Google!C:C,),0)</f>
        <v>0</v>
      </c>
      <c r="E709" s="70" t="e">
        <f>SUMIF(#REF!,'Compilado 2023 (2)'!$B:$B,#REF!)</f>
        <v>#REF!</v>
      </c>
      <c r="F709" s="71">
        <v>0</v>
      </c>
      <c r="G709" s="70">
        <f ca="1">_xlfn.XLOOKUP(B:B,'E-mail'!A:A,'E-mail'!C:C)</f>
        <v>51.612903225806448</v>
      </c>
      <c r="H709" s="70">
        <f>IFERROR(_xlfn.XLOOKUP($B:$B,#REF!,#REF!),0)</f>
        <v>0</v>
      </c>
      <c r="I709" s="71">
        <v>0</v>
      </c>
      <c r="J709" s="71">
        <v>0</v>
      </c>
      <c r="K709" s="71">
        <v>0</v>
      </c>
      <c r="L709" s="59"/>
      <c r="M709" s="70">
        <v>0</v>
      </c>
      <c r="N709" s="70">
        <v>0</v>
      </c>
      <c r="O709" s="70">
        <v>0</v>
      </c>
      <c r="P709" s="38"/>
      <c r="Q709" s="40"/>
    </row>
    <row r="710" spans="1:17" s="2" customFormat="1" x14ac:dyDescent="0.2">
      <c r="A710" s="16" t="str">
        <f t="shared" si="22"/>
        <v>sábado</v>
      </c>
      <c r="B710" s="17">
        <f t="shared" si="23"/>
        <v>45269</v>
      </c>
      <c r="C710" s="52">
        <f>IFERROR(_xlfn.XLOOKUP($B:$B,'Estatísticos Mensais'!$A:$A,'Estatísticos Mensais'!C:C),0)</f>
        <v>0</v>
      </c>
      <c r="D710" s="69">
        <f>IFERROR(_xlfn.XLOOKUP($B:$B,Google!A:A,Google!C:C,),0)</f>
        <v>0</v>
      </c>
      <c r="E710" s="70" t="e">
        <f>SUMIF(#REF!,'Compilado 2023 (2)'!$B:$B,#REF!)</f>
        <v>#REF!</v>
      </c>
      <c r="F710" s="71">
        <v>0</v>
      </c>
      <c r="G710" s="70">
        <f ca="1">_xlfn.XLOOKUP(B:B,'E-mail'!A:A,'E-mail'!C:C)</f>
        <v>51.612903225806448</v>
      </c>
      <c r="H710" s="70">
        <f>IFERROR(_xlfn.XLOOKUP($B:$B,#REF!,#REF!),0)</f>
        <v>0</v>
      </c>
      <c r="I710" s="71">
        <v>0</v>
      </c>
      <c r="J710" s="71">
        <v>0</v>
      </c>
      <c r="K710" s="71">
        <v>0</v>
      </c>
      <c r="L710" s="59"/>
      <c r="M710" s="70">
        <v>0</v>
      </c>
      <c r="N710" s="70">
        <v>0</v>
      </c>
      <c r="O710" s="70">
        <v>0</v>
      </c>
      <c r="P710" s="38"/>
      <c r="Q710" s="40"/>
    </row>
    <row r="711" spans="1:17" s="2" customFormat="1" x14ac:dyDescent="0.2">
      <c r="A711" s="16" t="str">
        <f t="shared" si="22"/>
        <v>domingo</v>
      </c>
      <c r="B711" s="17">
        <f t="shared" si="23"/>
        <v>45270</v>
      </c>
      <c r="C711" s="52">
        <f>IFERROR(_xlfn.XLOOKUP($B:$B,'Estatísticos Mensais'!$A:$A,'Estatísticos Mensais'!C:C),0)</f>
        <v>0</v>
      </c>
      <c r="D711" s="69">
        <f>IFERROR(_xlfn.XLOOKUP($B:$B,Google!A:A,Google!C:C,),0)</f>
        <v>0</v>
      </c>
      <c r="E711" s="70" t="e">
        <f>SUMIF(#REF!,'Compilado 2023 (2)'!$B:$B,#REF!)</f>
        <v>#REF!</v>
      </c>
      <c r="F711" s="71">
        <v>0</v>
      </c>
      <c r="G711" s="70">
        <f ca="1">_xlfn.XLOOKUP(B:B,'E-mail'!A:A,'E-mail'!C:C)</f>
        <v>51.612903225806448</v>
      </c>
      <c r="H711" s="70">
        <f>IFERROR(_xlfn.XLOOKUP($B:$B,#REF!,#REF!),0)</f>
        <v>0</v>
      </c>
      <c r="I711" s="71">
        <v>0</v>
      </c>
      <c r="J711" s="71">
        <v>0</v>
      </c>
      <c r="K711" s="71">
        <v>0</v>
      </c>
      <c r="L711" s="59"/>
      <c r="M711" s="70">
        <v>0</v>
      </c>
      <c r="N711" s="70">
        <v>0</v>
      </c>
      <c r="O711" s="70">
        <v>0</v>
      </c>
      <c r="P711" s="38"/>
      <c r="Q711" s="40"/>
    </row>
    <row r="712" spans="1:17" s="2" customFormat="1" x14ac:dyDescent="0.2">
      <c r="A712" s="16" t="str">
        <f t="shared" si="22"/>
        <v>segunda-feira</v>
      </c>
      <c r="B712" s="17">
        <f t="shared" si="23"/>
        <v>45271</v>
      </c>
      <c r="C712" s="52">
        <f>IFERROR(_xlfn.XLOOKUP($B:$B,'Estatísticos Mensais'!$A:$A,'Estatísticos Mensais'!C:C),0)</f>
        <v>0</v>
      </c>
      <c r="D712" s="69">
        <f>IFERROR(_xlfn.XLOOKUP($B:$B,Google!A:A,Google!C:C,),0)</f>
        <v>0</v>
      </c>
      <c r="E712" s="70" t="e">
        <f>SUMIF(#REF!,'Compilado 2023 (2)'!$B:$B,#REF!)</f>
        <v>#REF!</v>
      </c>
      <c r="F712" s="71">
        <v>0</v>
      </c>
      <c r="G712" s="70">
        <f ca="1">_xlfn.XLOOKUP(B:B,'E-mail'!A:A,'E-mail'!C:C)</f>
        <v>51.612903225806448</v>
      </c>
      <c r="H712" s="70">
        <f>IFERROR(_xlfn.XLOOKUP($B:$B,#REF!,#REF!),0)</f>
        <v>0</v>
      </c>
      <c r="I712" s="71">
        <v>0</v>
      </c>
      <c r="J712" s="71">
        <v>0</v>
      </c>
      <c r="K712" s="71">
        <v>0</v>
      </c>
      <c r="L712" s="59"/>
      <c r="M712" s="70">
        <v>0</v>
      </c>
      <c r="N712" s="70">
        <v>0</v>
      </c>
      <c r="O712" s="70">
        <v>0</v>
      </c>
      <c r="P712" s="38"/>
      <c r="Q712" s="40"/>
    </row>
    <row r="713" spans="1:17" s="2" customFormat="1" x14ac:dyDescent="0.2">
      <c r="A713" s="16" t="str">
        <f t="shared" si="22"/>
        <v>terça-feira</v>
      </c>
      <c r="B713" s="17">
        <f t="shared" si="23"/>
        <v>45272</v>
      </c>
      <c r="C713" s="52">
        <f>IFERROR(_xlfn.XLOOKUP($B:$B,'Estatísticos Mensais'!$A:$A,'Estatísticos Mensais'!C:C),0)</f>
        <v>0</v>
      </c>
      <c r="D713" s="69">
        <f>IFERROR(_xlfn.XLOOKUP($B:$B,Google!A:A,Google!C:C,),0)</f>
        <v>0</v>
      </c>
      <c r="E713" s="70" t="e">
        <f>SUMIF(#REF!,'Compilado 2023 (2)'!$B:$B,#REF!)</f>
        <v>#REF!</v>
      </c>
      <c r="F713" s="71">
        <v>0</v>
      </c>
      <c r="G713" s="70">
        <f ca="1">_xlfn.XLOOKUP(B:B,'E-mail'!A:A,'E-mail'!C:C)</f>
        <v>51.612903225806448</v>
      </c>
      <c r="H713" s="70">
        <f>IFERROR(_xlfn.XLOOKUP($B:$B,#REF!,#REF!),0)</f>
        <v>0</v>
      </c>
      <c r="I713" s="71">
        <v>0</v>
      </c>
      <c r="J713" s="71">
        <v>0</v>
      </c>
      <c r="K713" s="71">
        <v>0</v>
      </c>
      <c r="L713" s="59"/>
      <c r="M713" s="70">
        <v>0</v>
      </c>
      <c r="N713" s="70">
        <v>0</v>
      </c>
      <c r="O713" s="70">
        <v>0</v>
      </c>
      <c r="P713" s="38"/>
      <c r="Q713" s="40"/>
    </row>
    <row r="714" spans="1:17" s="2" customFormat="1" x14ac:dyDescent="0.2">
      <c r="A714" s="16" t="str">
        <f t="shared" si="22"/>
        <v>quarta-feira</v>
      </c>
      <c r="B714" s="17">
        <f t="shared" si="23"/>
        <v>45273</v>
      </c>
      <c r="C714" s="52">
        <f>IFERROR(_xlfn.XLOOKUP($B:$B,'Estatísticos Mensais'!$A:$A,'Estatísticos Mensais'!C:C),0)</f>
        <v>0</v>
      </c>
      <c r="D714" s="69">
        <f>IFERROR(_xlfn.XLOOKUP($B:$B,Google!A:A,Google!C:C,),0)</f>
        <v>0</v>
      </c>
      <c r="E714" s="70" t="e">
        <f>SUMIF(#REF!,'Compilado 2023 (2)'!$B:$B,#REF!)</f>
        <v>#REF!</v>
      </c>
      <c r="F714" s="71">
        <v>0</v>
      </c>
      <c r="G714" s="70">
        <f ca="1">_xlfn.XLOOKUP(B:B,'E-mail'!A:A,'E-mail'!C:C)</f>
        <v>51.612903225806448</v>
      </c>
      <c r="H714" s="70">
        <f>IFERROR(_xlfn.XLOOKUP($B:$B,#REF!,#REF!),0)</f>
        <v>0</v>
      </c>
      <c r="I714" s="71">
        <v>0</v>
      </c>
      <c r="J714" s="71">
        <v>0</v>
      </c>
      <c r="K714" s="71">
        <v>0</v>
      </c>
      <c r="L714" s="59"/>
      <c r="M714" s="70">
        <v>0</v>
      </c>
      <c r="N714" s="70">
        <v>0</v>
      </c>
      <c r="O714" s="70">
        <v>0</v>
      </c>
      <c r="P714" s="38"/>
      <c r="Q714" s="40"/>
    </row>
    <row r="715" spans="1:17" s="2" customFormat="1" x14ac:dyDescent="0.2">
      <c r="A715" s="16" t="str">
        <f t="shared" si="22"/>
        <v>quinta-feira</v>
      </c>
      <c r="B715" s="17">
        <f t="shared" si="23"/>
        <v>45274</v>
      </c>
      <c r="C715" s="52">
        <f>IFERROR(_xlfn.XLOOKUP($B:$B,'Estatísticos Mensais'!$A:$A,'Estatísticos Mensais'!C:C),0)</f>
        <v>0</v>
      </c>
      <c r="D715" s="69">
        <f>IFERROR(_xlfn.XLOOKUP($B:$B,Google!A:A,Google!C:C,),0)</f>
        <v>0</v>
      </c>
      <c r="E715" s="70" t="e">
        <f>SUMIF(#REF!,'Compilado 2023 (2)'!$B:$B,#REF!)</f>
        <v>#REF!</v>
      </c>
      <c r="F715" s="71">
        <v>0</v>
      </c>
      <c r="G715" s="70">
        <f ca="1">_xlfn.XLOOKUP(B:B,'E-mail'!A:A,'E-mail'!C:C)</f>
        <v>51.612903225806448</v>
      </c>
      <c r="H715" s="70">
        <f>IFERROR(_xlfn.XLOOKUP($B:$B,#REF!,#REF!),0)</f>
        <v>0</v>
      </c>
      <c r="I715" s="71">
        <v>0</v>
      </c>
      <c r="J715" s="71">
        <v>0</v>
      </c>
      <c r="K715" s="71">
        <v>0</v>
      </c>
      <c r="L715" s="59"/>
      <c r="M715" s="70">
        <v>0</v>
      </c>
      <c r="N715" s="70">
        <v>0</v>
      </c>
      <c r="O715" s="70">
        <v>0</v>
      </c>
      <c r="P715" s="38"/>
      <c r="Q715" s="40"/>
    </row>
    <row r="716" spans="1:17" s="2" customFormat="1" x14ac:dyDescent="0.2">
      <c r="A716" s="16" t="str">
        <f t="shared" si="22"/>
        <v>sexta-feira</v>
      </c>
      <c r="B716" s="17">
        <f t="shared" si="23"/>
        <v>45275</v>
      </c>
      <c r="C716" s="52">
        <f>IFERROR(_xlfn.XLOOKUP($B:$B,'Estatísticos Mensais'!$A:$A,'Estatísticos Mensais'!C:C),0)</f>
        <v>0</v>
      </c>
      <c r="D716" s="69">
        <f>IFERROR(_xlfn.XLOOKUP($B:$B,Google!A:A,Google!C:C,),0)</f>
        <v>0</v>
      </c>
      <c r="E716" s="70" t="e">
        <f>SUMIF(#REF!,'Compilado 2023 (2)'!$B:$B,#REF!)</f>
        <v>#REF!</v>
      </c>
      <c r="F716" s="71">
        <v>0</v>
      </c>
      <c r="G716" s="70">
        <f ca="1">_xlfn.XLOOKUP(B:B,'E-mail'!A:A,'E-mail'!C:C)</f>
        <v>51.612903225806448</v>
      </c>
      <c r="H716" s="70">
        <f>IFERROR(_xlfn.XLOOKUP($B:$B,#REF!,#REF!),0)</f>
        <v>0</v>
      </c>
      <c r="I716" s="71">
        <v>0</v>
      </c>
      <c r="J716" s="71">
        <v>0</v>
      </c>
      <c r="K716" s="71">
        <v>0</v>
      </c>
      <c r="L716" s="59"/>
      <c r="M716" s="70">
        <v>0</v>
      </c>
      <c r="N716" s="70">
        <v>0</v>
      </c>
      <c r="O716" s="70">
        <v>0</v>
      </c>
      <c r="P716" s="38"/>
      <c r="Q716" s="40"/>
    </row>
    <row r="717" spans="1:17" s="2" customFormat="1" x14ac:dyDescent="0.2">
      <c r="A717" s="16" t="str">
        <f t="shared" si="22"/>
        <v>sábado</v>
      </c>
      <c r="B717" s="17">
        <f t="shared" si="23"/>
        <v>45276</v>
      </c>
      <c r="C717" s="52">
        <f>IFERROR(_xlfn.XLOOKUP($B:$B,'Estatísticos Mensais'!$A:$A,'Estatísticos Mensais'!C:C),0)</f>
        <v>0</v>
      </c>
      <c r="D717" s="69">
        <f>IFERROR(_xlfn.XLOOKUP($B:$B,Google!A:A,Google!C:C,),0)</f>
        <v>0</v>
      </c>
      <c r="E717" s="70" t="e">
        <f>SUMIF(#REF!,'Compilado 2023 (2)'!$B:$B,#REF!)</f>
        <v>#REF!</v>
      </c>
      <c r="F717" s="71">
        <v>0</v>
      </c>
      <c r="G717" s="70">
        <f ca="1">_xlfn.XLOOKUP(B:B,'E-mail'!A:A,'E-mail'!C:C)</f>
        <v>51.612903225806448</v>
      </c>
      <c r="H717" s="70">
        <f>IFERROR(_xlfn.XLOOKUP($B:$B,#REF!,#REF!),0)</f>
        <v>0</v>
      </c>
      <c r="I717" s="71">
        <v>0</v>
      </c>
      <c r="J717" s="71">
        <v>0</v>
      </c>
      <c r="K717" s="71">
        <v>0</v>
      </c>
      <c r="L717" s="59"/>
      <c r="M717" s="70">
        <v>0</v>
      </c>
      <c r="N717" s="70">
        <v>0</v>
      </c>
      <c r="O717" s="70">
        <v>0</v>
      </c>
      <c r="P717" s="38"/>
      <c r="Q717" s="40"/>
    </row>
    <row r="718" spans="1:17" s="2" customFormat="1" x14ac:dyDescent="0.2">
      <c r="A718" s="16" t="str">
        <f t="shared" si="22"/>
        <v>domingo</v>
      </c>
      <c r="B718" s="17">
        <f t="shared" si="23"/>
        <v>45277</v>
      </c>
      <c r="C718" s="52">
        <f>IFERROR(_xlfn.XLOOKUP($B:$B,'Estatísticos Mensais'!$A:$A,'Estatísticos Mensais'!C:C),0)</f>
        <v>0</v>
      </c>
      <c r="D718" s="69">
        <f>IFERROR(_xlfn.XLOOKUP($B:$B,Google!A:A,Google!C:C,),0)</f>
        <v>0</v>
      </c>
      <c r="E718" s="70" t="e">
        <f>SUMIF(#REF!,'Compilado 2023 (2)'!$B:$B,#REF!)</f>
        <v>#REF!</v>
      </c>
      <c r="F718" s="71">
        <v>0</v>
      </c>
      <c r="G718" s="70">
        <f ca="1">_xlfn.XLOOKUP(B:B,'E-mail'!A:A,'E-mail'!C:C)</f>
        <v>51.612903225806448</v>
      </c>
      <c r="H718" s="70">
        <f>IFERROR(_xlfn.XLOOKUP($B:$B,#REF!,#REF!),0)</f>
        <v>0</v>
      </c>
      <c r="I718" s="71">
        <v>0</v>
      </c>
      <c r="J718" s="71">
        <v>0</v>
      </c>
      <c r="K718" s="71">
        <v>0</v>
      </c>
      <c r="L718" s="59"/>
      <c r="M718" s="70">
        <v>0</v>
      </c>
      <c r="N718" s="70">
        <v>0</v>
      </c>
      <c r="O718" s="70">
        <v>0</v>
      </c>
      <c r="P718" s="38"/>
      <c r="Q718" s="40"/>
    </row>
    <row r="719" spans="1:17" s="2" customFormat="1" x14ac:dyDescent="0.2">
      <c r="A719" s="16" t="str">
        <f t="shared" si="22"/>
        <v>segunda-feira</v>
      </c>
      <c r="B719" s="17">
        <f t="shared" si="23"/>
        <v>45278</v>
      </c>
      <c r="C719" s="52">
        <f>IFERROR(_xlfn.XLOOKUP($B:$B,'Estatísticos Mensais'!$A:$A,'Estatísticos Mensais'!C:C),0)</f>
        <v>0</v>
      </c>
      <c r="D719" s="69">
        <f>IFERROR(_xlfn.XLOOKUP($B:$B,Google!A:A,Google!C:C,),0)</f>
        <v>0</v>
      </c>
      <c r="E719" s="70" t="e">
        <f>SUMIF(#REF!,'Compilado 2023 (2)'!$B:$B,#REF!)</f>
        <v>#REF!</v>
      </c>
      <c r="F719" s="71">
        <v>0</v>
      </c>
      <c r="G719" s="70">
        <f ca="1">_xlfn.XLOOKUP(B:B,'E-mail'!A:A,'E-mail'!C:C)</f>
        <v>51.612903225806448</v>
      </c>
      <c r="H719" s="70">
        <f>IFERROR(_xlfn.XLOOKUP($B:$B,#REF!,#REF!),0)</f>
        <v>0</v>
      </c>
      <c r="I719" s="71">
        <v>0</v>
      </c>
      <c r="J719" s="71">
        <v>0</v>
      </c>
      <c r="K719" s="71">
        <v>0</v>
      </c>
      <c r="L719" s="59"/>
      <c r="M719" s="70">
        <v>0</v>
      </c>
      <c r="N719" s="70">
        <v>0</v>
      </c>
      <c r="O719" s="70">
        <v>0</v>
      </c>
      <c r="P719" s="38"/>
      <c r="Q719" s="40"/>
    </row>
    <row r="720" spans="1:17" s="2" customFormat="1" x14ac:dyDescent="0.2">
      <c r="A720" s="16" t="str">
        <f t="shared" si="22"/>
        <v>terça-feira</v>
      </c>
      <c r="B720" s="17">
        <f t="shared" si="23"/>
        <v>45279</v>
      </c>
      <c r="C720" s="52">
        <f>IFERROR(_xlfn.XLOOKUP($B:$B,'Estatísticos Mensais'!$A:$A,'Estatísticos Mensais'!C:C),0)</f>
        <v>0</v>
      </c>
      <c r="D720" s="69">
        <f>IFERROR(_xlfn.XLOOKUP($B:$B,Google!A:A,Google!C:C,),0)</f>
        <v>0</v>
      </c>
      <c r="E720" s="70" t="e">
        <f>SUMIF(#REF!,'Compilado 2023 (2)'!$B:$B,#REF!)</f>
        <v>#REF!</v>
      </c>
      <c r="F720" s="71">
        <v>0</v>
      </c>
      <c r="G720" s="70">
        <f ca="1">_xlfn.XLOOKUP(B:B,'E-mail'!A:A,'E-mail'!C:C)</f>
        <v>51.612903225806448</v>
      </c>
      <c r="H720" s="70">
        <f>IFERROR(_xlfn.XLOOKUP($B:$B,#REF!,#REF!),0)</f>
        <v>0</v>
      </c>
      <c r="I720" s="71">
        <v>0</v>
      </c>
      <c r="J720" s="71">
        <v>0</v>
      </c>
      <c r="K720" s="71">
        <v>0</v>
      </c>
      <c r="L720" s="59"/>
      <c r="M720" s="70">
        <v>0</v>
      </c>
      <c r="N720" s="70">
        <v>0</v>
      </c>
      <c r="O720" s="70">
        <v>0</v>
      </c>
      <c r="P720" s="38"/>
      <c r="Q720" s="40"/>
    </row>
    <row r="721" spans="1:17" s="2" customFormat="1" x14ac:dyDescent="0.2">
      <c r="A721" s="16" t="str">
        <f t="shared" si="22"/>
        <v>quarta-feira</v>
      </c>
      <c r="B721" s="17">
        <f t="shared" si="23"/>
        <v>45280</v>
      </c>
      <c r="C721" s="52">
        <f>IFERROR(_xlfn.XLOOKUP($B:$B,'Estatísticos Mensais'!$A:$A,'Estatísticos Mensais'!C:C),0)</f>
        <v>0</v>
      </c>
      <c r="D721" s="69">
        <f>IFERROR(_xlfn.XLOOKUP($B:$B,Google!A:A,Google!C:C,),0)</f>
        <v>0</v>
      </c>
      <c r="E721" s="70" t="e">
        <f>SUMIF(#REF!,'Compilado 2023 (2)'!$B:$B,#REF!)</f>
        <v>#REF!</v>
      </c>
      <c r="F721" s="71">
        <v>0</v>
      </c>
      <c r="G721" s="70">
        <f ca="1">_xlfn.XLOOKUP(B:B,'E-mail'!A:A,'E-mail'!C:C)</f>
        <v>51.612903225806448</v>
      </c>
      <c r="H721" s="70">
        <f>IFERROR(_xlfn.XLOOKUP($B:$B,#REF!,#REF!),0)</f>
        <v>0</v>
      </c>
      <c r="I721" s="71">
        <v>0</v>
      </c>
      <c r="J721" s="71">
        <v>0</v>
      </c>
      <c r="K721" s="71">
        <v>0</v>
      </c>
      <c r="L721" s="59"/>
      <c r="M721" s="70">
        <v>0</v>
      </c>
      <c r="N721" s="70">
        <v>0</v>
      </c>
      <c r="O721" s="70">
        <v>0</v>
      </c>
      <c r="P721" s="38"/>
      <c r="Q721" s="40"/>
    </row>
    <row r="722" spans="1:17" s="2" customFormat="1" x14ac:dyDescent="0.2">
      <c r="A722" s="16" t="str">
        <f t="shared" si="22"/>
        <v>quinta-feira</v>
      </c>
      <c r="B722" s="17">
        <f t="shared" si="23"/>
        <v>45281</v>
      </c>
      <c r="C722" s="52">
        <f>IFERROR(_xlfn.XLOOKUP($B:$B,'Estatísticos Mensais'!$A:$A,'Estatísticos Mensais'!C:C),0)</f>
        <v>0</v>
      </c>
      <c r="D722" s="69">
        <f>IFERROR(_xlfn.XLOOKUP($B:$B,Google!A:A,Google!C:C,),0)</f>
        <v>0</v>
      </c>
      <c r="E722" s="70" t="e">
        <f>SUMIF(#REF!,'Compilado 2023 (2)'!$B:$B,#REF!)</f>
        <v>#REF!</v>
      </c>
      <c r="F722" s="71">
        <v>0</v>
      </c>
      <c r="G722" s="70">
        <f ca="1">_xlfn.XLOOKUP(B:B,'E-mail'!A:A,'E-mail'!C:C)</f>
        <v>51.612903225806448</v>
      </c>
      <c r="H722" s="70">
        <f>IFERROR(_xlfn.XLOOKUP($B:$B,#REF!,#REF!),0)</f>
        <v>0</v>
      </c>
      <c r="I722" s="71">
        <v>0</v>
      </c>
      <c r="J722" s="71">
        <v>0</v>
      </c>
      <c r="K722" s="71">
        <v>0</v>
      </c>
      <c r="L722" s="59"/>
      <c r="M722" s="70">
        <v>0</v>
      </c>
      <c r="N722" s="70">
        <v>0</v>
      </c>
      <c r="O722" s="70">
        <v>0</v>
      </c>
      <c r="P722" s="38"/>
      <c r="Q722" s="40"/>
    </row>
    <row r="723" spans="1:17" s="2" customFormat="1" x14ac:dyDescent="0.2">
      <c r="A723" s="16" t="str">
        <f t="shared" si="22"/>
        <v>sexta-feira</v>
      </c>
      <c r="B723" s="17">
        <f t="shared" si="23"/>
        <v>45282</v>
      </c>
      <c r="C723" s="52">
        <f>IFERROR(_xlfn.XLOOKUP($B:$B,'Estatísticos Mensais'!$A:$A,'Estatísticos Mensais'!C:C),0)</f>
        <v>0</v>
      </c>
      <c r="D723" s="69">
        <f>IFERROR(_xlfn.XLOOKUP($B:$B,Google!A:A,Google!C:C,),0)</f>
        <v>0</v>
      </c>
      <c r="E723" s="70" t="e">
        <f>SUMIF(#REF!,'Compilado 2023 (2)'!$B:$B,#REF!)</f>
        <v>#REF!</v>
      </c>
      <c r="F723" s="71">
        <v>0</v>
      </c>
      <c r="G723" s="70">
        <f ca="1">_xlfn.XLOOKUP(B:B,'E-mail'!A:A,'E-mail'!C:C)</f>
        <v>51.612903225806448</v>
      </c>
      <c r="H723" s="70">
        <f>IFERROR(_xlfn.XLOOKUP($B:$B,#REF!,#REF!),0)</f>
        <v>0</v>
      </c>
      <c r="I723" s="71">
        <v>0</v>
      </c>
      <c r="J723" s="71">
        <v>0</v>
      </c>
      <c r="K723" s="71">
        <v>0</v>
      </c>
      <c r="L723" s="59"/>
      <c r="M723" s="70">
        <v>0</v>
      </c>
      <c r="N723" s="70">
        <v>0</v>
      </c>
      <c r="O723" s="70">
        <v>0</v>
      </c>
      <c r="P723" s="38"/>
      <c r="Q723" s="40"/>
    </row>
    <row r="724" spans="1:17" s="2" customFormat="1" x14ac:dyDescent="0.2">
      <c r="A724" s="16" t="str">
        <f t="shared" si="22"/>
        <v>sábado</v>
      </c>
      <c r="B724" s="17">
        <f t="shared" si="23"/>
        <v>45283</v>
      </c>
      <c r="C724" s="52">
        <f>IFERROR(_xlfn.XLOOKUP($B:$B,'Estatísticos Mensais'!$A:$A,'Estatísticos Mensais'!C:C),0)</f>
        <v>0</v>
      </c>
      <c r="D724" s="69">
        <f>IFERROR(_xlfn.XLOOKUP($B:$B,Google!A:A,Google!C:C,),0)</f>
        <v>0</v>
      </c>
      <c r="E724" s="70" t="e">
        <f>SUMIF(#REF!,'Compilado 2023 (2)'!$B:$B,#REF!)</f>
        <v>#REF!</v>
      </c>
      <c r="F724" s="71">
        <v>0</v>
      </c>
      <c r="G724" s="70">
        <f ca="1">_xlfn.XLOOKUP(B:B,'E-mail'!A:A,'E-mail'!C:C)</f>
        <v>51.612903225806448</v>
      </c>
      <c r="H724" s="70">
        <f>IFERROR(_xlfn.XLOOKUP($B:$B,#REF!,#REF!),0)</f>
        <v>0</v>
      </c>
      <c r="I724" s="71">
        <v>0</v>
      </c>
      <c r="J724" s="71">
        <v>0</v>
      </c>
      <c r="K724" s="71">
        <v>0</v>
      </c>
      <c r="L724" s="59"/>
      <c r="M724" s="70">
        <v>0</v>
      </c>
      <c r="N724" s="70">
        <v>0</v>
      </c>
      <c r="O724" s="70">
        <v>0</v>
      </c>
      <c r="P724" s="38"/>
      <c r="Q724" s="40"/>
    </row>
    <row r="725" spans="1:17" s="2" customFormat="1" x14ac:dyDescent="0.2">
      <c r="A725" s="16" t="str">
        <f t="shared" si="22"/>
        <v>domingo</v>
      </c>
      <c r="B725" s="17">
        <f t="shared" si="23"/>
        <v>45284</v>
      </c>
      <c r="C725" s="52">
        <f>IFERROR(_xlfn.XLOOKUP($B:$B,'Estatísticos Mensais'!$A:$A,'Estatísticos Mensais'!C:C),0)</f>
        <v>0</v>
      </c>
      <c r="D725" s="69">
        <f>IFERROR(_xlfn.XLOOKUP($B:$B,Google!A:A,Google!C:C,),0)</f>
        <v>0</v>
      </c>
      <c r="E725" s="70" t="e">
        <f>SUMIF(#REF!,'Compilado 2023 (2)'!$B:$B,#REF!)</f>
        <v>#REF!</v>
      </c>
      <c r="F725" s="71">
        <v>0</v>
      </c>
      <c r="G725" s="70">
        <f ca="1">_xlfn.XLOOKUP(B:B,'E-mail'!A:A,'E-mail'!C:C)</f>
        <v>51.612903225806448</v>
      </c>
      <c r="H725" s="70">
        <f>IFERROR(_xlfn.XLOOKUP($B:$B,#REF!,#REF!),0)</f>
        <v>0</v>
      </c>
      <c r="I725" s="71">
        <v>0</v>
      </c>
      <c r="J725" s="71">
        <v>0</v>
      </c>
      <c r="K725" s="71">
        <v>0</v>
      </c>
      <c r="L725" s="59"/>
      <c r="M725" s="70">
        <v>0</v>
      </c>
      <c r="N725" s="70">
        <v>0</v>
      </c>
      <c r="O725" s="70">
        <v>0</v>
      </c>
      <c r="P725" s="38"/>
      <c r="Q725" s="40"/>
    </row>
    <row r="726" spans="1:17" s="2" customFormat="1" x14ac:dyDescent="0.2">
      <c r="A726" s="16" t="str">
        <f t="shared" si="22"/>
        <v>segunda-feira</v>
      </c>
      <c r="B726" s="17">
        <f t="shared" si="23"/>
        <v>45285</v>
      </c>
      <c r="C726" s="52">
        <f>IFERROR(_xlfn.XLOOKUP($B:$B,'Estatísticos Mensais'!$A:$A,'Estatísticos Mensais'!C:C),0)</f>
        <v>0</v>
      </c>
      <c r="D726" s="69">
        <f>IFERROR(_xlfn.XLOOKUP($B:$B,Google!A:A,Google!C:C,),0)</f>
        <v>0</v>
      </c>
      <c r="E726" s="70" t="e">
        <f>SUMIF(#REF!,'Compilado 2023 (2)'!$B:$B,#REF!)</f>
        <v>#REF!</v>
      </c>
      <c r="F726" s="71">
        <v>0</v>
      </c>
      <c r="G726" s="70">
        <f ca="1">_xlfn.XLOOKUP(B:B,'E-mail'!A:A,'E-mail'!C:C)</f>
        <v>51.612903225806448</v>
      </c>
      <c r="H726" s="70">
        <f>IFERROR(_xlfn.XLOOKUP($B:$B,#REF!,#REF!),0)</f>
        <v>0</v>
      </c>
      <c r="I726" s="71">
        <v>0</v>
      </c>
      <c r="J726" s="71">
        <v>0</v>
      </c>
      <c r="K726" s="71">
        <v>0</v>
      </c>
      <c r="L726" s="59"/>
      <c r="M726" s="70">
        <v>0</v>
      </c>
      <c r="N726" s="70">
        <v>0</v>
      </c>
      <c r="O726" s="70">
        <v>0</v>
      </c>
      <c r="P726" s="38"/>
      <c r="Q726" s="40"/>
    </row>
    <row r="727" spans="1:17" s="2" customFormat="1" x14ac:dyDescent="0.2">
      <c r="A727" s="16" t="str">
        <f t="shared" si="22"/>
        <v>terça-feira</v>
      </c>
      <c r="B727" s="17">
        <f t="shared" si="23"/>
        <v>45286</v>
      </c>
      <c r="C727" s="52">
        <f>IFERROR(_xlfn.XLOOKUP($B:$B,'Estatísticos Mensais'!$A:$A,'Estatísticos Mensais'!C:C),0)</f>
        <v>0</v>
      </c>
      <c r="D727" s="69">
        <f>IFERROR(_xlfn.XLOOKUP($B:$B,Google!A:A,Google!C:C,),0)</f>
        <v>0</v>
      </c>
      <c r="E727" s="70" t="e">
        <f>SUMIF(#REF!,'Compilado 2023 (2)'!$B:$B,#REF!)</f>
        <v>#REF!</v>
      </c>
      <c r="F727" s="71">
        <v>0</v>
      </c>
      <c r="G727" s="70">
        <f ca="1">_xlfn.XLOOKUP(B:B,'E-mail'!A:A,'E-mail'!C:C)</f>
        <v>51.612903225806448</v>
      </c>
      <c r="H727" s="70">
        <f>IFERROR(_xlfn.XLOOKUP($B:$B,#REF!,#REF!),0)</f>
        <v>0</v>
      </c>
      <c r="I727" s="71">
        <v>0</v>
      </c>
      <c r="J727" s="71">
        <v>0</v>
      </c>
      <c r="K727" s="71">
        <v>0</v>
      </c>
      <c r="L727" s="59"/>
      <c r="M727" s="70">
        <v>0</v>
      </c>
      <c r="N727" s="70">
        <v>0</v>
      </c>
      <c r="O727" s="70">
        <v>0</v>
      </c>
      <c r="P727" s="38"/>
      <c r="Q727" s="40"/>
    </row>
    <row r="728" spans="1:17" s="2" customFormat="1" x14ac:dyDescent="0.2">
      <c r="A728" s="16" t="str">
        <f t="shared" si="22"/>
        <v>quarta-feira</v>
      </c>
      <c r="B728" s="17">
        <f t="shared" si="23"/>
        <v>45287</v>
      </c>
      <c r="C728" s="52">
        <f>IFERROR(_xlfn.XLOOKUP($B:$B,'Estatísticos Mensais'!$A:$A,'Estatísticos Mensais'!C:C),0)</f>
        <v>0</v>
      </c>
      <c r="D728" s="69">
        <f>IFERROR(_xlfn.XLOOKUP($B:$B,Google!A:A,Google!C:C,),0)</f>
        <v>0</v>
      </c>
      <c r="E728" s="70" t="e">
        <f>SUMIF(#REF!,'Compilado 2023 (2)'!$B:$B,#REF!)</f>
        <v>#REF!</v>
      </c>
      <c r="F728" s="71">
        <v>0</v>
      </c>
      <c r="G728" s="70">
        <f ca="1">_xlfn.XLOOKUP(B:B,'E-mail'!A:A,'E-mail'!C:C)</f>
        <v>51.612903225806448</v>
      </c>
      <c r="H728" s="70">
        <f>IFERROR(_xlfn.XLOOKUP($B:$B,#REF!,#REF!),0)</f>
        <v>0</v>
      </c>
      <c r="I728" s="71">
        <v>0</v>
      </c>
      <c r="J728" s="71">
        <v>0</v>
      </c>
      <c r="K728" s="71">
        <v>0</v>
      </c>
      <c r="L728" s="59"/>
      <c r="M728" s="70">
        <v>0</v>
      </c>
      <c r="N728" s="70">
        <v>0</v>
      </c>
      <c r="O728" s="70">
        <v>0</v>
      </c>
      <c r="P728" s="38"/>
      <c r="Q728" s="40"/>
    </row>
    <row r="729" spans="1:17" s="2" customFormat="1" x14ac:dyDescent="0.2">
      <c r="A729" s="16" t="str">
        <f t="shared" si="22"/>
        <v>quinta-feira</v>
      </c>
      <c r="B729" s="17">
        <f t="shared" si="23"/>
        <v>45288</v>
      </c>
      <c r="C729" s="52">
        <f>IFERROR(_xlfn.XLOOKUP($B:$B,'Estatísticos Mensais'!$A:$A,'Estatísticos Mensais'!C:C),0)</f>
        <v>0</v>
      </c>
      <c r="D729" s="69">
        <f>IFERROR(_xlfn.XLOOKUP($B:$B,Google!A:A,Google!C:C,),0)</f>
        <v>0</v>
      </c>
      <c r="E729" s="70" t="e">
        <f>SUMIF(#REF!,'Compilado 2023 (2)'!$B:$B,#REF!)</f>
        <v>#REF!</v>
      </c>
      <c r="F729" s="71">
        <v>0</v>
      </c>
      <c r="G729" s="70">
        <f ca="1">_xlfn.XLOOKUP(B:B,'E-mail'!A:A,'E-mail'!C:C)</f>
        <v>51.612903225806448</v>
      </c>
      <c r="H729" s="70">
        <f>IFERROR(_xlfn.XLOOKUP($B:$B,#REF!,#REF!),0)</f>
        <v>0</v>
      </c>
      <c r="I729" s="71">
        <v>0</v>
      </c>
      <c r="J729" s="71">
        <v>0</v>
      </c>
      <c r="K729" s="71">
        <v>0</v>
      </c>
      <c r="L729" s="59"/>
      <c r="M729" s="70">
        <v>0</v>
      </c>
      <c r="N729" s="70">
        <v>0</v>
      </c>
      <c r="O729" s="70">
        <v>0</v>
      </c>
      <c r="P729" s="38"/>
      <c r="Q729" s="40"/>
    </row>
    <row r="730" spans="1:17" s="2" customFormat="1" x14ac:dyDescent="0.2">
      <c r="A730" s="16" t="str">
        <f t="shared" si="22"/>
        <v>sexta-feira</v>
      </c>
      <c r="B730" s="17">
        <f t="shared" si="23"/>
        <v>45289</v>
      </c>
      <c r="C730" s="52">
        <f>IFERROR(_xlfn.XLOOKUP($B:$B,'Estatísticos Mensais'!$A:$A,'Estatísticos Mensais'!C:C),0)</f>
        <v>0</v>
      </c>
      <c r="D730" s="69">
        <f>IFERROR(_xlfn.XLOOKUP($B:$B,Google!A:A,Google!C:C,),0)</f>
        <v>0</v>
      </c>
      <c r="E730" s="70" t="e">
        <f>SUMIF(#REF!,'Compilado 2023 (2)'!$B:$B,#REF!)</f>
        <v>#REF!</v>
      </c>
      <c r="F730" s="71">
        <v>0</v>
      </c>
      <c r="G730" s="70">
        <f ca="1">_xlfn.XLOOKUP(B:B,'E-mail'!A:A,'E-mail'!C:C)</f>
        <v>51.612903225806448</v>
      </c>
      <c r="H730" s="70">
        <f>IFERROR(_xlfn.XLOOKUP($B:$B,#REF!,#REF!),0)</f>
        <v>0</v>
      </c>
      <c r="I730" s="71">
        <v>0</v>
      </c>
      <c r="J730" s="71">
        <v>0</v>
      </c>
      <c r="K730" s="71">
        <v>0</v>
      </c>
      <c r="L730" s="59"/>
      <c r="M730" s="70">
        <v>0</v>
      </c>
      <c r="N730" s="70">
        <v>0</v>
      </c>
      <c r="O730" s="70">
        <v>0</v>
      </c>
      <c r="P730" s="38"/>
      <c r="Q730" s="40"/>
    </row>
    <row r="731" spans="1:17" s="2" customFormat="1" x14ac:dyDescent="0.2">
      <c r="A731" s="16" t="str">
        <f t="shared" si="22"/>
        <v>sábado</v>
      </c>
      <c r="B731" s="17">
        <f t="shared" si="23"/>
        <v>45290</v>
      </c>
      <c r="C731" s="52">
        <f>IFERROR(_xlfn.XLOOKUP($B:$B,'Estatísticos Mensais'!$A:$A,'Estatísticos Mensais'!C:C),0)</f>
        <v>0</v>
      </c>
      <c r="D731" s="69">
        <f>IFERROR(_xlfn.XLOOKUP($B:$B,Google!A:A,Google!C:C,),0)</f>
        <v>0</v>
      </c>
      <c r="E731" s="70" t="e">
        <f>SUMIF(#REF!,'Compilado 2023 (2)'!$B:$B,#REF!)</f>
        <v>#REF!</v>
      </c>
      <c r="F731" s="71">
        <v>0</v>
      </c>
      <c r="G731" s="70">
        <f ca="1">_xlfn.XLOOKUP(B:B,'E-mail'!A:A,'E-mail'!C:C)</f>
        <v>51.612903225806448</v>
      </c>
      <c r="H731" s="70">
        <f>IFERROR(_xlfn.XLOOKUP($B:$B,#REF!,#REF!),0)</f>
        <v>0</v>
      </c>
      <c r="I731" s="71">
        <v>0</v>
      </c>
      <c r="J731" s="71">
        <v>0</v>
      </c>
      <c r="K731" s="71">
        <v>0</v>
      </c>
      <c r="L731" s="59"/>
      <c r="M731" s="70">
        <v>0</v>
      </c>
      <c r="N731" s="70">
        <v>0</v>
      </c>
      <c r="O731" s="70">
        <v>0</v>
      </c>
      <c r="P731" s="38"/>
      <c r="Q731" s="40"/>
    </row>
    <row r="732" spans="1:17" s="2" customFormat="1" x14ac:dyDescent="0.2">
      <c r="A732" s="16" t="str">
        <f t="shared" si="22"/>
        <v>domingo</v>
      </c>
      <c r="B732" s="17">
        <f t="shared" si="23"/>
        <v>45291</v>
      </c>
      <c r="C732" s="52">
        <f>IFERROR(_xlfn.XLOOKUP($B:$B,'Estatísticos Mensais'!$A:$A,'Estatísticos Mensais'!C:C),0)</f>
        <v>0</v>
      </c>
      <c r="D732" s="69">
        <f>IFERROR(_xlfn.XLOOKUP($B:$B,Google!A:A,Google!C:C,),0)</f>
        <v>0</v>
      </c>
      <c r="E732" s="70" t="e">
        <f>SUMIF(#REF!,'Compilado 2023 (2)'!$B:$B,#REF!)</f>
        <v>#REF!</v>
      </c>
      <c r="F732" s="71">
        <v>0</v>
      </c>
      <c r="G732" s="70">
        <f ca="1">_xlfn.XLOOKUP(B:B,'E-mail'!A:A,'E-mail'!C:C)</f>
        <v>51.612903225806448</v>
      </c>
      <c r="H732" s="70">
        <f>IFERROR(_xlfn.XLOOKUP($B:$B,#REF!,#REF!),0)</f>
        <v>0</v>
      </c>
      <c r="I732" s="71">
        <v>0</v>
      </c>
      <c r="J732" s="71">
        <v>0</v>
      </c>
      <c r="K732" s="71">
        <v>0</v>
      </c>
      <c r="L732" s="59"/>
      <c r="M732" s="70">
        <v>0</v>
      </c>
      <c r="N732" s="70">
        <v>0</v>
      </c>
      <c r="O732" s="70">
        <v>0</v>
      </c>
      <c r="P732" s="38"/>
      <c r="Q732" s="40"/>
    </row>
  </sheetData>
  <autoFilter ref="A2:W732" xr:uid="{277866D5-16AA-4205-A8B4-D332D1D26362}"/>
  <conditionalFormatting sqref="B2:C2 C5:C732">
    <cfRule type="cellIs" dxfId="1" priority="3" operator="equal">
      <formula>$A$1</formula>
    </cfRule>
  </conditionalFormatting>
  <conditionalFormatting sqref="B2:C732">
    <cfRule type="cellIs" dxfId="0" priority="2" operator="equal">
      <formula>TODAY()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scriptIds xmlns="http://schemas.microsoft.com/office/extensibility/maker/v1.0" id="script-ids-node-id"/>
</file>

<file path=customXml/item2.xml>��
</file>

<file path=customXml/itemProps1.xml><?xml version="1.0" encoding="utf-8"?>
<ds:datastoreItem xmlns:ds="http://schemas.openxmlformats.org/officeDocument/2006/customXml" ds:itemID="{5B69EB1F-36DF-4827-AF70-6D78B59FA2E6}">
  <ds:schemaRefs>
    <ds:schemaRef ds:uri="http://schemas.microsoft.com/office/extensibility/maker/v1.0"/>
  </ds:schemaRefs>
</ds:datastoreItem>
</file>

<file path=customXml/itemProps2.xml><?xml version="1.0" encoding="utf-8"?>
<ds:datastoreItem xmlns:ds="http://schemas.openxmlformats.org/officeDocument/2006/customXml" ds:itemID="{B4FC95B8-8384-4674-8919-B6CCA7DABC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27</vt:i4>
      </vt:variant>
      <vt:variant>
        <vt:lpstr>Intervalos Nomeados</vt:lpstr>
      </vt:variant>
      <vt:variant>
        <vt:i4>23</vt:i4>
      </vt:variant>
    </vt:vector>
  </HeadingPairs>
  <TitlesOfParts>
    <vt:vector size="50" baseType="lpstr">
      <vt:lpstr>Instruções</vt:lpstr>
      <vt:lpstr>VE</vt:lpstr>
      <vt:lpstr>E-mail</vt:lpstr>
      <vt:lpstr>TikTok</vt:lpstr>
      <vt:lpstr>Facebook</vt:lpstr>
      <vt:lpstr>Google</vt:lpstr>
      <vt:lpstr>Linkedin</vt:lpstr>
      <vt:lpstr>TAb Din Check</vt:lpstr>
      <vt:lpstr>gRAPH</vt:lpstr>
      <vt:lpstr>Compilado 2023</vt:lpstr>
      <vt:lpstr>Estatísticos Mensais</vt:lpstr>
      <vt:lpstr>2023</vt:lpstr>
      <vt:lpstr>Check</vt:lpstr>
      <vt:lpstr>JAN</vt:lpstr>
      <vt:lpstr>FEV</vt:lpstr>
      <vt:lpstr>MAR</vt:lpstr>
      <vt:lpstr>ABR</vt:lpstr>
      <vt:lpstr>MAI</vt:lpstr>
      <vt:lpstr>JUN</vt:lpstr>
      <vt:lpstr>JUL</vt:lpstr>
      <vt:lpstr>AGO</vt:lpstr>
      <vt:lpstr>SET</vt:lpstr>
      <vt:lpstr>OUT</vt:lpstr>
      <vt:lpstr>NOV</vt:lpstr>
      <vt:lpstr>DEZ</vt:lpstr>
      <vt:lpstr>Referencia</vt:lpstr>
      <vt:lpstr>Compilado 2023 (2)</vt:lpstr>
      <vt:lpstr>'Compilado 2023 (2)'!Abril</vt:lpstr>
      <vt:lpstr>Abril</vt:lpstr>
      <vt:lpstr>'Compilado 2023 (2)'!Agosto</vt:lpstr>
      <vt:lpstr>Agosto</vt:lpstr>
      <vt:lpstr>compilado</vt:lpstr>
      <vt:lpstr>'Compilado 2023 (2)'!Dezembro</vt:lpstr>
      <vt:lpstr>Dezembro</vt:lpstr>
      <vt:lpstr>'Compilado 2023 (2)'!Fev</vt:lpstr>
      <vt:lpstr>Fev</vt:lpstr>
      <vt:lpstr>'Compilado 2023 (2)'!Jan</vt:lpstr>
      <vt:lpstr>Jan</vt:lpstr>
      <vt:lpstr>'Compilado 2023 (2)'!Julho</vt:lpstr>
      <vt:lpstr>Julho</vt:lpstr>
      <vt:lpstr>'Compilado 2023 (2)'!Junho</vt:lpstr>
      <vt:lpstr>Junho</vt:lpstr>
      <vt:lpstr>'Compilado 2023 (2)'!Maio</vt:lpstr>
      <vt:lpstr>Maio</vt:lpstr>
      <vt:lpstr>'Compilado 2023 (2)'!Novembro</vt:lpstr>
      <vt:lpstr>Novembro</vt:lpstr>
      <vt:lpstr>'Compilado 2023 (2)'!Outubro</vt:lpstr>
      <vt:lpstr>Outubro</vt:lpstr>
      <vt:lpstr>'Compilado 2023 (2)'!Setembro</vt:lpstr>
      <vt:lpstr>Setembro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Mário Augusto</dc:creator>
  <cp:keywords/>
  <dc:description/>
  <cp:lastModifiedBy>Mário Garcia</cp:lastModifiedBy>
  <cp:revision/>
  <dcterms:created xsi:type="dcterms:W3CDTF">2023-07-01T07:10:00Z</dcterms:created>
  <dcterms:modified xsi:type="dcterms:W3CDTF">2025-06-26T13:00:59Z</dcterms:modified>
  <cp:category/>
  <cp:contentStatus/>
</cp:coreProperties>
</file>