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elkin/Desktop/GROUP PROJECT/Internship/"/>
    </mc:Choice>
  </mc:AlternateContent>
  <bookViews>
    <workbookView xWindow="4460" yWindow="760" windowWidth="28800" windowHeight="16460" tabRatio="500" activeTab="5"/>
  </bookViews>
  <sheets>
    <sheet name="Coral Restoration Groups" sheetId="1" r:id="rId1"/>
    <sheet name="Grey Infrastructure" sheetId="2" r:id="rId2"/>
    <sheet name="Mangrove Restoration Groups" sheetId="3" r:id="rId3"/>
    <sheet name="IDB and World Bank" sheetId="4" r:id="rId4"/>
    <sheet name="Components of Restoration Cost" sheetId="5" r:id="rId5"/>
    <sheet name="For Fall Review"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E44" i="6" l="1"/>
  <c r="AD44" i="6"/>
  <c r="AC44" i="6"/>
  <c r="AG38" i="6"/>
  <c r="AF38" i="6"/>
  <c r="AD38" i="6"/>
  <c r="AE38" i="6"/>
  <c r="AF44" i="6"/>
  <c r="AH38" i="6"/>
  <c r="AB38" i="6"/>
  <c r="AA38" i="6"/>
  <c r="AK34" i="6"/>
  <c r="AL34" i="6"/>
  <c r="Z34" i="6"/>
  <c r="AK33" i="6"/>
  <c r="AL33" i="6"/>
  <c r="Z33" i="6"/>
  <c r="AK32" i="6"/>
  <c r="AL32" i="6"/>
  <c r="Z32" i="6"/>
  <c r="AB31" i="6"/>
  <c r="AB30" i="6"/>
  <c r="AB28" i="6"/>
  <c r="Z28" i="6"/>
  <c r="AL27" i="6"/>
  <c r="AL26" i="6"/>
  <c r="AL25" i="6"/>
  <c r="AL24" i="6"/>
  <c r="AL23" i="6"/>
  <c r="AL22" i="6"/>
  <c r="AL21" i="6"/>
  <c r="AL20" i="6"/>
  <c r="AL19" i="6"/>
  <c r="AK18" i="6"/>
  <c r="AL18" i="6"/>
  <c r="Z18" i="6"/>
  <c r="AJ15" i="6"/>
  <c r="AL15" i="6"/>
  <c r="AL14" i="6"/>
  <c r="Z14" i="6"/>
  <c r="AI13" i="6"/>
  <c r="AL13" i="6"/>
  <c r="Z13" i="6"/>
  <c r="AI12" i="6"/>
  <c r="AL12" i="6"/>
  <c r="Z12" i="6"/>
  <c r="AI11" i="6"/>
  <c r="AL11" i="6"/>
  <c r="Z11" i="6"/>
  <c r="AK9" i="6"/>
  <c r="AL9" i="6"/>
  <c r="AK7" i="6"/>
  <c r="AL7" i="6"/>
  <c r="AL4" i="6"/>
  <c r="Z4" i="6"/>
  <c r="J4" i="6"/>
  <c r="AI3" i="6"/>
  <c r="AL3" i="6"/>
  <c r="Z3" i="6"/>
  <c r="J3" i="6"/>
  <c r="AB2" i="6"/>
</calcChain>
</file>

<file path=xl/sharedStrings.xml><?xml version="1.0" encoding="utf-8"?>
<sst xmlns="http://schemas.openxmlformats.org/spreadsheetml/2006/main" count="929" uniqueCount="514">
  <si>
    <t>Coral Restoration Groups</t>
  </si>
  <si>
    <t>Location</t>
  </si>
  <si>
    <t>Year</t>
  </si>
  <si>
    <t>Problem Addressed</t>
  </si>
  <si>
    <t>Project Size</t>
  </si>
  <si>
    <t>Footprint and Current Status</t>
  </si>
  <si>
    <t>Creation Costs</t>
  </si>
  <si>
    <t>Maintenance Costs</t>
  </si>
  <si>
    <t>Volunteer Hours</t>
  </si>
  <si>
    <t>Changing Practices?</t>
  </si>
  <si>
    <t>Hybrid Components</t>
  </si>
  <si>
    <t>Time to Completion</t>
  </si>
  <si>
    <t>Labor</t>
  </si>
  <si>
    <t>Materials</t>
  </si>
  <si>
    <t>Other</t>
  </si>
  <si>
    <t>General Information</t>
  </si>
  <si>
    <t>Group Name</t>
  </si>
  <si>
    <t>Permit Requirements</t>
  </si>
  <si>
    <t>Funding</t>
  </si>
  <si>
    <t>Grey Infrastructure Groups</t>
  </si>
  <si>
    <t>Mangrove Restoration Groups</t>
  </si>
  <si>
    <t>Spation Variations</t>
  </si>
  <si>
    <t>~10 miles, 7 different restoration sites</t>
  </si>
  <si>
    <t xml:space="preserve">If it were just our staff going out, it is about $8 per coral. With volunteers, $10 per coral. More efficient without volunteers. This is just to OUTPLANT CORALS. Each program is going to be very different. </t>
  </si>
  <si>
    <t>OVERALL $30--$40 per coral to maintain coral. Maintenance is easier than you think. Keep corals clean, propogate, once a month they have a full boat of people to clean structures. Cheap because of volunteers. Permits require monitoring after 1 month and 6 months of outplanting .</t>
  </si>
  <si>
    <t xml:space="preserve">Many permits have been in place for some time. Initially you have to get permits to work with threatened species and work with nurseries. The only permits we need to continue to aquire are tied to our research initiatives. Permit agencies -&gt; Florida Fish and Wildlife Commission (FWC). FWC oversees the waters they work in. </t>
  </si>
  <si>
    <t>Coral restoration field expanding towards citizen science realm -&gt; a good way to cut costs. We are finding better ways to scale up. For a long time coral restoration has been focued on threated staghorn and elkhorn, but we have exapnded restoration to include additional species. Pretty much all species in the florida reef are now being propogated and planted along reefs. Branching corals work well for coral gardening (coral fragmenting?) Fragmenting brain coral does not work, but microfragmenting boosts growth rate 3-5 times normal growth rate. Coral restoration sites are now including these massive corals as well which helps to promote diversity and recovery. # of protected species are expanding. Restoration acts as an important vessel for research. Because we have all these corals in our labs for restoration purposes, we can use these corals for research purposes to investigate things like the affects of climate change on specific species, resistance, identifying which species has the most vigor and have the most vigor and resilience. We are not only building reefs, but we are discovering the hardiest corals. The field is growing in a beautiful way. (Shout out to Mike Beck!) A big fan of his research, saw him speak several times.</t>
  </si>
  <si>
    <t>In terms of location (Miami compared to Punta Cana) it’s a lot aout the staff materials. Invested stakeholders, leveraging volunteers, make due with resources you have available. Some areas have different level of stressors. In the Caribbean, they are bound for success because they have less stressors and can therefore rebound. In Miami, there are many stressors that we have to get around to see growth. In academia, our entire program is research based. We are using expensive methodologies (coral nursury trees which allows for more coral tissues for structure, but it is more expensive than what they do in the DR). In the DR, they use really cheap tools (rope and cans) so its more affordable there. The benefits associated is also more, as they rely more on increased fisheries. Costs greatly depend on different areas. Also since we are in Academia, we look for funding in different ways (research grants). If you are a nonprofit, people can invest in you easier. You can scale up easier with staff and resources, but it is harder to sponsor effects at a university. WITHIN UMIAMI, it depends on the components that you are looking at per each project. Figuring out the best practices for different species of corals requires different materials and staff hours. This project has been more expensive because of the research component. If all you are doing is restoring coral and not interested in research, it can be fairly inexpensive. At UMIAMI, depending on what research initiatives are, costs can be inflated by year. While this project is one of their most expensive, it is also getting a great deal of research done and a worthwhile investment.</t>
  </si>
  <si>
    <r>
      <rPr>
        <u/>
        <sz val="12"/>
        <color theme="1"/>
        <rFont val="Calibri (Body)"/>
      </rPr>
      <t xml:space="preserve"> Rescue A Reef</t>
    </r>
    <r>
      <rPr>
        <sz val="12"/>
        <color theme="1"/>
        <rFont val="Calibri"/>
        <family val="2"/>
        <scheme val="minor"/>
      </rPr>
      <t xml:space="preserve"> Building Coastal Resilience through Coral Reef Restoration</t>
    </r>
  </si>
  <si>
    <t>2 year project</t>
  </si>
  <si>
    <t>Other Notes</t>
  </si>
  <si>
    <t xml:space="preserve">We are doing both lab and field experience to test this. UMIAMI is a hurricane simulator, and we can actually measure how much wave height these coral structures can actually mitigate. We are looking at healthy wild coral mitigation, a control a degraded reef, and our restoration sites. They are comparing how much energy is absorbed from their restoration sites, and comparing it to a healthy and degraded reef within their labs. </t>
  </si>
  <si>
    <t>Dalton</t>
  </si>
  <si>
    <t xml:space="preserve">Varies quite a bit. Federal funding was the main driving to inact coral restoration programs. State funding, private funding for different research funding. Stakeholder and donation based funding as people realize these are worthwhile project. NOAA funding for climate resilience based projects (such as this one). Trying to get funding from the city of Miami to expand their sites along the coast. </t>
  </si>
  <si>
    <t>Coral Restoration Foundation</t>
  </si>
  <si>
    <t>Jessica Levy</t>
  </si>
  <si>
    <t xml:space="preserve">Florida Keys, Kilargo </t>
  </si>
  <si>
    <t>Coral tree: a growth sturcture for corals (created by CRF). CRF took all individual costs of created a tree and created a kit. Build the kit and ship it.</t>
  </si>
  <si>
    <t xml:space="preserve">Labor, time, project management skills/salary. </t>
  </si>
  <si>
    <t>Carys Fort - Kilargo</t>
  </si>
  <si>
    <t>2015-2020</t>
  </si>
  <si>
    <t>5 years</t>
  </si>
  <si>
    <t xml:space="preserve">Ocean Reef Club (gated community) </t>
  </si>
  <si>
    <t xml:space="preserve">Tourism Development Council -&gt; have adopted reef resotration because people come to the keys to see the reefs. Ecological restoration, promoting diversity </t>
  </si>
  <si>
    <t>Tourism Development Council (TDC) -&gt; have adopted reef resotration because people come to the keys to see the reefs. Ecological restoration, promoting diversity is CRF's goal+A6:G6</t>
  </si>
  <si>
    <t>NOAA, TDC -&gt; brick and mortor model?</t>
  </si>
  <si>
    <t>They use a lot of volunteers and interns. Intern programs (classified as volunteers). Restoration staff has only 5 individuals. Hundreds of volunteers every year, that's how we are able to get all this work done is our volunteer force. A takes a lot of time to train and oversee volunteers.</t>
  </si>
  <si>
    <t xml:space="preserve">~1 year (TDC).                 ~3 year (NOAA) </t>
  </si>
  <si>
    <t xml:space="preserve">Permits don't cost us money (~$25 a year). It does take time, in the keys, we have to get permits with Florida Keys National Marine Sactuary, and Florida Fish and Wildlife. The state permit is on an annual basis. Federal permit is a 5-year cycle, so we try to have a very broad scope to begin with, and changes have to get an amendment every time. Not for specific projects, just cover the body of work. </t>
  </si>
  <si>
    <t xml:space="preserve">We are at a good point. It is changing in scale, we are getting better at growing coral and getting it out with less cost. We are at a scaling up point. People are looking for ways to fund and support restoration for more ways than just restoration for the sake of restoration. People are talking about resilience, insurance, and opening a new funding source for these reefs. Restoration will look different. </t>
  </si>
  <si>
    <t>Florida Departmant of Environmental Protection</t>
  </si>
  <si>
    <r>
      <rPr>
        <sz val="12"/>
        <color rgb="FF000000"/>
        <rFont val="Calibri (Body)"/>
      </rPr>
      <t>Biscayne</t>
    </r>
    <r>
      <rPr>
        <u/>
        <sz val="12"/>
        <color rgb="FF000000"/>
        <rFont val="Calibri"/>
        <family val="2"/>
        <scheme val="minor"/>
      </rPr>
      <t xml:space="preserve"> </t>
    </r>
    <r>
      <rPr>
        <sz val="12"/>
        <color rgb="FF000000"/>
        <rFont val="Calibri (Body)"/>
      </rPr>
      <t>Bay</t>
    </r>
  </si>
  <si>
    <t>70,000 acres</t>
  </si>
  <si>
    <t>Eric</t>
  </si>
  <si>
    <t>Mangroves and seagrass</t>
  </si>
  <si>
    <t>Conserve the resources and allow for access to the public. Keep water clean and clear, mangroves stabilizing shoreline, seagrass stabilizing sediments. Storm protection, wave attenuation.</t>
  </si>
  <si>
    <t>Usually not needed. Mitigation construction will pay a third party, usually an environmental consultant, to do survey work. Sometimes academic groups are involved. Seagrass and mangrove are usuall environmental consultants</t>
  </si>
  <si>
    <t>Most of state's funding comes from sale's taxes, registration fees, property tax, tourism fees. FWC has money for post-Irma restoration funds</t>
  </si>
  <si>
    <t>Can take a year or two to get all permits together per project</t>
  </si>
  <si>
    <t>Several year long monitoring plan, surveys</t>
  </si>
  <si>
    <t xml:space="preserve">TNC and regional organization promoting living shores and using natural systems to promote shoreline erosion. Permitting process is getting easier for restoration projects. Army Corp revising permitting process. The state of Florida does have a living shoreline website to educate. </t>
  </si>
  <si>
    <t>Spatial Variation</t>
  </si>
  <si>
    <t>Site specific, some conditions are not good and you will see rapid die off of seagrass and mangroves. If local conditions do not allow for restoration projects, which is hard to foresee, your project will fail. Know your species, know your habitats. (3 mangrove species down in Florida)</t>
  </si>
  <si>
    <t>⬆️</t>
  </si>
  <si>
    <t>NOAA</t>
  </si>
  <si>
    <t>Jennifer Moore</t>
  </si>
  <si>
    <t>Tom Moore - NOAA restoration center Tom.moore@NOAA.gov</t>
  </si>
  <si>
    <t xml:space="preserve">Right at the beginning of understanding coral reef restoration and widely adopted by the science community. There is a lot we can do to abate the threat of climate change, but it will be a long time before the system settles with what climate change has already done to the ocean. A lot of this field is now buying time to keep corals around until we can settle our carbon dioxide use, and to make sure corals can survive until the system goes back to the way it was when corals were healthy. Restoration experts are trying to learn which corals are the hardiest and can survive in the current ocean conditions. They are also getting creative in their funding sources by making the linkage between coral reefs and coastal resilience. FEMA hasnt taken that viewpoint yet, because no cost-effective solution has been proposed. </t>
  </si>
  <si>
    <t xml:space="preserve">Cost variation is similar to what would drive other costs. Labor force (US more expensive), materials (remote islands more expensive if using expensive tools), vessel travel (longer trips with a vessel with increase costs). There is a shift towards having your nursurery be close to your restoration site. Sort of like a pop-up nursery. The #1 thing that drives costs is labor. Coral restoration is very human intensive. It's all done with humans, and takes a lot of hours/volunteers/and training to be able to grow and maintain corals. </t>
  </si>
  <si>
    <t>Robin Lewis</t>
  </si>
  <si>
    <t xml:space="preserve">Coastal Resources Group, Inc. </t>
  </si>
  <si>
    <t>Florida</t>
  </si>
  <si>
    <t>Cost depends on size of the project, access to the site, method of restoration (how much excavation and fill) and design and permitting costs. Costs are falling as projects are bigger and more likely to succeed. Smaller projects without the cost of land is about $75k/acre, but larger projects on public lands can cost as little as $17k/acre.</t>
  </si>
  <si>
    <r>
      <t>One word of caution is that the concept of CREATING mangrove forests where none exist today which may be an </t>
    </r>
    <r>
      <rPr>
        <u/>
        <sz val="12"/>
        <color rgb="FF222222"/>
        <rFont val="Arial"/>
        <family val="2"/>
      </rPr>
      <t>insurance angle to protect coasts</t>
    </r>
    <r>
      <rPr>
        <sz val="12"/>
        <color rgb="FF222222"/>
        <rFont val="Arial"/>
        <family val="2"/>
      </rPr>
      <t> is not the same as RESTORING existing damage, filled, or hydrologically stressed mangroves. These costs estimates do not apply to such projects. Thin layer application of dredged material to existing but drowning mangrove forests may be a much less expensive process but is untested in Florida. </t>
    </r>
  </si>
  <si>
    <t>$17k / acre  ($42.5k / ha) for big projects, ~$75k/acre for small projects</t>
  </si>
  <si>
    <t>small v big</t>
  </si>
  <si>
    <t>TNC</t>
  </si>
  <si>
    <t>Chris Bergh</t>
  </si>
  <si>
    <t xml:space="preserve">Nature Based Coastal Defences for Southeast Florida - check for it online. Developed a story map of projects so people can follow along. We are focused on enabling conditions to make projects move faster. Sharing success stories and sharing things that have not worked to help practioners avoid missteps. </t>
  </si>
  <si>
    <t xml:space="preserve">A lot of things get built but don’t get properly monitored, so it's hard to see what projects are succeeded and what co-benefits are used. </t>
  </si>
  <si>
    <t>We have identified policy moves that we would like to see enacted. How do we get levels of government and state to adopt this policy changes? Here in florida, we are in the cusp of people designing coral reefs for climate resilience. The real driver for restoration used to be for habitat rather than coastal resilience. Increasingly people are recognizing that these projects have protection benefits rather than just for tourism. Local government decision makers are starting to realize this. If you lose the beach, you lose the critical coastal defense. South Florida is generally very vulnerable to storms, so the awareness of sea level rise is on the upswing, and we get a lot of attention from the media saying we are screwed. All these decision makers and business community see the challenges, and TNC wants to nature-based solutions are on that menu of options.</t>
  </si>
  <si>
    <t xml:space="preserve">Labor and material costs are the big differences. Generally in the states, we have larger preconstruction costs with permitting, design, and rules to get around. This is more rigorous and costly in the states to prove to people that your project is the right project to pursue. </t>
  </si>
  <si>
    <t xml:space="preserve">There are typically more than one permit required for each project. Permitting requirements constrain what you can do (for good reasons). You end up designing a permitable project, which may not be the project you would design in a permit-free world, so you have to create projects that fit the permit parameters. There's not a great system in place to determine how projects would help and hurt a particular system. We are not in a good place to account for the pros and cons as we would like to. When we designed the permit system, we were not considering sea level rise, climate change, or how resources will shift through storm impacts and other dynamic processeses. Some sort of evolution of the permitting process is needed to account for these variables. </t>
  </si>
  <si>
    <t>No funding at the moment… Generally we get funding by partnering with projects that already exist with other organizations and offer our expertise. Public dollars are very important. Private dollars come in from grants that allow us to be either the catalyst or cheerleader for projects to popularize these projects or ideas. You can only do so much actual Earth moving with small private funds. Projects are normally a mix of funding (private and public) per each project.</t>
  </si>
  <si>
    <t>Cape Eleuthera Institute</t>
  </si>
  <si>
    <t>Bahamas</t>
  </si>
  <si>
    <t>Nathan Robinson</t>
  </si>
  <si>
    <t>World Bank</t>
  </si>
  <si>
    <t>Juliana Castano Isaza</t>
  </si>
  <si>
    <t xml:space="preserve">Nature-based infrastructure is growing around the world. This also presents a risk, as countries are doing maladaptation measures and not taking into account all the variables. This field is growing as governments are recognizing that they can benefit many sectors with nature-based infrastructure. Governments usually have legislation that is for protected areas, but these areas are only there for habitat protection and not taking into account how this nature-based infrastructure can be put to other uses. </t>
  </si>
  <si>
    <t xml:space="preserve">You're not only dealing with different environmental sectors, but different infrastructure, tourism, and fisheries sectors. Whenever you are talking about natural infrastructure, there are so many other sectors involved. You need to engage all of these sectors, so it is very time and resource consuming, and it is very hard to reach an agreement with all of the parties involved. Because of this, preventative strategies are usually grey solutions because of the knowledge that already exists. The legislation is biased towards hard (grey) infrastructure. Ministries of the environment are usually very weak within world governments, so their work normally has to move its way up until it reaches the ministries of finance in order to implement their work. In most cases, they do benefits transfer analysis that are not taylored to the specific areas, which results in failing. Environmental groups will rely on local communicites to reduce costs, and when you engage local communities you can increase local activism and participation in their areas. Often they are not successfully engaged, and the project will fail. If the government had all the data they needed, then they could implement nature-based infrastructure. However, in most cases a government will not locate this data or monitor their ecosystems. In many cases, they believe that is they remove a mangrove and plant it in another area they will have the same ecosystem services as they did before. This is not true as you need to wait a long time (15+ years) to see the same ecosystem benefits as before. In the US, it is easy to get people engaged to volunteer on nature-based work. In other countries, you must compensate individuals for restoration work.  In developed countries, you also have money to allocate for scientific research. In developing countires, they are still coping with past catastrphies, so they could never allocate money for this research. Initial investment is easier in developed countires, but the benefits are much higher in developing countires because there are more people that are relying on these natural resources (fisheries) for their livelihood. Communities rely throughout the year on these ecosystems in developing countires. </t>
  </si>
  <si>
    <t xml:space="preserve">Outside of the US, permits are needed to remove mangroves for hotels. In jamaica for example, they would need to get a permit to remove mangroves in one place and they would have to plant that many mangroves in another place. This is ridiculous, because they are removing mature mangroves and planying new mangroves in a differnet spot without any scientific understanding of the new location. This results in failure. What's happening in Columbia, is that every hectare of mangrove that is removed, they must conserve the same size area with the same mangrove characteristis of the damaged area. Sometimes they have to conserve an even bigger area than that which was destroyed. In other countries, they don't make you conserve any area. Often they don't have the technical capacity or methodologies to monitor protected land, so it has been very hard to protect areas. </t>
  </si>
  <si>
    <r>
      <t xml:space="preserve">Grants. The World Bank started with a </t>
    </r>
    <r>
      <rPr>
        <b/>
        <sz val="12"/>
        <color theme="1"/>
        <rFont val="Calibri"/>
        <family val="2"/>
        <scheme val="minor"/>
      </rPr>
      <t>GFDR grant.</t>
    </r>
    <r>
      <rPr>
        <sz val="12"/>
        <color theme="1"/>
        <rFont val="Calibri"/>
        <family val="2"/>
        <scheme val="minor"/>
      </rPr>
      <t xml:space="preserve"> There is almost no way that a government would take a loan for natural infrastucture. At the Bank, we host lots of multi-donor grants, and we apply those grants to countries. </t>
    </r>
    <r>
      <rPr>
        <b/>
        <sz val="12"/>
        <color theme="1"/>
        <rFont val="Calibri"/>
        <family val="2"/>
        <scheme val="minor"/>
      </rPr>
      <t>Green Climate Fund (GCF)</t>
    </r>
    <r>
      <rPr>
        <sz val="12"/>
        <color theme="1"/>
        <rFont val="Calibri"/>
        <family val="2"/>
        <scheme val="minor"/>
      </rPr>
      <t xml:space="preserve"> can be given to countires. There are specific trust funds under the bank. There are other donors that trust a lot in the bank, so they prefer to channel there funds through the bank before being handed to governments. </t>
    </r>
  </si>
  <si>
    <r>
      <t xml:space="preserve">If you really want to  implement nature-based infrastructure in other countries, you need to get other sectors involved. The Ministry of the Environment is not enough. </t>
    </r>
    <r>
      <rPr>
        <b/>
        <sz val="12"/>
        <color theme="1"/>
        <rFont val="Calibri"/>
        <family val="2"/>
        <scheme val="minor"/>
      </rPr>
      <t>Wetlands International - contact via mangrove costs</t>
    </r>
  </si>
  <si>
    <t>Research - Eduation - Outreach. Coral nurseries mainly to restoke declining coral habitats</t>
  </si>
  <si>
    <t>Vast majority of funding comes from external grants, tuition fees from students, and a large grant through Peri Institute for Marine Science (Disney)</t>
  </si>
  <si>
    <t>As a research institute, our blanket permit covers all of these projects. Each permit lasts a year, we have to reapply every year.</t>
  </si>
  <si>
    <t>Corals for 6 years. Only this year has the coral project started to take off</t>
  </si>
  <si>
    <t>Range from a few meters to around 50 meters squared</t>
  </si>
  <si>
    <t>Habitat construction</t>
  </si>
  <si>
    <t>To anchor corals, we use staples into the rocks. For the nursueries themselves, we have a 2 meter PVC structure</t>
  </si>
  <si>
    <t>Check reefs biweekly, takes half a morning of half time ($300 every two weeks to maintain structures)</t>
  </si>
  <si>
    <t>All the time. We often have students and interns. There is normally one staff that leads the project, and several students and interns that help with the work</t>
  </si>
  <si>
    <t xml:space="preserve">This practice is improving rapidly. For a long period of time, you grow coral and take clippings and grow it out into smaller pieces of coral. What we're trying to do now, SECORE does this, is collecting the gametes as the coral spawns, raise them in captivity, and those will be the fragments that we then raise in the nurseries. This means that instead of going out to the reefs and fragmenting coral one at a time, you can collect thousands of gametes from spawning coral and use grow those gametes in the nurseries. This is not a really tried and tested method. It is still in its testing phase. </t>
  </si>
  <si>
    <t xml:space="preserve">Distance of the coral reef to the nursery is a big factor. The availability of volunteers vs. employees. Regional costs. The bahamas are a lot more expensive than neighboring countries, as a product of living cost. </t>
  </si>
  <si>
    <t>Jake Kheel</t>
  </si>
  <si>
    <t>Dominican Republic</t>
  </si>
  <si>
    <t>8 Kilometers</t>
  </si>
  <si>
    <t>Grupo Puntacana Foundation</t>
  </si>
  <si>
    <t>Success of the country depends on success of the region</t>
  </si>
  <si>
    <t>Umbrella Company, this group owns 3 hotels, schools, clinics, owns and operates the interational airport in Punta Cana</t>
  </si>
  <si>
    <t>Coral restoration and work with fishermen</t>
  </si>
  <si>
    <t>Permits come from the Dominican government. A lot of these projects had to be permitted after they were already built, and now everything new has to be permitted. Environmental Impact Studies, Management Plans, periodically submit reports. Managing 13 different permits for the resorts. Process is beaurocratic, can be time consuming and costly.</t>
  </si>
  <si>
    <t>Agreements with international donors, partners that provide support for specific parts of the projects, private donations, and grants. The company also has some funding for it. It provides land, overhead and salaries, everything else comes from others sources</t>
  </si>
  <si>
    <t>Manager, coordinator, and interns, and a research facility</t>
  </si>
  <si>
    <t>A volunteer program, sporatic, but we don't have consistent volunteers. No real expectations for volunteers</t>
  </si>
  <si>
    <t xml:space="preserve">Regular monitoring team. Rapid assessments of reefs. High resolution maps with Carnigie Airborn Observatory. </t>
  </si>
  <si>
    <t xml:space="preserve">This is an evolving science. 15 years ago there wasn't a ton of data on, and it has since blown up with more people studying and more people trying to understand coral growth rates. Microfragmentation and sectional reproduction (collecting eggs and sperm from spawning events). We are seeing more interest, more acceptance, and more resources being dedicated to coral restoration. </t>
  </si>
  <si>
    <t xml:space="preserve">Depends where nurseries are (proximity to reef), that will affects boat size, gas cost, multiple tank dives, etc. The scale and size of the nursery, what techniques are you using, what are the local conditions that require more or less maintenance. The bottleneck for restoration methods are the ineffienecy of maintaining them. What are the manual techniques that you use to restore coral? Some of these can be very labor intensive and require expensive equipment. </t>
  </si>
  <si>
    <t>Nails that don't rust are useful to hammer corals down to reef. We also lay down metal springs on top of reef to anchor down reefs.</t>
  </si>
  <si>
    <t>Joey Mandara</t>
  </si>
  <si>
    <t>Mote Marine Laboratory</t>
  </si>
  <si>
    <t>6-8 months per coral fragment</t>
  </si>
  <si>
    <t>Florida, 6 sites, Key West and Big Pine (Newfound Harbor)</t>
  </si>
  <si>
    <t>3 coral reefs, about 6 feet tall and 5 to 6 ft in diameter</t>
  </si>
  <si>
    <t>Habitat restoration. We grow them on land with accelerated growth, brush off dead coral on the field, and plug in new corals onto reefs</t>
  </si>
  <si>
    <t>We are producing twice as many coral as we have in the past while maintaining relatively the same cost</t>
  </si>
  <si>
    <t xml:space="preserve">Cut down on maintenance costs by using the same amount of staff to oversee more coral. Less time monitoring tank and more time growing coral. We are focusing on the coral plug and the coral itself. We won't take care of the entire raceway. </t>
  </si>
  <si>
    <t xml:space="preserve">Permits is one of our largest challenges. We have to go through FWC and NOAA (state and federal permits). We have to get the approval to outplant, followed by. Offshore team is able to check their own coral, while landbase team has to have a veternarian check our coral. We had to have little individual tags underneath every single piece of coral (sometimes thousands of corals...) This would take multiple people close to a week to accomplish. We had to refine our technique because of this. We now have a standard rack that can fit 8 plugs by 8 plugs, and you read them like a book. Once we get approval from vet, we submit that paper to the state, and they give us approval to outplant. This year we had some trouble getter our general permit, and we didn't get permit until summer. Permitting has gotten easier, but this is definitely the biggest bottleneck that we deal with. Tissue Loss disease is reaching us, and that is making is tough to outplant a certain species of coral. </t>
  </si>
  <si>
    <t xml:space="preserve">Funding comes from Tourist Development Council for small projects, from the state of Florida to outplant corals, and from private donors. We have coral heads that are outplants from donors who want to name the reefs after their grandchildren, family, etc. We get money to pay staff and outreach with Protect our Reef Liscence Plates that can be purchased by the public. Part of this money will go towards our facility. </t>
  </si>
  <si>
    <t xml:space="preserve">A marriage between land-based and offshore nurseries is the next step. Producing more coral in a smaller area is key to cutting costs. We are growing coral only half the size of their plug, and moving them out into the field (offshore) nursery. For instance, we could grow 50000 corals, and move them out while they are still half the size of their plug, have them finish growing offshore, and use the land-based nursery to start growing even more coral. This way we can grow twice as much coral. We are so efficient at fragmenting coral that we have no more space to grow coral on land, so move smaller corals out to the field will help clear up more space to grow more coral. We want to see our program go in this direction, and want to show others what it is we can do and teach others our techniques. </t>
  </si>
  <si>
    <t>Small staff team, and lots of interns (~10-15)</t>
  </si>
  <si>
    <t>Raceway - a rectangular water table used to grow coral. 2 feet deep and another way to cut down on costs. We don't need to spend money on lighting because these are located outside. Reach out to Tampa Aquarium for land-based nursery costs</t>
  </si>
  <si>
    <t xml:space="preserve">Whether or not your agency can have interns. Maintaining controlled environments and heating water in nurseries, using artificial light, changing conditions would increase costs. In the Carribean, having to ship materials from the states to different islands could also increase material costs. </t>
  </si>
  <si>
    <t xml:space="preserve">We generally focus on interns rather than volunteers. We can outplant 600 coral fragments in a day, so we don't focus too much on volunteers because of the time it would take to train them on diving on outplanting procedures. </t>
  </si>
  <si>
    <t>Brie Cokos</t>
  </si>
  <si>
    <t>Ocean Consulting</t>
  </si>
  <si>
    <t>3 mangrove mitigation projects</t>
  </si>
  <si>
    <t>Habitat repair and coastal erosion. Putting back trees that were previously taken out</t>
  </si>
  <si>
    <t>Florida, Kennedy Park</t>
  </si>
  <si>
    <t>Riprap - large limestone boulders placed along the base of mangroves, sort of mimics a rocky shoreline. This is very big in Miami right now, as it both prevents erosion and creates rocky habitat. The county requires riprap be placed at the base of all new seawalls</t>
  </si>
  <si>
    <t xml:space="preserve">Applicant has to foot the bill, could be a private or corporate entity, we also have a lot of city projects. If you create an impact, you have to foot the bill for us. </t>
  </si>
  <si>
    <t>Every summer when we have more field work, a lot of the monitoring is done by college students (interns) who want some extra experience. There is no shortage of young people who want to go out on a boat and help out.</t>
  </si>
  <si>
    <t>Implementation can be anywhere from 1-4 months, monitoring is semi-annual for 5 years.</t>
  </si>
  <si>
    <t>Applicant is bound in the mitigation project permits to oversee these sites after the 5 year monitoring</t>
  </si>
  <si>
    <t xml:space="preserve">I've seen the criteria of measuring success change over time. The way they measure success now is seen as a canopy. They want to see that the mangroves have developed into a canopy layer, and that is considered a successful restoration. </t>
  </si>
  <si>
    <t xml:space="preserve">Should include sand dunes in this study, as they are a main way to protect coastal infrastructure in Florida. In terms of natural buffers, mangroves and sand dunes are the structures that do the actual work. It seems almost impossible to quantify the benefits of coral reefs... Most properties can't afford to have lush wetland trees as protection, and a single row of trees won't provide too much benefit. </t>
  </si>
  <si>
    <t>Sending me additional contacts…</t>
  </si>
  <si>
    <t xml:space="preserve">Here in Florida, the severity of the impact. UMAM tool- plug in numbers with quality of habitat, give it a grade, area of impact, and it spits out a numbers that you have to mitigate for. The more severe the impact, the more you will have to pay and the larger the project will have to be. Some projects are several million dollars, others are a few thousand. </t>
  </si>
  <si>
    <t xml:space="preserve">First a feasibility analysis, species composition, resource coverage, water depths, etc. We then work with government agencies to determine the least impactful design. We create mitigation techniques that can offset the ecological damage from these projects. The Army Corp of Engineers has their own mitigation banks which are used are a credit system. </t>
  </si>
  <si>
    <t>For first two years, it's $1000 a coral (staghorn) for restoration, now about $10-20 a coral</t>
  </si>
  <si>
    <t>Took 6 years to get started before fragementation, producing thousdands per month after microfragmentation.</t>
  </si>
  <si>
    <t xml:space="preserve">Habitat restoration. </t>
  </si>
  <si>
    <t>Federal dollars for staghorn coral. We started getting funding from the county government from the Tourist Development Foundation. They try to build coral for attractions. We also got some state appropriations for coral planting.</t>
  </si>
  <si>
    <t>6000 coral-projects</t>
  </si>
  <si>
    <t>Corals can be planted on artificial reef which is used as a breakwater (rocks about a meter across). We plant live coral on almost every breakwater. The live coral on top could potentially keep up with sea level rise</t>
  </si>
  <si>
    <t>30 days, 6 months, 1 year (required by permit). We then visit every year for some of these corals to check their progress</t>
  </si>
  <si>
    <t xml:space="preserve">Our full planting at certain sites is done entirely by citizen scientists. Our land based facility has more student interns working than paid employees. </t>
  </si>
  <si>
    <r>
      <t xml:space="preserve">Permits is the #1 problem that we deal with. I've literally had to stop my work and wait on permits. </t>
    </r>
    <r>
      <rPr>
        <b/>
        <sz val="12"/>
        <color theme="1"/>
        <rFont val="Calibri"/>
        <family val="2"/>
        <scheme val="minor"/>
      </rPr>
      <t xml:space="preserve">"I can grow a coral faster than I can get a permit".  </t>
    </r>
    <r>
      <rPr>
        <sz val="12"/>
        <color theme="1"/>
        <rFont val="Calibri"/>
        <family val="2"/>
        <scheme val="minor"/>
      </rPr>
      <t xml:space="preserve">We have to have federal permits from NOAA, state permits through FWC, and landbased permits for Florida Department of Agriculture. We have to apply each year for permits. Full veterinary check on corals before outplanted. </t>
    </r>
  </si>
  <si>
    <r>
      <t xml:space="preserve">Cost is going down as projects go up in scale. I predict that cost for coral will be about $2 per coral in the future. The technology is exanding rapidly. It took us 6 years to plant our first 600 corals, now we plant 600 in a day. There's no reason why I can't plant a million corals within 2-5 years (except for permits). The economic cost per coral is dropping, we are producing large numbers faster and cheaper. We will see improvements in underwater farming as we have in above ground farming. We have now learned that we can grow massive corals on land, and get them to grow as fast as the fast brancing corals and get them back out in the ocean at a rate of production and cost that is comparable. We will see people get better at sexual reproduction. Instead of asexual reproduction (fragmentation) and simply making clones, we are now finding new genetic strains that may have resistance to bleaching and even storm damage, with sexual reproduction. </t>
    </r>
    <r>
      <rPr>
        <b/>
        <sz val="12"/>
        <color theme="1"/>
        <rFont val="Calibri"/>
        <family val="2"/>
        <scheme val="minor"/>
      </rPr>
      <t xml:space="preserve">We are introducing new genotypes, shuffling the DNA, and looking for the offspring that will "win the summer olympics". </t>
    </r>
  </si>
  <si>
    <t xml:space="preserve">The type of labor involved in a given project. Universities, scientific organizations, agencies, etc. Stop making scientists do outplanting of coral, because it is very expensive. This task should and could be done by students, laborers, and fishermen. The biggest cost is planting the coral. Once you get professionals planting corals, the cost of outplanting will drop substantially. In Mexico and Belize, they have a lower cost of labor, and they also hire other workers that are not making scientist wages to do the outplanting of coral. Weekend experiences with citizen scientists / volunteers are not productive unless the volunteers stick with the organization and get better over time. David can plant a few hundred corals in an hour, whereas it would take a volunteer team and entire day to do this. If we take student interns who are around for 6 months, that can be very productive as they get better over time. Long time volunteers are productive and cost efficient, day and weekend volunteers will slow you down. </t>
  </si>
  <si>
    <t>Caitlin Lustic from TNC! Contact!        Megan Johnson - Loggerhead Key West Fort Jefferson</t>
  </si>
  <si>
    <t>Project Title</t>
  </si>
  <si>
    <t>BH-L1043 : Climate Resilient Coastal Management and Infrastructure Program</t>
  </si>
  <si>
    <t>Project Description</t>
  </si>
  <si>
    <t>The program's objective is to build resilience to coastal risks (including those associated with climate change) through sustainable coastal protection infrastructure, including natural infrastructure and integrated management of the coast. Specifically, the program will finance science-based shoreline stabilization and coastal flooding control measures in East Grand Bahama (EGB), Central Long Island and Nassau/Junkanoo Beach in New Providence, natural infrastructure for hazard resilience through restoration of coastal natural habitats (mangroves, reefs) in Andros and institutional strengthening for coastal risk management. This operation is expected to result in a reduction of economic losses due to natural disasters and an increase in local economic activity through coastal resilience</t>
  </si>
  <si>
    <t>Project Location</t>
  </si>
  <si>
    <t>Project Sector</t>
  </si>
  <si>
    <t>Environment and Natural Disasters</t>
  </si>
  <si>
    <t>Total Cost</t>
  </si>
  <si>
    <t>Found on:</t>
  </si>
  <si>
    <t>IDB Website</t>
  </si>
  <si>
    <t>Barbados</t>
  </si>
  <si>
    <t>The intervention model supports the establishment and sustainability of a national network of coral nurseries through the introduction of Coral Gardening as a new commercially-viable tourism product, which will position local MSEs, coastal communities, hotels and tourists at the vanguard of coral reef stewardship.</t>
  </si>
  <si>
    <t>Private Firms and SME Development</t>
  </si>
  <si>
    <t>MIF-Small Enterprise Dev. Facility</t>
  </si>
  <si>
    <t>Ordinary Capital</t>
  </si>
  <si>
    <t>BA-M1014 : Public-private Partnership to Preserve Coral Reefs</t>
  </si>
  <si>
    <t>RG-T2381 : Coral Reef Restoration Program</t>
  </si>
  <si>
    <t>The expected outcomes of this operation are: (i) the development of a more robust scientific basis that will support decision making processes in regards to coral reef preservation and propagation; and (ii) increased resilience and propagation of Belizean and Jamaican coral reefs that will improve coastal protection, livelihoods of coastal communities and preservation of biodiversity and fragile ecosystems.</t>
  </si>
  <si>
    <t>Regional, Belize and Jamaica</t>
  </si>
  <si>
    <t>DR-M1035 : Coral Gardening To Enhance Tourism, Support Coral Reef Conservation</t>
  </si>
  <si>
    <t>The general objective of the project is to impart a heightened awareness by the tourism industry and associated communities in tourism areas as to the value of healthy coral reefs, with the implementation of economically viable strategies for direct involvement by the industry in the conservation and restoration of corals reefs. The specific objectives are the establishment of ¿coral gardening¿ as a resort-supported profession and the establishment of ¿coral gardening destinations¿ whereby guests come to DR to participate in coral planning and coral reef restoration, translating coral reef restoration and conservation into revenue streams with a high level of local population involvement.</t>
  </si>
  <si>
    <t>Sustainable Tourism</t>
  </si>
  <si>
    <t>Belize</t>
  </si>
  <si>
    <t>P131408 : BZ Marine Conservation and Climate Adapation</t>
  </si>
  <si>
    <t>The objective of the Marine Conservation and Climate Adaptation Project for Belize is to implement priority ecosystem-based marine conservation and climate adaptation measures to strengthen the climate resilience of the Belize Barrier Reef System. Specifically, the project will support: (i) improvement of the coral reef protection regime including an expansion and enforcement of the Marine Protected Areas (MPAs) and replenishment (no-take) zones in strategic locations to build climate resilience, (ii) promotion of sustainable alternative livelihoods and income diversification for affected users of the reef, and (iii) building local capacity and raising awareness regarding the importance of the overall health of the reef ecosystem to its climate resilience and, consequently to community welfare as well as the growth prospect of the country's economy. </t>
  </si>
  <si>
    <t>World Bank Website</t>
  </si>
  <si>
    <t>Contact</t>
  </si>
  <si>
    <t>Sylvia Michele Diez</t>
  </si>
  <si>
    <t>Agriculture, Fishing &amp; Forestry</t>
  </si>
  <si>
    <t>The development objective of the Capturing Coral Reef and Related Ecosystem Services (CCRES) Project for East Asia and Pacific is to design and support the uptake of innovative models for valuing mangrove, sea-grass and coral reef ecosystem services with the potential to enhance the sustainability of marine-based enterprise and marine spatial planning in select coastal communities in Indonesia and the Philippines. The CCRES project will be financed by a combination of the grant funds from the Global Environment Facility (GEF) international waters focal area and from third parties through co-financing and parallel financing. The current direct co-financing stands at $2.0 million from The University of Queensland, however, parallel financing is also significant with $3.9 million in contributions from various research partners towards salary provisions, project management costs and other resources. An additional $21.9 million in parallel co-financing is contributed from World Bank projects directly linked to CCRES: a) Coral Reef Rehabilitation and Management Program-Coral Triangle Initiative (COREMAP-CTI), and b) Philippines rural development project, which are also part of the GEF IW scaling up partnership program.</t>
  </si>
  <si>
    <t>P123933 : Capturing Coral Reef Ecosystem Services (CCRES)</t>
  </si>
  <si>
    <t>Philippines</t>
  </si>
  <si>
    <t>Agricultural Extension, Research, and Other Support Activities</t>
  </si>
  <si>
    <t>Cary Anne Cadman</t>
  </si>
  <si>
    <t>(see project description)</t>
  </si>
  <si>
    <t>World Bank + other sources</t>
  </si>
  <si>
    <t>The development objective of the Climate Change Adaptation Project (CCAP) for Maldives is to demonstrate climate adaptive planning and management through the adoption of a multi-sectoral approach in Addu and Gnaviyani atolls. The project comprises of five components. The first component, wetlands conservation aims to establish a protected wetland management system to protect the wetlands and biodiversity in the Hithadhoo protected area (Eydhigali Kilhi and Koattey) of Hithadhoo island, and Bandaara Kilhi, and Dhandimagu Kilhi in Fuvahmulah island; support the development of ecotourism and other sustainable activities that can contribute to the socio-economic development of the local community; and establish a model for management of the protected wetland area. The second component, coral reef monitoring aims to strengthen the coral reef monitoring framework for improved decision making and management of coral reefs and related ecosystems. The third component, development of an island level integrated solid waste management system will help build the institutional capacity of Addu city and Gnaviyani atoll councils to plan an atoll and island level integrated solid waste management program to minimize the environmental risks to marine and terrestrial assets. The fourth component, mainstreaming climate change into island development planning aims to build awareness and strengthen local government capacity to address climate change adaptation issues relevant to island development and support tertiary level education in environmental management including climate change adaptation and mitigation. The fifth component, project management will support management functions for implementing the project, including support for staff, monitoring, equipment, operating costs, etc.</t>
  </si>
  <si>
    <t>P153301 : Climate Change Adaptation Project</t>
  </si>
  <si>
    <t>Maldives</t>
  </si>
  <si>
    <t>Maldives Climate Change Trust Fund</t>
  </si>
  <si>
    <t>Gaurav D. Joshi</t>
  </si>
  <si>
    <t>Adapation Fund : World Bank</t>
  </si>
  <si>
    <t>The Coral Reef Rehabilitation and Management Program (COREMAP) aims to establish viable, operational, and institutionalized coral reef management systems in priority coral reef sites in Indonesia. There are four components. The first, Program Strategy and Management, lays the foundation for the COREMAP program. It produces the policy, strategic, and legal framework; project management and assessment of lessons learned; and an independent evaluation of COREMAP I and preparation for COREMAP II. The second component provides services, workshops, publications, awareness materials, surveys, and awards to support a national multi-media campaign; regional campaigns in COREMAP I pilot provinces; and public relations and dissemination of program guidelines. The third component funds specialized technical assistance, surveillance equipment, studies, surveillance operations, workshops, and incremental staff costs to support a national surveillance and enforcement (S&amp;E) unit; operations at target project sites; and surveillance training. The fourth component, community-based management, improves the condition of coral reef ecosystems in two pilot sites through reef management plans designed, implemented, and monitored by local communities. This component also provides technical assistance, community support services, workshops, training, and village grants. </t>
  </si>
  <si>
    <t>P036048 : Coral Reef Rehabilitation and Management Project (COREMAP)</t>
  </si>
  <si>
    <t>Indonesia</t>
  </si>
  <si>
    <t>Education and Central Government</t>
  </si>
  <si>
    <t>Thomas E. Walton</t>
  </si>
  <si>
    <t>Global Environment Facility (GEF) + International Bank for Reconstruction and Development</t>
  </si>
  <si>
    <t>The Conservation and Sustainable Use of the Mesoamerican Barrier Reef System (MBRS) Project, will assist Belize, Guatemala, Honduras, and Mexico in managing the MBRS as a shared, regional ecosystem; safeguard biodiversity values, and functional integrity; and, create a framework for its sustainable use. The components will: 1) support immediate improvements in marine, and coastal protected areas (MPAs), through planning, management, and monitoring efforts, specifically, through the establishment of a MPA data-baseline, and monitoring programs; the development of management plans for MPAs; supply of basic equipment, and infrastructure for MPA planning; and, a trans-boundary cooperation in policy, protection, and management of MPAs. Capacity building for MPA management will include regional training courses/workshops, namely the Marine Park and Tourism Resource Development Program, and Training Library Development; 2) establish a regional environmental monitoring, and information system (EIS), and, develop a web-based EIS, as tools to organize, and disseminate environmental data on reefs, and ecosystems in the MBRS. Targeted research will support field studies, to include water quality flows, and develop a hydrodynamic surface flow model; 3) promote sustainable fisheries management, through institutional strengthening, and monitoring, and, facilitate sustainable coastal/marine tourism, through policy dialogues, and a cooperative action forum; and, 4) develop public awareness campaigns, provide formal/informal education, supported by the coordination of a regional steering committee, a consultative group, and the program coordination unit.</t>
  </si>
  <si>
    <t>Mesoamerica</t>
  </si>
  <si>
    <t>P053349 : Mesoamerican Barrier Reef System (GEF)</t>
  </si>
  <si>
    <t>Marea Eleni Hatzoilos</t>
  </si>
  <si>
    <t>Canada Govt., GEF, Borrow</t>
  </si>
  <si>
    <t>Army Corp of Engineers</t>
  </si>
  <si>
    <t>New Jersey</t>
  </si>
  <si>
    <t>Tidal marshes, freshwater wetlands and oyster reefs</t>
  </si>
  <si>
    <t>Total</t>
  </si>
  <si>
    <t>$25 Billion</t>
  </si>
  <si>
    <t>proposal</t>
  </si>
  <si>
    <t>5-mile long barrier</t>
  </si>
  <si>
    <t>Flood prevention</t>
  </si>
  <si>
    <t>Final report due in 2021</t>
  </si>
  <si>
    <t>Army Corps of Engineers</t>
  </si>
  <si>
    <t>Notes</t>
  </si>
  <si>
    <t>5-mile stormg barrier across the entrance to the outer New York harbor. Smaller levee system built inside</t>
  </si>
  <si>
    <t>Southeast Texas</t>
  </si>
  <si>
    <t>$4 Billion</t>
  </si>
  <si>
    <t>26 miles</t>
  </si>
  <si>
    <t>Storm surge protection</t>
  </si>
  <si>
    <t>Money includes improvements to existing seawalls</t>
  </si>
  <si>
    <t>Army Corps of Engineers, Orange County</t>
  </si>
  <si>
    <t>Project would be to improve existing infrastructure</t>
  </si>
  <si>
    <t>Staten Island</t>
  </si>
  <si>
    <t>Coastal flooding, recreation</t>
  </si>
  <si>
    <t>7 miles, 20 feet tall</t>
  </si>
  <si>
    <t>$613 million</t>
  </si>
  <si>
    <t>Federal Governement, State funding</t>
  </si>
  <si>
    <t>3 years (2019-2022)</t>
  </si>
  <si>
    <t>Keys Restoration Fund</t>
  </si>
  <si>
    <t xml:space="preserve">Carysfort </t>
  </si>
  <si>
    <t>Port Beougainville</t>
  </si>
  <si>
    <t>Crocodile Lake</t>
  </si>
  <si>
    <t>Cudjoe Plantation</t>
  </si>
  <si>
    <t>Dispatch Slough</t>
  </si>
  <si>
    <t>Trevor Berm</t>
  </si>
  <si>
    <t>Upper Sugarloaf Refuge</t>
  </si>
  <si>
    <t>Cactus Hammock</t>
  </si>
  <si>
    <t>Harrison Tract</t>
  </si>
  <si>
    <t>2001-2013</t>
  </si>
  <si>
    <t>1994-2008</t>
  </si>
  <si>
    <t>Fill removal and placement in basins with minor planting</t>
  </si>
  <si>
    <t>Road removal</t>
  </si>
  <si>
    <t>Berm removal</t>
  </si>
  <si>
    <t>Fill and road removal and placement in excavated basins with some mangrove planting</t>
  </si>
  <si>
    <t>2013 cost per FT squared = $1.24</t>
  </si>
  <si>
    <t>2013 cost per FT squared = $1.26</t>
  </si>
  <si>
    <t>2013 cost per FT squared = $2.34</t>
  </si>
  <si>
    <t>2013 cost per FT squared = $0.76</t>
  </si>
  <si>
    <t>2013 cost per FT squared = $1.55</t>
  </si>
  <si>
    <t>2013 cost per FT squared = $0.33</t>
  </si>
  <si>
    <t>2013 cost per FT squared = $1.02</t>
  </si>
  <si>
    <t>2013 cost per FT squared = $1.79</t>
  </si>
  <si>
    <t>2013 cost per FT squared = $3.99</t>
  </si>
  <si>
    <t>The average cost for the nine projects used for our evaluation is $1.59 sq ft in 2013 costs and includes some assumed costs. The average cost per acre is equivalent to $69,260 in 2013 costs</t>
  </si>
  <si>
    <t>Project Size (length)</t>
  </si>
  <si>
    <t>Diego Lirman</t>
  </si>
  <si>
    <t>University of Miami</t>
  </si>
  <si>
    <t>20% of coral is planted by volunteers,</t>
  </si>
  <si>
    <t>Miami</t>
  </si>
  <si>
    <t>Big range in size</t>
  </si>
  <si>
    <t>Species recovery, habitat restoration and education</t>
  </si>
  <si>
    <t>Nail and cable tie</t>
  </si>
  <si>
    <t xml:space="preserve">By permit, we monitor them for up to a year. </t>
  </si>
  <si>
    <t>We keep coral in nursery between 6 and 12 months, then we frag them and grow another batch</t>
  </si>
  <si>
    <t xml:space="preserve">Fish and Wildlife permit, WCSAL?, National Park permit for Biscayne (NOAA Biological Opinion Permit). For people that have been doing this for a while, it is not hard to get permits. Just maintain permit requirements. </t>
  </si>
  <si>
    <t>NOAA, Miami County, private donations. 90% of funding comes from grants and contracts</t>
  </si>
  <si>
    <t xml:space="preserve">The scale of the activities has increased expotentionally. Everyone is growing and planting thousands of corals. The whole process is being streamlined. It is a much easier process now than it was 10 years ago. The focus used to be on research, and now the focus is on growing and planting corals. </t>
  </si>
  <si>
    <t xml:space="preserve">The biggest cost is staff. If you can use volunteers or pay people less, you save money. </t>
  </si>
  <si>
    <t>To grow and plant a coral : between $20 and $40 for a staghorn coral. Typical plot is 300 corals within a ten meter plot</t>
  </si>
  <si>
    <t>There is no magical density of coral to be recovered2</t>
  </si>
  <si>
    <t>TNC Florida</t>
  </si>
  <si>
    <t>Caitlin Lustic</t>
  </si>
  <si>
    <t>Dry Tortugas</t>
  </si>
  <si>
    <t>National Park Service</t>
  </si>
  <si>
    <t>Boat to reef + staff + cost of outplanting</t>
  </si>
  <si>
    <t xml:space="preserve">We have this issue too. People want to use cost per coral, but there should be a success criteria. If you are restoring by acre, it doesn't really make sense. If you compare a coral project to a foresty project, it looks like we're not doing anything. The impact is on a small scale. It's a lot of investment for coral to cover a really small area. </t>
  </si>
  <si>
    <t>David Vaughan</t>
  </si>
  <si>
    <t>Habitat restoration</t>
  </si>
  <si>
    <t xml:space="preserve">Kitchen mat tiles with marine apoxy. $800 for a 5 gallon set of apoxy. </t>
  </si>
  <si>
    <t xml:space="preserve">This is an ongoing project. Someone will maintain the nursery forever, ideally. </t>
  </si>
  <si>
    <t xml:space="preserve">No volunteers </t>
  </si>
  <si>
    <t>We get federal permits from NPS. There is unclear recommendations on whether we need state permits, so we don't have one. The park says we don't need one…</t>
  </si>
  <si>
    <r>
      <t xml:space="preserve">Defining cost per coral isn't necessarily helpful, because some groups define coral as an individual coral and others define it as a larger reef. How groups calculate cost is not consistent. Some groups don't include travel or staff time. Even with programs across Florida, there is pressure to have your cost be lower so people tend to try and lower their costs than they actually are. There are also programs that use unpaid volunteers, and they don't account for those costs as if they were actually paying someone. Their costs might be low, but this is because they are taking advantage of students and interns. Land-based vs offshore nurseries don't account for the cost of maintaining offshore nurseries. We all calculate our cost differently. The tools we need is generally the same across the board. The difference lies in labor costs, and how you calculate the lifespan of a coral from a fragment until you outplant it. </t>
    </r>
    <r>
      <rPr>
        <b/>
        <sz val="12"/>
        <color theme="1"/>
        <rFont val="Calibri"/>
        <family val="2"/>
        <scheme val="minor"/>
      </rPr>
      <t>Success rate</t>
    </r>
    <r>
      <rPr>
        <sz val="12"/>
        <color theme="1"/>
        <rFont val="Calibri"/>
        <family val="2"/>
        <scheme val="minor"/>
      </rPr>
      <t xml:space="preserve"> should be built into cost. If after 10 years most of your corals are dead, your cost will be higher. </t>
    </r>
  </si>
  <si>
    <t>Kate Dodds</t>
  </si>
  <si>
    <t>Sydney</t>
  </si>
  <si>
    <t>`</t>
  </si>
  <si>
    <t>Reef Design Lab - Alex Goab? - try to make infrastructure more eco-friendly, Alex does a lot of work with coral restoration (Maldives)</t>
  </si>
  <si>
    <t xml:space="preserve">Building habitats for fisheries, water filtration, nutrient cycling and removal of pollution. Can we really put a $ to this? Many people have reservations about this. </t>
  </si>
  <si>
    <r>
      <t xml:space="preserve">In Australia, the biggest factor is if you have to pay people </t>
    </r>
    <r>
      <rPr>
        <b/>
        <sz val="12"/>
        <color theme="1"/>
        <rFont val="Calibri"/>
        <family val="2"/>
        <scheme val="minor"/>
      </rPr>
      <t>(labor).</t>
    </r>
    <r>
      <rPr>
        <sz val="12"/>
        <color theme="1"/>
        <rFont val="Calibri"/>
        <family val="2"/>
        <scheme val="minor"/>
      </rPr>
      <t xml:space="preserve"> The labor cost here is very high.  Access to the correct equiment cost different in various areas. Minimum wage, access to volunteers (- food and accommodation). The type of planting </t>
    </r>
    <r>
      <rPr>
        <b/>
        <sz val="12"/>
        <color theme="1"/>
        <rFont val="Calibri"/>
        <family val="2"/>
        <scheme val="minor"/>
      </rPr>
      <t>method.</t>
    </r>
    <r>
      <rPr>
        <sz val="12"/>
        <color theme="1"/>
        <rFont val="Calibri"/>
        <family val="2"/>
        <scheme val="minor"/>
      </rPr>
      <t xml:space="preserve"> Local oceanic and climatic conditions.</t>
    </r>
  </si>
  <si>
    <r>
      <t xml:space="preserve">Macquarie University - </t>
    </r>
    <r>
      <rPr>
        <b/>
        <sz val="12"/>
        <color theme="1"/>
        <rFont val="Calibri"/>
        <family val="2"/>
        <scheme val="minor"/>
      </rPr>
      <t xml:space="preserve">Living Seawalls </t>
    </r>
  </si>
  <si>
    <r>
      <t>Kate's work is trying to "</t>
    </r>
    <r>
      <rPr>
        <b/>
        <sz val="12"/>
        <color theme="1"/>
        <rFont val="Calibri"/>
        <family val="2"/>
        <scheme val="minor"/>
      </rPr>
      <t>bring life back to seawalls"</t>
    </r>
    <r>
      <rPr>
        <sz val="12"/>
        <color theme="1"/>
        <rFont val="Calibri"/>
        <family val="2"/>
        <scheme val="minor"/>
      </rPr>
      <t xml:space="preserve">. Eco-friendly grey infrastructure. The costs are quite low. </t>
    </r>
    <r>
      <rPr>
        <b/>
        <sz val="12"/>
        <color theme="1"/>
        <rFont val="Calibri"/>
        <family val="2"/>
        <scheme val="minor"/>
      </rPr>
      <t>Living Seawalls</t>
    </r>
    <r>
      <rPr>
        <sz val="12"/>
        <color theme="1"/>
        <rFont val="Calibri"/>
        <family val="2"/>
        <scheme val="minor"/>
      </rPr>
      <t xml:space="preserve"> -&gt; increasing value of grey infrastructure. </t>
    </r>
  </si>
  <si>
    <t>Coastal watch -&gt; looking at beach profile surveys over time. There is a metal stand with a frame that you put your phone into, take a picture and upload it to the site, and they can track the progress of a beach over time. It's been so successful. How to do with coral reefs and seawall projects? If there was an anchored frame to take pictures through, we could monitor a scene of coral</t>
  </si>
  <si>
    <t>Benefits: water filtration: travel cost method for clean water? Rank peoples opinions of different benefits! Come up with benefits and score them. Ecotourism -&gt; WTP? Targeted questions to guests?</t>
  </si>
  <si>
    <t>Continental Shelf Associates - Chris - Lead from Kate Dodds</t>
  </si>
  <si>
    <t xml:space="preserve">Within Florida (probably true to abroad too), distance and logistics. The further a restoration site is from nursery site, the more it'll cost. Specific to location, materials and resources available. If you have to ship resources on cargo carriers getting through customs, restoration can become very expensive. Keep expenses down by adaption the methods to the materials that you have access to. </t>
  </si>
  <si>
    <t>Miami, Florida</t>
  </si>
  <si>
    <t>Improving coastal resilience through coral restoration (reducing flood risks, wave attentuation). ALSO Species recovery (ESA). Habitat restoration, increased biodiversity. Restoration has become more deliberate. How does coral restoration actually improve coastal resilience? Targeted high density, multi-species restoration. Also has citizen science, education, and outreach aspects</t>
  </si>
  <si>
    <t>None for this project. It's all traditional restoration where they attach corals via nail and ziptie or cement and apoxy. We have submitted a proposal for a project that could include artificial substrates. Still seeking approval.</t>
  </si>
  <si>
    <t>Cost to produce a coral, based on size, includes staff time, boat fuel, boat insurance, etc. $40-70 per coral</t>
  </si>
  <si>
    <t>$12-15 dollars a coral fragment. $23 for materials to make over 1000 plugs. Underwater drill "Nemo". 1/5 ratio, 1 part Plastor of Paris, 5 parts grey portland cement for outplanting mixture. ~25,000 corals at one site</t>
  </si>
  <si>
    <t xml:space="preserve">Up front cost is large and starting up is the most expensive. Start up costs are thousands of dollars. Once you start getting to scale, the price of each coral drastically decreases. </t>
  </si>
  <si>
    <t>Volunteers can vary. Per year we get around 100-150 volunteers. 10-15 expeditions per year, each expedition has 10-20 volunteers. 20% of coral planted by volunteers. Lots of student volunteers from Umiami. 600-700 volunteer hours per year</t>
  </si>
  <si>
    <t xml:space="preserve">Labor </t>
  </si>
  <si>
    <t xml:space="preserve">Permits </t>
  </si>
  <si>
    <t>Maintenance</t>
  </si>
  <si>
    <t>Vessel</t>
  </si>
  <si>
    <t>Initial Cost</t>
  </si>
  <si>
    <t>Fuel</t>
  </si>
  <si>
    <t>Distance Traveled</t>
  </si>
  <si>
    <t>For Nursery</t>
  </si>
  <si>
    <t>For Outplanting</t>
  </si>
  <si>
    <t>Organization</t>
  </si>
  <si>
    <t>Components of Reef Restoration Costs</t>
  </si>
  <si>
    <t>Reef Size</t>
  </si>
  <si>
    <t>Design</t>
  </si>
  <si>
    <t>Operational Costs</t>
  </si>
  <si>
    <t>Monitoring</t>
  </si>
  <si>
    <t>Supervision</t>
  </si>
  <si>
    <t>Training</t>
  </si>
  <si>
    <t>Manual Labor</t>
  </si>
  <si>
    <t xml:space="preserve">Key biscane streches north to miami beach. 7 different restoration sites approximately 10-15 miles in total length with connectivity in between </t>
  </si>
  <si>
    <t>Study (cluster)</t>
  </si>
  <si>
    <t>Observation #</t>
  </si>
  <si>
    <t>Reference</t>
  </si>
  <si>
    <t>Publication type</t>
  </si>
  <si>
    <t>Year published</t>
  </si>
  <si>
    <t>Year (data collection)</t>
  </si>
  <si>
    <t>Action</t>
  </si>
  <si>
    <t>Technique type</t>
  </si>
  <si>
    <t>Specific technique</t>
  </si>
  <si>
    <t>Number of coral colonies/fragments</t>
  </si>
  <si>
    <t>Species</t>
  </si>
  <si>
    <t>Country</t>
  </si>
  <si>
    <t>Cost (including)</t>
  </si>
  <si>
    <t>Total project costs reported (capital costs and operating costs)</t>
  </si>
  <si>
    <t>Capital costs reported (planning, purchasing, land acquisition, construction, and financing)</t>
  </si>
  <si>
    <t>Operating costs reported (maintenance, monitoring, and
equipment repair and replacement)</t>
  </si>
  <si>
    <t>Monitoring costs included</t>
  </si>
  <si>
    <t>Construction costs included</t>
  </si>
  <si>
    <t>In-kind costs (volunteers)</t>
  </si>
  <si>
    <t>Funding: Government</t>
  </si>
  <si>
    <t>Funding: NGO</t>
  </si>
  <si>
    <t>Funding: volunteers</t>
  </si>
  <si>
    <t>Funding: private</t>
  </si>
  <si>
    <t>Notes to funding</t>
  </si>
  <si>
    <t>Project duration (year)</t>
  </si>
  <si>
    <t>Area (ha)</t>
  </si>
  <si>
    <t>Cost ($)</t>
  </si>
  <si>
    <t>Year used in CPI conversion</t>
  </si>
  <si>
    <t>Restoration cost in (US$ / ha)</t>
  </si>
  <si>
    <t>Restoration cost in  (US$ / ha) @2010 base, CPI</t>
  </si>
  <si>
    <t>Restoration cost in (US$ / ha/ yr) @2010 base, CPI</t>
  </si>
  <si>
    <t>Restoration cost in (Int$ / ha/ yr) @2010 base, GDP (PPP)</t>
  </si>
  <si>
    <t>Feasibility (reasons for failure/success)</t>
  </si>
  <si>
    <t>Pre-transplant average survival (%)</t>
  </si>
  <si>
    <t>Transplant average survival (%)</t>
  </si>
  <si>
    <t>Post-transplant average survival (%)</t>
  </si>
  <si>
    <t>Average survival (%)</t>
  </si>
  <si>
    <t>Bodge KR (1996) Structural restoration of coral reefs damaged by vessel groundings. Proc Proceedings of the Coastal Engineering Conference</t>
  </si>
  <si>
    <t>conference proceedings</t>
  </si>
  <si>
    <t>1994-1995</t>
  </si>
  <si>
    <r>
      <t>Two coral reef sites in the Florida Keys were structurally restored after having sustained severe damage from the groundings of large vessels (two separate incidents in 1989: by the 40-m M/V Alec Owen Maitland and the 142-m M/V Elpis). The project was completed in 1995 and consisted of major structural restoration of a damaged reef (vs. in-kind mitigation using artificial reefs). Restoration focused on the stabilization of coral rubble and large craters which resulted from the vessel groundings. A stable foundation which closely emulates the adjacent natural seabed and which would foster future recruitment of local biota ws re-created. At the Maitland site, a 370-m</t>
    </r>
    <r>
      <rPr>
        <vertAlign val="superscript"/>
        <sz val="11"/>
        <rFont val="Calibri"/>
        <family val="2"/>
        <scheme val="minor"/>
      </rPr>
      <t>2</t>
    </r>
    <r>
      <rPr>
        <sz val="11"/>
        <rFont val="Calibri"/>
        <family val="2"/>
        <scheme val="minor"/>
      </rPr>
      <t xml:space="preserve"> crater was refilled, while the damaged area at the Elpis site had two craters: one measuring 69 m</t>
    </r>
    <r>
      <rPr>
        <vertAlign val="superscript"/>
        <sz val="11"/>
        <rFont val="Calibri"/>
        <family val="2"/>
        <scheme val="minor"/>
      </rPr>
      <t>2</t>
    </r>
    <r>
      <rPr>
        <sz val="11"/>
        <rFont val="Calibri"/>
        <family val="2"/>
        <scheme val="minor"/>
      </rPr>
      <t xml:space="preserve"> and one of 163 m</t>
    </r>
    <r>
      <rPr>
        <vertAlign val="superscript"/>
        <sz val="11"/>
        <rFont val="Calibri"/>
        <family val="2"/>
        <scheme val="minor"/>
      </rPr>
      <t>2</t>
    </r>
    <r>
      <rPr>
        <sz val="11"/>
        <rFont val="Calibri"/>
        <family val="2"/>
        <scheme val="minor"/>
      </rPr>
      <t>. Environmental monitoring consited of measuring the turbidity for an unspecified amount of time.</t>
    </r>
  </si>
  <si>
    <t>physical</t>
  </si>
  <si>
    <t>stabilizing of substrate after ship grounding</t>
  </si>
  <si>
    <t>Key Largo National Marine Sanctuary, Florida Keys</t>
  </si>
  <si>
    <t>USA</t>
  </si>
  <si>
    <t>Work at one site included the mechanical transfer of coral rubble back into the craters, placement of limerock boulders atop the rubble, and back-filling the boulders' voids with carbonate sand. Work at the other site included excavation of coral rubble and the precision placement of 40 pre-cast reefreplicating armor units into the crater. The project's construction cost (bid) was U.S. $1,047,000, with subsequent change orders resulting in a net additional cost of $ 19,600.</t>
  </si>
  <si>
    <t>yes</t>
  </si>
  <si>
    <t>The engineering assessment, design, and construction review work described herein were conducted in principal part by Olsen Associates, Inc. under subcontract to Industrial Economics Inc. (IEc), Cambridge, Massachussets, as authorized by the U. S. Dept. of Commerce, National Oceanic and Atmospheric Administration (NOAA), Contract No. 52-DGNC-1-00007, under Task Order Nos. 50062 and 50089. The leadership of Dr. Dan Sheehy, of IEc, in this project is specifically noted. Initial site survey work was coordinated by Mr. Keith Spring of Continental Shelf Associates, Inc. (CSA), of Jupiter, Florida. The Engineer's on-site technical representative was Mr. Mark Schroeder, also of CSA. Hydrographic survey work was conducted by ARC Surveying &amp; Mapping, Inc., of Jacksonville, FL. Mr. Chris Creed, of Olsen Associates, Inc., greatly assisted in the site survey, data analysis and preparation of the engineering assessment. The innovative internal structural design and specifications for the Maitland site armor units was principally created by Mr. Steve Klecka of SK Engineering, Inc., Jacksonville, FL. The highly succesful concrete mix design and specifications were provided by Dr. Dale Berner of Ben C. Gerwick, Inc. (BCG), of San Francisco, California; and then field-reviewed by Mr. Patrick Durnal of BCG. Construction management was executed by the U. S. Army Corps of Engineers, Jacksonville District. Construction review for environmental protection was directed by Messrs. Harold Hudson, Bill Goodwin, and John Halas of the NOAA Sanctuaries and Reserves Division, Key Largo. The construction contractor was Team Land Development, Inc., Pompano Beach, Florida; Mr. Ron Coddington, President. For the contractor, Mr. Charles Calloway was the lead engineer. On behalf of the project's sponsor, NOAA, Mr. Tim Osborn (National Marine Fisheries/Restoration Center), Dr. Charles Wahle (Sanctuaries and Reserves Divsion), Ms. Darlene Finch (Damage Assessment Center), and Lt. John Tokar (contracting officer) each managed principal aspects of the project, each with great patience and faith.</t>
  </si>
  <si>
    <t>Overall, the project was completed on-time, within budget, in accordance with the design intent, and with no apparent net adverse impact to the environment.</t>
  </si>
  <si>
    <t>Cooper WT, Lirman D, VanGroningen MP, Parkinson JE, Herlan J, McManus JW (2014) Assessing techniques to enhance early post-settlement survival of corals in situ for reef restoration. Bull Mar Sci 90:651-664</t>
  </si>
  <si>
    <t>journal</t>
  </si>
  <si>
    <t>2006-2007</t>
  </si>
  <si>
    <t>Larvae were collected from adult colonies in the laboratory and, once competent to settle, were seeded directly onto the reef substrate. Settled spat were individually mapped and monitored using fluorescence techniques, and found to have a low survivorship with &lt;3%–15% surviving after 1 mo, and &lt;1% after 5 mo. Approximately 100 and 75 larvae were injected into each of the 30 seeders.</t>
  </si>
  <si>
    <t>biological</t>
  </si>
  <si>
    <t>ex situ coral cultivation (sexual propagation) and out-planting of juvenile corals</t>
  </si>
  <si>
    <t>Porites astreoides</t>
  </si>
  <si>
    <t>Biscayne National Park, Florida</t>
  </si>
  <si>
    <t>This work was funded jointly by the National Oceanic and Atmospheric Administration
Coastal Ocean Program under award #NA04NOS4260065 through Nova Southeastern
University, the Canon National Parks Science Scholars Program, and the International Society for Reef Studies/The Ocean Conservancy Graduate Fellowship.</t>
  </si>
  <si>
    <t>.</t>
  </si>
  <si>
    <t>Low survivorship of settled coral spat with &lt;3%–15% surviving after 1 month. Techniques to enhance survival, including choice of substrate and post-settlement caging, did not significantly influence the high rates of natural mortality. Results indicate general lack of knowledge regarding the major factors that drive the magnitude of early post-settlement mortality.</t>
  </si>
  <si>
    <t>Low survivorship of settled coral spat with &lt;1% surviving after 5 months. Techniques to enhance survival, including choice of substrate and post-settlement caging, did not significantly influence the high rates of natural mortality. Results indicate general lack of knowledge regarding the major factors that drive the magnitude of early post-settlement mortality.</t>
  </si>
  <si>
    <t>Edwards A, Gomez E (2007) Reef restoration concepts and guidelines: making sensible management choices in the face of uncertainty. Coral Reef Targeted Research &amp; Capacity Building for Management Programme, St Lucia, Australia</t>
  </si>
  <si>
    <t xml:space="preserve">book </t>
  </si>
  <si>
    <t>Data from ship-grounding restoration costs in the Caribbean, which involved physical restoration of the sites, suggest costs of US$ 2.0 million – 6.5 million per hectare restored.</t>
  </si>
  <si>
    <t>restoration after ship grounding</t>
  </si>
  <si>
    <t>Caribbean</t>
  </si>
  <si>
    <t>USA?</t>
  </si>
  <si>
    <t>Data from shipgrounding restoration costs in the Caribbean, which involved physical restoration of the sites, suggest costs of US$ 2.0 million – 6.5 million per hectare restored.</t>
  </si>
  <si>
    <t>Franklin E, Hudson J, Anderson J, Schittone J (2006) M/V Jacquelyn L coral reef restoration monitoring report, monitoring events 2004-2005. Florida Keys National Marine Sanctuary Monroe County, Florida. Marine Sanctuaries Conservation Series NMSP-06-09. U.S. Department of Commerce, National Oceanic and Atmospheric Administration, National Marine Sanctuary Program, Silver Spring, MD</t>
  </si>
  <si>
    <t>report</t>
  </si>
  <si>
    <t>2000-2005</t>
  </si>
  <si>
    <t>Study presents monitoring results of a repaired coral reef injured by the M/V Jacquelyn L vessel grounding incident of July 7, 1991. Restoration of this site was completed on July 20, 2000. Dislodged Acropora palmata fragments were salvaged and re-attached to the reef. Coral colonies from outside the grounding site were transplanted to the site which experienced highest damage by the vessel. 77 Acropora palmata colonies and five “coral rosettes” (colonies affixed to concrete pavers which were cemented to the substrate) of Acropora palmata were transplanted and re-attached to the site which experienced highest damage by the vessel.</t>
  </si>
  <si>
    <t>transplanting of whole coral colonies</t>
  </si>
  <si>
    <t>Acropora palmata</t>
  </si>
  <si>
    <t>M/V Jacquelyn L restoration site, Florida Keys National Marine Sanctuary</t>
  </si>
  <si>
    <t>The National Oceanic and Atmospheric Administration (NOAA) and the Board of Trustees of the Internal Improvement Trust Fund of the State of Florida, (“State of Florida” or “state”) are the co-trustees for the natural resources within the FKNMS and, thus, are responsible for mediating the restoration of the damaged marine resources and monitoring the outcome of the restoration actions. The authors would like to express their appreciation to all Florida Department of Environmental Protection employees who participated in the initial response, damage assessment, restoration, and case settlement associated with this vessel grounding.</t>
  </si>
  <si>
    <t>4 years after restoration 25 re-attached/transplanted Acropora palmata colonies were found to be visually and tactically sound. Coral cover at the repaired grounding site was higher than the reference area. However, the close passage of 3 powerful hurricanes over the course of the next two years destroyed the restoration site. The restoration area has essentially been obliterated, and any further monitoring is not warranted.</t>
  </si>
  <si>
    <t>Garrison V, Ward G (2008) Storm-generated coral fragments – A viable source of transplants for reef rehabilitation. Biol Conserv 141:3089–3100</t>
  </si>
  <si>
    <t>1999-2004</t>
  </si>
  <si>
    <t>Storm-produced fragments of corals were collected and transplanted to nearly degraded reefs. 60 fragments were attached to dead-coral substrate. Monitoring was performed every 6 months - 1 year.</t>
  </si>
  <si>
    <t>transplanting fragments from donor colonies</t>
  </si>
  <si>
    <t>Acropora palmata, Acropora cervicornis, Porites porites</t>
  </si>
  <si>
    <t>Virgin Islands National Park, St John, US Virgin Islands</t>
  </si>
  <si>
    <r>
      <t xml:space="preserve">Materials, boat and scuba, and scientist salary costs. </t>
    </r>
    <r>
      <rPr>
        <b/>
        <sz val="11"/>
        <rFont val="Calibri"/>
        <family val="2"/>
        <scheme val="minor"/>
      </rPr>
      <t>Calculations for total cost per area are based on a transplanting schedule with coral colonies transplanted at a distance of 0.5 m from each other resulting in a coral density of 4 colonies/m2 or 40,000 coral transplants per 1 ha (Edwards &amp; Gomez 2007). Accounting for a median survival rate of 64.5% (averaged over reported rates for pre-transplant, transplant and post-transplant survival in the coral reef restoration database), a total of 54,200 coral transplants would be required to populate 1 ha.</t>
    </r>
  </si>
  <si>
    <t>The coral reef conservation and ecology education components of the study exceeded all expectations and extended far beyond the local Virgin Islands community to a global audience thanks to the enthusiasm and dedicated field work of: S. Caseau, D. Downs, T. Kelley, E. Link, W. Stelzer, R. Waara, 70 community volunteers, the Pine Peace School 5th- and 6th grade science classes, and the Friends of Virgin Islands National Park (B. Bremser-Nielsen and J. Garrison).  The project was funded by the National Park Foundation and Canon USA, Inc., Virgin Islands National Park, and the US Geological Survey. This research was conducted under NPS permits #VIIS-2002-SCI-0012 (VIIS-0217), VIIS-2004-SCI-0023 (VIIS-04020).</t>
  </si>
  <si>
    <t>total cost of US$1,250 or US$21 per transplant</t>
  </si>
  <si>
    <t>One-fourth of the monitored coral colonies and fragments were alive at the end of the 5-year study. Of corals that did not survive, 58% had disappeared (physical dislodgement) and 42% had died. Colony survival varied among species, with survival of Acropora palmata &gt; Porites porites &gt; Acropora cervicornis. Disease-like lesions were observed on Acropora palmata and less often on Acropora cervicornis. Mortality of transpalnts was species-dependent: nearly 100% mortality of Acropora cervicornis and Porites porites transplants.</t>
  </si>
  <si>
    <t>Johnson M, Lustic C, Bartels E, Baums I, Gilliam D, Larson L, Lirman D, Miller M, Nedimyer K, Schopmeyer S (2011) Caribbean Acropora restoration guide: best practices for propagation and population enhancement. The Nature Conservancy, Arlington, VA</t>
  </si>
  <si>
    <t>2007-2010</t>
  </si>
  <si>
    <t>Coral fragments were collected from 95 donor colonies to supplement genetic diversity in the nursery and were hold in 3 types of nursery designs: block, line nursery, coral tree nursery. Currently (2011), the nursery holds &gt;15,000 Acropora cervicornis corals from 90 different genotypes. More than 1500 corals have been successfully outplanted to 31 sites on 10 different reefs off the Upper Florida Keys. Author: K Nedimyer</t>
  </si>
  <si>
    <t>growing corals in nurseries</t>
  </si>
  <si>
    <t>&gt;15,000 corals in nursery,  &gt;1500 corals outplanted</t>
  </si>
  <si>
    <t xml:space="preserve"> Acropora cervicornis </t>
  </si>
  <si>
    <t>Tavernier Key, Upper Florida Keys</t>
  </si>
  <si>
    <t>Corals were observed spawning in 2009, just two years after outplanting. Overall survivorship of outplanted corals is approximately 70%. Prior to the cold water event in January 2010, overall survivorship was approximately 80%.</t>
  </si>
  <si>
    <t>Acropora cervicornis corals were collected from two known genotypes. They were maintained in a recirculating tank system ex situ. After 1 year of culture ex situ, 72 fragments were outplanted onto Molasses Reef in the Florida Keys. Authors: Marshall AL, CA Watson, IK Berzins, PA Anderson, JS Graves, K Nedimyer, AL Moulding</t>
  </si>
  <si>
    <t>growing corals in ex situ nurseries</t>
  </si>
  <si>
    <t>Acropora cervicornis</t>
  </si>
  <si>
    <t>Molasses Reef, Florida</t>
  </si>
  <si>
    <t>Preliminary observations are showing that almost all of the corals outplanted have not only survived but are growing well: very high percentage of healthy, growing corals.</t>
  </si>
  <si>
    <t>Lirman D, Thyberg T, Herlan J, Hill C, Young-Lahiff C, Schopmeyer S, Huntington B, Santos R, Drury C (2010) Propagation of the threatened staghorn coral Acropora cervicornis: methods to minimize the impacts of fragment collection and maximize production. Coral Reefs 29:729–735</t>
  </si>
  <si>
    <t>Corals were grown in nursery consisting of cinder blocks and cement platforms deployed on a sand patch. Staghorn fragments (2.5-3.5 cm intitial length) were collected from nearby reefs and were cemented using underwater epoxy. This experiment tested the effects of the handling stress of removing the branch tips from the nursery (and onto the boat) to simulate the impacts of transportation. Different effects were observed between different sizes of the branch tips. Here: small fragment tips of 2.5 cm.</t>
  </si>
  <si>
    <t>transplantation of nursery grown corals</t>
  </si>
  <si>
    <t>This research was supported by Counterpart International, the Frohring Foundation, the Nature Conservancy, and the NOAA Restoration Center, U.S. Department of Commerce, with funding from the American Recovery and Reinvestment Act (Award #NA09NFF4630332).</t>
  </si>
  <si>
    <t>13 out of 15 of the small tips (2.5 cm) were dead after 20 days (87% mortality). No subsequent tissue mortality was observed for the surviving tips over 3–4 months of observation</t>
  </si>
  <si>
    <t>Corals were grown in nursery consisting of cinder blocks and cement platforms deployed on a sand patch. Staghorn fragments (2.5-3.5 cm intitial length) were collected from nearby reefs and were cemented using underwater epoxy.  This experiment tested the effects of the handling stress of removing the branch tips from the nursery (and onto the boat) to simulate the impacts of transportation. Different effects were observed between different sizes of the branch tips. Here: large fragment tips of 3.5 cm.</t>
  </si>
  <si>
    <t>2 out of 15 of the larger tips (3.5 cm) experienced complete mortality (13%). No subsequent tissue mortality was observed for the surviving tips over 3–4 months of observation.</t>
  </si>
  <si>
    <t>Corals were grown in nursery consisting of cinder blocks and cement platforms deployed on a sand patch. Staghorn fragments (2.5-3.5 cm intitial length) were collected from nearby reefs and were cemented using underwater epoxy.  This experiment tested the effects of the handling stress of removing the branch tips from the nursery (and onto the boat) to simulate the impacts of transportation. Different effects were observed between different sizes of the branch tips. Here: small fragment tips of 2.5 cm; tips were epoxied underwater and were not removed from the water.</t>
  </si>
  <si>
    <t>Only recorded for 1 out of 12 of the small tips (8% mortality). No subsequent tissue mortality was observed for the surviving tips over 3–4 months of observation.</t>
  </si>
  <si>
    <t>Corals were grown in nursery consisting of cinder blocks and cement platforms deployed on a sand patch. Staghorn fragments (2.5-3.5 cm intitial length) were collected from nearby reefs and were cemented using underwater epoxy. This experiment tested the effects of the handling stress of removing the branch tips from the nursery (and onto the boat) to simulate the impacts of transportation. Different effects were observed between different sizes of the branch tips. Here: large fragment tips of 3.5 cm; tips were epoxied underwater and were not removed from the water.</t>
  </si>
  <si>
    <t>No mortality for the large tips after 24 days. No subsequent tissue mortality was observed for the surviving tips over 3–4 months of observation.</t>
  </si>
  <si>
    <t>Miller M, Wilborn R, Higgins J (2010) Aquarius coral restoration/resilience experiment (ACRRE): Interim Report. National Oceanic and Atmospheric Administration; Report # PRBD-09/10-6</t>
  </si>
  <si>
    <t>2008-2010</t>
  </si>
  <si>
    <t>The relative performance of corals transplanted from various source populations, including field nursery and lab-culture, to a ‘common garden’ at the Aquarius site was tested. Coral fragments were attached to the nursery during a 7-day Aquarius saturation mission (10-16 June 2008) involving aquanauts. Transplants were visited/assessed approximately bi-weekly for the first two months and longer intervals thereafter with major sampling (growth measurements, tissue samples for stress gene expression, mucous samples for microbial profiles, photosynthetic efficiency) approximately 3 times per year. In 2009, both coral species were affected by disease outbreak.</t>
  </si>
  <si>
    <t>Orbicella feveolata (previously referred to as Montastraea faveolata), Acropora cervicornis</t>
  </si>
  <si>
    <t>Conch reef, Florida Keys— Key Largo</t>
  </si>
  <si>
    <t>This project was funded by the NOAA-Coral Reef Conservation Program and was conducted under permits from the Florida Keys National Marine Sanctuary (with concurrence/consultation of Florida Fish and Wildlife Conservation Commission and NMFS Southeast Regional Office), Biscayne National Park, and Pennekamp State Park. A host of partners and collaborators enabled the instigation of the project including those who contributed ideas (Aug 2007 ACRRE Workshop Participants), corals (Tom Capo, Tony Emtiaz) collaboration (IBaums, CWoodley, SEdge, MDurako, LMacLaughlin, KNedimyer, LJohnston, DWilliams, AValdivia, RWilborn, DLirman, ABright, KErickson) and logistical support (ABourque, IBerzins, DRothan, KHeim, CJaboly, PGillette, JHerlan, and likely others). A.Valdivia and R.Wilborn have been instrumental in the data analyses. Huge thanks go to the NURC-UNCW team for initiating and supporting the project with their usual stellar operation.</t>
  </si>
  <si>
    <t>Overall mortality of the transplants at Aquarius has been high for both species; maily from disease and snail predation, influenced by the source population and transport distance. Survovorship after 2 years of Acropora cervicornis was 5-43% (AVG 24.7%) and for Orbicella faveolata (previously referred to as Montastraea faveolata) 11-48% (AVG 32.2%).</t>
  </si>
  <si>
    <t>Miller MW, Barimo J (2001) Assessment of juvenile coral populations at two reef restoration sites in the Florida Keys National Marine Sanctuary: Indicators of success? Bull Mar Sci 69:395-405</t>
  </si>
  <si>
    <r>
      <t>After extensive litigation and restoration planning, in summer 1995 structural restoration was undertaken at two sites that had suffered ship grounding in 1989. At the shallower site (MV MAITLAND, 2.5 m depth, south of Carysfort light), 40 cast concrete ‘armor units’ with embedded limerocks (quarried from local fossil reefs) were used to fill in the grounding crater and sealed with underwater cement. These strategies were intended to “re-create a stable foundation which closely emulates the adjacent natural seabed and which would foster future recruitment of the local biota” (Bodge, 1996). Both the restored reef structures have been stable and withstood considerable physical impact by Hurricane Georges in 1998 and thus may be considered successful in engineering terms. Area destoyed by grounding: 1,610 m</t>
    </r>
    <r>
      <rPr>
        <vertAlign val="superscript"/>
        <sz val="11"/>
        <rFont val="Calibri"/>
        <family val="2"/>
        <scheme val="minor"/>
      </rPr>
      <t>2</t>
    </r>
    <r>
      <rPr>
        <sz val="11"/>
        <rFont val="Calibri"/>
        <family val="2"/>
        <scheme val="minor"/>
      </rPr>
      <t>.</t>
    </r>
  </si>
  <si>
    <t>deployment of artificial reef structures</t>
  </si>
  <si>
    <t>MV Maitland site, Florida Keys National Marine Sanctuary</t>
  </si>
  <si>
    <r>
      <t>Bid cost of materials and site preparation: 621,500 US $; including concrete 'armor' units (400 tons concrete armor units) and 45 m</t>
    </r>
    <r>
      <rPr>
        <vertAlign val="superscript"/>
        <sz val="11"/>
        <rFont val="Calibri"/>
        <family val="2"/>
        <scheme val="minor"/>
      </rPr>
      <t>3</t>
    </r>
    <r>
      <rPr>
        <sz val="11"/>
        <rFont val="Calibri"/>
        <family val="2"/>
        <scheme val="minor"/>
      </rPr>
      <t xml:space="preserve"> underwater-poured concrete.</t>
    </r>
  </si>
  <si>
    <r>
      <t>After extensive litigation and restoration planning, in summer 1995 structural restoration was undertaken at two sites that had suffered ship grounding in 1989. At the ELPIS site (10 m depth, northeast of Elbow reef tower) large limerock boulders were used to backfill the craters. These strategies were intended to “re-create a stable foundation which closely emulates the adjacent natural seabed and which would foster future recruitment of the local biota” (Bodge, 1996). Both the restored reef structures have been stable and withstood considerable physical impact by Hurricane Georges in 1998 and thus may be considered successful in engineering terms. Area destoyed by grounding: 3,073 m</t>
    </r>
    <r>
      <rPr>
        <vertAlign val="superscript"/>
        <sz val="11"/>
        <rFont val="Calibri"/>
        <family val="2"/>
        <scheme val="minor"/>
      </rPr>
      <t>2</t>
    </r>
    <r>
      <rPr>
        <sz val="11"/>
        <rFont val="Calibri"/>
        <family val="2"/>
        <scheme val="minor"/>
      </rPr>
      <t>.</t>
    </r>
  </si>
  <si>
    <t>Elpis site, Florida Keys National Marine Sanctuary</t>
  </si>
  <si>
    <r>
      <t>Bid cost of materials and site preparation: 314,500 US $; including limerock boulders (400 tons boulders), 60 m</t>
    </r>
    <r>
      <rPr>
        <vertAlign val="superscript"/>
        <sz val="11"/>
        <rFont val="Calibri"/>
        <family val="2"/>
        <scheme val="minor"/>
      </rPr>
      <t>3</t>
    </r>
    <r>
      <rPr>
        <sz val="11"/>
        <rFont val="Calibri"/>
        <family val="2"/>
        <scheme val="minor"/>
      </rPr>
      <t xml:space="preserve"> carbonate sand.</t>
    </r>
  </si>
  <si>
    <t>Rinkevich B (2005) Conservation of coral reefs through active restoration measures: Recent approaches and last decade progress. Environ Sci Technol 39:4333-4342</t>
  </si>
  <si>
    <t>A 8.2% mortality was observed after 27 months following the transplantation of 271 coral colonies in southwest Florida. Source: Thornton SL, Dodge RE, Gilliam DS, De-Victor R, Cooke P (2002) Success and growth of corals transplanted to cement armor mat tiles in southeast Florida: implications for reef restoration. Proc. 9th Int. Coral Reef Symp., 2, 955-962.</t>
  </si>
  <si>
    <t>Schopmeyer S, Lirman D, Bartels E, Byrne J, Gilliam D, Hunt J, Johnson M, Larson E, Maxwell K, Nedimyer K, Walter C (2012) In situ coral nurseries serve as genetic repositories for coral reef restoration after an extreme cold-water event. Restor Ecol 20:696–703</t>
  </si>
  <si>
    <t>Corals grown in nurseries experienced a cold water (16 degree C) event. Here: performance of coral fragments in inshore nursery in Upper Keys is represented.</t>
  </si>
  <si>
    <t>Broward County, Biscayne National Park, Florida Reef Tract</t>
  </si>
  <si>
    <t>We would like to thank K. Correia, W. Crowder, C. Drury, J. Evered, G. Goodbody-Gringley, C. Hasty, J. Herlan, C. Hill, B. Huntington, C. Lustic, B. Ruttenberg, R. Santos, J. Snook, T. Thyberg, C. Young-Lahiff, and the many interns and volunteers for their invaluable assistance during field work, analysis and review; L. Gramer, J. Hendee, D. Manzello, the
NOAA Coral Health and Monitoring Program and SEAKEYS for temperature data from the Middle Keys; and The Nature Conservancy (TNC), the NOAA Restoration Center of the
U.S. Department of Commerce, the American Recovery and Reinvestment Act (Award #NA09NFF4630332), Counterpart International, and the Frohring Foundation for funding support.</t>
  </si>
  <si>
    <t>Survival of coral fragments in nursery during cold-water anomaly. Here: inshore nursery in Upper Keys.</t>
  </si>
  <si>
    <t>Corals grown in nurseries experienced a cold water (16 degree C) event. Here: performance of coral fragments in mid-channel nursery in Upper Keys is represented.</t>
  </si>
  <si>
    <t>Survival of coral fragments in nursery during cold-water anomaly. Here: mid-channel nursery in Upper Keys.</t>
  </si>
  <si>
    <t>Corals grown in nurseries experienced a cold water (16 degree C) event. Here: performance of coral fragments in offshore nursery in Upper Keys is represented.</t>
  </si>
  <si>
    <t>Survival of coral fragments in nursery during cold-water anomaly. Here: offshore nursery in Upper Keys.</t>
  </si>
  <si>
    <t>Corals grown in nurseries experienced a cold water (16 degree C) event. Here: performance of coral fragments in inshore nursery in Middle Keys is represented.</t>
  </si>
  <si>
    <t>Survival of coral fragments in nursery during cold-water anomaly. Here:  inshore nursery in Middle Keys.</t>
  </si>
  <si>
    <t>Corals grown in nurseries experienced a cold water (16 degree C) event. Here: performance of coral fragments in mid-channel nursery in Middle Keys is represented.</t>
  </si>
  <si>
    <t>Survival of coral fragments in nursery during coral-water anomaly. Here: mid-channel nursery in Middle Keys.</t>
  </si>
  <si>
    <t>Corals grown in nurseries experienced a cold water (16 degree C) event. Here: performance of coral fragments in offshore nursery in Middle Keys is represented.</t>
  </si>
  <si>
    <t>Survival of coral fragments in nursery during cold-water anomaly. Here: offshore nursery in Middle Keys.</t>
  </si>
  <si>
    <t>Corals grown in nurseries experienced a cold water (16 degree C) event. Here: performance of coral fragments in inshore nursery in Lower Keys is represented.</t>
  </si>
  <si>
    <t>Survival of coral fragments in nursery during cold-water anomaly. Here: inshore nursery in Lower Keys.</t>
  </si>
  <si>
    <t xml:space="preserve">Corals grown in nurseries experienced a cold water (16 degree C) event. Here: performance of coral fragments in mid-channel nursery in Lower Keys is represented. </t>
  </si>
  <si>
    <t>Survival of coral fragments in nursery during cold-water anomaly. Here: mid-channel nursery in Lower Keys.</t>
  </si>
  <si>
    <t>Corals grown in nurseries experienced a cold water (16 degree C) event. Here: performance of coral fragments in offshore nursery in Lower Keys is represented.</t>
  </si>
  <si>
    <t>Survival of coral fragments in nursery during cold-water anomaly. Here: offshore nursery in Lower Keys.</t>
  </si>
  <si>
    <t>Society for Ecological Restoration. 2007. USA: Florida: Molasses Coral Reef Restoration Project. Available at: http://www.globalrestorationnetwork.org/database/case-study/?id=78; National Oceanic and Atmospheric Administration (NOAA)</t>
  </si>
  <si>
    <t>webpage</t>
  </si>
  <si>
    <t>The restoration included an installation of 22 dome-shaped reef modules at 14 separate reef sites damaged in the 1984 grounding by the M/V Wellwood freighter on Molasses Reef. Reef modules were made of concrete and limestone and were designed to replicate the spur and groove formation of the grounding site and to provide substrate for new coral colonization.</t>
  </si>
  <si>
    <t>22 dome-shaped reef modules</t>
  </si>
  <si>
    <t>various</t>
  </si>
  <si>
    <t>Molasses Reef, southeast of Key Largo in Monroe County, Florida</t>
  </si>
  <si>
    <t>Funding was received from the Vicerrectoria de Investigacion, Universidad de Costa Rica, the Smithsonian Tropical Research Institute Short-term Fellowship Program, and the National Science Foundation.</t>
  </si>
  <si>
    <t>Spurgeon J, Lindahl U (2000) Economics of coral reef restoration. In: Cesar H (ed) Collected essays on the economics of coral reefs. CORDIO, p 125</t>
  </si>
  <si>
    <t>chapter/book</t>
  </si>
  <si>
    <t>Monetary recovery cost from R/V Columbus Iselin toward reef damage after ship-grounding. See: Edwards et al. 1994; Clark &amp; Edwards 1995, 2003</t>
  </si>
  <si>
    <t>monetary compensation for ship grounding</t>
  </si>
  <si>
    <t>Florida Keys National Marine Sanctuary</t>
  </si>
  <si>
    <r>
      <t>Funds of US$ 1.66 million (1991 prices) were awarded to restore 2,605 m</t>
    </r>
    <r>
      <rPr>
        <vertAlign val="superscript"/>
        <sz val="11"/>
        <rFont val="Calibri"/>
        <family val="2"/>
        <scheme val="minor"/>
      </rPr>
      <t>2</t>
    </r>
    <r>
      <rPr>
        <sz val="11"/>
        <rFont val="Calibri"/>
        <family val="2"/>
        <scheme val="minor"/>
      </rPr>
      <t xml:space="preserve"> of totally destroyed reef and 468 m</t>
    </r>
    <r>
      <rPr>
        <vertAlign val="superscript"/>
        <sz val="11"/>
        <rFont val="Calibri"/>
        <family val="2"/>
        <scheme val="minor"/>
      </rPr>
      <t>2</t>
    </r>
    <r>
      <rPr>
        <sz val="11"/>
        <rFont val="Calibri"/>
        <family val="2"/>
        <scheme val="minor"/>
      </rPr>
      <t xml:space="preserve"> of partially destroyed reef hit by the M/V Elpis, a 150 m cargo freighter in 1981. The restoration involved removal of debris, stabilising the reef substrate, importing new substrate, transplanting corals and sponges, and monitoring of the results. See: NOAA (1997).</t>
    </r>
  </si>
  <si>
    <t>physical and biological</t>
  </si>
  <si>
    <t>deployment of artificial reef structures; transplanting of whole colonies</t>
  </si>
  <si>
    <t>Removing debris, stabilising the reef substrate, importing new substrate, transplanting corals and sponges, and monitoring of the results.</t>
  </si>
  <si>
    <r>
      <t>When the R/V Columbus Iselin ran aground and destroyed 345 m</t>
    </r>
    <r>
      <rPr>
        <vertAlign val="superscript"/>
        <sz val="11"/>
        <rFont val="Calibri"/>
        <family val="2"/>
        <scheme val="minor"/>
      </rPr>
      <t>2</t>
    </r>
    <r>
      <rPr>
        <sz val="11"/>
        <rFont val="Calibri"/>
        <family val="2"/>
        <scheme val="minor"/>
      </rPr>
      <t xml:space="preserve"> of reef in Florida Keys National Marine Sanctuary in 1994 (NOAA 1999), the ship’s owner paid US$ 3.76 million towards natural resource damages. The rehabilitation included removal of debris, reinforcement and building to prevent further disintegration of the cracked reef, and transplantation of reef biota to the impacted site.</t>
    </r>
  </si>
  <si>
    <t>Removal of debris, reinforcement and building to prevent further disintegration of the cracked reef, and transplantation of reef biota to the impacted site. Some money was also used for compensatory restoration and grounding prevention elsewhere in the Sanctuary.</t>
  </si>
  <si>
    <t>Williams D, Miller M (2010) Stabilization of fragments to enhance asexual recruitment in Acropora palmata, a threatened Caribbean coral. Restor Ecol 18:446–451</t>
  </si>
  <si>
    <t>Naturally occurring fragments were found and assigned to one of 3 treatments: Here, fragments were stabilized to the natural substrate using cable ties.</t>
  </si>
  <si>
    <t>This study was supported by Biscayne National Park and the NOAA Coral Reef Conservation Program and conducted with express permission from park managers. Field assistance was provided by Lindsey Kramer, Rebecca Cassotis, and Chris Tilghman.</t>
  </si>
  <si>
    <t>Out of 54 total fragments, only one (in the cable tied treatment) suffered complete mortality in situ. Nine were physically lost from the experiment, of which five were tethered, two were epoxied and two were cable tied. Here: only percentage of best-performing corals is provided (other categories were: worst - in case of dead or lost and intermediate).</t>
  </si>
  <si>
    <t>Naturally occurring fragments were found and assigned to one of 3 treatments: Here, fragments were stabilized to the natural substrate using epoxy.</t>
  </si>
  <si>
    <t>Naturally occurring fragments were found and assigned to one of 3 treatments: Here, fragment were tethered to the substrate as an unstabilized control.</t>
  </si>
  <si>
    <t xml:space="preserve">AVERAGES = </t>
  </si>
  <si>
    <t xml:space="preserve">AVERAGES from Interviews = </t>
  </si>
  <si>
    <t>$20 - $40 per coral</t>
  </si>
  <si>
    <t>300 coral per ten meter plot</t>
  </si>
  <si>
    <t>Cost per meter squared</t>
  </si>
  <si>
    <t>low range</t>
  </si>
  <si>
    <t>high range</t>
  </si>
  <si>
    <t>Cost per hectare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</si>
</sst>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0.0"/>
    <numFmt numFmtId="165" formatCode="0.000"/>
  </numFmts>
  <fonts count="1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2"/>
      <color theme="1"/>
      <name val="Calibri (Body)"/>
    </font>
    <font>
      <u/>
      <sz val="12"/>
      <color theme="1"/>
      <name val="Calibri"/>
      <family val="2"/>
      <scheme val="minor"/>
    </font>
    <font>
      <u/>
      <sz val="12"/>
      <color rgb="FF000000"/>
      <name val="Calibri"/>
      <family val="2"/>
      <scheme val="minor"/>
    </font>
    <font>
      <sz val="12"/>
      <color rgb="FF000000"/>
      <name val="Calibri (Body)"/>
    </font>
    <font>
      <sz val="12"/>
      <color rgb="FF000000"/>
      <name val="Calibri"/>
      <family val="2"/>
      <scheme val="minor"/>
    </font>
    <font>
      <sz val="12"/>
      <color rgb="FF222222"/>
      <name val="Arial"/>
      <family val="2"/>
    </font>
    <font>
      <u/>
      <sz val="12"/>
      <color rgb="FF222222"/>
      <name val="Arial"/>
      <family val="2"/>
    </font>
    <font>
      <b/>
      <sz val="12"/>
      <color theme="1"/>
      <name val="Calibri"/>
      <family val="2"/>
      <scheme val="minor"/>
    </font>
    <font>
      <b/>
      <sz val="11"/>
      <name val="Calibri"/>
      <family val="2"/>
      <scheme val="minor"/>
    </font>
    <font>
      <b/>
      <sz val="11"/>
      <color theme="1"/>
      <name val="Calibri"/>
      <family val="2"/>
      <scheme val="minor"/>
    </font>
    <font>
      <b/>
      <sz val="8"/>
      <color theme="1"/>
      <name val="Times New Roman"/>
      <family val="1"/>
    </font>
    <font>
      <sz val="11"/>
      <name val="Calibri"/>
      <family val="2"/>
      <scheme val="minor"/>
    </font>
    <font>
      <vertAlign val="superscript"/>
      <sz val="11"/>
      <name val="Calibri"/>
      <family val="2"/>
      <scheme val="minor"/>
    </font>
    <font>
      <sz val="8"/>
      <color theme="1"/>
      <name val="Times New Roman"/>
      <family val="1"/>
    </font>
  </fonts>
  <fills count="17">
    <fill>
      <patternFill patternType="none"/>
    </fill>
    <fill>
      <patternFill patternType="gray125"/>
    </fill>
    <fill>
      <patternFill patternType="solid">
        <fgColor theme="8" tint="0.59999389629810485"/>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8BC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4">
    <xf numFmtId="0" fontId="0" fillId="0" borderId="0" xfId="0"/>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center" vertical="center"/>
    </xf>
    <xf numFmtId="0" fontId="0" fillId="3" borderId="0" xfId="0" applyFill="1"/>
    <xf numFmtId="0" fontId="0" fillId="0" borderId="8" xfId="0" applyBorder="1" applyAlignment="1">
      <alignment horizontal="center"/>
    </xf>
    <xf numFmtId="0" fontId="0" fillId="3"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Border="1"/>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9" fillId="0" borderId="1" xfId="0" applyFont="1" applyBorder="1" applyAlignment="1">
      <alignment horizontal="center" vertical="center" wrapText="1"/>
    </xf>
    <xf numFmtId="0" fontId="0" fillId="2" borderId="0" xfId="0" applyFill="1"/>
    <xf numFmtId="0" fontId="0" fillId="3" borderId="0" xfId="0" applyFill="1" applyBorder="1" applyAlignment="1">
      <alignment horizontal="center" vertical="center" wrapText="1"/>
    </xf>
    <xf numFmtId="0" fontId="5" fillId="4" borderId="1" xfId="0" applyFont="1" applyFill="1" applyBorder="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6" fontId="0" fillId="0" borderId="1" xfId="0" applyNumberForma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wrapText="1"/>
    </xf>
    <xf numFmtId="6" fontId="0" fillId="0" borderId="1" xfId="0" applyNumberFormat="1" applyBorder="1" applyAlignment="1">
      <alignment horizontal="center" vertical="center" wrapText="1"/>
    </xf>
    <xf numFmtId="0" fontId="0" fillId="0" borderId="1" xfId="0" applyBorder="1" applyAlignment="1">
      <alignment horizontal="lef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Border="1"/>
    <xf numFmtId="0" fontId="0" fillId="3" borderId="1" xfId="0" applyFont="1" applyFill="1" applyBorder="1" applyAlignment="1">
      <alignment horizontal="left" wrapText="1"/>
    </xf>
    <xf numFmtId="6" fontId="0" fillId="3" borderId="1" xfId="0" applyNumberFormat="1" applyFill="1" applyBorder="1" applyAlignment="1">
      <alignment horizontal="center" vertical="center" wrapText="1"/>
    </xf>
    <xf numFmtId="0" fontId="0" fillId="3" borderId="0" xfId="0" applyFont="1" applyFill="1" applyAlignment="1">
      <alignment horizontal="center" vertical="center" wrapText="1"/>
    </xf>
    <xf numFmtId="0" fontId="0" fillId="3" borderId="1" xfId="0" applyFont="1" applyFill="1" applyBorder="1" applyAlignment="1">
      <alignment horizontal="center" wrapText="1"/>
    </xf>
    <xf numFmtId="0" fontId="0" fillId="3" borderId="3" xfId="0" applyFill="1" applyBorder="1" applyAlignment="1">
      <alignment horizontal="center" vertical="center" wrapText="1"/>
    </xf>
    <xf numFmtId="0" fontId="0" fillId="3" borderId="9" xfId="0" applyFill="1" applyBorder="1" applyAlignment="1">
      <alignment horizontal="center" vertical="center" wrapText="1"/>
    </xf>
    <xf numFmtId="6" fontId="0" fillId="3" borderId="8" xfId="0" applyNumberFormat="1" applyFill="1" applyBorder="1" applyAlignment="1">
      <alignment horizontal="center" vertical="center" wrapText="1"/>
    </xf>
    <xf numFmtId="0" fontId="0" fillId="3" borderId="8" xfId="0" applyFill="1" applyBorder="1" applyAlignment="1">
      <alignment horizontal="center" vertical="center" wrapText="1"/>
    </xf>
    <xf numFmtId="0" fontId="0" fillId="3" borderId="7" xfId="0" applyFill="1" applyBorder="1" applyAlignment="1">
      <alignment horizontal="center" vertical="center" wrapText="1"/>
    </xf>
    <xf numFmtId="0" fontId="0" fillId="3" borderId="1" xfId="0" applyFill="1" applyBorder="1" applyAlignment="1">
      <alignment vertical="center" wrapText="1"/>
    </xf>
    <xf numFmtId="6" fontId="0" fillId="3" borderId="1" xfId="0" applyNumberFormat="1" applyFill="1" applyBorder="1" applyAlignment="1">
      <alignment horizontal="center" vertical="center"/>
    </xf>
    <xf numFmtId="0" fontId="0" fillId="0" borderId="0" xfId="0" applyAlignment="1">
      <alignment horizontal="center"/>
    </xf>
    <xf numFmtId="0" fontId="0" fillId="2" borderId="1" xfId="0" applyFill="1" applyBorder="1" applyAlignment="1">
      <alignment horizontal="center"/>
    </xf>
    <xf numFmtId="0" fontId="0" fillId="7" borderId="11" xfId="0" applyFill="1" applyBorder="1" applyAlignment="1">
      <alignment horizontal="center"/>
    </xf>
    <xf numFmtId="0" fontId="0" fillId="9" borderId="11" xfId="0"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3" borderId="11" xfId="0" applyFill="1" applyBorder="1" applyAlignment="1">
      <alignment horizontal="center"/>
    </xf>
    <xf numFmtId="0" fontId="0" fillId="14" borderId="1" xfId="0" applyFill="1" applyBorder="1" applyAlignment="1">
      <alignment horizontal="center"/>
    </xf>
    <xf numFmtId="0" fontId="11" fillId="7" borderId="1" xfId="0" applyFont="1" applyFill="1" applyBorder="1" applyAlignment="1">
      <alignment horizontal="center"/>
    </xf>
    <xf numFmtId="0" fontId="11" fillId="3" borderId="1" xfId="0" applyFont="1" applyFill="1" applyBorder="1" applyAlignment="1">
      <alignment horizontal="center" vertical="center" wrapText="1"/>
    </xf>
    <xf numFmtId="0" fontId="0" fillId="0" borderId="0" xfId="0" applyFont="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Fill="1" applyBorder="1" applyAlignment="1">
      <alignment horizontal="left" vertical="center" wrapText="1"/>
    </xf>
    <xf numFmtId="3" fontId="15" fillId="0" borderId="0" xfId="0" applyNumberFormat="1" applyFont="1" applyFill="1" applyBorder="1" applyAlignment="1">
      <alignment vertical="center" wrapText="1"/>
    </xf>
    <xf numFmtId="0" fontId="0" fillId="0" borderId="0" xfId="0" applyFont="1" applyFill="1" applyBorder="1" applyAlignment="1">
      <alignment vertical="center" wrapText="1"/>
    </xf>
    <xf numFmtId="164" fontId="15" fillId="0" borderId="0" xfId="0" applyNumberFormat="1"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wrapText="1"/>
    </xf>
    <xf numFmtId="0" fontId="17" fillId="0" borderId="0" xfId="0" applyFont="1" applyFill="1" applyAlignment="1">
      <alignment wrapText="1"/>
    </xf>
    <xf numFmtId="0" fontId="0" fillId="0" borderId="0" xfId="0" applyFont="1" applyAlignment="1">
      <alignment vertical="center" wrapText="1"/>
    </xf>
    <xf numFmtId="0" fontId="0" fillId="0" borderId="0" xfId="0" applyFont="1" applyAlignment="1">
      <alignment wrapText="1"/>
    </xf>
    <xf numFmtId="0" fontId="17" fillId="0" borderId="0" xfId="0" applyFont="1" applyAlignment="1">
      <alignment wrapText="1"/>
    </xf>
    <xf numFmtId="0" fontId="15" fillId="0" borderId="0" xfId="0" applyFont="1" applyFill="1" applyBorder="1" applyAlignment="1">
      <alignment vertical="center"/>
    </xf>
    <xf numFmtId="0" fontId="15" fillId="0" borderId="0" xfId="0" applyFont="1" applyBorder="1" applyAlignment="1">
      <alignment vertical="center"/>
    </xf>
    <xf numFmtId="164" fontId="15" fillId="0" borderId="0" xfId="0" applyNumberFormat="1" applyFont="1" applyBorder="1" applyAlignment="1">
      <alignment horizontal="right" vertical="center"/>
    </xf>
    <xf numFmtId="0" fontId="0" fillId="0" borderId="0" xfId="0" applyFont="1" applyBorder="1" applyAlignment="1">
      <alignment vertical="center" wrapText="1"/>
    </xf>
    <xf numFmtId="0" fontId="0" fillId="0" borderId="0" xfId="0" applyFont="1" applyAlignment="1">
      <alignment vertical="center"/>
    </xf>
    <xf numFmtId="0" fontId="0" fillId="0" borderId="0" xfId="0" applyFont="1"/>
    <xf numFmtId="0" fontId="17" fillId="0" borderId="0" xfId="0" applyFont="1"/>
    <xf numFmtId="0" fontId="0" fillId="0" borderId="0" xfId="0" applyFont="1" applyFill="1" applyAlignment="1">
      <alignment vertical="center"/>
    </xf>
    <xf numFmtId="0" fontId="0" fillId="0" borderId="0" xfId="0" applyFont="1" applyFill="1"/>
    <xf numFmtId="0" fontId="17" fillId="0" borderId="0" xfId="0" applyFont="1" applyFill="1"/>
    <xf numFmtId="0" fontId="15" fillId="0" borderId="0" xfId="0" applyFont="1" applyBorder="1" applyAlignment="1">
      <alignment wrapText="1"/>
    </xf>
    <xf numFmtId="0" fontId="15" fillId="0" borderId="0" xfId="0" applyFont="1" applyFill="1" applyAlignment="1">
      <alignment wrapText="1"/>
    </xf>
    <xf numFmtId="0" fontId="15" fillId="0" borderId="0" xfId="0" applyFont="1" applyAlignment="1">
      <alignment wrapText="1"/>
    </xf>
    <xf numFmtId="0" fontId="15" fillId="0" borderId="0" xfId="0" applyFont="1" applyFill="1" applyBorder="1" applyAlignment="1">
      <alignment horizontal="center" vertical="center"/>
    </xf>
    <xf numFmtId="0" fontId="0" fillId="0" borderId="0" xfId="0" applyFont="1" applyFill="1" applyBorder="1" applyAlignment="1">
      <alignment vertical="center"/>
    </xf>
    <xf numFmtId="164" fontId="15" fillId="0" borderId="0" xfId="0" applyNumberFormat="1" applyFont="1" applyFill="1" applyBorder="1" applyAlignment="1">
      <alignment vertical="center"/>
    </xf>
    <xf numFmtId="164" fontId="15" fillId="0" borderId="0" xfId="0" applyNumberFormat="1" applyFont="1" applyBorder="1" applyAlignment="1">
      <alignment vertical="center" wrapText="1"/>
    </xf>
    <xf numFmtId="0" fontId="12" fillId="15" borderId="1" xfId="0" applyFont="1" applyFill="1" applyBorder="1" applyAlignment="1">
      <alignment horizontal="center" vertical="center"/>
    </xf>
    <xf numFmtId="0" fontId="12" fillId="15" borderId="1" xfId="0" applyFont="1" applyFill="1" applyBorder="1" applyAlignment="1">
      <alignment horizontal="center" vertical="center" wrapText="1"/>
    </xf>
    <xf numFmtId="3" fontId="12" fillId="15" borderId="1" xfId="0" applyNumberFormat="1" applyFont="1" applyFill="1" applyBorder="1" applyAlignment="1">
      <alignment horizontal="center" vertical="center" wrapText="1"/>
    </xf>
    <xf numFmtId="0" fontId="13" fillId="15" borderId="1" xfId="0" applyFont="1" applyFill="1" applyBorder="1" applyAlignment="1">
      <alignment horizontal="center" vertical="center" wrapText="1"/>
    </xf>
    <xf numFmtId="164" fontId="12" fillId="15" borderId="1" xfId="0" applyNumberFormat="1" applyFont="1" applyFill="1" applyBorder="1" applyAlignment="1">
      <alignment horizontal="center" vertical="center" wrapText="1"/>
    </xf>
    <xf numFmtId="165" fontId="12" fillId="15" borderId="1" xfId="0" applyNumberFormat="1" applyFont="1" applyFill="1" applyBorder="1" applyAlignment="1">
      <alignment horizontal="center" vertical="center" wrapText="1"/>
    </xf>
    <xf numFmtId="0" fontId="13" fillId="15" borderId="1" xfId="0" applyFont="1" applyFill="1" applyBorder="1" applyAlignment="1">
      <alignment horizontal="center" vertical="center"/>
    </xf>
    <xf numFmtId="0" fontId="0" fillId="15" borderId="1" xfId="0" applyFont="1" applyFill="1" applyBorder="1" applyAlignment="1">
      <alignment horizontal="center" vertical="center"/>
    </xf>
    <xf numFmtId="0" fontId="14" fillId="15" borderId="1" xfId="0" applyFont="1" applyFill="1" applyBorder="1" applyAlignment="1">
      <alignment horizontal="center" vertical="center"/>
    </xf>
    <xf numFmtId="164" fontId="15" fillId="0" borderId="0" xfId="0" applyNumberFormat="1" applyFont="1" applyFill="1" applyBorder="1" applyAlignment="1">
      <alignment horizontal="center" vertical="center" wrapText="1"/>
    </xf>
    <xf numFmtId="165" fontId="15" fillId="0" borderId="0" xfId="0" applyNumberFormat="1" applyFont="1" applyFill="1" applyBorder="1" applyAlignment="1">
      <alignment horizontal="center" vertical="center" wrapText="1"/>
    </xf>
    <xf numFmtId="3" fontId="15" fillId="0" borderId="0" xfId="0" applyNumberFormat="1" applyFont="1" applyFill="1" applyBorder="1" applyAlignment="1">
      <alignment horizontal="center" vertical="center" wrapText="1"/>
    </xf>
    <xf numFmtId="164" fontId="15" fillId="0" borderId="0" xfId="0" applyNumberFormat="1" applyFont="1" applyBorder="1" applyAlignment="1">
      <alignment horizontal="center" vertical="center"/>
    </xf>
    <xf numFmtId="165" fontId="15" fillId="0" borderId="0" xfId="0" applyNumberFormat="1" applyFont="1" applyBorder="1" applyAlignment="1">
      <alignment horizontal="center" vertical="center"/>
    </xf>
    <xf numFmtId="0" fontId="15" fillId="0" borderId="0" xfId="0" applyFont="1" applyBorder="1" applyAlignment="1">
      <alignment horizontal="center" vertical="center"/>
    </xf>
    <xf numFmtId="164" fontId="15" fillId="0" borderId="0" xfId="0" applyNumberFormat="1" applyFont="1" applyFill="1" applyBorder="1" applyAlignment="1">
      <alignment horizontal="center" vertical="center"/>
    </xf>
    <xf numFmtId="165" fontId="15" fillId="0" borderId="0" xfId="0"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Fill="1" applyAlignment="1">
      <alignment horizontal="center" vertical="center"/>
    </xf>
    <xf numFmtId="3" fontId="0" fillId="0" borderId="0" xfId="0" applyNumberFormat="1" applyFill="1" applyAlignment="1">
      <alignment horizontal="center" vertical="center"/>
    </xf>
    <xf numFmtId="0" fontId="11" fillId="0" borderId="0" xfId="0" applyFont="1" applyAlignment="1">
      <alignment horizontal="right"/>
    </xf>
    <xf numFmtId="44" fontId="11" fillId="11" borderId="1" xfId="17" applyFont="1" applyFill="1" applyBorder="1" applyAlignment="1">
      <alignment horizontal="center" vertical="center"/>
    </xf>
    <xf numFmtId="2" fontId="11" fillId="11" borderId="1" xfId="17" applyNumberFormat="1" applyFont="1" applyFill="1" applyBorder="1" applyAlignment="1">
      <alignment horizontal="center" vertical="center"/>
    </xf>
    <xf numFmtId="0" fontId="11" fillId="11" borderId="1" xfId="17" applyNumberFormat="1" applyFont="1" applyFill="1" applyBorder="1" applyAlignment="1">
      <alignment horizontal="center" vertical="center"/>
    </xf>
    <xf numFmtId="0" fontId="11" fillId="0" borderId="1" xfId="0" applyFont="1" applyBorder="1" applyAlignment="1">
      <alignment horizontal="center" vertical="center" wrapText="1"/>
    </xf>
    <xf numFmtId="44" fontId="11" fillId="16"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44" fontId="0" fillId="0" borderId="1" xfId="17" applyFont="1" applyBorder="1" applyAlignment="1">
      <alignment horizontal="center" vertical="center"/>
    </xf>
    <xf numFmtId="44"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5" xfId="0" applyFill="1" applyBorder="1" applyAlignment="1">
      <alignment horizontal="center"/>
    </xf>
    <xf numFmtId="0" fontId="0" fillId="2" borderId="6" xfId="0" applyFill="1" applyBorder="1" applyAlignment="1">
      <alignment horizont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3" xfId="0" applyFont="1" applyFill="1" applyBorder="1" applyAlignment="1">
      <alignment horizontal="center"/>
    </xf>
    <xf numFmtId="0" fontId="11" fillId="5" borderId="8" xfId="0" applyFont="1" applyFill="1" applyBorder="1" applyAlignment="1">
      <alignment horizontal="center"/>
    </xf>
    <xf numFmtId="0" fontId="11" fillId="8" borderId="1" xfId="0" applyFont="1" applyFill="1" applyBorder="1" applyAlignment="1">
      <alignment horizontal="center"/>
    </xf>
    <xf numFmtId="0" fontId="11" fillId="0" borderId="1" xfId="0" applyFont="1" applyBorder="1" applyAlignment="1">
      <alignment horizontal="center"/>
    </xf>
    <xf numFmtId="0" fontId="11" fillId="6" borderId="1" xfId="0" applyFont="1" applyFill="1" applyBorder="1" applyAlignment="1">
      <alignment horizontal="center"/>
    </xf>
    <xf numFmtId="0" fontId="12" fillId="15" borderId="1" xfId="0" applyFont="1" applyFill="1" applyBorder="1" applyAlignment="1">
      <alignment horizontal="center" vertical="center" wrapText="1"/>
    </xf>
    <xf numFmtId="0" fontId="11" fillId="15" borderId="1" xfId="0" applyFont="1" applyFill="1" applyBorder="1" applyAlignment="1">
      <alignment horizontal="center" vertical="center"/>
    </xf>
  </cellXfs>
  <cellStyles count="30">
    <cellStyle name="Currency" xfId="17"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Medium7"/>
  <colors>
    <mruColors>
      <color rgb="FFF8BCE1"/>
      <color rgb="FFF887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pane ySplit="3" topLeftCell="A4" activePane="bottomLeft" state="frozen"/>
      <selection pane="bottomLeft" activeCell="H13" sqref="H13"/>
    </sheetView>
  </sheetViews>
  <sheetFormatPr baseColWidth="10" defaultRowHeight="16" x14ac:dyDescent="0.2"/>
  <cols>
    <col min="1" max="1" width="13" customWidth="1"/>
    <col min="2" max="2" width="21.5" customWidth="1"/>
    <col min="3" max="3" width="17.83203125" customWidth="1"/>
    <col min="4" max="4" width="22" customWidth="1"/>
    <col min="5" max="5" width="24.33203125" bestFit="1" customWidth="1"/>
    <col min="6" max="6" width="42" customWidth="1"/>
    <col min="7" max="7" width="36" bestFit="1" customWidth="1"/>
    <col min="8" max="8" width="23.33203125" customWidth="1"/>
    <col min="9" max="9" width="34.6640625" customWidth="1"/>
    <col min="10" max="10" width="44.5" customWidth="1"/>
    <col min="11" max="11" width="33.5" customWidth="1"/>
    <col min="12" max="12" width="38.33203125" customWidth="1"/>
    <col min="13" max="13" width="79.5" customWidth="1"/>
    <col min="14" max="14" width="51.5" bestFit="1" customWidth="1"/>
    <col min="15" max="15" width="100" customWidth="1"/>
    <col min="16" max="16" width="115.5" customWidth="1"/>
    <col min="17" max="17" width="61.1640625" customWidth="1"/>
  </cols>
  <sheetData>
    <row r="1" spans="1:20" x14ac:dyDescent="0.2">
      <c r="A1" s="126" t="s">
        <v>0</v>
      </c>
      <c r="B1" s="127"/>
      <c r="C1" s="127"/>
      <c r="D1" s="127"/>
      <c r="E1" s="127"/>
      <c r="F1" s="127"/>
      <c r="G1" s="127"/>
      <c r="H1" s="127"/>
      <c r="I1" s="127"/>
      <c r="J1" s="127"/>
      <c r="K1" s="127"/>
      <c r="L1" s="127"/>
      <c r="M1" s="127"/>
      <c r="N1" s="127"/>
      <c r="O1" s="127"/>
      <c r="P1" s="127"/>
      <c r="Q1" s="127"/>
    </row>
    <row r="2" spans="1:20" x14ac:dyDescent="0.2">
      <c r="A2" s="123" t="s">
        <v>15</v>
      </c>
      <c r="B2" s="124"/>
      <c r="C2" s="125"/>
      <c r="D2" s="1" t="s">
        <v>266</v>
      </c>
      <c r="E2" s="1" t="s">
        <v>5</v>
      </c>
      <c r="F2" s="1" t="s">
        <v>3</v>
      </c>
      <c r="G2" s="1" t="s">
        <v>10</v>
      </c>
      <c r="H2" s="123" t="s">
        <v>6</v>
      </c>
      <c r="I2" s="124"/>
      <c r="J2" s="1" t="s">
        <v>7</v>
      </c>
      <c r="K2" s="1" t="s">
        <v>8</v>
      </c>
      <c r="L2" s="1" t="s">
        <v>11</v>
      </c>
      <c r="M2" s="1" t="s">
        <v>17</v>
      </c>
      <c r="N2" s="1" t="s">
        <v>18</v>
      </c>
      <c r="O2" s="1" t="s">
        <v>9</v>
      </c>
      <c r="P2" s="2" t="s">
        <v>21</v>
      </c>
      <c r="Q2" s="2" t="s">
        <v>30</v>
      </c>
    </row>
    <row r="3" spans="1:20" x14ac:dyDescent="0.2">
      <c r="A3" s="8" t="s">
        <v>16</v>
      </c>
      <c r="B3" s="8" t="s">
        <v>1</v>
      </c>
      <c r="C3" s="8" t="s">
        <v>2</v>
      </c>
      <c r="H3" s="8" t="s">
        <v>314</v>
      </c>
      <c r="I3" s="8" t="s">
        <v>13</v>
      </c>
    </row>
    <row r="4" spans="1:20" s="5" customFormat="1" ht="192" x14ac:dyDescent="0.2">
      <c r="A4" s="9" t="s">
        <v>28</v>
      </c>
      <c r="B4" s="9" t="s">
        <v>307</v>
      </c>
      <c r="C4" s="9">
        <v>2018</v>
      </c>
      <c r="D4" s="9" t="s">
        <v>22</v>
      </c>
      <c r="E4" s="61" t="s">
        <v>332</v>
      </c>
      <c r="F4" s="9" t="s">
        <v>308</v>
      </c>
      <c r="G4" s="9" t="s">
        <v>309</v>
      </c>
      <c r="H4" s="61" t="s">
        <v>23</v>
      </c>
      <c r="I4" s="9"/>
      <c r="J4" s="61" t="s">
        <v>24</v>
      </c>
      <c r="K4" s="9" t="s">
        <v>313</v>
      </c>
      <c r="L4" s="9" t="s">
        <v>29</v>
      </c>
      <c r="M4" s="9" t="s">
        <v>25</v>
      </c>
      <c r="N4" s="9" t="s">
        <v>33</v>
      </c>
      <c r="O4" s="9" t="s">
        <v>26</v>
      </c>
      <c r="P4" s="9" t="s">
        <v>27</v>
      </c>
      <c r="Q4" s="9" t="s">
        <v>31</v>
      </c>
      <c r="R4" s="9" t="s">
        <v>32</v>
      </c>
    </row>
    <row r="5" spans="1:20" ht="128" x14ac:dyDescent="0.2">
      <c r="A5" s="10" t="s">
        <v>34</v>
      </c>
      <c r="B5" s="11" t="s">
        <v>36</v>
      </c>
      <c r="C5" s="11"/>
      <c r="D5" s="11"/>
      <c r="E5" s="11"/>
      <c r="F5" s="11" t="s">
        <v>43</v>
      </c>
      <c r="G5" s="11"/>
      <c r="H5" s="11" t="s">
        <v>38</v>
      </c>
      <c r="I5" s="118" t="s">
        <v>310</v>
      </c>
      <c r="J5" s="11"/>
      <c r="K5" s="11" t="s">
        <v>46</v>
      </c>
      <c r="L5" s="11" t="s">
        <v>47</v>
      </c>
      <c r="M5" s="11" t="s">
        <v>48</v>
      </c>
      <c r="N5" s="11" t="s">
        <v>45</v>
      </c>
      <c r="O5" s="11" t="s">
        <v>49</v>
      </c>
      <c r="P5" s="11" t="s">
        <v>306</v>
      </c>
      <c r="Q5" s="11" t="s">
        <v>37</v>
      </c>
      <c r="R5" s="11" t="s">
        <v>35</v>
      </c>
      <c r="S5" s="3"/>
      <c r="T5" s="3"/>
    </row>
    <row r="6" spans="1:20" s="7" customFormat="1" ht="64" x14ac:dyDescent="0.2">
      <c r="A6" s="9" t="s">
        <v>63</v>
      </c>
      <c r="B6" s="9" t="s">
        <v>39</v>
      </c>
      <c r="C6" s="9" t="s">
        <v>40</v>
      </c>
      <c r="D6" s="9"/>
      <c r="E6" s="9"/>
      <c r="F6" s="9" t="s">
        <v>44</v>
      </c>
      <c r="G6" s="9"/>
      <c r="H6" s="9"/>
      <c r="I6" s="9"/>
      <c r="J6" s="9"/>
      <c r="K6" s="9"/>
      <c r="L6" s="9" t="s">
        <v>41</v>
      </c>
      <c r="M6" s="9"/>
      <c r="N6" s="9" t="s">
        <v>42</v>
      </c>
      <c r="O6" s="9"/>
      <c r="P6" s="9"/>
      <c r="Q6" s="9"/>
      <c r="R6" s="9" t="s">
        <v>35</v>
      </c>
      <c r="S6" s="6"/>
      <c r="T6" s="6"/>
    </row>
    <row r="7" spans="1:20" ht="112" x14ac:dyDescent="0.2">
      <c r="A7" s="12" t="s">
        <v>64</v>
      </c>
      <c r="B7" s="11"/>
      <c r="C7" s="11"/>
      <c r="D7" s="11"/>
      <c r="E7" s="11"/>
      <c r="F7" s="11"/>
      <c r="G7" s="11"/>
      <c r="H7" s="11"/>
      <c r="I7" s="11"/>
      <c r="J7" s="11"/>
      <c r="K7" s="11"/>
      <c r="L7" s="11"/>
      <c r="M7" s="11"/>
      <c r="N7" s="11"/>
      <c r="O7" s="11" t="s">
        <v>67</v>
      </c>
      <c r="P7" s="11" t="s">
        <v>68</v>
      </c>
      <c r="Q7" s="11" t="s">
        <v>66</v>
      </c>
      <c r="R7" s="11" t="s">
        <v>65</v>
      </c>
      <c r="S7" s="3"/>
      <c r="T7" s="3"/>
    </row>
    <row r="8" spans="1:20" s="7" customFormat="1" ht="144" x14ac:dyDescent="0.2">
      <c r="A8" s="13" t="s">
        <v>76</v>
      </c>
      <c r="B8" s="9" t="s">
        <v>71</v>
      </c>
      <c r="C8" s="9"/>
      <c r="D8" s="9"/>
      <c r="E8" s="9"/>
      <c r="F8" s="9"/>
      <c r="G8" s="9"/>
      <c r="H8" s="9"/>
      <c r="I8" s="9"/>
      <c r="J8" s="9" t="s">
        <v>79</v>
      </c>
      <c r="K8" s="9"/>
      <c r="L8" s="9"/>
      <c r="M8" s="9" t="s">
        <v>82</v>
      </c>
      <c r="N8" s="9" t="s">
        <v>83</v>
      </c>
      <c r="O8" s="9" t="s">
        <v>80</v>
      </c>
      <c r="P8" s="9" t="s">
        <v>81</v>
      </c>
      <c r="Q8" s="9" t="s">
        <v>78</v>
      </c>
      <c r="R8" s="9" t="s">
        <v>77</v>
      </c>
    </row>
    <row r="9" spans="1:20" ht="272" x14ac:dyDescent="0.2">
      <c r="A9" s="12" t="s">
        <v>87</v>
      </c>
      <c r="B9" s="11"/>
      <c r="C9" s="11"/>
      <c r="D9" s="11"/>
      <c r="E9" s="11"/>
      <c r="F9" s="11"/>
      <c r="G9" s="11"/>
      <c r="H9" s="11"/>
      <c r="I9" s="11"/>
      <c r="J9" s="11"/>
      <c r="K9" s="11"/>
      <c r="L9" s="11"/>
      <c r="M9" s="11" t="s">
        <v>91</v>
      </c>
      <c r="N9" s="11" t="s">
        <v>92</v>
      </c>
      <c r="O9" s="11" t="s">
        <v>89</v>
      </c>
      <c r="P9" s="11" t="s">
        <v>90</v>
      </c>
      <c r="Q9" s="11" t="s">
        <v>93</v>
      </c>
      <c r="R9" s="11" t="s">
        <v>88</v>
      </c>
    </row>
    <row r="10" spans="1:20" s="7" customFormat="1" ht="80" x14ac:dyDescent="0.2">
      <c r="A10" s="16" t="s">
        <v>84</v>
      </c>
      <c r="B10" s="15" t="s">
        <v>85</v>
      </c>
      <c r="C10" s="15" t="s">
        <v>97</v>
      </c>
      <c r="D10" s="15" t="s">
        <v>98</v>
      </c>
      <c r="E10" s="15"/>
      <c r="F10" s="15" t="s">
        <v>99</v>
      </c>
      <c r="G10" s="15" t="s">
        <v>100</v>
      </c>
      <c r="H10" s="15"/>
      <c r="I10" s="15"/>
      <c r="J10" s="15" t="s">
        <v>101</v>
      </c>
      <c r="K10" s="15" t="s">
        <v>102</v>
      </c>
      <c r="L10" s="15"/>
      <c r="M10" s="15" t="s">
        <v>96</v>
      </c>
      <c r="N10" s="15" t="s">
        <v>95</v>
      </c>
      <c r="O10" s="15" t="s">
        <v>103</v>
      </c>
      <c r="P10" s="15" t="s">
        <v>104</v>
      </c>
      <c r="Q10" s="18" t="s">
        <v>94</v>
      </c>
      <c r="R10" s="17" t="s">
        <v>86</v>
      </c>
    </row>
    <row r="11" spans="1:20" ht="80" x14ac:dyDescent="0.2">
      <c r="A11" s="12" t="s">
        <v>108</v>
      </c>
      <c r="B11" s="11" t="s">
        <v>106</v>
      </c>
      <c r="C11" s="11"/>
      <c r="D11" s="118" t="s">
        <v>107</v>
      </c>
      <c r="E11" s="11" t="s">
        <v>110</v>
      </c>
      <c r="F11" s="11" t="s">
        <v>109</v>
      </c>
      <c r="G11" s="11"/>
      <c r="H11" s="11" t="s">
        <v>114</v>
      </c>
      <c r="I11" s="11" t="s">
        <v>119</v>
      </c>
      <c r="J11" s="11" t="s">
        <v>116</v>
      </c>
      <c r="K11" s="11" t="s">
        <v>115</v>
      </c>
      <c r="L11" s="11"/>
      <c r="M11" s="11" t="s">
        <v>112</v>
      </c>
      <c r="N11" s="11" t="s">
        <v>113</v>
      </c>
      <c r="O11" s="11" t="s">
        <v>117</v>
      </c>
      <c r="P11" s="11" t="s">
        <v>118</v>
      </c>
      <c r="Q11" s="11" t="s">
        <v>111</v>
      </c>
      <c r="R11" s="11" t="s">
        <v>105</v>
      </c>
    </row>
    <row r="12" spans="1:20" s="7" customFormat="1" ht="176" x14ac:dyDescent="0.2">
      <c r="A12" s="16" t="s">
        <v>121</v>
      </c>
      <c r="B12" s="15" t="s">
        <v>123</v>
      </c>
      <c r="C12" s="15">
        <v>2018</v>
      </c>
      <c r="D12" s="61" t="s">
        <v>124</v>
      </c>
      <c r="E12" s="15" t="s">
        <v>126</v>
      </c>
      <c r="F12" s="15" t="s">
        <v>125</v>
      </c>
      <c r="G12" s="15" t="s">
        <v>290</v>
      </c>
      <c r="H12" s="15" t="s">
        <v>131</v>
      </c>
      <c r="I12" s="61" t="s">
        <v>311</v>
      </c>
      <c r="J12" s="15" t="s">
        <v>127</v>
      </c>
      <c r="K12" s="15" t="s">
        <v>134</v>
      </c>
      <c r="L12" s="15" t="s">
        <v>122</v>
      </c>
      <c r="M12" s="15" t="s">
        <v>128</v>
      </c>
      <c r="N12" s="15" t="s">
        <v>129</v>
      </c>
      <c r="O12" s="15" t="s">
        <v>130</v>
      </c>
      <c r="P12" s="15" t="s">
        <v>133</v>
      </c>
      <c r="Q12" s="15" t="s">
        <v>132</v>
      </c>
      <c r="R12" s="15" t="s">
        <v>120</v>
      </c>
    </row>
    <row r="13" spans="1:20" ht="160" x14ac:dyDescent="0.2">
      <c r="A13" s="27" t="s">
        <v>121</v>
      </c>
      <c r="B13" s="11" t="s">
        <v>71</v>
      </c>
      <c r="C13" s="11"/>
      <c r="D13" s="11" t="s">
        <v>154</v>
      </c>
      <c r="E13" s="11"/>
      <c r="F13" s="11" t="s">
        <v>152</v>
      </c>
      <c r="G13" s="11" t="s">
        <v>155</v>
      </c>
      <c r="H13" s="118" t="s">
        <v>150</v>
      </c>
      <c r="I13" s="11" t="s">
        <v>312</v>
      </c>
      <c r="J13" s="11" t="s">
        <v>156</v>
      </c>
      <c r="K13" s="11" t="s">
        <v>157</v>
      </c>
      <c r="L13" s="11" t="s">
        <v>151</v>
      </c>
      <c r="M13" s="11" t="s">
        <v>158</v>
      </c>
      <c r="N13" s="11" t="s">
        <v>153</v>
      </c>
      <c r="O13" s="11" t="s">
        <v>159</v>
      </c>
      <c r="P13" s="11" t="s">
        <v>160</v>
      </c>
      <c r="Q13" s="11" t="s">
        <v>161</v>
      </c>
      <c r="R13" s="11" t="s">
        <v>288</v>
      </c>
    </row>
    <row r="14" spans="1:20" s="7" customFormat="1" ht="80" x14ac:dyDescent="0.2">
      <c r="A14" s="16" t="s">
        <v>268</v>
      </c>
      <c r="B14" s="15" t="s">
        <v>270</v>
      </c>
      <c r="C14" s="15"/>
      <c r="D14" s="15" t="s">
        <v>271</v>
      </c>
      <c r="E14" s="15"/>
      <c r="F14" s="15" t="s">
        <v>272</v>
      </c>
      <c r="G14" s="15" t="s">
        <v>273</v>
      </c>
      <c r="H14" s="61" t="s">
        <v>280</v>
      </c>
      <c r="I14" s="15"/>
      <c r="J14" s="15" t="s">
        <v>274</v>
      </c>
      <c r="K14" s="15" t="s">
        <v>269</v>
      </c>
      <c r="L14" s="15" t="s">
        <v>275</v>
      </c>
      <c r="M14" s="15" t="s">
        <v>276</v>
      </c>
      <c r="N14" s="15" t="s">
        <v>277</v>
      </c>
      <c r="O14" s="15" t="s">
        <v>278</v>
      </c>
      <c r="P14" s="15" t="s">
        <v>279</v>
      </c>
      <c r="Q14" s="15" t="s">
        <v>281</v>
      </c>
      <c r="R14" s="15" t="s">
        <v>267</v>
      </c>
    </row>
    <row r="15" spans="1:20" ht="128" x14ac:dyDescent="0.2">
      <c r="A15" s="12" t="s">
        <v>282</v>
      </c>
      <c r="B15" s="11" t="s">
        <v>284</v>
      </c>
      <c r="C15" s="11"/>
      <c r="D15" s="11"/>
      <c r="E15" s="11"/>
      <c r="F15" s="11" t="s">
        <v>289</v>
      </c>
      <c r="G15" s="11"/>
      <c r="H15" s="11" t="s">
        <v>286</v>
      </c>
      <c r="I15" s="11"/>
      <c r="J15" s="11"/>
      <c r="K15" s="11" t="s">
        <v>292</v>
      </c>
      <c r="L15" s="11" t="s">
        <v>291</v>
      </c>
      <c r="M15" s="11" t="s">
        <v>293</v>
      </c>
      <c r="N15" s="11" t="s">
        <v>285</v>
      </c>
      <c r="O15" s="11"/>
      <c r="P15" s="11" t="s">
        <v>294</v>
      </c>
      <c r="Q15" s="11" t="s">
        <v>287</v>
      </c>
      <c r="R15" s="11" t="s">
        <v>283</v>
      </c>
    </row>
    <row r="16" spans="1:20" s="7" customFormat="1" ht="128" x14ac:dyDescent="0.2">
      <c r="A16" s="15" t="s">
        <v>301</v>
      </c>
      <c r="B16" s="15" t="s">
        <v>296</v>
      </c>
      <c r="C16" s="15"/>
      <c r="D16" s="15"/>
      <c r="E16" s="15"/>
      <c r="F16" s="15" t="s">
        <v>299</v>
      </c>
      <c r="G16" s="15" t="s">
        <v>302</v>
      </c>
      <c r="H16" s="15"/>
      <c r="I16" s="15"/>
      <c r="J16" s="15" t="s">
        <v>303</v>
      </c>
      <c r="K16" s="15"/>
      <c r="L16" s="15"/>
      <c r="M16" s="15"/>
      <c r="N16" s="15"/>
      <c r="O16" s="15" t="s">
        <v>304</v>
      </c>
      <c r="P16" s="15" t="s">
        <v>300</v>
      </c>
      <c r="Q16" s="15" t="s">
        <v>298</v>
      </c>
      <c r="R16" s="15" t="s">
        <v>295</v>
      </c>
    </row>
    <row r="17" spans="1:18" x14ac:dyDescent="0.2">
      <c r="A17" s="11"/>
      <c r="B17" s="11"/>
      <c r="C17" s="11"/>
      <c r="D17" s="11"/>
      <c r="E17" s="11"/>
      <c r="F17" s="11"/>
      <c r="G17" s="11"/>
      <c r="H17" s="11"/>
      <c r="I17" s="11"/>
      <c r="J17" s="11"/>
      <c r="K17" s="11"/>
      <c r="L17" s="11"/>
      <c r="M17" s="11"/>
      <c r="N17" s="11"/>
      <c r="O17" s="11"/>
      <c r="P17" s="11"/>
      <c r="Q17" s="11"/>
      <c r="R17" s="11"/>
    </row>
    <row r="18" spans="1:18" s="7" customFormat="1" x14ac:dyDescent="0.2">
      <c r="A18" s="15"/>
      <c r="B18" s="15"/>
      <c r="C18" s="15"/>
      <c r="D18" s="15"/>
      <c r="E18" s="15"/>
      <c r="F18" s="15"/>
      <c r="G18" s="15"/>
      <c r="H18" s="15"/>
      <c r="I18" s="15"/>
      <c r="J18" s="15"/>
      <c r="K18" s="15"/>
      <c r="L18" s="15"/>
      <c r="M18" s="15"/>
      <c r="N18" s="15"/>
      <c r="O18" s="15"/>
      <c r="P18" s="15"/>
      <c r="Q18" s="15"/>
      <c r="R18" s="15"/>
    </row>
    <row r="19" spans="1:18" x14ac:dyDescent="0.2">
      <c r="A19" s="11"/>
      <c r="B19" s="11"/>
      <c r="C19" s="11"/>
      <c r="D19" s="11"/>
      <c r="E19" s="11"/>
      <c r="F19" s="11"/>
      <c r="G19" s="11"/>
      <c r="H19" s="11"/>
      <c r="I19" s="11"/>
      <c r="J19" s="11"/>
      <c r="K19" s="11"/>
      <c r="L19" s="11"/>
      <c r="M19" s="11"/>
      <c r="N19" s="11"/>
      <c r="O19" s="11"/>
      <c r="P19" s="11"/>
      <c r="Q19" s="11"/>
      <c r="R19" s="11"/>
    </row>
    <row r="20" spans="1:18" s="7" customFormat="1" x14ac:dyDescent="0.2">
      <c r="A20" s="15"/>
      <c r="B20" s="15"/>
      <c r="C20" s="15" t="s">
        <v>297</v>
      </c>
      <c r="D20" s="15"/>
      <c r="E20" s="15"/>
      <c r="F20" s="15"/>
      <c r="G20" s="15"/>
      <c r="H20" s="15"/>
      <c r="I20" s="15"/>
      <c r="J20" s="15"/>
      <c r="K20" s="15"/>
      <c r="L20" s="15"/>
      <c r="M20" s="15"/>
      <c r="N20" s="15"/>
      <c r="O20" s="15"/>
      <c r="P20" s="15"/>
      <c r="Q20" s="15"/>
      <c r="R20" s="15"/>
    </row>
    <row r="21" spans="1:18" x14ac:dyDescent="0.2">
      <c r="A21" s="19"/>
      <c r="B21" s="19"/>
      <c r="C21" s="19"/>
      <c r="D21" s="19"/>
      <c r="E21" s="19"/>
      <c r="F21" s="19"/>
      <c r="G21" s="19"/>
      <c r="H21" s="19"/>
      <c r="I21" s="19"/>
      <c r="J21" s="19"/>
      <c r="K21" s="19"/>
      <c r="L21" s="19"/>
      <c r="M21" s="19"/>
      <c r="N21" s="19"/>
      <c r="O21" s="19"/>
      <c r="P21" s="19"/>
      <c r="Q21" s="19"/>
      <c r="R21" s="19"/>
    </row>
    <row r="22" spans="1:18" s="7" customFormat="1" x14ac:dyDescent="0.2">
      <c r="A22" s="20"/>
      <c r="B22" s="20"/>
      <c r="C22" s="20"/>
      <c r="D22" s="20"/>
      <c r="E22" s="20"/>
      <c r="F22" s="20"/>
      <c r="G22" s="20"/>
      <c r="H22" s="20"/>
      <c r="I22" s="20"/>
      <c r="J22" s="20"/>
      <c r="K22" s="20"/>
      <c r="L22" s="20"/>
      <c r="M22" s="20"/>
      <c r="N22" s="20"/>
      <c r="O22" s="20"/>
      <c r="P22" s="20"/>
      <c r="Q22" s="20"/>
      <c r="R22" s="20"/>
    </row>
    <row r="23" spans="1:18" x14ac:dyDescent="0.2">
      <c r="A23" s="19"/>
      <c r="B23" s="19"/>
      <c r="C23" s="19"/>
      <c r="D23" s="19"/>
      <c r="E23" s="19"/>
      <c r="F23" s="19"/>
      <c r="G23" s="19"/>
      <c r="H23" s="19"/>
      <c r="I23" s="19"/>
      <c r="J23" s="19"/>
      <c r="K23" s="19"/>
      <c r="L23" s="19"/>
      <c r="M23" s="19"/>
      <c r="N23" s="19"/>
      <c r="O23" s="19"/>
      <c r="P23" s="19"/>
      <c r="Q23" s="19"/>
      <c r="R23" s="19"/>
    </row>
    <row r="24" spans="1:18" x14ac:dyDescent="0.2">
      <c r="A24" s="19"/>
      <c r="B24" s="19"/>
      <c r="C24" s="19"/>
      <c r="D24" s="19"/>
      <c r="E24" s="19"/>
      <c r="F24" s="19"/>
      <c r="G24" s="19"/>
      <c r="H24" s="19"/>
      <c r="I24" s="19"/>
      <c r="J24" s="19"/>
      <c r="K24" s="19"/>
      <c r="L24" s="19"/>
      <c r="M24" s="19"/>
      <c r="N24" s="19"/>
      <c r="O24" s="19"/>
      <c r="P24" s="19"/>
      <c r="Q24" s="19"/>
      <c r="R24" s="19"/>
    </row>
    <row r="25" spans="1:18" x14ac:dyDescent="0.2">
      <c r="A25" s="19"/>
      <c r="B25" s="19"/>
      <c r="C25" s="19"/>
      <c r="D25" s="19"/>
      <c r="E25" s="19"/>
      <c r="F25" s="19"/>
      <c r="G25" s="19"/>
      <c r="H25" s="19"/>
      <c r="I25" s="19"/>
      <c r="J25" s="19"/>
      <c r="K25" s="19"/>
      <c r="L25" s="19"/>
      <c r="M25" s="19"/>
      <c r="N25" s="19"/>
      <c r="O25" s="19"/>
      <c r="P25" s="19"/>
      <c r="Q25" s="19"/>
      <c r="R25" s="19"/>
    </row>
    <row r="26" spans="1:18" x14ac:dyDescent="0.2">
      <c r="A26" s="19"/>
      <c r="B26" s="19"/>
      <c r="C26" s="19"/>
      <c r="D26" s="19"/>
      <c r="E26" s="19"/>
      <c r="F26" s="19"/>
      <c r="G26" s="19"/>
      <c r="H26" s="19"/>
      <c r="I26" s="19"/>
      <c r="J26" s="19"/>
      <c r="K26" s="19"/>
      <c r="L26" s="19"/>
      <c r="M26" s="19"/>
      <c r="N26" s="19"/>
      <c r="O26" s="19"/>
      <c r="P26" s="19"/>
      <c r="Q26" s="19"/>
      <c r="R26" s="19"/>
    </row>
    <row r="27" spans="1:18" x14ac:dyDescent="0.2">
      <c r="A27" s="19"/>
      <c r="B27" s="19"/>
      <c r="C27" s="19"/>
      <c r="D27" s="19"/>
      <c r="E27" s="19"/>
      <c r="F27" s="19"/>
      <c r="G27" s="19"/>
      <c r="H27" s="19"/>
      <c r="I27" s="19"/>
      <c r="J27" s="19"/>
      <c r="K27" s="19"/>
      <c r="L27" s="19"/>
      <c r="M27" s="19"/>
      <c r="N27" s="19"/>
      <c r="O27" s="19"/>
      <c r="P27" s="19"/>
      <c r="Q27" s="19"/>
      <c r="R27" s="19"/>
    </row>
    <row r="28" spans="1:18" x14ac:dyDescent="0.2">
      <c r="A28" s="19"/>
      <c r="B28" s="19"/>
      <c r="C28" s="19"/>
      <c r="D28" s="19"/>
      <c r="E28" s="19"/>
      <c r="F28" s="19"/>
      <c r="G28" s="19"/>
      <c r="H28" s="19"/>
      <c r="I28" s="19"/>
      <c r="J28" s="19"/>
      <c r="K28" s="19"/>
      <c r="L28" s="19"/>
      <c r="M28" s="19"/>
      <c r="N28" s="19"/>
      <c r="O28" s="19"/>
      <c r="P28" s="19"/>
      <c r="Q28" s="19"/>
      <c r="R28" s="19"/>
    </row>
    <row r="29" spans="1:18" x14ac:dyDescent="0.2">
      <c r="A29" s="14"/>
      <c r="B29" s="14"/>
      <c r="C29" s="14"/>
      <c r="D29" s="14"/>
      <c r="E29" s="14"/>
      <c r="F29" s="14"/>
      <c r="G29" s="14"/>
      <c r="H29" s="14"/>
      <c r="I29" s="14"/>
      <c r="J29" s="14"/>
      <c r="K29" s="14"/>
      <c r="L29" s="14"/>
      <c r="M29" s="14"/>
      <c r="N29" s="14"/>
      <c r="O29" s="14"/>
      <c r="P29" s="14"/>
      <c r="Q29" s="14"/>
      <c r="R29" s="14"/>
    </row>
    <row r="30" spans="1:18" x14ac:dyDescent="0.2">
      <c r="A30" s="14"/>
      <c r="B30" s="14"/>
      <c r="C30" s="14"/>
      <c r="D30" s="14"/>
      <c r="E30" s="14"/>
      <c r="F30" s="14"/>
      <c r="G30" s="14"/>
      <c r="H30" s="14"/>
      <c r="I30" s="14"/>
      <c r="J30" s="14"/>
      <c r="K30" s="14"/>
      <c r="L30" s="14"/>
      <c r="M30" s="14"/>
      <c r="N30" s="14"/>
      <c r="O30" s="14"/>
      <c r="P30" s="14"/>
      <c r="Q30" s="14"/>
      <c r="R30" s="14"/>
    </row>
    <row r="31" spans="1:18" x14ac:dyDescent="0.2">
      <c r="A31" s="14"/>
      <c r="B31" s="14"/>
      <c r="C31" s="14"/>
      <c r="D31" s="14"/>
      <c r="E31" s="14"/>
      <c r="F31" s="14"/>
      <c r="G31" s="14"/>
      <c r="H31" s="14"/>
      <c r="I31" s="14"/>
      <c r="J31" s="14"/>
      <c r="K31" s="14"/>
      <c r="L31" s="14"/>
      <c r="M31" s="14"/>
      <c r="N31" s="14"/>
      <c r="O31" s="14"/>
      <c r="P31" s="14"/>
      <c r="Q31" s="14"/>
      <c r="R31" s="14"/>
    </row>
    <row r="32" spans="1:18" x14ac:dyDescent="0.2">
      <c r="A32" s="14"/>
      <c r="B32" s="14"/>
      <c r="C32" s="14"/>
      <c r="D32" s="14"/>
      <c r="E32" s="14"/>
      <c r="F32" s="14"/>
      <c r="G32" s="14"/>
      <c r="H32" s="14"/>
      <c r="I32" s="14"/>
      <c r="J32" s="14"/>
      <c r="K32" s="14"/>
      <c r="L32" s="14"/>
      <c r="M32" s="14"/>
      <c r="N32" s="14"/>
      <c r="O32" s="14"/>
      <c r="P32" s="14"/>
      <c r="Q32" s="14"/>
      <c r="R32" s="14"/>
    </row>
    <row r="33" spans="1:18" x14ac:dyDescent="0.2">
      <c r="A33" s="14"/>
      <c r="B33" s="14"/>
      <c r="C33" s="14"/>
      <c r="D33" s="14"/>
      <c r="E33" s="14"/>
      <c r="F33" s="14"/>
      <c r="G33" s="14"/>
      <c r="H33" s="14"/>
      <c r="I33" s="14"/>
      <c r="J33" s="14"/>
      <c r="K33" s="14"/>
      <c r="L33" s="14"/>
      <c r="M33" s="14"/>
      <c r="N33" s="14"/>
      <c r="O33" s="14"/>
      <c r="P33" s="14"/>
      <c r="Q33" s="14"/>
      <c r="R33" s="14"/>
    </row>
    <row r="34" spans="1:18" x14ac:dyDescent="0.2">
      <c r="A34" s="14"/>
      <c r="B34" s="14"/>
      <c r="C34" s="14"/>
      <c r="D34" s="14"/>
      <c r="E34" s="14"/>
      <c r="F34" s="14"/>
      <c r="G34" s="14"/>
      <c r="H34" s="14"/>
      <c r="I34" s="14"/>
      <c r="J34" s="14"/>
      <c r="K34" s="14"/>
      <c r="L34" s="14"/>
      <c r="M34" s="14"/>
      <c r="N34" s="14"/>
      <c r="O34" s="14"/>
      <c r="P34" s="14"/>
      <c r="Q34" s="14"/>
      <c r="R34" s="14"/>
    </row>
    <row r="35" spans="1:18" x14ac:dyDescent="0.2">
      <c r="A35" s="14"/>
      <c r="B35" s="14"/>
      <c r="C35" s="14"/>
      <c r="D35" s="14"/>
      <c r="E35" s="14"/>
      <c r="F35" s="14"/>
      <c r="G35" s="14"/>
      <c r="H35" s="14"/>
      <c r="I35" s="14"/>
      <c r="J35" s="14"/>
      <c r="K35" s="14"/>
      <c r="L35" s="14"/>
      <c r="M35" s="14"/>
      <c r="N35" s="14"/>
      <c r="O35" s="14"/>
      <c r="P35" s="14"/>
      <c r="Q35" s="14"/>
      <c r="R35" s="14"/>
    </row>
    <row r="36" spans="1:18" x14ac:dyDescent="0.2">
      <c r="A36" s="14"/>
      <c r="B36" s="14"/>
      <c r="C36" s="14"/>
      <c r="D36" s="14"/>
      <c r="E36" s="14"/>
      <c r="F36" s="14"/>
      <c r="G36" s="14"/>
      <c r="H36" s="14"/>
      <c r="I36" s="14"/>
      <c r="J36" s="14"/>
      <c r="K36" s="14"/>
      <c r="L36" s="14"/>
      <c r="M36" s="14"/>
      <c r="N36" s="14"/>
      <c r="O36" s="14"/>
      <c r="P36" s="14"/>
      <c r="Q36" s="14"/>
      <c r="R36" s="14"/>
    </row>
    <row r="37" spans="1:18" x14ac:dyDescent="0.2">
      <c r="A37" s="14"/>
      <c r="B37" s="14"/>
      <c r="C37" s="14"/>
      <c r="D37" s="14"/>
      <c r="E37" s="14"/>
      <c r="F37" s="14"/>
      <c r="G37" s="14"/>
      <c r="H37" s="14"/>
      <c r="I37" s="14"/>
      <c r="J37" s="14"/>
      <c r="K37" s="14"/>
      <c r="L37" s="14"/>
      <c r="M37" s="14"/>
      <c r="N37" s="14"/>
      <c r="O37" s="14"/>
      <c r="P37" s="14"/>
      <c r="Q37" s="14"/>
      <c r="R37" s="14"/>
    </row>
    <row r="38" spans="1:18" x14ac:dyDescent="0.2">
      <c r="A38" s="14"/>
      <c r="B38" s="14"/>
      <c r="C38" s="14"/>
      <c r="D38" s="14"/>
      <c r="E38" s="14"/>
      <c r="F38" s="14"/>
      <c r="G38" s="14"/>
      <c r="H38" s="14"/>
      <c r="I38" s="14"/>
      <c r="J38" s="14"/>
      <c r="K38" s="14"/>
      <c r="L38" s="14"/>
      <c r="M38" s="14"/>
      <c r="N38" s="14"/>
      <c r="O38" s="14"/>
      <c r="P38" s="14"/>
      <c r="Q38" s="14"/>
      <c r="R38" s="14"/>
    </row>
    <row r="39" spans="1:18" x14ac:dyDescent="0.2">
      <c r="A39" s="14"/>
      <c r="B39" s="14"/>
      <c r="C39" s="14"/>
      <c r="D39" s="14"/>
      <c r="E39" s="14"/>
      <c r="F39" s="14"/>
      <c r="G39" s="14"/>
      <c r="H39" s="14"/>
      <c r="I39" s="14"/>
      <c r="J39" s="14"/>
      <c r="K39" s="14"/>
      <c r="L39" s="14"/>
      <c r="M39" s="14"/>
      <c r="N39" s="14"/>
      <c r="O39" s="14"/>
      <c r="P39" s="14"/>
      <c r="Q39" s="14"/>
      <c r="R39" s="14"/>
    </row>
    <row r="40" spans="1:18" x14ac:dyDescent="0.2">
      <c r="A40" s="14"/>
      <c r="B40" s="14"/>
      <c r="C40" s="14"/>
      <c r="D40" s="14"/>
      <c r="E40" s="14"/>
      <c r="F40" s="14"/>
      <c r="G40" s="14"/>
      <c r="H40" s="14"/>
      <c r="I40" s="14"/>
      <c r="J40" s="14"/>
      <c r="K40" s="14"/>
      <c r="L40" s="14"/>
      <c r="M40" s="14"/>
      <c r="N40" s="14"/>
      <c r="O40" s="14"/>
      <c r="P40" s="14"/>
      <c r="Q40" s="14"/>
      <c r="R40" s="14"/>
    </row>
  </sheetData>
  <mergeCells count="3">
    <mergeCell ref="H2:I2"/>
    <mergeCell ref="A2:C2"/>
    <mergeCell ref="A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opLeftCell="A5" workbookViewId="0">
      <selection activeCell="A17" sqref="A17"/>
    </sheetView>
  </sheetViews>
  <sheetFormatPr baseColWidth="10" defaultRowHeight="16" x14ac:dyDescent="0.2"/>
  <cols>
    <col min="1" max="1" width="20.33203125" bestFit="1" customWidth="1"/>
    <col min="2" max="2" width="15.33203125" customWidth="1"/>
    <col min="4" max="4" width="14.1640625" customWidth="1"/>
    <col min="5" max="5" width="25.83203125" customWidth="1"/>
    <col min="6" max="6" width="24.33203125" bestFit="1" customWidth="1"/>
    <col min="7" max="7" width="24.33203125" customWidth="1"/>
    <col min="8" max="8" width="12.83203125" bestFit="1" customWidth="1"/>
    <col min="9" max="10" width="12.83203125" customWidth="1"/>
    <col min="11" max="11" width="32" customWidth="1"/>
    <col min="12" max="12" width="17" customWidth="1"/>
    <col min="13" max="13" width="21.1640625" customWidth="1"/>
    <col min="14" max="14" width="22.33203125" customWidth="1"/>
    <col min="15" max="15" width="16.6640625" bestFit="1" customWidth="1"/>
    <col min="16" max="16" width="17.33203125" bestFit="1" customWidth="1"/>
    <col min="17" max="17" width="45.1640625" customWidth="1"/>
    <col min="18" max="18" width="17.5" customWidth="1"/>
  </cols>
  <sheetData>
    <row r="1" spans="1:17" x14ac:dyDescent="0.2">
      <c r="A1" s="128" t="s">
        <v>19</v>
      </c>
      <c r="B1" s="129"/>
      <c r="C1" s="129"/>
      <c r="D1" s="129"/>
      <c r="E1" s="129"/>
      <c r="F1" s="129"/>
      <c r="G1" s="129"/>
      <c r="H1" s="129"/>
      <c r="I1" s="129"/>
      <c r="J1" s="129"/>
      <c r="K1" s="129"/>
      <c r="L1" s="129"/>
      <c r="M1" s="129"/>
      <c r="N1" s="129"/>
      <c r="O1" s="129"/>
      <c r="P1" s="129"/>
      <c r="Q1" s="129"/>
    </row>
    <row r="2" spans="1:17" x14ac:dyDescent="0.2">
      <c r="A2" s="123" t="s">
        <v>15</v>
      </c>
      <c r="B2" s="124"/>
      <c r="C2" s="125"/>
      <c r="D2" s="1" t="s">
        <v>4</v>
      </c>
      <c r="E2" s="1" t="s">
        <v>5</v>
      </c>
      <c r="F2" s="1" t="s">
        <v>3</v>
      </c>
      <c r="G2" s="1" t="s">
        <v>10</v>
      </c>
      <c r="H2" s="123" t="s">
        <v>6</v>
      </c>
      <c r="I2" s="124"/>
      <c r="J2" s="125"/>
      <c r="K2" s="1" t="s">
        <v>7</v>
      </c>
      <c r="L2" s="1" t="s">
        <v>8</v>
      </c>
      <c r="M2" s="1" t="s">
        <v>11</v>
      </c>
      <c r="N2" s="1" t="s">
        <v>17</v>
      </c>
      <c r="O2" s="1" t="s">
        <v>18</v>
      </c>
      <c r="P2" s="1" t="s">
        <v>9</v>
      </c>
      <c r="Q2" s="2" t="s">
        <v>225</v>
      </c>
    </row>
    <row r="3" spans="1:17" x14ac:dyDescent="0.2">
      <c r="A3" s="8" t="s">
        <v>16</v>
      </c>
      <c r="B3" s="8" t="s">
        <v>1</v>
      </c>
      <c r="C3" s="8" t="s">
        <v>2</v>
      </c>
      <c r="H3" s="8" t="s">
        <v>12</v>
      </c>
      <c r="I3" s="8" t="s">
        <v>13</v>
      </c>
      <c r="J3" s="8" t="s">
        <v>218</v>
      </c>
    </row>
    <row r="4" spans="1:17" s="15" customFormat="1" ht="32" x14ac:dyDescent="0.2">
      <c r="A4" s="15" t="s">
        <v>215</v>
      </c>
      <c r="B4" s="15" t="s">
        <v>216</v>
      </c>
      <c r="C4" s="15" t="s">
        <v>220</v>
      </c>
      <c r="D4" s="15" t="s">
        <v>221</v>
      </c>
      <c r="E4" s="15" t="s">
        <v>220</v>
      </c>
      <c r="F4" s="15" t="s">
        <v>222</v>
      </c>
      <c r="G4" s="15" t="s">
        <v>217</v>
      </c>
      <c r="J4" s="15" t="s">
        <v>219</v>
      </c>
      <c r="M4" s="15" t="s">
        <v>223</v>
      </c>
      <c r="O4" s="15" t="s">
        <v>224</v>
      </c>
      <c r="Q4" s="48" t="s">
        <v>226</v>
      </c>
    </row>
    <row r="5" spans="1:17" s="11" customFormat="1" ht="48" x14ac:dyDescent="0.2">
      <c r="A5" s="11" t="s">
        <v>215</v>
      </c>
      <c r="B5" s="11" t="s">
        <v>227</v>
      </c>
      <c r="D5" s="11" t="s">
        <v>229</v>
      </c>
      <c r="F5" s="11" t="s">
        <v>230</v>
      </c>
      <c r="J5" s="11" t="s">
        <v>228</v>
      </c>
      <c r="K5" s="11" t="s">
        <v>231</v>
      </c>
      <c r="O5" s="11" t="s">
        <v>232</v>
      </c>
      <c r="Q5" s="11" t="s">
        <v>233</v>
      </c>
    </row>
    <row r="6" spans="1:17" s="15" customFormat="1" ht="48" x14ac:dyDescent="0.2">
      <c r="A6" s="15" t="s">
        <v>215</v>
      </c>
      <c r="B6" s="15" t="s">
        <v>234</v>
      </c>
      <c r="D6" s="15" t="s">
        <v>236</v>
      </c>
      <c r="F6" s="15" t="s">
        <v>235</v>
      </c>
      <c r="J6" s="15" t="s">
        <v>237</v>
      </c>
      <c r="M6" s="15" t="s">
        <v>239</v>
      </c>
      <c r="O6" s="15" t="s">
        <v>238</v>
      </c>
    </row>
  </sheetData>
  <mergeCells count="3">
    <mergeCell ref="H2:J2"/>
    <mergeCell ref="A2:C2"/>
    <mergeCell ref="A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zoomScale="106" workbookViewId="0">
      <pane ySplit="3" topLeftCell="A4" activePane="bottomLeft" state="frozen"/>
      <selection pane="bottomLeft" activeCell="D19" sqref="D19"/>
    </sheetView>
  </sheetViews>
  <sheetFormatPr baseColWidth="10" defaultRowHeight="16" x14ac:dyDescent="0.2"/>
  <cols>
    <col min="1" max="1" width="25.1640625" customWidth="1"/>
    <col min="2" max="2" width="8.33203125" bestFit="1" customWidth="1"/>
    <col min="4" max="4" width="14" customWidth="1"/>
    <col min="5" max="5" width="26.83203125" customWidth="1"/>
    <col min="6" max="6" width="35" customWidth="1"/>
    <col min="7" max="7" width="52" bestFit="1" customWidth="1"/>
    <col min="10" max="10" width="23.6640625" bestFit="1" customWidth="1"/>
    <col min="11" max="11" width="19.1640625" customWidth="1"/>
    <col min="12" max="12" width="39.83203125" bestFit="1" customWidth="1"/>
    <col min="13" max="13" width="19.33203125" customWidth="1"/>
    <col min="14" max="14" width="44.5" bestFit="1" customWidth="1"/>
    <col min="15" max="15" width="25.5" bestFit="1" customWidth="1"/>
    <col min="16" max="16" width="64.1640625" bestFit="1" customWidth="1"/>
    <col min="17" max="17" width="48" bestFit="1" customWidth="1"/>
    <col min="18" max="18" width="58.1640625" bestFit="1" customWidth="1"/>
  </cols>
  <sheetData>
    <row r="1" spans="1:20" x14ac:dyDescent="0.2">
      <c r="A1" s="130" t="s">
        <v>20</v>
      </c>
      <c r="B1" s="131"/>
      <c r="C1" s="131"/>
      <c r="D1" s="131"/>
      <c r="E1" s="131"/>
      <c r="F1" s="131"/>
      <c r="G1" s="131"/>
      <c r="H1" s="131"/>
      <c r="I1" s="131"/>
      <c r="J1" s="131"/>
      <c r="K1" s="131"/>
      <c r="L1" s="131"/>
      <c r="M1" s="131"/>
      <c r="N1" s="131"/>
      <c r="O1" s="131"/>
      <c r="P1" s="131"/>
      <c r="Q1" s="131"/>
      <c r="R1" s="25"/>
    </row>
    <row r="2" spans="1:20" x14ac:dyDescent="0.2">
      <c r="A2" s="123" t="s">
        <v>15</v>
      </c>
      <c r="B2" s="124"/>
      <c r="C2" s="125"/>
      <c r="D2" s="1" t="s">
        <v>4</v>
      </c>
      <c r="E2" s="1" t="s">
        <v>5</v>
      </c>
      <c r="F2" s="1" t="s">
        <v>3</v>
      </c>
      <c r="G2" s="1" t="s">
        <v>10</v>
      </c>
      <c r="H2" s="123" t="s">
        <v>6</v>
      </c>
      <c r="I2" s="124"/>
      <c r="J2" s="125"/>
      <c r="K2" s="1" t="s">
        <v>7</v>
      </c>
      <c r="L2" s="1" t="s">
        <v>8</v>
      </c>
      <c r="M2" s="1" t="s">
        <v>11</v>
      </c>
      <c r="N2" s="1" t="s">
        <v>17</v>
      </c>
      <c r="O2" s="1" t="s">
        <v>18</v>
      </c>
      <c r="P2" s="1" t="s">
        <v>9</v>
      </c>
      <c r="Q2" s="2" t="s">
        <v>61</v>
      </c>
      <c r="R2" s="2" t="s">
        <v>30</v>
      </c>
    </row>
    <row r="3" spans="1:20" x14ac:dyDescent="0.2">
      <c r="A3" s="8" t="s">
        <v>16</v>
      </c>
      <c r="B3" s="8" t="s">
        <v>1</v>
      </c>
      <c r="C3" s="8" t="s">
        <v>2</v>
      </c>
      <c r="H3" s="8" t="s">
        <v>12</v>
      </c>
      <c r="I3" s="8" t="s">
        <v>13</v>
      </c>
      <c r="J3" s="8" t="s">
        <v>14</v>
      </c>
    </row>
    <row r="4" spans="1:20" s="7" customFormat="1" ht="80" customHeight="1" x14ac:dyDescent="0.2">
      <c r="A4" s="21" t="s">
        <v>50</v>
      </c>
      <c r="B4" s="21" t="s">
        <v>51</v>
      </c>
      <c r="C4" s="21"/>
      <c r="D4" s="22" t="s">
        <v>52</v>
      </c>
      <c r="E4" s="17" t="s">
        <v>54</v>
      </c>
      <c r="F4" s="17" t="s">
        <v>55</v>
      </c>
      <c r="G4" s="17"/>
      <c r="H4" s="17"/>
      <c r="I4" s="17"/>
      <c r="J4" s="17"/>
      <c r="K4" s="17" t="s">
        <v>59</v>
      </c>
      <c r="L4" s="17" t="s">
        <v>56</v>
      </c>
      <c r="M4" s="17"/>
      <c r="N4" s="17" t="s">
        <v>58</v>
      </c>
      <c r="O4" s="17" t="s">
        <v>57</v>
      </c>
      <c r="P4" s="17" t="s">
        <v>60</v>
      </c>
      <c r="Q4" s="15" t="s">
        <v>62</v>
      </c>
      <c r="R4" s="23" t="s">
        <v>147</v>
      </c>
      <c r="S4" s="23" t="s">
        <v>53</v>
      </c>
    </row>
    <row r="5" spans="1:20" ht="112" x14ac:dyDescent="0.2">
      <c r="A5" s="12" t="s">
        <v>70</v>
      </c>
      <c r="B5" s="11" t="s">
        <v>71</v>
      </c>
      <c r="C5" s="11"/>
      <c r="D5" s="11" t="s">
        <v>75</v>
      </c>
      <c r="E5" s="11"/>
      <c r="F5" s="11"/>
      <c r="G5" s="11"/>
      <c r="H5" s="11"/>
      <c r="I5" s="11"/>
      <c r="J5" s="11" t="s">
        <v>74</v>
      </c>
      <c r="K5" s="11"/>
      <c r="L5" s="11"/>
      <c r="M5" s="11"/>
      <c r="N5" s="11"/>
      <c r="O5" s="11"/>
      <c r="P5" s="24" t="s">
        <v>73</v>
      </c>
      <c r="Q5" s="11" t="s">
        <v>72</v>
      </c>
      <c r="R5" s="11"/>
      <c r="S5" s="11" t="s">
        <v>69</v>
      </c>
    </row>
    <row r="6" spans="1:20" s="7" customFormat="1" ht="112" x14ac:dyDescent="0.2">
      <c r="A6" s="16" t="s">
        <v>136</v>
      </c>
      <c r="B6" s="15" t="s">
        <v>139</v>
      </c>
      <c r="C6" s="15"/>
      <c r="D6" s="15" t="s">
        <v>137</v>
      </c>
      <c r="E6" s="15"/>
      <c r="F6" s="15" t="s">
        <v>138</v>
      </c>
      <c r="G6" s="15" t="s">
        <v>140</v>
      </c>
      <c r="H6" s="15"/>
      <c r="I6" s="15"/>
      <c r="J6" s="15"/>
      <c r="K6" s="15" t="s">
        <v>144</v>
      </c>
      <c r="L6" s="15" t="s">
        <v>142</v>
      </c>
      <c r="M6" s="15" t="s">
        <v>143</v>
      </c>
      <c r="N6" s="15" t="s">
        <v>149</v>
      </c>
      <c r="O6" s="15" t="s">
        <v>141</v>
      </c>
      <c r="P6" s="15" t="s">
        <v>145</v>
      </c>
      <c r="Q6" s="15" t="s">
        <v>148</v>
      </c>
      <c r="R6" s="15" t="s">
        <v>146</v>
      </c>
      <c r="S6" s="15" t="s">
        <v>135</v>
      </c>
      <c r="T6" s="26"/>
    </row>
    <row r="7" spans="1:20" s="11" customFormat="1" ht="32" x14ac:dyDescent="0.2">
      <c r="A7" s="11" t="s">
        <v>240</v>
      </c>
      <c r="B7" s="11" t="s">
        <v>241</v>
      </c>
      <c r="C7" s="11" t="s">
        <v>250</v>
      </c>
      <c r="F7" s="11" t="s">
        <v>252</v>
      </c>
      <c r="J7" s="34">
        <v>1858662</v>
      </c>
      <c r="N7" s="11" t="s">
        <v>215</v>
      </c>
      <c r="Q7" s="11" t="s">
        <v>256</v>
      </c>
      <c r="R7" s="132" t="s">
        <v>265</v>
      </c>
    </row>
    <row r="8" spans="1:20" s="15" customFormat="1" ht="48" x14ac:dyDescent="0.2">
      <c r="A8" s="15" t="s">
        <v>240</v>
      </c>
      <c r="B8" s="15" t="s">
        <v>242</v>
      </c>
      <c r="C8" s="15" t="s">
        <v>251</v>
      </c>
      <c r="F8" s="15" t="s">
        <v>252</v>
      </c>
      <c r="J8" s="40">
        <v>530975</v>
      </c>
      <c r="N8" s="15" t="s">
        <v>215</v>
      </c>
      <c r="Q8" s="11" t="s">
        <v>257</v>
      </c>
      <c r="R8" s="133"/>
    </row>
    <row r="9" spans="1:20" s="11" customFormat="1" ht="32" x14ac:dyDescent="0.2">
      <c r="A9" s="11" t="s">
        <v>240</v>
      </c>
      <c r="B9" s="11" t="s">
        <v>243</v>
      </c>
      <c r="C9" s="32">
        <v>2000</v>
      </c>
      <c r="F9" s="11" t="s">
        <v>253</v>
      </c>
      <c r="J9" s="34">
        <v>142515</v>
      </c>
      <c r="N9" s="11" t="s">
        <v>215</v>
      </c>
      <c r="Q9" s="11" t="s">
        <v>258</v>
      </c>
      <c r="R9" s="133"/>
    </row>
    <row r="10" spans="1:20" s="23" customFormat="1" ht="48" x14ac:dyDescent="0.2">
      <c r="A10" s="15" t="s">
        <v>240</v>
      </c>
      <c r="B10" s="15" t="s">
        <v>244</v>
      </c>
      <c r="C10" s="15">
        <v>1991</v>
      </c>
      <c r="F10" s="15" t="s">
        <v>253</v>
      </c>
      <c r="J10" s="49">
        <v>20536</v>
      </c>
      <c r="N10" s="23" t="s">
        <v>215</v>
      </c>
      <c r="Q10" s="15" t="s">
        <v>259</v>
      </c>
      <c r="R10" s="133"/>
    </row>
    <row r="11" spans="1:20" s="1" customFormat="1" ht="32" x14ac:dyDescent="0.2">
      <c r="A11" s="32" t="s">
        <v>240</v>
      </c>
      <c r="B11" s="32" t="s">
        <v>245</v>
      </c>
      <c r="C11" s="32">
        <v>1999</v>
      </c>
      <c r="F11" s="32" t="s">
        <v>253</v>
      </c>
      <c r="J11" s="31">
        <v>89410</v>
      </c>
      <c r="N11" s="1" t="s">
        <v>215</v>
      </c>
      <c r="Q11" s="11" t="s">
        <v>260</v>
      </c>
      <c r="R11" s="133"/>
    </row>
    <row r="12" spans="1:20" s="23" customFormat="1" ht="32" x14ac:dyDescent="0.2">
      <c r="A12" s="15" t="s">
        <v>240</v>
      </c>
      <c r="B12" s="15" t="s">
        <v>246</v>
      </c>
      <c r="C12" s="15">
        <v>1982</v>
      </c>
      <c r="F12" s="15" t="s">
        <v>254</v>
      </c>
      <c r="J12" s="49">
        <v>1596</v>
      </c>
      <c r="N12" s="23" t="s">
        <v>215</v>
      </c>
      <c r="Q12" s="15" t="s">
        <v>261</v>
      </c>
      <c r="R12" s="133"/>
    </row>
    <row r="13" spans="1:20" s="1" customFormat="1" ht="48" x14ac:dyDescent="0.2">
      <c r="A13" s="32" t="s">
        <v>240</v>
      </c>
      <c r="B13" s="32" t="s">
        <v>247</v>
      </c>
      <c r="C13" s="32">
        <v>1983</v>
      </c>
      <c r="F13" s="32" t="s">
        <v>253</v>
      </c>
      <c r="J13" s="31">
        <v>127211</v>
      </c>
      <c r="N13" s="1" t="s">
        <v>215</v>
      </c>
      <c r="Q13" s="11" t="s">
        <v>262</v>
      </c>
      <c r="R13" s="133"/>
    </row>
    <row r="14" spans="1:20" s="23" customFormat="1" ht="48" x14ac:dyDescent="0.2">
      <c r="A14" s="15" t="s">
        <v>240</v>
      </c>
      <c r="B14" s="15" t="s">
        <v>248</v>
      </c>
      <c r="C14" s="15">
        <v>1982</v>
      </c>
      <c r="F14" s="15" t="s">
        <v>253</v>
      </c>
      <c r="J14" s="49">
        <v>17956</v>
      </c>
      <c r="N14" s="23" t="s">
        <v>215</v>
      </c>
      <c r="Q14" s="15" t="s">
        <v>263</v>
      </c>
      <c r="R14" s="133"/>
    </row>
    <row r="15" spans="1:20" s="1" customFormat="1" ht="48" x14ac:dyDescent="0.2">
      <c r="A15" s="32" t="s">
        <v>240</v>
      </c>
      <c r="B15" s="32" t="s">
        <v>249</v>
      </c>
      <c r="C15" s="32">
        <v>1995</v>
      </c>
      <c r="F15" s="32" t="s">
        <v>255</v>
      </c>
      <c r="J15" s="31">
        <v>7260799</v>
      </c>
      <c r="N15" s="1" t="s">
        <v>215</v>
      </c>
      <c r="Q15" s="11" t="s">
        <v>264</v>
      </c>
      <c r="R15" s="134"/>
    </row>
    <row r="16" spans="1:20" s="14" customFormat="1" ht="32" x14ac:dyDescent="0.2">
      <c r="A16" s="11" t="s">
        <v>305</v>
      </c>
      <c r="B16" s="11"/>
      <c r="C16" s="11"/>
      <c r="D16" s="11"/>
      <c r="E16" s="11"/>
      <c r="F16" s="11"/>
      <c r="G16" s="11"/>
      <c r="H16" s="11"/>
      <c r="I16" s="11"/>
      <c r="J16" s="11"/>
      <c r="K16" s="11"/>
      <c r="L16" s="11"/>
      <c r="M16" s="11"/>
      <c r="N16" s="11"/>
      <c r="O16" s="11"/>
      <c r="P16" s="11"/>
      <c r="Q16" s="11"/>
      <c r="R16" s="11"/>
      <c r="S16" s="11"/>
    </row>
    <row r="17" spans="1:19" x14ac:dyDescent="0.2">
      <c r="A17" s="4"/>
      <c r="B17" s="4"/>
      <c r="C17" s="4"/>
      <c r="D17" s="4"/>
      <c r="E17" s="4"/>
      <c r="F17" s="4"/>
      <c r="G17" s="4"/>
      <c r="H17" s="4"/>
      <c r="I17" s="4"/>
      <c r="J17" s="4"/>
      <c r="K17" s="4"/>
      <c r="L17" s="4"/>
      <c r="M17" s="4"/>
      <c r="N17" s="4"/>
      <c r="O17" s="4"/>
      <c r="P17" s="4"/>
      <c r="Q17" s="4"/>
      <c r="R17" s="4"/>
      <c r="S17" s="4"/>
    </row>
    <row r="18" spans="1:19" x14ac:dyDescent="0.2">
      <c r="A18" s="4"/>
      <c r="B18" s="4"/>
      <c r="C18" s="4"/>
      <c r="D18" s="4"/>
      <c r="E18" s="4"/>
      <c r="F18" s="4"/>
      <c r="G18" s="4"/>
      <c r="H18" s="4"/>
      <c r="I18" s="4"/>
      <c r="J18" s="4"/>
      <c r="K18" s="4"/>
      <c r="L18" s="4"/>
      <c r="M18" s="4"/>
      <c r="N18" s="4"/>
      <c r="O18" s="4"/>
      <c r="P18" s="4"/>
      <c r="Q18" s="4"/>
      <c r="R18" s="4"/>
      <c r="S18" s="4"/>
    </row>
    <row r="19" spans="1:19" x14ac:dyDescent="0.2">
      <c r="A19" s="4"/>
      <c r="B19" s="4"/>
      <c r="C19" s="4"/>
      <c r="D19" s="4"/>
      <c r="E19" s="4"/>
      <c r="F19" s="4"/>
      <c r="G19" s="4"/>
      <c r="H19" s="4"/>
      <c r="I19" s="4"/>
      <c r="J19" s="4"/>
      <c r="K19" s="4"/>
      <c r="L19" s="4"/>
      <c r="M19" s="4"/>
      <c r="N19" s="4"/>
      <c r="O19" s="4"/>
      <c r="P19" s="4"/>
      <c r="Q19" s="4"/>
      <c r="R19" s="4"/>
      <c r="S19" s="4"/>
    </row>
    <row r="20" spans="1:19" x14ac:dyDescent="0.2">
      <c r="A20" s="4"/>
      <c r="B20" s="4"/>
      <c r="C20" s="4"/>
      <c r="D20" s="4"/>
      <c r="E20" s="4"/>
      <c r="F20" s="4"/>
      <c r="G20" s="4"/>
      <c r="H20" s="4"/>
      <c r="I20" s="4"/>
      <c r="J20" s="4"/>
      <c r="K20" s="4"/>
      <c r="L20" s="4"/>
      <c r="M20" s="4"/>
      <c r="N20" s="4"/>
      <c r="O20" s="4"/>
      <c r="P20" s="4"/>
      <c r="Q20" s="4"/>
      <c r="R20" s="4"/>
      <c r="S20" s="4"/>
    </row>
  </sheetData>
  <mergeCells count="4">
    <mergeCell ref="A2:C2"/>
    <mergeCell ref="H2:J2"/>
    <mergeCell ref="A1:Q1"/>
    <mergeCell ref="R7:R15"/>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
  <sheetViews>
    <sheetView zoomScale="91" workbookViewId="0">
      <selection activeCell="J9" sqref="J9"/>
    </sheetView>
  </sheetViews>
  <sheetFormatPr baseColWidth="10" defaultRowHeight="16" x14ac:dyDescent="0.2"/>
  <cols>
    <col min="1" max="1" width="34.6640625" customWidth="1"/>
    <col min="2" max="2" width="14.1640625" bestFit="1" customWidth="1"/>
    <col min="3" max="3" width="255.83203125" bestFit="1" customWidth="1"/>
    <col min="4" max="4" width="29.5" bestFit="1" customWidth="1"/>
    <col min="5" max="5" width="11.83203125" bestFit="1" customWidth="1"/>
    <col min="6" max="6" width="23.1640625" customWidth="1"/>
  </cols>
  <sheetData>
    <row r="2" spans="1:9" x14ac:dyDescent="0.2">
      <c r="A2" s="29" t="s">
        <v>162</v>
      </c>
      <c r="B2" s="30" t="s">
        <v>166</v>
      </c>
      <c r="C2" s="30" t="s">
        <v>164</v>
      </c>
      <c r="D2" s="28" t="s">
        <v>167</v>
      </c>
      <c r="E2" s="29" t="s">
        <v>169</v>
      </c>
      <c r="F2" s="28" t="s">
        <v>18</v>
      </c>
      <c r="G2" s="28" t="s">
        <v>170</v>
      </c>
      <c r="H2" s="28" t="s">
        <v>188</v>
      </c>
    </row>
    <row r="3" spans="1:9" ht="48" x14ac:dyDescent="0.2">
      <c r="A3" s="11" t="s">
        <v>163</v>
      </c>
      <c r="B3" s="11" t="s">
        <v>85</v>
      </c>
      <c r="C3" s="35" t="s">
        <v>165</v>
      </c>
      <c r="D3" s="11" t="s">
        <v>168</v>
      </c>
      <c r="E3" s="31">
        <v>35000000</v>
      </c>
      <c r="F3" s="32" t="s">
        <v>176</v>
      </c>
      <c r="G3" s="32" t="s">
        <v>171</v>
      </c>
    </row>
    <row r="4" spans="1:9" s="7" customFormat="1" ht="32" x14ac:dyDescent="0.2">
      <c r="A4" s="15" t="s">
        <v>177</v>
      </c>
      <c r="B4" s="15" t="s">
        <v>172</v>
      </c>
      <c r="C4" s="39" t="s">
        <v>173</v>
      </c>
      <c r="D4" s="15" t="s">
        <v>174</v>
      </c>
      <c r="E4" s="40">
        <v>1540950</v>
      </c>
      <c r="F4" s="15" t="s">
        <v>175</v>
      </c>
      <c r="G4" s="15" t="s">
        <v>171</v>
      </c>
    </row>
    <row r="5" spans="1:9" ht="32" x14ac:dyDescent="0.2">
      <c r="A5" s="11" t="s">
        <v>178</v>
      </c>
      <c r="B5" s="11" t="s">
        <v>180</v>
      </c>
      <c r="C5" s="11" t="s">
        <v>179</v>
      </c>
      <c r="D5" s="11" t="s">
        <v>168</v>
      </c>
      <c r="E5" s="34">
        <v>830000</v>
      </c>
      <c r="F5" s="11" t="s">
        <v>176</v>
      </c>
      <c r="G5" s="11" t="s">
        <v>171</v>
      </c>
    </row>
    <row r="6" spans="1:9" s="7" customFormat="1" ht="48" x14ac:dyDescent="0.2">
      <c r="A6" s="15" t="s">
        <v>181</v>
      </c>
      <c r="B6" s="15" t="s">
        <v>106</v>
      </c>
      <c r="C6" s="41" t="s">
        <v>182</v>
      </c>
      <c r="D6" s="15" t="s">
        <v>183</v>
      </c>
      <c r="E6" s="40">
        <v>1049726</v>
      </c>
      <c r="F6" s="15" t="s">
        <v>175</v>
      </c>
      <c r="G6" s="15" t="s">
        <v>171</v>
      </c>
    </row>
    <row r="7" spans="1:9" ht="48" x14ac:dyDescent="0.2">
      <c r="A7" s="11" t="s">
        <v>185</v>
      </c>
      <c r="B7" s="11" t="s">
        <v>184</v>
      </c>
      <c r="C7" s="33" t="s">
        <v>186</v>
      </c>
      <c r="D7" s="11" t="s">
        <v>190</v>
      </c>
      <c r="E7" s="34">
        <v>7310000</v>
      </c>
      <c r="F7" s="11" t="s">
        <v>203</v>
      </c>
      <c r="G7" s="11" t="s">
        <v>187</v>
      </c>
      <c r="H7" s="32" t="s">
        <v>189</v>
      </c>
    </row>
    <row r="8" spans="1:9" s="7" customFormat="1" ht="64" x14ac:dyDescent="0.2">
      <c r="A8" s="15" t="s">
        <v>192</v>
      </c>
      <c r="B8" s="18" t="s">
        <v>193</v>
      </c>
      <c r="C8" s="42" t="s">
        <v>191</v>
      </c>
      <c r="D8" s="43" t="s">
        <v>194</v>
      </c>
      <c r="E8" s="15" t="s">
        <v>196</v>
      </c>
      <c r="F8" s="15" t="s">
        <v>197</v>
      </c>
      <c r="G8" s="15" t="s">
        <v>187</v>
      </c>
      <c r="H8" s="15" t="s">
        <v>195</v>
      </c>
    </row>
    <row r="9" spans="1:9" ht="96" x14ac:dyDescent="0.2">
      <c r="A9" s="11" t="s">
        <v>199</v>
      </c>
      <c r="B9" s="36" t="s">
        <v>200</v>
      </c>
      <c r="C9" s="33" t="s">
        <v>198</v>
      </c>
      <c r="D9" s="37" t="s">
        <v>190</v>
      </c>
      <c r="E9" s="34">
        <v>4210000</v>
      </c>
      <c r="F9" s="11" t="s">
        <v>201</v>
      </c>
      <c r="G9" s="11" t="s">
        <v>187</v>
      </c>
      <c r="H9" s="32" t="s">
        <v>202</v>
      </c>
    </row>
    <row r="10" spans="1:9" s="7" customFormat="1" ht="80" x14ac:dyDescent="0.2">
      <c r="A10" s="15" t="s">
        <v>205</v>
      </c>
      <c r="B10" s="18" t="s">
        <v>206</v>
      </c>
      <c r="C10" s="42" t="s">
        <v>204</v>
      </c>
      <c r="D10" s="44" t="s">
        <v>207</v>
      </c>
      <c r="E10" s="45">
        <v>12800000</v>
      </c>
      <c r="F10" s="46" t="s">
        <v>209</v>
      </c>
      <c r="G10" s="46" t="s">
        <v>187</v>
      </c>
      <c r="H10" s="46" t="s">
        <v>208</v>
      </c>
    </row>
    <row r="11" spans="1:9" ht="96" x14ac:dyDescent="0.2">
      <c r="A11" s="32" t="s">
        <v>212</v>
      </c>
      <c r="B11" s="32" t="s">
        <v>211</v>
      </c>
      <c r="C11" s="33" t="s">
        <v>210</v>
      </c>
      <c r="D11" s="32" t="s">
        <v>190</v>
      </c>
      <c r="E11" s="34">
        <v>24200000</v>
      </c>
      <c r="F11" s="11" t="s">
        <v>214</v>
      </c>
      <c r="G11" s="11" t="s">
        <v>187</v>
      </c>
      <c r="H11" s="32" t="s">
        <v>213</v>
      </c>
      <c r="I11" s="38"/>
    </row>
    <row r="12" spans="1:9" s="7" customFormat="1" x14ac:dyDescent="0.2">
      <c r="B12"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E7" sqref="E7"/>
    </sheetView>
  </sheetViews>
  <sheetFormatPr baseColWidth="10" defaultRowHeight="16" x14ac:dyDescent="0.2"/>
  <cols>
    <col min="1" max="2" width="16.5" customWidth="1"/>
    <col min="4" max="4" width="14" customWidth="1"/>
    <col min="5" max="5" width="15.83203125" customWidth="1"/>
    <col min="6" max="6" width="12.6640625" customWidth="1"/>
    <col min="8" max="8" width="11.83203125" bestFit="1" customWidth="1"/>
    <col min="9" max="9" width="15.5" bestFit="1" customWidth="1"/>
    <col min="11" max="11" width="13.33203125" customWidth="1"/>
    <col min="12" max="12" width="12.6640625" customWidth="1"/>
    <col min="13" max="13" width="15" customWidth="1"/>
    <col min="14" max="14" width="14" customWidth="1"/>
    <col min="15" max="15" width="11.1640625" bestFit="1" customWidth="1"/>
    <col min="16" max="16" width="18.33203125" customWidth="1"/>
  </cols>
  <sheetData>
    <row r="1" spans="1:17" x14ac:dyDescent="0.2">
      <c r="A1" s="140" t="s">
        <v>324</v>
      </c>
      <c r="B1" s="140"/>
      <c r="C1" s="140"/>
      <c r="D1" s="140"/>
      <c r="E1" s="50"/>
      <c r="F1" s="50"/>
      <c r="G1" s="50"/>
      <c r="H1" s="50"/>
      <c r="I1" s="50"/>
      <c r="J1" s="50"/>
      <c r="K1" s="50"/>
      <c r="L1" s="50"/>
    </row>
    <row r="2" spans="1:17" x14ac:dyDescent="0.2">
      <c r="A2" s="50"/>
      <c r="B2" s="50"/>
      <c r="C2" s="50"/>
      <c r="D2" s="50"/>
      <c r="E2" s="50"/>
      <c r="F2" s="50"/>
      <c r="G2" s="50"/>
      <c r="H2" s="50"/>
      <c r="I2" s="50"/>
      <c r="J2" s="50"/>
      <c r="K2" s="50"/>
      <c r="L2" s="50"/>
    </row>
    <row r="3" spans="1:17" x14ac:dyDescent="0.2">
      <c r="A3" s="50"/>
      <c r="B3" s="141" t="s">
        <v>12</v>
      </c>
      <c r="C3" s="141"/>
      <c r="D3" s="141"/>
      <c r="E3" s="138" t="s">
        <v>13</v>
      </c>
      <c r="F3" s="138"/>
      <c r="G3" s="139" t="s">
        <v>317</v>
      </c>
      <c r="H3" s="139"/>
      <c r="I3" s="139"/>
      <c r="J3" s="135" t="s">
        <v>327</v>
      </c>
      <c r="K3" s="136"/>
      <c r="L3" s="137"/>
      <c r="M3" s="50"/>
      <c r="N3" s="50"/>
      <c r="O3" s="50"/>
      <c r="P3" s="50"/>
      <c r="Q3" s="50"/>
    </row>
    <row r="4" spans="1:17" x14ac:dyDescent="0.2">
      <c r="A4" s="50"/>
      <c r="B4" s="52" t="s">
        <v>329</v>
      </c>
      <c r="C4" s="57" t="s">
        <v>330</v>
      </c>
      <c r="D4" s="58" t="s">
        <v>331</v>
      </c>
      <c r="E4" s="51" t="s">
        <v>322</v>
      </c>
      <c r="F4" s="51" t="s">
        <v>321</v>
      </c>
      <c r="G4" s="53" t="s">
        <v>318</v>
      </c>
      <c r="H4" s="54" t="s">
        <v>319</v>
      </c>
      <c r="I4" s="54" t="s">
        <v>320</v>
      </c>
      <c r="J4" s="59" t="s">
        <v>326</v>
      </c>
      <c r="K4" s="59" t="s">
        <v>316</v>
      </c>
      <c r="L4" s="59" t="s">
        <v>328</v>
      </c>
      <c r="M4" s="55" t="s">
        <v>315</v>
      </c>
      <c r="N4" s="56" t="s">
        <v>325</v>
      </c>
      <c r="O4" s="50"/>
      <c r="P4" s="60" t="s">
        <v>323</v>
      </c>
      <c r="Q4" s="50"/>
    </row>
    <row r="5" spans="1:17" x14ac:dyDescent="0.2">
      <c r="A5" s="50"/>
      <c r="B5" s="50"/>
      <c r="C5" s="50"/>
      <c r="D5" s="50"/>
      <c r="E5" s="50"/>
      <c r="F5" s="50"/>
      <c r="G5" s="50"/>
      <c r="H5" s="50"/>
      <c r="I5" s="50"/>
      <c r="J5" s="50"/>
      <c r="K5" s="50"/>
      <c r="L5" s="50"/>
      <c r="M5" s="50"/>
      <c r="N5" s="50"/>
      <c r="O5" s="50"/>
      <c r="P5" s="50"/>
      <c r="Q5" s="50"/>
    </row>
    <row r="6" spans="1:17" x14ac:dyDescent="0.2">
      <c r="B6" s="50"/>
      <c r="C6" s="50"/>
      <c r="D6" s="50"/>
      <c r="E6" s="50"/>
      <c r="F6" s="50"/>
      <c r="G6" s="50"/>
      <c r="H6" s="50"/>
      <c r="I6" s="50"/>
      <c r="J6" s="50"/>
      <c r="K6" s="50"/>
      <c r="L6" s="50"/>
      <c r="M6" s="50"/>
      <c r="N6" s="50"/>
      <c r="O6" s="50"/>
      <c r="P6" s="50"/>
      <c r="Q6" s="50"/>
    </row>
    <row r="7" spans="1:17" x14ac:dyDescent="0.2">
      <c r="B7" s="50"/>
      <c r="C7" s="50"/>
      <c r="D7" s="50"/>
      <c r="E7" s="50"/>
      <c r="F7" s="50"/>
      <c r="G7" s="50"/>
      <c r="H7" s="50"/>
      <c r="I7" s="50"/>
      <c r="J7" s="50"/>
      <c r="K7" s="50"/>
      <c r="L7" s="50"/>
      <c r="M7" s="50"/>
      <c r="N7" s="50"/>
      <c r="O7" s="50"/>
      <c r="P7" s="50"/>
      <c r="Q7" s="50"/>
    </row>
    <row r="8" spans="1:17" x14ac:dyDescent="0.2">
      <c r="B8" s="50"/>
      <c r="C8" s="50"/>
      <c r="D8" s="50"/>
      <c r="E8" s="50"/>
      <c r="F8" s="50"/>
      <c r="G8" s="50"/>
      <c r="H8" s="50"/>
      <c r="I8" s="50"/>
      <c r="J8" s="50"/>
      <c r="K8" s="50"/>
      <c r="L8" s="50"/>
      <c r="M8" s="50"/>
      <c r="N8" s="50"/>
      <c r="O8" s="50"/>
      <c r="P8" s="50"/>
      <c r="Q8" s="50"/>
    </row>
    <row r="9" spans="1:17" x14ac:dyDescent="0.2">
      <c r="B9" s="50"/>
      <c r="C9" s="50"/>
      <c r="D9" s="50"/>
      <c r="E9" s="50"/>
      <c r="F9" s="50"/>
      <c r="G9" s="50"/>
      <c r="H9" s="50"/>
      <c r="I9" s="50"/>
      <c r="J9" s="50"/>
      <c r="K9" s="50"/>
      <c r="L9" s="50"/>
      <c r="M9" s="50"/>
      <c r="N9" s="50"/>
      <c r="O9" s="50"/>
      <c r="P9" s="50"/>
      <c r="Q9" s="50"/>
    </row>
  </sheetData>
  <mergeCells count="5">
    <mergeCell ref="J3:L3"/>
    <mergeCell ref="E3:F3"/>
    <mergeCell ref="G3:I3"/>
    <mergeCell ref="A1:D1"/>
    <mergeCell ref="B3:D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5"/>
  <sheetViews>
    <sheetView tabSelected="1" topLeftCell="Y1" workbookViewId="0">
      <pane ySplit="1" topLeftCell="A33" activePane="bottomLeft" state="frozen"/>
      <selection activeCell="Y1" sqref="Y1"/>
      <selection pane="bottomLeft" activeCell="AE41" sqref="AE41"/>
    </sheetView>
  </sheetViews>
  <sheetFormatPr baseColWidth="10" defaultRowHeight="16" x14ac:dyDescent="0.2"/>
  <cols>
    <col min="1" max="1" width="12.1640625" style="50" bestFit="1" customWidth="1"/>
    <col min="2" max="2" width="11.83203125" style="50" bestFit="1" customWidth="1"/>
    <col min="3" max="3" width="44.5" customWidth="1"/>
    <col min="7" max="7" width="69.33203125" customWidth="1"/>
    <col min="9" max="9" width="30.6640625" customWidth="1"/>
    <col min="10" max="10" width="18" customWidth="1"/>
    <col min="14" max="14" width="57" customWidth="1"/>
    <col min="15" max="15" width="27" customWidth="1"/>
    <col min="16" max="16" width="31.1640625" customWidth="1"/>
    <col min="17" max="17" width="33" customWidth="1"/>
    <col min="25" max="25" width="78.5" customWidth="1"/>
    <col min="26" max="26" width="11" style="3" bestFit="1" customWidth="1"/>
    <col min="27" max="27" width="24" style="3" bestFit="1" customWidth="1"/>
    <col min="28" max="28" width="16.33203125" style="3" bestFit="1" customWidth="1"/>
    <col min="29" max="29" width="20.1640625" style="3" customWidth="1"/>
    <col min="30" max="30" width="15" style="3" bestFit="1" customWidth="1"/>
    <col min="31" max="31" width="19.83203125" style="3" customWidth="1"/>
    <col min="32" max="32" width="22" style="3" customWidth="1"/>
    <col min="33" max="33" width="21.1640625" style="3" customWidth="1"/>
    <col min="34" max="34" width="48.5" customWidth="1"/>
    <col min="35" max="35" width="15.83203125" customWidth="1"/>
    <col min="36" max="36" width="15.33203125" customWidth="1"/>
    <col min="37" max="37" width="14.6640625" customWidth="1"/>
  </cols>
  <sheetData>
    <row r="1" spans="1:52" s="101" customFormat="1" ht="45" x14ac:dyDescent="0.2">
      <c r="A1" s="93" t="s">
        <v>333</v>
      </c>
      <c r="B1" s="93" t="s">
        <v>334</v>
      </c>
      <c r="C1" s="94" t="s">
        <v>335</v>
      </c>
      <c r="D1" s="94" t="s">
        <v>336</v>
      </c>
      <c r="E1" s="94" t="s">
        <v>337</v>
      </c>
      <c r="F1" s="94" t="s">
        <v>338</v>
      </c>
      <c r="G1" s="94" t="s">
        <v>339</v>
      </c>
      <c r="H1" s="94" t="s">
        <v>340</v>
      </c>
      <c r="I1" s="94" t="s">
        <v>341</v>
      </c>
      <c r="J1" s="95" t="s">
        <v>342</v>
      </c>
      <c r="K1" s="94" t="s">
        <v>343</v>
      </c>
      <c r="L1" s="94" t="s">
        <v>1</v>
      </c>
      <c r="M1" s="94" t="s">
        <v>344</v>
      </c>
      <c r="N1" s="94" t="s">
        <v>345</v>
      </c>
      <c r="O1" s="94" t="s">
        <v>346</v>
      </c>
      <c r="P1" s="94" t="s">
        <v>347</v>
      </c>
      <c r="Q1" s="94" t="s">
        <v>348</v>
      </c>
      <c r="R1" s="94" t="s">
        <v>349</v>
      </c>
      <c r="S1" s="94" t="s">
        <v>350</v>
      </c>
      <c r="T1" s="94" t="s">
        <v>351</v>
      </c>
      <c r="U1" s="94" t="s">
        <v>352</v>
      </c>
      <c r="V1" s="94" t="s">
        <v>353</v>
      </c>
      <c r="W1" s="94" t="s">
        <v>354</v>
      </c>
      <c r="X1" s="94" t="s">
        <v>355</v>
      </c>
      <c r="Y1" s="96" t="s">
        <v>356</v>
      </c>
      <c r="Z1" s="97" t="s">
        <v>357</v>
      </c>
      <c r="AA1" s="98" t="s">
        <v>358</v>
      </c>
      <c r="AB1" s="95" t="s">
        <v>359</v>
      </c>
      <c r="AC1" s="95" t="s">
        <v>360</v>
      </c>
      <c r="AD1" s="95" t="s">
        <v>361</v>
      </c>
      <c r="AE1" s="95" t="s">
        <v>362</v>
      </c>
      <c r="AF1" s="95" t="s">
        <v>363</v>
      </c>
      <c r="AG1" s="95" t="s">
        <v>364</v>
      </c>
      <c r="AH1" s="94" t="s">
        <v>365</v>
      </c>
      <c r="AI1" s="97" t="s">
        <v>366</v>
      </c>
      <c r="AJ1" s="97" t="s">
        <v>367</v>
      </c>
      <c r="AK1" s="97" t="s">
        <v>368</v>
      </c>
      <c r="AL1" s="97" t="s">
        <v>369</v>
      </c>
      <c r="AM1" s="99"/>
      <c r="AN1" s="99"/>
      <c r="AO1" s="99"/>
      <c r="AP1" s="100"/>
      <c r="AQ1" s="100"/>
      <c r="AR1" s="100"/>
      <c r="AS1" s="99"/>
      <c r="AT1" s="99"/>
      <c r="AU1" s="99"/>
      <c r="AV1" s="99"/>
      <c r="AW1" s="99"/>
      <c r="AX1" s="99"/>
      <c r="AY1" s="99"/>
      <c r="AZ1" s="99"/>
    </row>
    <row r="2" spans="1:52" s="72" customFormat="1" ht="213" customHeight="1" x14ac:dyDescent="0.2">
      <c r="A2" s="64">
        <v>1</v>
      </c>
      <c r="B2" s="64">
        <v>1</v>
      </c>
      <c r="C2" s="63" t="s">
        <v>370</v>
      </c>
      <c r="D2" s="63" t="s">
        <v>371</v>
      </c>
      <c r="E2" s="64">
        <v>1996</v>
      </c>
      <c r="F2" s="64" t="s">
        <v>372</v>
      </c>
      <c r="G2" s="63" t="s">
        <v>373</v>
      </c>
      <c r="H2" s="67" t="s">
        <v>374</v>
      </c>
      <c r="I2" s="63" t="s">
        <v>375</v>
      </c>
      <c r="J2" s="63"/>
      <c r="K2" s="63"/>
      <c r="L2" s="63" t="s">
        <v>376</v>
      </c>
      <c r="M2" s="63" t="s">
        <v>377</v>
      </c>
      <c r="N2" s="63" t="s">
        <v>378</v>
      </c>
      <c r="O2" s="63" t="s">
        <v>379</v>
      </c>
      <c r="P2" s="63"/>
      <c r="Q2" s="63"/>
      <c r="R2" s="63" t="s">
        <v>379</v>
      </c>
      <c r="S2" s="63" t="s">
        <v>379</v>
      </c>
      <c r="T2" s="63"/>
      <c r="U2" s="63" t="s">
        <v>379</v>
      </c>
      <c r="V2" s="63"/>
      <c r="W2" s="63"/>
      <c r="X2" s="63" t="s">
        <v>379</v>
      </c>
      <c r="Y2" s="68" t="s">
        <v>380</v>
      </c>
      <c r="Z2" s="102"/>
      <c r="AA2" s="103">
        <v>6.0199999999999997E-2</v>
      </c>
      <c r="AB2" s="104">
        <f>1047000+19600</f>
        <v>1066600</v>
      </c>
      <c r="AC2" s="3">
        <v>1994</v>
      </c>
      <c r="AD2" s="111">
        <v>17717608</v>
      </c>
      <c r="AE2" s="111">
        <v>26100000</v>
      </c>
      <c r="AF2" s="111">
        <v>26100000</v>
      </c>
      <c r="AG2" s="111">
        <v>26100000</v>
      </c>
      <c r="AH2" s="63" t="s">
        <v>381</v>
      </c>
      <c r="AI2" s="69"/>
      <c r="AJ2" s="69"/>
      <c r="AK2" s="69"/>
      <c r="AL2" s="69"/>
      <c r="AM2" s="70"/>
      <c r="AN2" s="70"/>
      <c r="AO2" s="70"/>
      <c r="AP2" s="70"/>
      <c r="AQ2" s="70"/>
      <c r="AR2" s="70"/>
      <c r="AS2" s="71"/>
      <c r="AT2" s="71"/>
      <c r="AU2" s="71"/>
      <c r="AV2" s="71"/>
      <c r="AW2" s="71"/>
      <c r="AX2" s="71"/>
      <c r="AY2" s="71"/>
      <c r="AZ2" s="71"/>
    </row>
    <row r="3" spans="1:52" s="75" customFormat="1" ht="90" x14ac:dyDescent="0.2">
      <c r="A3" s="64">
        <v>2</v>
      </c>
      <c r="B3" s="64">
        <v>2</v>
      </c>
      <c r="C3" s="63" t="s">
        <v>382</v>
      </c>
      <c r="D3" s="63" t="s">
        <v>383</v>
      </c>
      <c r="E3" s="63">
        <v>2014</v>
      </c>
      <c r="F3" s="64" t="s">
        <v>384</v>
      </c>
      <c r="G3" s="63" t="s">
        <v>385</v>
      </c>
      <c r="H3" s="63" t="s">
        <v>386</v>
      </c>
      <c r="I3" s="63" t="s">
        <v>387</v>
      </c>
      <c r="J3" s="67">
        <f>30*100</f>
        <v>3000</v>
      </c>
      <c r="K3" s="63" t="s">
        <v>388</v>
      </c>
      <c r="L3" s="63" t="s">
        <v>389</v>
      </c>
      <c r="M3" s="63" t="s">
        <v>377</v>
      </c>
      <c r="N3" s="63"/>
      <c r="O3" s="63"/>
      <c r="P3" s="63"/>
      <c r="Q3" s="63"/>
      <c r="R3" s="63"/>
      <c r="S3" s="63"/>
      <c r="T3" s="63"/>
      <c r="U3" s="63" t="s">
        <v>379</v>
      </c>
      <c r="V3" s="63" t="s">
        <v>379</v>
      </c>
      <c r="W3" s="63"/>
      <c r="X3" s="63"/>
      <c r="Y3" s="68" t="s">
        <v>390</v>
      </c>
      <c r="Z3" s="102">
        <f>1/12</f>
        <v>8.3333333333333329E-2</v>
      </c>
      <c r="AA3" s="103">
        <v>3.0000000000000001E-3</v>
      </c>
      <c r="AB3" s="103"/>
      <c r="AC3" s="3">
        <v>2006</v>
      </c>
      <c r="AD3" s="111" t="s">
        <v>391</v>
      </c>
      <c r="AE3" s="111" t="s">
        <v>391</v>
      </c>
      <c r="AF3" s="111" t="s">
        <v>391</v>
      </c>
      <c r="AG3" s="111" t="s">
        <v>391</v>
      </c>
      <c r="AH3" s="63" t="s">
        <v>392</v>
      </c>
      <c r="AI3" s="69">
        <f>(3+15)/2</f>
        <v>9</v>
      </c>
      <c r="AJ3" s="69"/>
      <c r="AK3" s="69"/>
      <c r="AL3" s="69">
        <f t="shared" ref="AL3:AL4" si="0">AVERAGE(AI3:AK3)</f>
        <v>9</v>
      </c>
      <c r="AM3" s="73"/>
      <c r="AN3" s="73"/>
      <c r="AO3" s="73"/>
      <c r="AP3" s="73"/>
      <c r="AQ3" s="73"/>
      <c r="AR3" s="73"/>
      <c r="AS3" s="74"/>
      <c r="AT3" s="74"/>
      <c r="AU3" s="74"/>
      <c r="AV3" s="74"/>
      <c r="AW3" s="74"/>
      <c r="AX3" s="74"/>
      <c r="AY3" s="74"/>
      <c r="AZ3" s="74"/>
    </row>
    <row r="4" spans="1:52" s="75" customFormat="1" ht="90" x14ac:dyDescent="0.2">
      <c r="A4" s="64">
        <v>2</v>
      </c>
      <c r="B4" s="89">
        <v>3</v>
      </c>
      <c r="C4" s="63" t="s">
        <v>382</v>
      </c>
      <c r="D4" s="63" t="s">
        <v>383</v>
      </c>
      <c r="E4" s="63">
        <v>2014</v>
      </c>
      <c r="F4" s="64" t="s">
        <v>384</v>
      </c>
      <c r="G4" s="63" t="s">
        <v>385</v>
      </c>
      <c r="H4" s="63" t="s">
        <v>386</v>
      </c>
      <c r="I4" s="63" t="s">
        <v>387</v>
      </c>
      <c r="J4" s="67">
        <f>30*100</f>
        <v>3000</v>
      </c>
      <c r="K4" s="63" t="s">
        <v>388</v>
      </c>
      <c r="L4" s="63" t="s">
        <v>389</v>
      </c>
      <c r="M4" s="63" t="s">
        <v>377</v>
      </c>
      <c r="N4" s="63"/>
      <c r="O4" s="63"/>
      <c r="P4" s="63"/>
      <c r="Q4" s="63"/>
      <c r="R4" s="63"/>
      <c r="S4" s="63"/>
      <c r="T4" s="63"/>
      <c r="U4" s="63" t="s">
        <v>379</v>
      </c>
      <c r="V4" s="63" t="s">
        <v>379</v>
      </c>
      <c r="W4" s="63"/>
      <c r="X4" s="63"/>
      <c r="Y4" s="68" t="s">
        <v>390</v>
      </c>
      <c r="Z4" s="102">
        <f>5/12</f>
        <v>0.41666666666666669</v>
      </c>
      <c r="AA4" s="103">
        <v>3.0000000000000001E-3</v>
      </c>
      <c r="AB4" s="103"/>
      <c r="AC4" s="3">
        <v>2006</v>
      </c>
      <c r="AD4" s="111" t="s">
        <v>391</v>
      </c>
      <c r="AE4" s="111" t="s">
        <v>391</v>
      </c>
      <c r="AF4" s="111" t="s">
        <v>391</v>
      </c>
      <c r="AG4" s="111" t="s">
        <v>391</v>
      </c>
      <c r="AH4" s="63" t="s">
        <v>393</v>
      </c>
      <c r="AI4" s="69">
        <v>1</v>
      </c>
      <c r="AJ4" s="69"/>
      <c r="AK4" s="69"/>
      <c r="AL4" s="69">
        <f t="shared" si="0"/>
        <v>1</v>
      </c>
      <c r="AM4" s="73"/>
      <c r="AN4" s="73"/>
      <c r="AO4" s="73"/>
      <c r="AP4" s="73"/>
      <c r="AQ4" s="73"/>
      <c r="AR4" s="73"/>
      <c r="AS4" s="74"/>
      <c r="AT4" s="74"/>
      <c r="AU4" s="74"/>
      <c r="AV4" s="74"/>
      <c r="AW4" s="74"/>
      <c r="AX4" s="74"/>
      <c r="AY4" s="74"/>
      <c r="AZ4" s="74"/>
    </row>
    <row r="5" spans="1:52" s="75" customFormat="1" ht="75" x14ac:dyDescent="0.2">
      <c r="A5" s="64">
        <v>3</v>
      </c>
      <c r="B5" s="64">
        <v>4</v>
      </c>
      <c r="C5" s="63" t="s">
        <v>394</v>
      </c>
      <c r="D5" s="66" t="s">
        <v>395</v>
      </c>
      <c r="E5" s="66">
        <v>2007</v>
      </c>
      <c r="F5" s="66"/>
      <c r="G5" s="63" t="s">
        <v>396</v>
      </c>
      <c r="H5" s="63" t="s">
        <v>374</v>
      </c>
      <c r="I5" s="63" t="s">
        <v>397</v>
      </c>
      <c r="J5" s="67"/>
      <c r="K5" s="63"/>
      <c r="L5" s="63" t="s">
        <v>398</v>
      </c>
      <c r="M5" s="63" t="s">
        <v>399</v>
      </c>
      <c r="N5" s="77"/>
      <c r="O5" s="77"/>
      <c r="P5" s="77"/>
      <c r="Q5" s="77"/>
      <c r="R5" s="77"/>
      <c r="S5" s="77"/>
      <c r="T5" s="77"/>
      <c r="U5" s="77"/>
      <c r="V5" s="77"/>
      <c r="W5" s="77"/>
      <c r="X5" s="77"/>
      <c r="Y5" s="62"/>
      <c r="Z5" s="105"/>
      <c r="AA5" s="106"/>
      <c r="AB5" s="107"/>
      <c r="AC5" s="3">
        <v>2006</v>
      </c>
      <c r="AD5" s="111">
        <v>2000000</v>
      </c>
      <c r="AE5" s="111">
        <v>2163339</v>
      </c>
      <c r="AF5" s="111">
        <v>2163339</v>
      </c>
      <c r="AG5" s="111">
        <v>2163339</v>
      </c>
      <c r="AH5" s="63"/>
      <c r="AI5" s="78"/>
      <c r="AJ5" s="69"/>
      <c r="AK5" s="69"/>
      <c r="AL5" s="69"/>
      <c r="AM5" s="73"/>
      <c r="AN5" s="73"/>
      <c r="AO5" s="73"/>
      <c r="AP5" s="73"/>
      <c r="AQ5" s="73"/>
      <c r="AR5" s="73"/>
      <c r="AS5" s="74"/>
      <c r="AT5" s="74"/>
      <c r="AU5" s="74"/>
      <c r="AV5" s="74"/>
      <c r="AW5" s="74"/>
      <c r="AX5" s="74"/>
      <c r="AY5" s="74"/>
      <c r="AZ5" s="74"/>
    </row>
    <row r="6" spans="1:52" s="75" customFormat="1" ht="69.75" customHeight="1" x14ac:dyDescent="0.2">
      <c r="A6" s="64">
        <v>3</v>
      </c>
      <c r="B6" s="64">
        <v>5</v>
      </c>
      <c r="C6" s="63" t="s">
        <v>394</v>
      </c>
      <c r="D6" s="66" t="s">
        <v>395</v>
      </c>
      <c r="E6" s="66">
        <v>2007</v>
      </c>
      <c r="F6" s="66"/>
      <c r="G6" s="63" t="s">
        <v>400</v>
      </c>
      <c r="H6" s="63" t="s">
        <v>374</v>
      </c>
      <c r="I6" s="63" t="s">
        <v>397</v>
      </c>
      <c r="J6" s="67"/>
      <c r="K6" s="63"/>
      <c r="L6" s="63" t="s">
        <v>398</v>
      </c>
      <c r="M6" s="63" t="s">
        <v>399</v>
      </c>
      <c r="N6" s="77"/>
      <c r="O6" s="77"/>
      <c r="P6" s="77"/>
      <c r="Q6" s="77"/>
      <c r="R6" s="77"/>
      <c r="S6" s="77"/>
      <c r="T6" s="77"/>
      <c r="U6" s="77"/>
      <c r="V6" s="77"/>
      <c r="W6" s="77"/>
      <c r="X6" s="77"/>
      <c r="Y6" s="62"/>
      <c r="Z6" s="105"/>
      <c r="AA6" s="106"/>
      <c r="AB6" s="107"/>
      <c r="AC6" s="3">
        <v>2006</v>
      </c>
      <c r="AD6" s="111">
        <v>6500000</v>
      </c>
      <c r="AE6" s="111">
        <v>7030850</v>
      </c>
      <c r="AF6" s="111">
        <v>7030850</v>
      </c>
      <c r="AG6" s="111">
        <v>7030850</v>
      </c>
      <c r="AH6" s="63"/>
      <c r="AI6" s="78"/>
      <c r="AJ6" s="69"/>
      <c r="AK6" s="69"/>
      <c r="AL6" s="69"/>
      <c r="AM6" s="73"/>
      <c r="AN6" s="73"/>
      <c r="AO6" s="73"/>
      <c r="AP6" s="73"/>
      <c r="AQ6" s="73"/>
      <c r="AR6" s="73"/>
      <c r="AS6" s="74"/>
      <c r="AT6" s="74"/>
      <c r="AU6" s="74"/>
      <c r="AV6" s="74"/>
      <c r="AW6" s="74"/>
      <c r="AX6" s="74"/>
      <c r="AY6" s="74"/>
      <c r="AZ6" s="74"/>
    </row>
    <row r="7" spans="1:52" s="82" customFormat="1" ht="168.75" customHeight="1" x14ac:dyDescent="0.2">
      <c r="A7" s="64">
        <v>4</v>
      </c>
      <c r="B7" s="64">
        <v>6</v>
      </c>
      <c r="C7" s="63" t="s">
        <v>401</v>
      </c>
      <c r="D7" s="66" t="s">
        <v>402</v>
      </c>
      <c r="E7" s="66">
        <v>2006</v>
      </c>
      <c r="F7" s="66" t="s">
        <v>403</v>
      </c>
      <c r="G7" s="63" t="s">
        <v>404</v>
      </c>
      <c r="H7" s="65" t="s">
        <v>386</v>
      </c>
      <c r="I7" s="63" t="s">
        <v>405</v>
      </c>
      <c r="J7" s="63">
        <v>82</v>
      </c>
      <c r="K7" s="63" t="s">
        <v>406</v>
      </c>
      <c r="L7" s="63" t="s">
        <v>407</v>
      </c>
      <c r="M7" s="63" t="s">
        <v>377</v>
      </c>
      <c r="N7" s="65"/>
      <c r="O7" s="65"/>
      <c r="P7" s="65"/>
      <c r="Q7" s="65"/>
      <c r="R7" s="65"/>
      <c r="S7" s="65"/>
      <c r="T7" s="65"/>
      <c r="U7" s="65" t="s">
        <v>379</v>
      </c>
      <c r="V7" s="65"/>
      <c r="W7" s="65"/>
      <c r="X7" s="65"/>
      <c r="Y7" s="79" t="s">
        <v>408</v>
      </c>
      <c r="Z7" s="102">
        <v>4</v>
      </c>
      <c r="AA7" s="103">
        <v>1.9681000000000001E-2</v>
      </c>
      <c r="AB7" s="64"/>
      <c r="AC7" s="3">
        <v>2000</v>
      </c>
      <c r="AD7" s="111" t="s">
        <v>391</v>
      </c>
      <c r="AE7" s="111" t="s">
        <v>391</v>
      </c>
      <c r="AF7" s="111" t="s">
        <v>391</v>
      </c>
      <c r="AG7" s="111" t="s">
        <v>391</v>
      </c>
      <c r="AH7" s="63" t="s">
        <v>409</v>
      </c>
      <c r="AI7" s="69"/>
      <c r="AJ7" s="69"/>
      <c r="AK7" s="69">
        <f>25/82*100</f>
        <v>30.487804878048781</v>
      </c>
      <c r="AL7" s="69">
        <f>AVERAGE(AI7:AK7)</f>
        <v>30.487804878048781</v>
      </c>
      <c r="AM7" s="80"/>
      <c r="AN7" s="80"/>
      <c r="AO7" s="80"/>
      <c r="AP7" s="80"/>
      <c r="AQ7" s="80"/>
      <c r="AR7" s="80"/>
      <c r="AS7" s="81"/>
      <c r="AT7" s="81"/>
      <c r="AU7" s="81"/>
      <c r="AV7" s="81"/>
      <c r="AW7" s="81"/>
      <c r="AX7" s="81"/>
      <c r="AY7" s="81"/>
      <c r="AZ7" s="81"/>
    </row>
    <row r="8" spans="1:52" s="85" customFormat="1" ht="131.25" customHeight="1" x14ac:dyDescent="0.2">
      <c r="A8" s="64">
        <v>5</v>
      </c>
      <c r="B8" s="64">
        <v>7</v>
      </c>
      <c r="C8" s="63" t="s">
        <v>410</v>
      </c>
      <c r="D8" s="66" t="s">
        <v>383</v>
      </c>
      <c r="E8" s="66">
        <v>2008</v>
      </c>
      <c r="F8" s="66" t="s">
        <v>411</v>
      </c>
      <c r="G8" s="63" t="s">
        <v>412</v>
      </c>
      <c r="H8" s="66" t="s">
        <v>386</v>
      </c>
      <c r="I8" s="63" t="s">
        <v>413</v>
      </c>
      <c r="J8" s="67">
        <v>60</v>
      </c>
      <c r="K8" s="63" t="s">
        <v>414</v>
      </c>
      <c r="L8" s="63" t="s">
        <v>415</v>
      </c>
      <c r="M8" s="63" t="s">
        <v>377</v>
      </c>
      <c r="N8" s="63" t="s">
        <v>416</v>
      </c>
      <c r="O8" s="63"/>
      <c r="P8" s="63" t="s">
        <v>379</v>
      </c>
      <c r="Q8" s="63"/>
      <c r="R8" s="63"/>
      <c r="S8" s="63"/>
      <c r="T8" s="63"/>
      <c r="U8" s="63" t="s">
        <v>379</v>
      </c>
      <c r="V8" s="63" t="s">
        <v>379</v>
      </c>
      <c r="W8" s="63" t="s">
        <v>379</v>
      </c>
      <c r="X8" s="63"/>
      <c r="Y8" s="68" t="s">
        <v>417</v>
      </c>
      <c r="Z8" s="102">
        <v>5</v>
      </c>
      <c r="AA8" s="103"/>
      <c r="AB8" s="104" t="s">
        <v>418</v>
      </c>
      <c r="AC8" s="112">
        <v>1999</v>
      </c>
      <c r="AD8" s="113">
        <v>1138200</v>
      </c>
      <c r="AE8" s="113">
        <v>1489963.8646563194</v>
      </c>
      <c r="AF8" s="113">
        <v>297992.7729312639</v>
      </c>
      <c r="AG8" s="113">
        <v>297992.7729312639</v>
      </c>
      <c r="AH8" s="63" t="s">
        <v>419</v>
      </c>
      <c r="AI8" s="69"/>
      <c r="AJ8" s="69"/>
      <c r="AK8" s="69">
        <v>25.2</v>
      </c>
      <c r="AL8" s="69">
        <v>25.2</v>
      </c>
      <c r="AM8" s="83"/>
      <c r="AN8" s="83"/>
      <c r="AO8" s="83"/>
      <c r="AP8" s="83"/>
      <c r="AQ8" s="83"/>
      <c r="AR8" s="83"/>
      <c r="AS8" s="84"/>
      <c r="AT8" s="84"/>
      <c r="AU8" s="84"/>
      <c r="AV8" s="84"/>
      <c r="AW8" s="84"/>
      <c r="AX8" s="84"/>
      <c r="AY8" s="84"/>
      <c r="AZ8" s="84"/>
    </row>
    <row r="9" spans="1:52" s="86" customFormat="1" ht="115.5" customHeight="1" x14ac:dyDescent="0.2">
      <c r="A9" s="64">
        <v>6</v>
      </c>
      <c r="B9" s="64">
        <v>8</v>
      </c>
      <c r="C9" s="63" t="s">
        <v>420</v>
      </c>
      <c r="D9" s="66" t="s">
        <v>402</v>
      </c>
      <c r="E9" s="66">
        <v>2011</v>
      </c>
      <c r="F9" s="66" t="s">
        <v>421</v>
      </c>
      <c r="G9" s="66" t="s">
        <v>422</v>
      </c>
      <c r="H9" s="63" t="s">
        <v>386</v>
      </c>
      <c r="I9" s="63" t="s">
        <v>423</v>
      </c>
      <c r="J9" s="63" t="s">
        <v>424</v>
      </c>
      <c r="K9" s="63" t="s">
        <v>425</v>
      </c>
      <c r="L9" s="63" t="s">
        <v>426</v>
      </c>
      <c r="M9" s="63" t="s">
        <v>377</v>
      </c>
      <c r="N9" s="63"/>
      <c r="O9" s="63"/>
      <c r="P9" s="63"/>
      <c r="Q9" s="63"/>
      <c r="R9" s="63"/>
      <c r="S9" s="63"/>
      <c r="T9" s="63"/>
      <c r="U9" s="63"/>
      <c r="V9" s="63"/>
      <c r="W9" s="63"/>
      <c r="X9" s="63"/>
      <c r="Y9" s="68"/>
      <c r="Z9" s="102">
        <v>3</v>
      </c>
      <c r="AA9" s="103"/>
      <c r="AB9" s="64"/>
      <c r="AC9" s="3">
        <v>2009</v>
      </c>
      <c r="AD9" s="111" t="s">
        <v>391</v>
      </c>
      <c r="AE9" s="111" t="s">
        <v>391</v>
      </c>
      <c r="AF9" s="111" t="s">
        <v>391</v>
      </c>
      <c r="AG9" s="111" t="s">
        <v>391</v>
      </c>
      <c r="AH9" s="63" t="s">
        <v>427</v>
      </c>
      <c r="AI9" s="69"/>
      <c r="AJ9" s="69"/>
      <c r="AK9" s="69">
        <f>(70+80)/2</f>
        <v>75</v>
      </c>
      <c r="AL9" s="69">
        <f>AVERAGE(AI9:AK9)</f>
        <v>75</v>
      </c>
    </row>
    <row r="10" spans="1:52" s="87" customFormat="1" ht="93.75" customHeight="1" x14ac:dyDescent="0.2">
      <c r="A10" s="64">
        <v>6</v>
      </c>
      <c r="B10" s="89">
        <v>9</v>
      </c>
      <c r="C10" s="63" t="s">
        <v>420</v>
      </c>
      <c r="D10" s="66" t="s">
        <v>402</v>
      </c>
      <c r="E10" s="66">
        <v>2011</v>
      </c>
      <c r="F10" s="66"/>
      <c r="G10" s="63" t="s">
        <v>428</v>
      </c>
      <c r="H10" s="63" t="s">
        <v>386</v>
      </c>
      <c r="I10" s="63" t="s">
        <v>429</v>
      </c>
      <c r="J10" s="63">
        <v>72</v>
      </c>
      <c r="K10" s="63" t="s">
        <v>430</v>
      </c>
      <c r="L10" s="63" t="s">
        <v>431</v>
      </c>
      <c r="M10" s="63" t="s">
        <v>377</v>
      </c>
      <c r="N10" s="63"/>
      <c r="O10" s="63"/>
      <c r="P10" s="63"/>
      <c r="Q10" s="63"/>
      <c r="R10" s="63"/>
      <c r="S10" s="63"/>
      <c r="T10" s="63"/>
      <c r="U10" s="63"/>
      <c r="V10" s="63"/>
      <c r="W10" s="63"/>
      <c r="X10" s="63"/>
      <c r="Y10" s="68"/>
      <c r="Z10" s="102">
        <v>1</v>
      </c>
      <c r="AA10" s="103"/>
      <c r="AB10" s="64"/>
      <c r="AC10" s="3">
        <v>2010</v>
      </c>
      <c r="AD10" s="111" t="s">
        <v>391</v>
      </c>
      <c r="AE10" s="111" t="s">
        <v>391</v>
      </c>
      <c r="AF10" s="111" t="s">
        <v>391</v>
      </c>
      <c r="AG10" s="111" t="s">
        <v>391</v>
      </c>
      <c r="AH10" s="63" t="s">
        <v>432</v>
      </c>
      <c r="AI10" s="69"/>
      <c r="AJ10" s="69"/>
      <c r="AK10" s="69"/>
      <c r="AL10" s="69"/>
    </row>
    <row r="11" spans="1:52" s="88" customFormat="1" ht="120.75" customHeight="1" x14ac:dyDescent="0.2">
      <c r="A11" s="64">
        <v>7</v>
      </c>
      <c r="B11" s="89">
        <v>10</v>
      </c>
      <c r="C11" s="63" t="s">
        <v>433</v>
      </c>
      <c r="D11" s="66" t="s">
        <v>383</v>
      </c>
      <c r="E11" s="66">
        <v>2010</v>
      </c>
      <c r="F11" s="66">
        <v>2009</v>
      </c>
      <c r="G11" s="63" t="s">
        <v>434</v>
      </c>
      <c r="H11" s="63" t="s">
        <v>386</v>
      </c>
      <c r="I11" s="63" t="s">
        <v>435</v>
      </c>
      <c r="J11" s="63">
        <v>15</v>
      </c>
      <c r="K11" s="63" t="s">
        <v>430</v>
      </c>
      <c r="L11" s="63" t="s">
        <v>389</v>
      </c>
      <c r="M11" s="63" t="s">
        <v>377</v>
      </c>
      <c r="N11" s="65"/>
      <c r="O11" s="65"/>
      <c r="P11" s="65"/>
      <c r="Q11" s="65"/>
      <c r="R11" s="65"/>
      <c r="S11" s="65"/>
      <c r="T11" s="65"/>
      <c r="U11" s="65" t="s">
        <v>379</v>
      </c>
      <c r="V11" s="65" t="s">
        <v>379</v>
      </c>
      <c r="W11" s="65"/>
      <c r="X11" s="65"/>
      <c r="Y11" s="79" t="s">
        <v>436</v>
      </c>
      <c r="Z11" s="102">
        <f>4/12</f>
        <v>0.33333333333333331</v>
      </c>
      <c r="AA11" s="103"/>
      <c r="AB11" s="64"/>
      <c r="AC11" s="3">
        <v>2009</v>
      </c>
      <c r="AD11" s="111"/>
      <c r="AE11" s="111"/>
      <c r="AF11" s="111"/>
      <c r="AG11" s="111"/>
      <c r="AH11" s="63" t="s">
        <v>437</v>
      </c>
      <c r="AI11" s="69">
        <f>100-87</f>
        <v>13</v>
      </c>
      <c r="AJ11" s="69"/>
      <c r="AK11" s="69"/>
      <c r="AL11" s="69">
        <f t="shared" ref="AL11:AL15" si="1">AVERAGE(AI11:AK11)</f>
        <v>13</v>
      </c>
    </row>
    <row r="12" spans="1:52" s="88" customFormat="1" ht="168" customHeight="1" x14ac:dyDescent="0.2">
      <c r="A12" s="89">
        <v>7</v>
      </c>
      <c r="B12" s="64">
        <v>11</v>
      </c>
      <c r="C12" s="63" t="s">
        <v>433</v>
      </c>
      <c r="D12" s="66" t="s">
        <v>383</v>
      </c>
      <c r="E12" s="66">
        <v>2010</v>
      </c>
      <c r="F12" s="66">
        <v>2009</v>
      </c>
      <c r="G12" s="63" t="s">
        <v>438</v>
      </c>
      <c r="H12" s="63" t="s">
        <v>386</v>
      </c>
      <c r="I12" s="63" t="s">
        <v>435</v>
      </c>
      <c r="J12" s="63">
        <v>15</v>
      </c>
      <c r="K12" s="63" t="s">
        <v>430</v>
      </c>
      <c r="L12" s="63" t="s">
        <v>389</v>
      </c>
      <c r="M12" s="63" t="s">
        <v>377</v>
      </c>
      <c r="N12" s="65"/>
      <c r="O12" s="65"/>
      <c r="P12" s="65"/>
      <c r="Q12" s="65"/>
      <c r="R12" s="65"/>
      <c r="S12" s="65"/>
      <c r="T12" s="65"/>
      <c r="U12" s="65" t="s">
        <v>379</v>
      </c>
      <c r="V12" s="65" t="s">
        <v>379</v>
      </c>
      <c r="W12" s="65"/>
      <c r="X12" s="65"/>
      <c r="Y12" s="79" t="s">
        <v>436</v>
      </c>
      <c r="Z12" s="102">
        <f>4/12</f>
        <v>0.33333333333333331</v>
      </c>
      <c r="AA12" s="103"/>
      <c r="AB12" s="64"/>
      <c r="AC12" s="3">
        <v>2009</v>
      </c>
      <c r="AD12" s="111" t="s">
        <v>391</v>
      </c>
      <c r="AE12" s="111" t="s">
        <v>391</v>
      </c>
      <c r="AF12" s="111" t="s">
        <v>391</v>
      </c>
      <c r="AG12" s="111" t="s">
        <v>391</v>
      </c>
      <c r="AH12" s="63" t="s">
        <v>439</v>
      </c>
      <c r="AI12" s="69">
        <f>100-13</f>
        <v>87</v>
      </c>
      <c r="AJ12" s="69"/>
      <c r="AK12" s="69"/>
      <c r="AL12" s="69">
        <f t="shared" si="1"/>
        <v>87</v>
      </c>
    </row>
    <row r="13" spans="1:52" s="88" customFormat="1" ht="93" customHeight="1" x14ac:dyDescent="0.2">
      <c r="A13" s="64">
        <v>7</v>
      </c>
      <c r="B13" s="89">
        <v>12</v>
      </c>
      <c r="C13" s="63" t="s">
        <v>433</v>
      </c>
      <c r="D13" s="66" t="s">
        <v>383</v>
      </c>
      <c r="E13" s="66">
        <v>2010</v>
      </c>
      <c r="F13" s="66">
        <v>2009</v>
      </c>
      <c r="G13" s="63" t="s">
        <v>440</v>
      </c>
      <c r="H13" s="63" t="s">
        <v>386</v>
      </c>
      <c r="I13" s="63" t="s">
        <v>435</v>
      </c>
      <c r="J13" s="63">
        <v>12</v>
      </c>
      <c r="K13" s="63" t="s">
        <v>430</v>
      </c>
      <c r="L13" s="63" t="s">
        <v>389</v>
      </c>
      <c r="M13" s="63" t="s">
        <v>377</v>
      </c>
      <c r="N13" s="65"/>
      <c r="O13" s="65"/>
      <c r="P13" s="65"/>
      <c r="Q13" s="65"/>
      <c r="R13" s="65"/>
      <c r="S13" s="65"/>
      <c r="T13" s="65"/>
      <c r="U13" s="65" t="s">
        <v>379</v>
      </c>
      <c r="V13" s="65" t="s">
        <v>379</v>
      </c>
      <c r="W13" s="65"/>
      <c r="X13" s="65"/>
      <c r="Y13" s="79" t="s">
        <v>436</v>
      </c>
      <c r="Z13" s="102">
        <f>4/12</f>
        <v>0.33333333333333331</v>
      </c>
      <c r="AA13" s="103"/>
      <c r="AB13" s="64"/>
      <c r="AC13" s="3">
        <v>2009</v>
      </c>
      <c r="AD13" s="111" t="s">
        <v>391</v>
      </c>
      <c r="AE13" s="111" t="s">
        <v>391</v>
      </c>
      <c r="AF13" s="111" t="s">
        <v>391</v>
      </c>
      <c r="AG13" s="111" t="s">
        <v>391</v>
      </c>
      <c r="AH13" s="63" t="s">
        <v>441</v>
      </c>
      <c r="AI13" s="69">
        <f>100-8</f>
        <v>92</v>
      </c>
      <c r="AJ13" s="69"/>
      <c r="AK13" s="69"/>
      <c r="AL13" s="69">
        <f t="shared" si="1"/>
        <v>92</v>
      </c>
    </row>
    <row r="14" spans="1:52" s="88" customFormat="1" ht="108" customHeight="1" x14ac:dyDescent="0.2">
      <c r="A14" s="64">
        <v>7</v>
      </c>
      <c r="B14" s="64">
        <v>13</v>
      </c>
      <c r="C14" s="63" t="s">
        <v>433</v>
      </c>
      <c r="D14" s="66" t="s">
        <v>383</v>
      </c>
      <c r="E14" s="66">
        <v>2010</v>
      </c>
      <c r="F14" s="66">
        <v>2009</v>
      </c>
      <c r="G14" s="63" t="s">
        <v>442</v>
      </c>
      <c r="H14" s="63" t="s">
        <v>386</v>
      </c>
      <c r="I14" s="63" t="s">
        <v>435</v>
      </c>
      <c r="J14" s="63">
        <v>12</v>
      </c>
      <c r="K14" s="63" t="s">
        <v>430</v>
      </c>
      <c r="L14" s="63" t="s">
        <v>389</v>
      </c>
      <c r="M14" s="63" t="s">
        <v>377</v>
      </c>
      <c r="N14" s="65"/>
      <c r="O14" s="65"/>
      <c r="P14" s="65"/>
      <c r="Q14" s="65"/>
      <c r="R14" s="65"/>
      <c r="S14" s="65"/>
      <c r="T14" s="65"/>
      <c r="U14" s="65" t="s">
        <v>379</v>
      </c>
      <c r="V14" s="65" t="s">
        <v>379</v>
      </c>
      <c r="W14" s="65"/>
      <c r="X14" s="65"/>
      <c r="Y14" s="79" t="s">
        <v>436</v>
      </c>
      <c r="Z14" s="102">
        <f>4/12</f>
        <v>0.33333333333333331</v>
      </c>
      <c r="AA14" s="103"/>
      <c r="AB14" s="64"/>
      <c r="AC14" s="3">
        <v>2009</v>
      </c>
      <c r="AD14" s="111" t="s">
        <v>391</v>
      </c>
      <c r="AE14" s="111" t="s">
        <v>391</v>
      </c>
      <c r="AF14" s="111" t="s">
        <v>391</v>
      </c>
      <c r="AG14" s="111" t="s">
        <v>391</v>
      </c>
      <c r="AH14" s="63" t="s">
        <v>443</v>
      </c>
      <c r="AI14" s="69">
        <v>100</v>
      </c>
      <c r="AJ14" s="69"/>
      <c r="AK14" s="69"/>
      <c r="AL14" s="69">
        <f t="shared" si="1"/>
        <v>100</v>
      </c>
    </row>
    <row r="15" spans="1:52" s="88" customFormat="1" ht="108" customHeight="1" x14ac:dyDescent="0.2">
      <c r="A15" s="64">
        <v>8</v>
      </c>
      <c r="B15" s="64">
        <v>14</v>
      </c>
      <c r="C15" s="63" t="s">
        <v>444</v>
      </c>
      <c r="D15" s="66" t="s">
        <v>402</v>
      </c>
      <c r="E15" s="66">
        <v>2010</v>
      </c>
      <c r="F15" s="66" t="s">
        <v>445</v>
      </c>
      <c r="G15" s="66" t="s">
        <v>446</v>
      </c>
      <c r="H15" s="65" t="s">
        <v>386</v>
      </c>
      <c r="I15" s="63" t="s">
        <v>435</v>
      </c>
      <c r="J15" s="63">
        <v>96</v>
      </c>
      <c r="K15" s="63" t="s">
        <v>447</v>
      </c>
      <c r="L15" s="63" t="s">
        <v>448</v>
      </c>
      <c r="M15" s="63" t="s">
        <v>377</v>
      </c>
      <c r="N15" s="65"/>
      <c r="O15" s="65"/>
      <c r="P15" s="65"/>
      <c r="Q15" s="65"/>
      <c r="R15" s="65"/>
      <c r="S15" s="65"/>
      <c r="T15" s="65"/>
      <c r="U15" s="65" t="s">
        <v>379</v>
      </c>
      <c r="V15" s="65"/>
      <c r="W15" s="65"/>
      <c r="X15" s="65"/>
      <c r="Y15" s="79" t="s">
        <v>449</v>
      </c>
      <c r="Z15" s="102">
        <v>2</v>
      </c>
      <c r="AA15" s="103"/>
      <c r="AB15" s="64"/>
      <c r="AC15" s="3">
        <v>2009</v>
      </c>
      <c r="AD15" s="111" t="s">
        <v>391</v>
      </c>
      <c r="AE15" s="111" t="s">
        <v>391</v>
      </c>
      <c r="AF15" s="111" t="s">
        <v>391</v>
      </c>
      <c r="AG15" s="111" t="s">
        <v>391</v>
      </c>
      <c r="AH15" s="63" t="s">
        <v>450</v>
      </c>
      <c r="AI15" s="69"/>
      <c r="AJ15" s="69">
        <f>(24.7+32.2)/2</f>
        <v>28.450000000000003</v>
      </c>
      <c r="AK15" s="69"/>
      <c r="AL15" s="69">
        <f t="shared" si="1"/>
        <v>28.450000000000003</v>
      </c>
    </row>
    <row r="16" spans="1:52" s="88" customFormat="1" ht="147.75" customHeight="1" x14ac:dyDescent="0.2">
      <c r="A16" s="64">
        <v>9</v>
      </c>
      <c r="B16" s="89">
        <v>15</v>
      </c>
      <c r="C16" s="63" t="s">
        <v>451</v>
      </c>
      <c r="D16" s="63" t="s">
        <v>383</v>
      </c>
      <c r="E16" s="63">
        <v>2001</v>
      </c>
      <c r="F16" s="64">
        <v>1995</v>
      </c>
      <c r="G16" s="63" t="s">
        <v>452</v>
      </c>
      <c r="H16" s="63" t="s">
        <v>374</v>
      </c>
      <c r="I16" s="66" t="s">
        <v>453</v>
      </c>
      <c r="J16" s="67"/>
      <c r="K16" s="63"/>
      <c r="L16" s="63" t="s">
        <v>454</v>
      </c>
      <c r="M16" s="63" t="s">
        <v>377</v>
      </c>
      <c r="N16" s="63" t="s">
        <v>455</v>
      </c>
      <c r="O16" s="63"/>
      <c r="P16" s="63" t="s">
        <v>379</v>
      </c>
      <c r="Q16" s="63"/>
      <c r="R16" s="63"/>
      <c r="S16" s="63" t="s">
        <v>379</v>
      </c>
      <c r="T16" s="63"/>
      <c r="U16" s="63"/>
      <c r="V16" s="63"/>
      <c r="W16" s="63"/>
      <c r="X16" s="63"/>
      <c r="Y16" s="68"/>
      <c r="Z16" s="102"/>
      <c r="AA16" s="103">
        <v>0.161</v>
      </c>
      <c r="AB16" s="103">
        <v>621500</v>
      </c>
      <c r="AC16" s="3">
        <v>1995</v>
      </c>
      <c r="AD16" s="111">
        <v>3860248</v>
      </c>
      <c r="AE16" s="111">
        <v>5523887</v>
      </c>
      <c r="AF16" s="111">
        <v>5523887</v>
      </c>
      <c r="AG16" s="111">
        <v>5523887</v>
      </c>
      <c r="AH16" s="63"/>
      <c r="AI16" s="69"/>
      <c r="AJ16" s="69"/>
      <c r="AK16" s="69"/>
      <c r="AL16" s="69"/>
    </row>
    <row r="17" spans="1:52" s="88" customFormat="1" ht="141.75" customHeight="1" x14ac:dyDescent="0.2">
      <c r="A17" s="64">
        <v>9</v>
      </c>
      <c r="B17" s="64">
        <v>16</v>
      </c>
      <c r="C17" s="63" t="s">
        <v>451</v>
      </c>
      <c r="D17" s="63" t="s">
        <v>383</v>
      </c>
      <c r="E17" s="63">
        <v>2001</v>
      </c>
      <c r="F17" s="64">
        <v>1995</v>
      </c>
      <c r="G17" s="63" t="s">
        <v>456</v>
      </c>
      <c r="H17" s="63" t="s">
        <v>374</v>
      </c>
      <c r="I17" s="66" t="s">
        <v>453</v>
      </c>
      <c r="J17" s="67"/>
      <c r="K17" s="63"/>
      <c r="L17" s="63" t="s">
        <v>457</v>
      </c>
      <c r="M17" s="63" t="s">
        <v>377</v>
      </c>
      <c r="N17" s="63" t="s">
        <v>458</v>
      </c>
      <c r="O17" s="63"/>
      <c r="P17" s="63" t="s">
        <v>379</v>
      </c>
      <c r="Q17" s="63"/>
      <c r="R17" s="63"/>
      <c r="S17" s="63" t="s">
        <v>379</v>
      </c>
      <c r="T17" s="63"/>
      <c r="U17" s="63"/>
      <c r="V17" s="63"/>
      <c r="W17" s="63"/>
      <c r="X17" s="63"/>
      <c r="Y17" s="68"/>
      <c r="Z17" s="102"/>
      <c r="AA17" s="103">
        <v>0.30730000000000002</v>
      </c>
      <c r="AB17" s="103">
        <v>314500</v>
      </c>
      <c r="AC17" s="3">
        <v>1995</v>
      </c>
      <c r="AD17" s="111">
        <v>1023430</v>
      </c>
      <c r="AE17" s="111">
        <v>1464494</v>
      </c>
      <c r="AF17" s="111">
        <v>1464494</v>
      </c>
      <c r="AG17" s="111">
        <v>1464495</v>
      </c>
      <c r="AH17" s="63"/>
      <c r="AI17" s="69"/>
      <c r="AJ17" s="69"/>
      <c r="AK17" s="69"/>
      <c r="AL17" s="69"/>
    </row>
    <row r="18" spans="1:52" s="74" customFormat="1" ht="75" x14ac:dyDescent="0.2">
      <c r="A18" s="89">
        <v>10</v>
      </c>
      <c r="B18" s="64">
        <v>17</v>
      </c>
      <c r="C18" s="63" t="s">
        <v>459</v>
      </c>
      <c r="D18" s="63" t="s">
        <v>383</v>
      </c>
      <c r="E18" s="76">
        <v>2005</v>
      </c>
      <c r="F18" s="89"/>
      <c r="G18" s="63" t="s">
        <v>460</v>
      </c>
      <c r="H18" s="63" t="s">
        <v>386</v>
      </c>
      <c r="I18" s="65" t="s">
        <v>405</v>
      </c>
      <c r="J18" s="67">
        <v>271</v>
      </c>
      <c r="K18" s="76"/>
      <c r="L18" s="76" t="s">
        <v>71</v>
      </c>
      <c r="M18" s="76" t="s">
        <v>377</v>
      </c>
      <c r="N18" s="76"/>
      <c r="O18" s="76"/>
      <c r="P18" s="76"/>
      <c r="Q18" s="76"/>
      <c r="R18" s="76"/>
      <c r="S18" s="76"/>
      <c r="T18" s="76"/>
      <c r="U18" s="76"/>
      <c r="V18" s="76"/>
      <c r="W18" s="76"/>
      <c r="X18" s="76"/>
      <c r="Y18" s="90"/>
      <c r="Z18" s="108">
        <f>27/12</f>
        <v>2.25</v>
      </c>
      <c r="AA18" s="109"/>
      <c r="AB18" s="110"/>
      <c r="AC18" s="3">
        <v>2004</v>
      </c>
      <c r="AD18" s="111" t="s">
        <v>391</v>
      </c>
      <c r="AE18" s="111" t="s">
        <v>391</v>
      </c>
      <c r="AF18" s="111" t="s">
        <v>391</v>
      </c>
      <c r="AG18" s="111" t="s">
        <v>391</v>
      </c>
      <c r="AH18" s="63"/>
      <c r="AI18" s="91"/>
      <c r="AJ18" s="91"/>
      <c r="AK18" s="91">
        <f>100-8.2</f>
        <v>91.8</v>
      </c>
      <c r="AL18" s="69">
        <f t="shared" ref="AL18:AL27" si="2">AVERAGE(AI18:AK18)</f>
        <v>91.8</v>
      </c>
      <c r="AM18" s="73"/>
      <c r="AN18" s="73"/>
      <c r="AO18" s="73"/>
      <c r="AP18" s="73"/>
      <c r="AQ18" s="73"/>
      <c r="AR18" s="73"/>
    </row>
    <row r="19" spans="1:52" s="74" customFormat="1" ht="57" customHeight="1" x14ac:dyDescent="0.2">
      <c r="A19" s="89">
        <v>11</v>
      </c>
      <c r="B19" s="64">
        <v>18</v>
      </c>
      <c r="C19" s="63" t="s">
        <v>461</v>
      </c>
      <c r="D19" s="66" t="s">
        <v>383</v>
      </c>
      <c r="E19" s="66">
        <v>2012</v>
      </c>
      <c r="F19" s="66">
        <v>2010</v>
      </c>
      <c r="G19" s="63" t="s">
        <v>462</v>
      </c>
      <c r="H19" s="65" t="s">
        <v>386</v>
      </c>
      <c r="I19" s="65" t="s">
        <v>423</v>
      </c>
      <c r="J19" s="63"/>
      <c r="K19" s="63" t="s">
        <v>430</v>
      </c>
      <c r="L19" s="63" t="s">
        <v>463</v>
      </c>
      <c r="M19" s="63" t="s">
        <v>377</v>
      </c>
      <c r="N19" s="65"/>
      <c r="O19" s="65"/>
      <c r="P19" s="65"/>
      <c r="Q19" s="65"/>
      <c r="R19" s="65"/>
      <c r="S19" s="65"/>
      <c r="T19" s="65"/>
      <c r="U19" s="65" t="s">
        <v>379</v>
      </c>
      <c r="V19" s="65" t="s">
        <v>379</v>
      </c>
      <c r="W19" s="65" t="s">
        <v>379</v>
      </c>
      <c r="X19" s="65"/>
      <c r="Y19" s="79" t="s">
        <v>464</v>
      </c>
      <c r="Z19" s="102"/>
      <c r="AA19" s="103"/>
      <c r="AB19" s="64"/>
      <c r="AC19" s="3">
        <v>2010</v>
      </c>
      <c r="AD19" s="111" t="s">
        <v>391</v>
      </c>
      <c r="AE19" s="111" t="s">
        <v>391</v>
      </c>
      <c r="AF19" s="111" t="s">
        <v>391</v>
      </c>
      <c r="AG19" s="111" t="s">
        <v>391</v>
      </c>
      <c r="AH19" s="63" t="s">
        <v>465</v>
      </c>
      <c r="AI19" s="69"/>
      <c r="AJ19" s="69">
        <v>33.260869565217298</v>
      </c>
      <c r="AK19" s="69"/>
      <c r="AL19" s="69">
        <f t="shared" si="2"/>
        <v>33.260869565217298</v>
      </c>
      <c r="AM19" s="73"/>
      <c r="AN19" s="73"/>
      <c r="AO19" s="73"/>
      <c r="AP19" s="73"/>
      <c r="AQ19" s="73"/>
      <c r="AR19" s="73"/>
    </row>
    <row r="20" spans="1:52" s="74" customFormat="1" ht="144" x14ac:dyDescent="0.2">
      <c r="A20" s="64">
        <v>11</v>
      </c>
      <c r="B20" s="64">
        <v>19</v>
      </c>
      <c r="C20" s="63" t="s">
        <v>461</v>
      </c>
      <c r="D20" s="66" t="s">
        <v>383</v>
      </c>
      <c r="E20" s="66">
        <v>2012</v>
      </c>
      <c r="F20" s="66">
        <v>2010</v>
      </c>
      <c r="G20" s="63" t="s">
        <v>466</v>
      </c>
      <c r="H20" s="65" t="s">
        <v>386</v>
      </c>
      <c r="I20" s="65" t="s">
        <v>423</v>
      </c>
      <c r="J20" s="63"/>
      <c r="K20" s="63" t="s">
        <v>430</v>
      </c>
      <c r="L20" s="63" t="s">
        <v>463</v>
      </c>
      <c r="M20" s="63" t="s">
        <v>377</v>
      </c>
      <c r="N20" s="65"/>
      <c r="O20" s="65"/>
      <c r="P20" s="65"/>
      <c r="Q20" s="65"/>
      <c r="R20" s="65"/>
      <c r="S20" s="65"/>
      <c r="T20" s="65"/>
      <c r="U20" s="65" t="s">
        <v>379</v>
      </c>
      <c r="V20" s="65" t="s">
        <v>379</v>
      </c>
      <c r="W20" s="65" t="s">
        <v>379</v>
      </c>
      <c r="X20" s="65"/>
      <c r="Y20" s="79" t="s">
        <v>464</v>
      </c>
      <c r="Z20" s="102"/>
      <c r="AA20" s="103"/>
      <c r="AB20" s="64"/>
      <c r="AC20" s="3">
        <v>2010</v>
      </c>
      <c r="AD20" s="111" t="s">
        <v>391</v>
      </c>
      <c r="AE20" s="111" t="s">
        <v>391</v>
      </c>
      <c r="AF20" s="111" t="s">
        <v>391</v>
      </c>
      <c r="AG20" s="111" t="s">
        <v>391</v>
      </c>
      <c r="AH20" s="63" t="s">
        <v>467</v>
      </c>
      <c r="AI20" s="69"/>
      <c r="AJ20" s="69">
        <v>37.391304347826001</v>
      </c>
      <c r="AK20" s="69"/>
      <c r="AL20" s="69">
        <f t="shared" si="2"/>
        <v>37.391304347826001</v>
      </c>
      <c r="AM20" s="73"/>
      <c r="AN20" s="73"/>
      <c r="AO20" s="73"/>
      <c r="AP20" s="73"/>
      <c r="AQ20" s="73"/>
      <c r="AR20" s="73"/>
    </row>
    <row r="21" spans="1:52" s="74" customFormat="1" ht="144" x14ac:dyDescent="0.2">
      <c r="A21" s="89">
        <v>11</v>
      </c>
      <c r="B21" s="64">
        <v>20</v>
      </c>
      <c r="C21" s="63" t="s">
        <v>461</v>
      </c>
      <c r="D21" s="66" t="s">
        <v>383</v>
      </c>
      <c r="E21" s="66">
        <v>2012</v>
      </c>
      <c r="F21" s="66">
        <v>2010</v>
      </c>
      <c r="G21" s="63" t="s">
        <v>468</v>
      </c>
      <c r="H21" s="65" t="s">
        <v>386</v>
      </c>
      <c r="I21" s="65" t="s">
        <v>423</v>
      </c>
      <c r="J21" s="63"/>
      <c r="K21" s="63" t="s">
        <v>430</v>
      </c>
      <c r="L21" s="63" t="s">
        <v>463</v>
      </c>
      <c r="M21" s="63" t="s">
        <v>377</v>
      </c>
      <c r="N21" s="65"/>
      <c r="O21" s="65"/>
      <c r="P21" s="65"/>
      <c r="Q21" s="65"/>
      <c r="R21" s="65"/>
      <c r="S21" s="65"/>
      <c r="T21" s="65"/>
      <c r="U21" s="65" t="s">
        <v>379</v>
      </c>
      <c r="V21" s="65" t="s">
        <v>379</v>
      </c>
      <c r="W21" s="65" t="s">
        <v>379</v>
      </c>
      <c r="X21" s="65"/>
      <c r="Y21" s="79" t="s">
        <v>464</v>
      </c>
      <c r="Z21" s="102"/>
      <c r="AA21" s="103"/>
      <c r="AB21" s="64"/>
      <c r="AC21" s="3">
        <v>2010</v>
      </c>
      <c r="AD21" s="111" t="s">
        <v>391</v>
      </c>
      <c r="AE21" s="111" t="s">
        <v>391</v>
      </c>
      <c r="AF21" s="111" t="s">
        <v>391</v>
      </c>
      <c r="AG21" s="111" t="s">
        <v>391</v>
      </c>
      <c r="AH21" s="63" t="s">
        <v>469</v>
      </c>
      <c r="AI21" s="69"/>
      <c r="AJ21" s="69">
        <v>80</v>
      </c>
      <c r="AK21" s="69"/>
      <c r="AL21" s="69">
        <f t="shared" si="2"/>
        <v>80</v>
      </c>
      <c r="AM21" s="73"/>
      <c r="AN21" s="73"/>
      <c r="AO21" s="73"/>
      <c r="AP21" s="73"/>
      <c r="AQ21" s="73"/>
      <c r="AR21" s="73"/>
    </row>
    <row r="22" spans="1:52" s="74" customFormat="1" ht="144" x14ac:dyDescent="0.2">
      <c r="A22" s="64">
        <v>11</v>
      </c>
      <c r="B22" s="89">
        <v>21</v>
      </c>
      <c r="C22" s="63" t="s">
        <v>461</v>
      </c>
      <c r="D22" s="66" t="s">
        <v>383</v>
      </c>
      <c r="E22" s="66">
        <v>2012</v>
      </c>
      <c r="F22" s="66">
        <v>2010</v>
      </c>
      <c r="G22" s="63" t="s">
        <v>470</v>
      </c>
      <c r="H22" s="65" t="s">
        <v>386</v>
      </c>
      <c r="I22" s="65" t="s">
        <v>423</v>
      </c>
      <c r="J22" s="63"/>
      <c r="K22" s="63" t="s">
        <v>430</v>
      </c>
      <c r="L22" s="63" t="s">
        <v>463</v>
      </c>
      <c r="M22" s="63" t="s">
        <v>377</v>
      </c>
      <c r="N22" s="65"/>
      <c r="O22" s="65"/>
      <c r="P22" s="65"/>
      <c r="Q22" s="65"/>
      <c r="R22" s="65"/>
      <c r="S22" s="65"/>
      <c r="T22" s="65"/>
      <c r="U22" s="65" t="s">
        <v>379</v>
      </c>
      <c r="V22" s="65" t="s">
        <v>379</v>
      </c>
      <c r="W22" s="65" t="s">
        <v>379</v>
      </c>
      <c r="X22" s="65"/>
      <c r="Y22" s="79" t="s">
        <v>464</v>
      </c>
      <c r="Z22" s="102"/>
      <c r="AA22" s="103"/>
      <c r="AB22" s="64"/>
      <c r="AC22" s="3">
        <v>2010</v>
      </c>
      <c r="AD22" s="111" t="s">
        <v>391</v>
      </c>
      <c r="AE22" s="111" t="s">
        <v>391</v>
      </c>
      <c r="AF22" s="111" t="s">
        <v>391</v>
      </c>
      <c r="AG22" s="111" t="s">
        <v>391</v>
      </c>
      <c r="AH22" s="63" t="s">
        <v>471</v>
      </c>
      <c r="AI22" s="69"/>
      <c r="AJ22" s="69">
        <v>4.5652173913043299</v>
      </c>
      <c r="AK22" s="69"/>
      <c r="AL22" s="69">
        <f t="shared" si="2"/>
        <v>4.5652173913043299</v>
      </c>
      <c r="AM22" s="73"/>
      <c r="AN22" s="73"/>
      <c r="AO22" s="73"/>
      <c r="AP22" s="73"/>
      <c r="AQ22" s="73"/>
      <c r="AR22" s="73"/>
    </row>
    <row r="23" spans="1:52" s="74" customFormat="1" ht="144" x14ac:dyDescent="0.2">
      <c r="A23" s="64">
        <v>11</v>
      </c>
      <c r="B23" s="64">
        <v>22</v>
      </c>
      <c r="C23" s="63" t="s">
        <v>461</v>
      </c>
      <c r="D23" s="66" t="s">
        <v>383</v>
      </c>
      <c r="E23" s="66">
        <v>2012</v>
      </c>
      <c r="F23" s="66">
        <v>2010</v>
      </c>
      <c r="G23" s="63" t="s">
        <v>472</v>
      </c>
      <c r="H23" s="65" t="s">
        <v>386</v>
      </c>
      <c r="I23" s="65" t="s">
        <v>423</v>
      </c>
      <c r="J23" s="63"/>
      <c r="K23" s="63" t="s">
        <v>430</v>
      </c>
      <c r="L23" s="63" t="s">
        <v>463</v>
      </c>
      <c r="M23" s="63" t="s">
        <v>377</v>
      </c>
      <c r="N23" s="65"/>
      <c r="O23" s="65"/>
      <c r="P23" s="65"/>
      <c r="Q23" s="65"/>
      <c r="R23" s="65"/>
      <c r="S23" s="65"/>
      <c r="T23" s="65"/>
      <c r="U23" s="65" t="s">
        <v>379</v>
      </c>
      <c r="V23" s="65" t="s">
        <v>379</v>
      </c>
      <c r="W23" s="65" t="s">
        <v>379</v>
      </c>
      <c r="X23" s="65"/>
      <c r="Y23" s="79" t="s">
        <v>464</v>
      </c>
      <c r="Z23" s="102"/>
      <c r="AA23" s="103"/>
      <c r="AB23" s="64"/>
      <c r="AC23" s="3">
        <v>2010</v>
      </c>
      <c r="AD23" s="111" t="s">
        <v>391</v>
      </c>
      <c r="AE23" s="111" t="s">
        <v>391</v>
      </c>
      <c r="AF23" s="111" t="s">
        <v>391</v>
      </c>
      <c r="AG23" s="111" t="s">
        <v>391</v>
      </c>
      <c r="AH23" s="63" t="s">
        <v>473</v>
      </c>
      <c r="AI23" s="69"/>
      <c r="AJ23" s="69">
        <v>50.2173913043478</v>
      </c>
      <c r="AK23" s="69"/>
      <c r="AL23" s="69">
        <f t="shared" si="2"/>
        <v>50.2173913043478</v>
      </c>
      <c r="AM23" s="73"/>
      <c r="AN23" s="73"/>
      <c r="AO23" s="73"/>
      <c r="AP23" s="73"/>
      <c r="AQ23" s="73"/>
      <c r="AR23" s="73"/>
    </row>
    <row r="24" spans="1:52" s="74" customFormat="1" ht="183.75" customHeight="1" x14ac:dyDescent="0.2">
      <c r="A24" s="89">
        <v>11</v>
      </c>
      <c r="B24" s="89">
        <v>23</v>
      </c>
      <c r="C24" s="63" t="s">
        <v>461</v>
      </c>
      <c r="D24" s="66" t="s">
        <v>383</v>
      </c>
      <c r="E24" s="66">
        <v>2012</v>
      </c>
      <c r="F24" s="66">
        <v>2010</v>
      </c>
      <c r="G24" s="63" t="s">
        <v>474</v>
      </c>
      <c r="H24" s="65" t="s">
        <v>386</v>
      </c>
      <c r="I24" s="65" t="s">
        <v>423</v>
      </c>
      <c r="J24" s="63"/>
      <c r="K24" s="63" t="s">
        <v>430</v>
      </c>
      <c r="L24" s="63" t="s">
        <v>463</v>
      </c>
      <c r="M24" s="63" t="s">
        <v>377</v>
      </c>
      <c r="N24" s="65"/>
      <c r="O24" s="65"/>
      <c r="P24" s="65"/>
      <c r="Q24" s="65"/>
      <c r="R24" s="65"/>
      <c r="S24" s="65"/>
      <c r="T24" s="65"/>
      <c r="U24" s="65" t="s">
        <v>379</v>
      </c>
      <c r="V24" s="65" t="s">
        <v>379</v>
      </c>
      <c r="W24" s="65" t="s">
        <v>379</v>
      </c>
      <c r="X24" s="65"/>
      <c r="Y24" s="79" t="s">
        <v>464</v>
      </c>
      <c r="Z24" s="102"/>
      <c r="AA24" s="103"/>
      <c r="AB24" s="64"/>
      <c r="AC24" s="3">
        <v>2010</v>
      </c>
      <c r="AD24" s="111" t="s">
        <v>391</v>
      </c>
      <c r="AE24" s="111" t="s">
        <v>391</v>
      </c>
      <c r="AF24" s="111" t="s">
        <v>391</v>
      </c>
      <c r="AG24" s="111" t="s">
        <v>391</v>
      </c>
      <c r="AH24" s="63" t="s">
        <v>475</v>
      </c>
      <c r="AI24" s="69"/>
      <c r="AJ24" s="69">
        <v>100</v>
      </c>
      <c r="AK24" s="69"/>
      <c r="AL24" s="69">
        <f t="shared" si="2"/>
        <v>100</v>
      </c>
      <c r="AM24" s="73"/>
      <c r="AN24" s="73"/>
      <c r="AO24" s="73"/>
      <c r="AP24" s="73"/>
      <c r="AQ24" s="73"/>
      <c r="AR24" s="73"/>
    </row>
    <row r="25" spans="1:52" s="74" customFormat="1" ht="199.5" customHeight="1" x14ac:dyDescent="0.2">
      <c r="A25" s="64">
        <v>11</v>
      </c>
      <c r="B25" s="64">
        <v>24</v>
      </c>
      <c r="C25" s="63" t="s">
        <v>461</v>
      </c>
      <c r="D25" s="66" t="s">
        <v>383</v>
      </c>
      <c r="E25" s="66">
        <v>2012</v>
      </c>
      <c r="F25" s="66">
        <v>2010</v>
      </c>
      <c r="G25" s="63" t="s">
        <v>476</v>
      </c>
      <c r="H25" s="65" t="s">
        <v>386</v>
      </c>
      <c r="I25" s="65" t="s">
        <v>423</v>
      </c>
      <c r="J25" s="63"/>
      <c r="K25" s="63" t="s">
        <v>430</v>
      </c>
      <c r="L25" s="63" t="s">
        <v>463</v>
      </c>
      <c r="M25" s="63" t="s">
        <v>377</v>
      </c>
      <c r="N25" s="65"/>
      <c r="O25" s="65"/>
      <c r="P25" s="65"/>
      <c r="Q25" s="65"/>
      <c r="R25" s="65"/>
      <c r="S25" s="65"/>
      <c r="T25" s="65"/>
      <c r="U25" s="65" t="s">
        <v>379</v>
      </c>
      <c r="V25" s="65" t="s">
        <v>379</v>
      </c>
      <c r="W25" s="65" t="s">
        <v>379</v>
      </c>
      <c r="X25" s="65"/>
      <c r="Y25" s="79" t="s">
        <v>464</v>
      </c>
      <c r="Z25" s="102"/>
      <c r="AA25" s="103"/>
      <c r="AB25" s="64"/>
      <c r="AC25" s="3">
        <v>2010</v>
      </c>
      <c r="AD25" s="111" t="s">
        <v>391</v>
      </c>
      <c r="AE25" s="111" t="s">
        <v>391</v>
      </c>
      <c r="AF25" s="111" t="s">
        <v>391</v>
      </c>
      <c r="AG25" s="111" t="s">
        <v>391</v>
      </c>
      <c r="AH25" s="63" t="s">
        <v>477</v>
      </c>
      <c r="AI25" s="69"/>
      <c r="AJ25" s="69">
        <v>0</v>
      </c>
      <c r="AK25" s="69"/>
      <c r="AL25" s="69">
        <f t="shared" si="2"/>
        <v>0</v>
      </c>
      <c r="AM25" s="73"/>
      <c r="AN25" s="73"/>
      <c r="AO25" s="73"/>
      <c r="AP25" s="73"/>
      <c r="AQ25" s="73"/>
      <c r="AR25" s="73"/>
    </row>
    <row r="26" spans="1:52" s="74" customFormat="1" ht="108.75" customHeight="1" x14ac:dyDescent="0.2">
      <c r="A26" s="64">
        <v>11</v>
      </c>
      <c r="B26" s="64">
        <v>25</v>
      </c>
      <c r="C26" s="63" t="s">
        <v>461</v>
      </c>
      <c r="D26" s="66" t="s">
        <v>383</v>
      </c>
      <c r="E26" s="66">
        <v>2012</v>
      </c>
      <c r="F26" s="66">
        <v>2010</v>
      </c>
      <c r="G26" s="63" t="s">
        <v>478</v>
      </c>
      <c r="H26" s="65" t="s">
        <v>386</v>
      </c>
      <c r="I26" s="65" t="s">
        <v>423</v>
      </c>
      <c r="J26" s="63"/>
      <c r="K26" s="63" t="s">
        <v>430</v>
      </c>
      <c r="L26" s="63" t="s">
        <v>463</v>
      </c>
      <c r="M26" s="63" t="s">
        <v>377</v>
      </c>
      <c r="N26" s="65"/>
      <c r="O26" s="65"/>
      <c r="P26" s="65"/>
      <c r="Q26" s="65"/>
      <c r="R26" s="65"/>
      <c r="S26" s="65"/>
      <c r="T26" s="65"/>
      <c r="U26" s="65" t="s">
        <v>379</v>
      </c>
      <c r="V26" s="65" t="s">
        <v>379</v>
      </c>
      <c r="W26" s="65" t="s">
        <v>379</v>
      </c>
      <c r="X26" s="65"/>
      <c r="Y26" s="79" t="s">
        <v>464</v>
      </c>
      <c r="Z26" s="102"/>
      <c r="AA26" s="103"/>
      <c r="AB26" s="64"/>
      <c r="AC26" s="3">
        <v>2010</v>
      </c>
      <c r="AD26" s="111" t="s">
        <v>391</v>
      </c>
      <c r="AE26" s="111" t="s">
        <v>391</v>
      </c>
      <c r="AF26" s="111" t="s">
        <v>391</v>
      </c>
      <c r="AG26" s="111" t="s">
        <v>391</v>
      </c>
      <c r="AH26" s="63" t="s">
        <v>479</v>
      </c>
      <c r="AI26" s="69"/>
      <c r="AJ26" s="69">
        <v>45</v>
      </c>
      <c r="AK26" s="69"/>
      <c r="AL26" s="69">
        <f t="shared" si="2"/>
        <v>45</v>
      </c>
      <c r="AM26" s="73"/>
      <c r="AN26" s="73"/>
      <c r="AO26" s="73"/>
      <c r="AP26" s="73"/>
      <c r="AQ26" s="73"/>
      <c r="AR26" s="73"/>
    </row>
    <row r="27" spans="1:52" s="74" customFormat="1" ht="105" customHeight="1" x14ac:dyDescent="0.2">
      <c r="A27" s="89">
        <v>11</v>
      </c>
      <c r="B27" s="64">
        <v>26</v>
      </c>
      <c r="C27" s="63" t="s">
        <v>461</v>
      </c>
      <c r="D27" s="66" t="s">
        <v>383</v>
      </c>
      <c r="E27" s="66">
        <v>2012</v>
      </c>
      <c r="F27" s="66">
        <v>2010</v>
      </c>
      <c r="G27" s="63" t="s">
        <v>480</v>
      </c>
      <c r="H27" s="65" t="s">
        <v>386</v>
      </c>
      <c r="I27" s="65" t="s">
        <v>423</v>
      </c>
      <c r="J27" s="63"/>
      <c r="K27" s="63" t="s">
        <v>430</v>
      </c>
      <c r="L27" s="63" t="s">
        <v>463</v>
      </c>
      <c r="M27" s="63" t="s">
        <v>377</v>
      </c>
      <c r="N27" s="65"/>
      <c r="O27" s="65"/>
      <c r="P27" s="65"/>
      <c r="Q27" s="65"/>
      <c r="R27" s="65"/>
      <c r="S27" s="65"/>
      <c r="T27" s="65"/>
      <c r="U27" s="65" t="s">
        <v>379</v>
      </c>
      <c r="V27" s="65" t="s">
        <v>379</v>
      </c>
      <c r="W27" s="65" t="s">
        <v>379</v>
      </c>
      <c r="X27" s="65"/>
      <c r="Y27" s="79" t="s">
        <v>464</v>
      </c>
      <c r="Z27" s="102"/>
      <c r="AA27" s="103"/>
      <c r="AB27" s="64"/>
      <c r="AC27" s="3">
        <v>2010</v>
      </c>
      <c r="AD27" s="111"/>
      <c r="AE27" s="111"/>
      <c r="AF27" s="111"/>
      <c r="AG27" s="111"/>
      <c r="AH27" s="63" t="s">
        <v>481</v>
      </c>
      <c r="AI27" s="69"/>
      <c r="AJ27" s="69">
        <v>100</v>
      </c>
      <c r="AK27" s="69"/>
      <c r="AL27" s="69">
        <f t="shared" si="2"/>
        <v>100</v>
      </c>
      <c r="AM27" s="73"/>
      <c r="AN27" s="73"/>
      <c r="AO27" s="73"/>
      <c r="AP27" s="73"/>
      <c r="AQ27" s="73"/>
      <c r="AR27" s="73"/>
    </row>
    <row r="28" spans="1:52" s="74" customFormat="1" ht="105" x14ac:dyDescent="0.2">
      <c r="A28" s="64">
        <v>12</v>
      </c>
      <c r="B28" s="64">
        <v>27</v>
      </c>
      <c r="C28" s="63" t="s">
        <v>482</v>
      </c>
      <c r="D28" s="66" t="s">
        <v>483</v>
      </c>
      <c r="E28" s="66">
        <v>2007</v>
      </c>
      <c r="F28" s="66">
        <v>2002</v>
      </c>
      <c r="G28" s="63" t="s">
        <v>484</v>
      </c>
      <c r="H28" s="66" t="s">
        <v>374</v>
      </c>
      <c r="I28" s="66" t="s">
        <v>453</v>
      </c>
      <c r="J28" s="67" t="s">
        <v>485</v>
      </c>
      <c r="K28" s="63" t="s">
        <v>486</v>
      </c>
      <c r="L28" s="63" t="s">
        <v>487</v>
      </c>
      <c r="M28" s="63" t="s">
        <v>377</v>
      </c>
      <c r="N28" s="63"/>
      <c r="O28" s="63"/>
      <c r="P28" s="63"/>
      <c r="Q28" s="63"/>
      <c r="R28" s="63"/>
      <c r="S28" s="63"/>
      <c r="T28" s="63"/>
      <c r="U28" s="63" t="s">
        <v>379</v>
      </c>
      <c r="V28" s="63"/>
      <c r="W28" s="63"/>
      <c r="X28" s="63"/>
      <c r="Y28" s="68" t="s">
        <v>488</v>
      </c>
      <c r="Z28" s="102">
        <f>1/12*2</f>
        <v>0.16666666666666666</v>
      </c>
      <c r="AA28" s="103">
        <v>0.64749702720000002</v>
      </c>
      <c r="AB28" s="104">
        <f>6.275*1000000</f>
        <v>6275000</v>
      </c>
      <c r="AC28" s="3">
        <v>2002</v>
      </c>
      <c r="AD28" s="111">
        <v>9691164</v>
      </c>
      <c r="AE28" s="111">
        <v>11700000</v>
      </c>
      <c r="AF28" s="111">
        <v>58700000</v>
      </c>
      <c r="AG28" s="111">
        <v>58700000</v>
      </c>
      <c r="AH28" s="65"/>
      <c r="AI28" s="92"/>
      <c r="AJ28" s="92"/>
      <c r="AK28" s="92"/>
      <c r="AL28" s="69"/>
      <c r="AM28" s="73"/>
      <c r="AN28" s="73"/>
      <c r="AO28" s="73"/>
      <c r="AP28" s="73"/>
      <c r="AQ28" s="73"/>
      <c r="AR28" s="73"/>
    </row>
    <row r="29" spans="1:52" s="74" customFormat="1" ht="79.5" customHeight="1" x14ac:dyDescent="0.2">
      <c r="A29" s="64">
        <v>13</v>
      </c>
      <c r="B29" s="64">
        <v>28</v>
      </c>
      <c r="C29" s="63" t="s">
        <v>489</v>
      </c>
      <c r="D29" s="66" t="s">
        <v>490</v>
      </c>
      <c r="E29" s="66">
        <v>2000</v>
      </c>
      <c r="F29" s="66"/>
      <c r="G29" s="63" t="s">
        <v>491</v>
      </c>
      <c r="H29" s="63" t="s">
        <v>374</v>
      </c>
      <c r="I29" s="63" t="s">
        <v>492</v>
      </c>
      <c r="J29" s="67"/>
      <c r="K29" s="63"/>
      <c r="L29" s="63" t="s">
        <v>493</v>
      </c>
      <c r="M29" s="63" t="s">
        <v>377</v>
      </c>
      <c r="N29" s="63"/>
      <c r="O29" s="63"/>
      <c r="P29" s="63"/>
      <c r="Q29" s="63"/>
      <c r="R29" s="63"/>
      <c r="S29" s="63"/>
      <c r="T29" s="63"/>
      <c r="U29" s="63"/>
      <c r="V29" s="63"/>
      <c r="W29" s="63"/>
      <c r="X29" s="63"/>
      <c r="Y29" s="68"/>
      <c r="Z29" s="102"/>
      <c r="AA29" s="103">
        <v>3.4500000000000003E-2</v>
      </c>
      <c r="AB29" s="104"/>
      <c r="AC29" s="3">
        <v>1999</v>
      </c>
      <c r="AD29" s="111" t="s">
        <v>391</v>
      </c>
      <c r="AE29" s="111" t="s">
        <v>391</v>
      </c>
      <c r="AF29" s="111" t="s">
        <v>391</v>
      </c>
      <c r="AG29" s="111" t="s">
        <v>391</v>
      </c>
      <c r="AH29" s="63"/>
      <c r="AI29" s="69"/>
      <c r="AJ29" s="69"/>
      <c r="AK29" s="69"/>
      <c r="AL29" s="69"/>
      <c r="AM29" s="73"/>
      <c r="AN29" s="73"/>
      <c r="AO29" s="73"/>
      <c r="AP29" s="73"/>
      <c r="AQ29" s="73"/>
      <c r="AR29" s="73"/>
    </row>
    <row r="30" spans="1:52" s="74" customFormat="1" ht="120.75" customHeight="1" x14ac:dyDescent="0.2">
      <c r="A30" s="64">
        <v>13</v>
      </c>
      <c r="B30" s="64">
        <v>29</v>
      </c>
      <c r="C30" s="63" t="s">
        <v>489</v>
      </c>
      <c r="D30" s="66" t="s">
        <v>490</v>
      </c>
      <c r="E30" s="66">
        <v>2000</v>
      </c>
      <c r="F30" s="66"/>
      <c r="G30" s="63" t="s">
        <v>494</v>
      </c>
      <c r="H30" s="66" t="s">
        <v>495</v>
      </c>
      <c r="I30" s="66" t="s">
        <v>496</v>
      </c>
      <c r="J30" s="67"/>
      <c r="K30" s="63"/>
      <c r="L30" s="63" t="s">
        <v>493</v>
      </c>
      <c r="M30" s="63" t="s">
        <v>377</v>
      </c>
      <c r="N30" s="63" t="s">
        <v>497</v>
      </c>
      <c r="O30" s="63" t="s">
        <v>379</v>
      </c>
      <c r="P30" s="63"/>
      <c r="Q30" s="63"/>
      <c r="R30" s="63" t="s">
        <v>379</v>
      </c>
      <c r="S30" s="63"/>
      <c r="T30" s="63"/>
      <c r="U30" s="63"/>
      <c r="V30" s="63"/>
      <c r="W30" s="63"/>
      <c r="X30" s="63"/>
      <c r="Y30" s="68"/>
      <c r="Z30" s="102"/>
      <c r="AA30" s="103">
        <v>0.30730000000000002</v>
      </c>
      <c r="AB30" s="104">
        <f>1.66*1000000</f>
        <v>1660000</v>
      </c>
      <c r="AC30" s="3">
        <v>1991</v>
      </c>
      <c r="AD30" s="111">
        <v>5401887</v>
      </c>
      <c r="AE30" s="111">
        <v>8648923</v>
      </c>
      <c r="AF30" s="111">
        <v>8648923</v>
      </c>
      <c r="AG30" s="111">
        <v>8648923</v>
      </c>
      <c r="AH30" s="63"/>
      <c r="AI30" s="69"/>
      <c r="AJ30" s="69"/>
      <c r="AK30" s="69"/>
      <c r="AL30" s="69"/>
      <c r="AM30" s="73"/>
      <c r="AN30" s="73"/>
      <c r="AO30" s="73"/>
      <c r="AP30" s="73"/>
      <c r="AQ30" s="73"/>
      <c r="AR30" s="73"/>
    </row>
    <row r="31" spans="1:52" s="74" customFormat="1" ht="100.5" customHeight="1" x14ac:dyDescent="0.2">
      <c r="A31" s="89">
        <v>13</v>
      </c>
      <c r="B31" s="89">
        <v>30</v>
      </c>
      <c r="C31" s="63" t="s">
        <v>489</v>
      </c>
      <c r="D31" s="66" t="s">
        <v>490</v>
      </c>
      <c r="E31" s="66">
        <v>2000</v>
      </c>
      <c r="F31" s="66"/>
      <c r="G31" s="63" t="s">
        <v>498</v>
      </c>
      <c r="H31" s="66" t="s">
        <v>495</v>
      </c>
      <c r="I31" s="66" t="s">
        <v>496</v>
      </c>
      <c r="J31" s="67"/>
      <c r="K31" s="63"/>
      <c r="L31" s="63" t="s">
        <v>493</v>
      </c>
      <c r="M31" s="63" t="s">
        <v>377</v>
      </c>
      <c r="N31" s="63" t="s">
        <v>499</v>
      </c>
      <c r="O31" s="63"/>
      <c r="P31" s="63" t="s">
        <v>379</v>
      </c>
      <c r="Q31" s="63"/>
      <c r="R31" s="63"/>
      <c r="S31" s="63" t="s">
        <v>379</v>
      </c>
      <c r="T31" s="63"/>
      <c r="U31" s="63"/>
      <c r="V31" s="63"/>
      <c r="W31" s="63"/>
      <c r="X31" s="63"/>
      <c r="Y31" s="68"/>
      <c r="Z31" s="102"/>
      <c r="AA31" s="103">
        <v>3.4500000000000003E-2</v>
      </c>
      <c r="AB31" s="104">
        <f>3.76*1000000</f>
        <v>3760000</v>
      </c>
      <c r="AC31" s="3">
        <v>1999</v>
      </c>
      <c r="AD31" s="111">
        <v>109000000</v>
      </c>
      <c r="AE31" s="111">
        <v>143000000</v>
      </c>
      <c r="AF31" s="111">
        <v>143000000</v>
      </c>
      <c r="AG31" s="111">
        <v>143000000</v>
      </c>
      <c r="AH31" s="65"/>
      <c r="AI31" s="92"/>
      <c r="AJ31" s="92"/>
      <c r="AK31" s="92"/>
      <c r="AL31" s="69"/>
      <c r="AM31" s="73"/>
      <c r="AN31" s="73"/>
      <c r="AO31" s="73"/>
      <c r="AP31" s="73"/>
      <c r="AQ31" s="73"/>
      <c r="AR31" s="73"/>
    </row>
    <row r="32" spans="1:52" s="82" customFormat="1" ht="105" x14ac:dyDescent="0.2">
      <c r="A32" s="89">
        <v>14</v>
      </c>
      <c r="B32" s="64">
        <v>31</v>
      </c>
      <c r="C32" s="63" t="s">
        <v>500</v>
      </c>
      <c r="D32" s="66" t="s">
        <v>383</v>
      </c>
      <c r="E32" s="66">
        <v>2010</v>
      </c>
      <c r="F32" s="66">
        <v>2006</v>
      </c>
      <c r="G32" s="63" t="s">
        <v>501</v>
      </c>
      <c r="H32" s="65" t="s">
        <v>386</v>
      </c>
      <c r="I32" s="63" t="s">
        <v>413</v>
      </c>
      <c r="J32" s="63">
        <v>18</v>
      </c>
      <c r="K32" s="63" t="s">
        <v>406</v>
      </c>
      <c r="L32" s="63" t="s">
        <v>389</v>
      </c>
      <c r="M32" s="63" t="s">
        <v>377</v>
      </c>
      <c r="N32" s="65"/>
      <c r="O32" s="65"/>
      <c r="P32" s="65"/>
      <c r="Q32" s="65"/>
      <c r="R32" s="65"/>
      <c r="S32" s="65"/>
      <c r="T32" s="65"/>
      <c r="U32" s="65" t="s">
        <v>379</v>
      </c>
      <c r="V32" s="65"/>
      <c r="W32" s="65"/>
      <c r="X32" s="65"/>
      <c r="Y32" s="79" t="s">
        <v>502</v>
      </c>
      <c r="Z32" s="102">
        <f>11/12</f>
        <v>0.91666666666666663</v>
      </c>
      <c r="AA32" s="103"/>
      <c r="AB32" s="64"/>
      <c r="AC32" s="3">
        <v>2006</v>
      </c>
      <c r="AD32" s="111" t="s">
        <v>391</v>
      </c>
      <c r="AE32" s="111" t="s">
        <v>391</v>
      </c>
      <c r="AF32" s="111" t="s">
        <v>391</v>
      </c>
      <c r="AG32" s="111" t="s">
        <v>391</v>
      </c>
      <c r="AH32" s="63" t="s">
        <v>503</v>
      </c>
      <c r="AI32" s="69"/>
      <c r="AJ32" s="69"/>
      <c r="AK32" s="69">
        <f>8/18*100</f>
        <v>44.444444444444443</v>
      </c>
      <c r="AL32" s="69">
        <f t="shared" ref="AL32:AL34" si="3">AVERAGE(AI32:AK32)</f>
        <v>44.444444444444443</v>
      </c>
      <c r="AM32" s="80"/>
      <c r="AN32" s="80"/>
      <c r="AO32" s="80"/>
      <c r="AP32" s="80"/>
      <c r="AQ32" s="80"/>
      <c r="AR32" s="80"/>
      <c r="AS32" s="81"/>
      <c r="AT32" s="81"/>
      <c r="AU32" s="81"/>
      <c r="AV32" s="81"/>
      <c r="AW32" s="81"/>
      <c r="AX32" s="81"/>
      <c r="AY32" s="81"/>
      <c r="AZ32" s="81"/>
    </row>
    <row r="33" spans="1:52" s="82" customFormat="1" ht="105" x14ac:dyDescent="0.2">
      <c r="A33" s="89">
        <v>14</v>
      </c>
      <c r="B33" s="89">
        <v>32</v>
      </c>
      <c r="C33" s="63" t="s">
        <v>500</v>
      </c>
      <c r="D33" s="66" t="s">
        <v>383</v>
      </c>
      <c r="E33" s="66">
        <v>2010</v>
      </c>
      <c r="F33" s="66">
        <v>2006</v>
      </c>
      <c r="G33" s="63" t="s">
        <v>504</v>
      </c>
      <c r="H33" s="65" t="s">
        <v>386</v>
      </c>
      <c r="I33" s="63" t="s">
        <v>413</v>
      </c>
      <c r="J33" s="63">
        <v>18</v>
      </c>
      <c r="K33" s="63" t="s">
        <v>406</v>
      </c>
      <c r="L33" s="63" t="s">
        <v>389</v>
      </c>
      <c r="M33" s="63" t="s">
        <v>377</v>
      </c>
      <c r="N33" s="65"/>
      <c r="O33" s="65"/>
      <c r="P33" s="65"/>
      <c r="Q33" s="65"/>
      <c r="R33" s="65"/>
      <c r="S33" s="65"/>
      <c r="T33" s="65"/>
      <c r="U33" s="65" t="s">
        <v>379</v>
      </c>
      <c r="V33" s="65"/>
      <c r="W33" s="65"/>
      <c r="X33" s="65"/>
      <c r="Y33" s="79" t="s">
        <v>502</v>
      </c>
      <c r="Z33" s="102">
        <f>11/12</f>
        <v>0.91666666666666663</v>
      </c>
      <c r="AA33" s="103"/>
      <c r="AB33" s="64"/>
      <c r="AC33" s="3">
        <v>2006</v>
      </c>
      <c r="AD33" s="111" t="s">
        <v>391</v>
      </c>
      <c r="AE33" s="111" t="s">
        <v>391</v>
      </c>
      <c r="AF33" s="111" t="s">
        <v>391</v>
      </c>
      <c r="AG33" s="111" t="s">
        <v>391</v>
      </c>
      <c r="AH33" s="63" t="s">
        <v>503</v>
      </c>
      <c r="AI33" s="69"/>
      <c r="AJ33" s="69"/>
      <c r="AK33" s="69">
        <f>10/18*100</f>
        <v>55.555555555555557</v>
      </c>
      <c r="AL33" s="69">
        <f t="shared" si="3"/>
        <v>55.555555555555557</v>
      </c>
      <c r="AM33" s="80"/>
      <c r="AN33" s="80"/>
      <c r="AO33" s="80"/>
      <c r="AP33" s="80"/>
      <c r="AQ33" s="80"/>
      <c r="AR33" s="80"/>
      <c r="AS33" s="81"/>
      <c r="AT33" s="81"/>
      <c r="AU33" s="81"/>
      <c r="AV33" s="81"/>
      <c r="AW33" s="81"/>
      <c r="AX33" s="81"/>
      <c r="AY33" s="81"/>
      <c r="AZ33" s="81"/>
    </row>
    <row r="34" spans="1:52" s="82" customFormat="1" ht="252" customHeight="1" x14ac:dyDescent="0.2">
      <c r="A34" s="89">
        <v>14</v>
      </c>
      <c r="B34" s="64">
        <v>33</v>
      </c>
      <c r="C34" s="63" t="s">
        <v>500</v>
      </c>
      <c r="D34" s="66" t="s">
        <v>383</v>
      </c>
      <c r="E34" s="66">
        <v>2010</v>
      </c>
      <c r="F34" s="66">
        <v>2006</v>
      </c>
      <c r="G34" s="63" t="s">
        <v>505</v>
      </c>
      <c r="H34" s="65" t="s">
        <v>386</v>
      </c>
      <c r="I34" s="63" t="s">
        <v>413</v>
      </c>
      <c r="J34" s="63">
        <v>18</v>
      </c>
      <c r="K34" s="63" t="s">
        <v>406</v>
      </c>
      <c r="L34" s="63" t="s">
        <v>389</v>
      </c>
      <c r="M34" s="63" t="s">
        <v>377</v>
      </c>
      <c r="N34" s="65"/>
      <c r="O34" s="65"/>
      <c r="P34" s="65"/>
      <c r="Q34" s="65"/>
      <c r="R34" s="65"/>
      <c r="S34" s="65"/>
      <c r="T34" s="65"/>
      <c r="U34" s="65" t="s">
        <v>379</v>
      </c>
      <c r="V34" s="65"/>
      <c r="W34" s="65"/>
      <c r="X34" s="65"/>
      <c r="Y34" s="79" t="s">
        <v>502</v>
      </c>
      <c r="Z34" s="102">
        <f>11/12</f>
        <v>0.91666666666666663</v>
      </c>
      <c r="AA34" s="103"/>
      <c r="AB34" s="64"/>
      <c r="AC34" s="3">
        <v>2006</v>
      </c>
      <c r="AD34" s="111" t="s">
        <v>391</v>
      </c>
      <c r="AE34" s="111" t="s">
        <v>391</v>
      </c>
      <c r="AF34" s="111" t="s">
        <v>391</v>
      </c>
      <c r="AG34" s="111" t="s">
        <v>391</v>
      </c>
      <c r="AH34" s="63" t="s">
        <v>503</v>
      </c>
      <c r="AI34" s="69"/>
      <c r="AJ34" s="69"/>
      <c r="AK34" s="69">
        <f>0/18*100</f>
        <v>0</v>
      </c>
      <c r="AL34" s="69">
        <f t="shared" si="3"/>
        <v>0</v>
      </c>
      <c r="AM34" s="80"/>
      <c r="AN34" s="80"/>
      <c r="AO34" s="80"/>
      <c r="AP34" s="80"/>
      <c r="AQ34" s="80"/>
      <c r="AR34" s="80"/>
      <c r="AS34" s="81"/>
      <c r="AT34" s="81"/>
      <c r="AU34" s="81"/>
      <c r="AV34" s="81"/>
      <c r="AW34" s="81"/>
      <c r="AX34" s="81"/>
      <c r="AY34" s="81"/>
      <c r="AZ34" s="81"/>
    </row>
    <row r="37" spans="1:52" x14ac:dyDescent="0.2">
      <c r="AH37" s="94" t="s">
        <v>510</v>
      </c>
    </row>
    <row r="38" spans="1:52" x14ac:dyDescent="0.2">
      <c r="Y38" s="114" t="s">
        <v>506</v>
      </c>
      <c r="Z38" s="116">
        <v>1.38</v>
      </c>
      <c r="AA38" s="116">
        <f>AVERAGE(AA2:AA34)</f>
        <v>0.15779780271999999</v>
      </c>
      <c r="AB38" s="115">
        <f>AVERAGE(AB2:AB34)</f>
        <v>2282933.3333333335</v>
      </c>
      <c r="AC38" s="117">
        <v>2005</v>
      </c>
      <c r="AD38" s="115">
        <f>AVERAGE(AD2:AD30)</f>
        <v>5916567.125</v>
      </c>
      <c r="AE38" s="115">
        <f>AVERAGE(AE2:AE30)</f>
        <v>8015182.1080820402</v>
      </c>
      <c r="AF38" s="115">
        <f>AVERAGE(AF2:AF30)</f>
        <v>13741185.721616408</v>
      </c>
      <c r="AG38" s="115">
        <f>AVERAGE(AG2:AG30)</f>
        <v>13741185.846616408</v>
      </c>
      <c r="AH38" s="119">
        <f>AE38/10000</f>
        <v>801.518210808204</v>
      </c>
    </row>
    <row r="43" spans="1:52" x14ac:dyDescent="0.2">
      <c r="AC43" s="142" t="s">
        <v>510</v>
      </c>
      <c r="AD43" s="142"/>
      <c r="AE43" s="143" t="s">
        <v>513</v>
      </c>
      <c r="AF43" s="143"/>
    </row>
    <row r="44" spans="1:52" x14ac:dyDescent="0.2">
      <c r="Y44" s="114" t="s">
        <v>507</v>
      </c>
      <c r="AA44" s="120" t="s">
        <v>509</v>
      </c>
      <c r="AB44" s="120" t="s">
        <v>508</v>
      </c>
      <c r="AC44" s="121">
        <f>3*20</f>
        <v>60</v>
      </c>
      <c r="AD44" s="121">
        <f>3*30</f>
        <v>90</v>
      </c>
      <c r="AE44" s="122">
        <f>AC44*10000</f>
        <v>600000</v>
      </c>
      <c r="AF44" s="122">
        <f>AD44*10000</f>
        <v>900000</v>
      </c>
    </row>
    <row r="45" spans="1:52" x14ac:dyDescent="0.2">
      <c r="AC45" s="3" t="s">
        <v>511</v>
      </c>
      <c r="AD45" s="3" t="s">
        <v>512</v>
      </c>
      <c r="AE45" s="3" t="s">
        <v>511</v>
      </c>
      <c r="AF45" s="3" t="s">
        <v>512</v>
      </c>
    </row>
  </sheetData>
  <mergeCells count="2">
    <mergeCell ref="AC43:AD43"/>
    <mergeCell ref="AE43:AF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Coral Restoration Groups</vt:lpstr>
      <vt:lpstr>Grey Infrastructure</vt:lpstr>
      <vt:lpstr>Mangrove Restoration Groups</vt:lpstr>
      <vt:lpstr>IDB and World Bank</vt:lpstr>
      <vt:lpstr>Components of Restoration Cost</vt:lpstr>
      <vt:lpstr>For Fall 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 Elkin</cp:lastModifiedBy>
  <dcterms:created xsi:type="dcterms:W3CDTF">2018-07-12T22:35:07Z</dcterms:created>
  <dcterms:modified xsi:type="dcterms:W3CDTF">2018-12-04T20:36:54Z</dcterms:modified>
</cp:coreProperties>
</file>