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D:\GitHub\PROYECTO-FINANCE\"/>
    </mc:Choice>
  </mc:AlternateContent>
  <xr:revisionPtr revIDLastSave="0" documentId="13_ncr:1_{AFF71A3A-B64C-4865-8683-B20BCAB24074}" xr6:coauthVersionLast="47" xr6:coauthVersionMax="47" xr10:uidLastSave="{00000000-0000-0000-0000-000000000000}"/>
  <bookViews>
    <workbookView xWindow="-108" yWindow="-108" windowWidth="23256" windowHeight="13896" tabRatio="852" activeTab="4" xr2:uid="{24D5B02F-DC37-474E-95DC-9BB873F625CB}"/>
  </bookViews>
  <sheets>
    <sheet name="SASS pendientes o rechazadas" sheetId="21" r:id="rId1"/>
    <sheet name="SASS 2023" sheetId="19" r:id="rId2"/>
    <sheet name="SASS 2024" sheetId="2" r:id="rId3"/>
    <sheet name="GASTOS" sheetId="4" r:id="rId4"/>
    <sheet name="NUEVO PAGO" sheetId="22" r:id="rId5"/>
    <sheet name="Prestamo Eduardo" sheetId="20" r:id="rId6"/>
    <sheet name="NUEVO PAGO (2)" sheetId="2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22" l="1"/>
  <c r="K20" i="22"/>
  <c r="L12" i="22"/>
  <c r="O20" i="22"/>
  <c r="O19" i="22"/>
  <c r="O17" i="22"/>
  <c r="F1" i="22"/>
  <c r="G2" i="22"/>
  <c r="G1" i="22"/>
  <c r="F31" i="22"/>
  <c r="F30" i="22"/>
  <c r="P48" i="22" l="1"/>
  <c r="S50" i="22"/>
  <c r="B7" i="23"/>
  <c r="P44" i="22" l="1"/>
  <c r="P41" i="22"/>
  <c r="B1" i="23"/>
  <c r="B7" i="22" l="1"/>
  <c r="D7" i="22" l="1"/>
  <c r="F7" i="23" l="1"/>
  <c r="D7" i="23"/>
  <c r="B1" i="22" l="1"/>
  <c r="D10" i="22" l="1"/>
  <c r="K3" i="22" l="1"/>
  <c r="M34" i="22" l="1"/>
  <c r="L35" i="22" s="1"/>
  <c r="L37" i="22" s="1"/>
  <c r="L38" i="22" s="1"/>
  <c r="F1" i="23" l="1"/>
  <c r="H7" i="22" l="1"/>
  <c r="N15" i="22" l="1"/>
  <c r="N39" i="4" l="1"/>
  <c r="O27" i="20" l="1"/>
  <c r="L27" i="20"/>
  <c r="L26" i="20"/>
  <c r="K26" i="20"/>
  <c r="S2" i="22" l="1"/>
  <c r="R31" i="22" l="1"/>
  <c r="J17" i="20" l="1"/>
  <c r="B9" i="22" l="1"/>
  <c r="F20" i="22" l="1"/>
  <c r="S31" i="22"/>
  <c r="N70" i="4" l="1"/>
  <c r="D30" i="22" l="1"/>
  <c r="L30" i="22" l="1"/>
  <c r="L32" i="22" s="1"/>
  <c r="B9" i="23" l="1"/>
  <c r="D9" i="23" s="1"/>
  <c r="Q10" i="23" l="1"/>
  <c r="L22" i="22" l="1"/>
  <c r="G20" i="22"/>
  <c r="H11" i="22"/>
  <c r="H14" i="22"/>
  <c r="H17" i="22"/>
  <c r="D20" i="22"/>
  <c r="F32" i="22"/>
  <c r="F33" i="22" s="1"/>
  <c r="O12" i="22"/>
  <c r="P2" i="22" s="1"/>
  <c r="P3" i="22" s="1"/>
  <c r="P4" i="22" s="1"/>
  <c r="P5" i="22" s="1"/>
  <c r="P6" i="22" s="1"/>
  <c r="P7" i="22" s="1"/>
  <c r="P8" i="22" s="1"/>
  <c r="P9" i="22" s="1"/>
  <c r="P10" i="22" s="1"/>
  <c r="P11" i="22" s="1"/>
  <c r="D30" i="23"/>
  <c r="E20" i="23"/>
  <c r="F9" i="23"/>
  <c r="H9" i="23"/>
  <c r="H10" i="22"/>
  <c r="H12" i="22"/>
  <c r="H13" i="22"/>
  <c r="H15" i="22"/>
  <c r="H16" i="22"/>
  <c r="H18" i="22"/>
  <c r="H6" i="23"/>
  <c r="H7" i="23"/>
  <c r="H8" i="23"/>
  <c r="D35" i="23"/>
  <c r="Q32" i="23"/>
  <c r="P32" i="23"/>
  <c r="L31" i="23"/>
  <c r="F30" i="23"/>
  <c r="H29" i="23"/>
  <c r="H27" i="23"/>
  <c r="H26" i="23"/>
  <c r="H25" i="23"/>
  <c r="H24" i="23"/>
  <c r="H23" i="23"/>
  <c r="P22" i="23"/>
  <c r="P23" i="23" s="1"/>
  <c r="P21" i="23"/>
  <c r="G20" i="23"/>
  <c r="C20" i="23"/>
  <c r="L19" i="23"/>
  <c r="I19" i="23"/>
  <c r="H19" i="23"/>
  <c r="I18" i="23"/>
  <c r="H18" i="23"/>
  <c r="I17" i="23"/>
  <c r="H17" i="23"/>
  <c r="I16" i="23"/>
  <c r="H16" i="23"/>
  <c r="I15" i="23"/>
  <c r="H15" i="23"/>
  <c r="I14" i="23"/>
  <c r="H14" i="23"/>
  <c r="I13" i="23"/>
  <c r="I12" i="23"/>
  <c r="H12" i="23"/>
  <c r="I11" i="23"/>
  <c r="I10" i="23"/>
  <c r="D10" i="23"/>
  <c r="H10" i="23" s="1"/>
  <c r="I9" i="23"/>
  <c r="B20" i="23"/>
  <c r="I7" i="23"/>
  <c r="I6" i="23"/>
  <c r="Q4" i="23"/>
  <c r="S17" i="23"/>
  <c r="C1" i="23"/>
  <c r="F20" i="23"/>
  <c r="F31" i="23" s="1"/>
  <c r="I8" i="23"/>
  <c r="S5" i="4"/>
  <c r="D35" i="22"/>
  <c r="H17" i="20"/>
  <c r="I8" i="22"/>
  <c r="H24" i="22"/>
  <c r="H25" i="22"/>
  <c r="H26" i="22"/>
  <c r="H27" i="22"/>
  <c r="H29" i="22"/>
  <c r="H23" i="22"/>
  <c r="I7" i="22"/>
  <c r="I9" i="22"/>
  <c r="I10" i="22"/>
  <c r="I11" i="22"/>
  <c r="I12" i="22"/>
  <c r="I13" i="22"/>
  <c r="I14" i="22"/>
  <c r="I15" i="22"/>
  <c r="I16" i="22"/>
  <c r="I17" i="22"/>
  <c r="I18" i="22"/>
  <c r="I19" i="22"/>
  <c r="D9" i="4"/>
  <c r="B20" i="22"/>
  <c r="C20" i="22"/>
  <c r="I8" i="4"/>
  <c r="J8" i="4" s="1"/>
  <c r="B10" i="4"/>
  <c r="D10" i="4" s="1"/>
  <c r="D21" i="4" s="1"/>
  <c r="G4" i="4" s="1"/>
  <c r="H4" i="4" s="1"/>
  <c r="A37" i="4"/>
  <c r="B37" i="4" s="1"/>
  <c r="C37" i="4" s="1"/>
  <c r="N19" i="4"/>
  <c r="N20" i="4" s="1"/>
  <c r="N21" i="4" s="1"/>
  <c r="N22" i="4" s="1"/>
  <c r="N23" i="4" s="1"/>
  <c r="N24" i="4" s="1"/>
  <c r="N25" i="4" s="1"/>
  <c r="N26" i="4" s="1"/>
  <c r="B39" i="4"/>
  <c r="B40" i="4"/>
  <c r="B41" i="4" s="1"/>
  <c r="G40" i="4"/>
  <c r="I40" i="4" s="1"/>
  <c r="H40" i="4" s="1"/>
  <c r="G41" i="4"/>
  <c r="I41" i="4" s="1"/>
  <c r="H41" i="4" s="1"/>
  <c r="G42" i="4"/>
  <c r="I42" i="4" s="1"/>
  <c r="H42" i="4" s="1"/>
  <c r="E1" i="4"/>
  <c r="C48" i="4"/>
  <c r="N55" i="4"/>
  <c r="N56" i="4" s="1"/>
  <c r="N57" i="4" s="1"/>
  <c r="N58" i="4" s="1"/>
  <c r="N59" i="4" s="1"/>
  <c r="N60" i="4" s="1"/>
  <c r="N61" i="4" s="1"/>
  <c r="N62" i="4" s="1"/>
  <c r="N63" i="4" s="1"/>
  <c r="C11" i="20"/>
  <c r="C10" i="20"/>
  <c r="C9" i="20"/>
  <c r="C8" i="20"/>
  <c r="C7" i="20"/>
  <c r="C6" i="20"/>
  <c r="F5" i="20"/>
  <c r="F17" i="20" s="1"/>
  <c r="C5" i="20"/>
  <c r="C49" i="4"/>
  <c r="C47" i="4"/>
  <c r="C46" i="4"/>
  <c r="C51" i="4" s="1"/>
  <c r="D51" i="4" s="1"/>
  <c r="E51" i="4" s="1"/>
  <c r="G39" i="4"/>
  <c r="I39" i="4" s="1"/>
  <c r="H39" i="4" s="1"/>
  <c r="G38" i="4"/>
  <c r="I38" i="4" s="1"/>
  <c r="H38" i="4" s="1"/>
  <c r="G37" i="4"/>
  <c r="I37" i="4" s="1"/>
  <c r="H37" i="4" s="1"/>
  <c r="G36" i="4"/>
  <c r="I36" i="4" s="1"/>
  <c r="H36" i="4" s="1"/>
  <c r="G35" i="4"/>
  <c r="I35" i="4" s="1"/>
  <c r="H35" i="4" s="1"/>
  <c r="G34" i="4"/>
  <c r="I34" i="4" s="1"/>
  <c r="H34" i="4" s="1"/>
  <c r="G33" i="4"/>
  <c r="I33" i="4" s="1"/>
  <c r="H33" i="4" s="1"/>
  <c r="G32" i="4"/>
  <c r="I32" i="4" s="1"/>
  <c r="H32" i="4" s="1"/>
  <c r="C32" i="4"/>
  <c r="G31" i="4"/>
  <c r="I31" i="4" s="1"/>
  <c r="H31" i="4" s="1"/>
  <c r="C31" i="4"/>
  <c r="G30" i="4"/>
  <c r="I30" i="4"/>
  <c r="H30" i="4" s="1"/>
  <c r="C30" i="4"/>
  <c r="G29" i="4"/>
  <c r="I29" i="4" s="1"/>
  <c r="H29" i="4" s="1"/>
  <c r="C29" i="4"/>
  <c r="G28" i="4"/>
  <c r="I28" i="4" s="1"/>
  <c r="H28" i="4" s="1"/>
  <c r="C28" i="4"/>
  <c r="G27" i="4"/>
  <c r="I27" i="4"/>
  <c r="H27" i="4" s="1"/>
  <c r="C27" i="4"/>
  <c r="G26" i="4"/>
  <c r="I26" i="4" s="1"/>
  <c r="H26" i="4" s="1"/>
  <c r="C26" i="4"/>
  <c r="G25" i="4"/>
  <c r="I25" i="4" s="1"/>
  <c r="H25" i="4" s="1"/>
  <c r="G24" i="4"/>
  <c r="I24" i="4" s="1"/>
  <c r="H24" i="4" s="1"/>
  <c r="G23" i="4"/>
  <c r="I23" i="4" s="1"/>
  <c r="H23" i="4" s="1"/>
  <c r="G22" i="4"/>
  <c r="I22" i="4" s="1"/>
  <c r="H22" i="4" s="1"/>
  <c r="G21" i="4"/>
  <c r="I21" i="4" s="1"/>
  <c r="H21" i="4" s="1"/>
  <c r="E21" i="4"/>
  <c r="C21" i="4"/>
  <c r="G20" i="4"/>
  <c r="I20" i="4" s="1"/>
  <c r="H20" i="4" s="1"/>
  <c r="G19" i="4"/>
  <c r="I19" i="4"/>
  <c r="H19" i="4" s="1"/>
  <c r="G18" i="4"/>
  <c r="I18" i="4"/>
  <c r="H18" i="4" s="1"/>
  <c r="G17" i="4"/>
  <c r="I17" i="4"/>
  <c r="H17" i="4" s="1"/>
  <c r="N78" i="4"/>
  <c r="N79" i="4" s="1"/>
  <c r="N80" i="4" s="1"/>
  <c r="N81" i="4" s="1"/>
  <c r="N82" i="4" s="1"/>
  <c r="N83" i="4" s="1"/>
  <c r="N84" i="4" s="1"/>
  <c r="N85" i="4" s="1"/>
  <c r="G16" i="4"/>
  <c r="I16" i="4" s="1"/>
  <c r="H16" i="4" s="1"/>
  <c r="G15" i="4"/>
  <c r="I15" i="4"/>
  <c r="H15" i="4" s="1"/>
  <c r="G14" i="4"/>
  <c r="I14" i="4"/>
  <c r="H14" i="4" s="1"/>
  <c r="G13" i="4"/>
  <c r="I13" i="4" s="1"/>
  <c r="H13" i="4" s="1"/>
  <c r="G12" i="4"/>
  <c r="H12" i="4"/>
  <c r="F11" i="4"/>
  <c r="B21" i="4"/>
  <c r="P8" i="4"/>
  <c r="P7" i="4"/>
  <c r="P6" i="4"/>
  <c r="P5" i="4"/>
  <c r="C5" i="4"/>
  <c r="P4" i="4"/>
  <c r="P3" i="4"/>
  <c r="L3" i="4"/>
  <c r="P2" i="4"/>
  <c r="Q2" i="4" s="1"/>
  <c r="R2" i="4" s="1"/>
  <c r="N2" i="4"/>
  <c r="N3" i="4" s="1"/>
  <c r="N4" i="4" s="1"/>
  <c r="N5" i="4" s="1"/>
  <c r="N6" i="4" s="1"/>
  <c r="N7" i="4" s="1"/>
  <c r="N8" i="4" s="1"/>
  <c r="N9" i="4" s="1"/>
  <c r="N10" i="4" s="1"/>
  <c r="F1" i="4"/>
  <c r="C17" i="20"/>
  <c r="B33" i="4"/>
  <c r="C33" i="4" s="1"/>
  <c r="C25" i="4"/>
  <c r="H43" i="4" l="1"/>
  <c r="G5" i="4"/>
  <c r="G7" i="4" s="1"/>
  <c r="F18" i="20"/>
  <c r="F32" i="23"/>
  <c r="F33" i="23" s="1"/>
  <c r="H30" i="23"/>
  <c r="N27" i="4"/>
  <c r="N28" i="4" s="1"/>
  <c r="N29" i="4" s="1"/>
  <c r="D31" i="22"/>
  <c r="H31" i="22" s="1"/>
  <c r="I20" i="23"/>
  <c r="H30" i="22"/>
  <c r="M64" i="4"/>
  <c r="N64" i="4" s="1"/>
  <c r="D20" i="23"/>
  <c r="D31" i="23" s="1"/>
  <c r="H20" i="22"/>
  <c r="H11" i="23"/>
  <c r="H20" i="23" s="1"/>
  <c r="M30" i="4" l="1"/>
  <c r="N30" i="4" s="1"/>
  <c r="M31" i="4" s="1"/>
  <c r="N31" i="4" s="1"/>
  <c r="G8" i="4"/>
  <c r="H8" i="4" s="1"/>
  <c r="H31" i="23"/>
  <c r="D32" i="23"/>
  <c r="D33" i="23" s="1"/>
  <c r="H33" i="23" s="1"/>
  <c r="N65" i="4"/>
  <c r="E20" i="22"/>
  <c r="D32" i="22" s="1"/>
  <c r="I6" i="22"/>
  <c r="I20" i="22" s="1"/>
  <c r="M32" i="4" l="1"/>
  <c r="N32" i="4"/>
  <c r="H32" i="23"/>
  <c r="H32" i="22"/>
  <c r="M33" i="4" l="1"/>
  <c r="N33" i="4"/>
  <c r="M34" i="4" s="1"/>
  <c r="N34" i="4" s="1"/>
  <c r="F37" i="23"/>
  <c r="I33" i="23"/>
  <c r="C1" i="22"/>
  <c r="D33" i="22"/>
  <c r="H33" i="22" l="1"/>
  <c r="I33" i="22" s="1"/>
</calcChain>
</file>

<file path=xl/sharedStrings.xml><?xml version="1.0" encoding="utf-8"?>
<sst xmlns="http://schemas.openxmlformats.org/spreadsheetml/2006/main" count="649" uniqueCount="382">
  <si>
    <t>SINPE-CCE-2023-02-0001</t>
  </si>
  <si>
    <t>SE SOLICITA PREPARAR AMBIENTE EN DESARROLLO PARA LA DESCARGA DE CHEQUES FISCALES DEL CANJE CCE DE LOS DIAS 06 Y 25 DE OCTUBRE DEL CORRIENTE. ATENDIENDO REQUERIMIENTO DEL MHCP.</t>
  </si>
  <si>
    <t>SASS</t>
  </si>
  <si>
    <t>DESCRIPCION</t>
  </si>
  <si>
    <t>FECHA INICIO</t>
  </si>
  <si>
    <t>FECHA SOL. TRANF</t>
  </si>
  <si>
    <t>SINPE-CCE-2023-02-0002</t>
  </si>
  <si>
    <t>SE SOLICITA PREPARAR AMBIENTE EN DESARROLLO PARA LA DESCARGA DE CHEQUES FISCALES DEL CANJE CCE, A FIN DE ATENDER REQUERIMIENTO DEL MHCP. LOS DÍAS SOLICITADOS SON LOS SIGUIENTES: 07/11/2022, 21/11/2022, 29/11/2022, 12/01/2023</t>
  </si>
  <si>
    <t>Ver Actividades</t>
  </si>
  <si>
    <t>Actividades SASS'!A3</t>
  </si>
  <si>
    <t>Salario</t>
  </si>
  <si>
    <t>dólar</t>
  </si>
  <si>
    <t>Gastos</t>
  </si>
  <si>
    <t xml:space="preserve">Prestamos </t>
  </si>
  <si>
    <t>Dolares</t>
  </si>
  <si>
    <t>Cordobas</t>
  </si>
  <si>
    <t>Sayda</t>
  </si>
  <si>
    <t>Faxy yo</t>
  </si>
  <si>
    <t>Karla</t>
  </si>
  <si>
    <t>Papa</t>
  </si>
  <si>
    <t>Gerald</t>
  </si>
  <si>
    <t>Ilsia</t>
  </si>
  <si>
    <t>Interes U$</t>
  </si>
  <si>
    <t>Interes C$</t>
  </si>
  <si>
    <t>TOTALES</t>
  </si>
  <si>
    <t>Gastos Basicos</t>
  </si>
  <si>
    <t>Casa</t>
  </si>
  <si>
    <t>Colegio</t>
  </si>
  <si>
    <t>Agua</t>
  </si>
  <si>
    <t>Luz</t>
  </si>
  <si>
    <t>Eduardo</t>
  </si>
  <si>
    <t>Celular Mio</t>
  </si>
  <si>
    <t>Internet y Cel</t>
  </si>
  <si>
    <t>PAGOS MENSUALES</t>
  </si>
  <si>
    <t>Pago en dolares</t>
  </si>
  <si>
    <t>Pago en Cordobas</t>
  </si>
  <si>
    <t>Queda Salario</t>
  </si>
  <si>
    <t>pasaje</t>
  </si>
  <si>
    <t>alqulier casa</t>
  </si>
  <si>
    <t>SINPE-CCE-2023-02-0004</t>
  </si>
  <si>
    <t>SOLICITAMOS HABILITAR EL AMBIENTE DE DESARROLLO PARA CCE EL DÍA 22 DE FEBRERO DE 2023 A LA 01:00 P.M. PARA PRUEBAS QUE REALIZARA EL BANCO DE FINANZAS.  TAMBIÉN HABILITAR LOS PERMISOS EN DICHO AMBIENTE PARA EL USUARIO BDFASILVA.</t>
  </si>
  <si>
    <t>Actividades SASS'!A11</t>
  </si>
  <si>
    <t>Actividades SASS'!A6</t>
  </si>
  <si>
    <t>MARZO</t>
  </si>
  <si>
    <t>SINPE-CCE-2023-03-0001</t>
  </si>
  <si>
    <t>SE SOLICITA PREPARAR AMBIENTE EN DESARROLLO PARA LA DESCARGA DE CHEQUES FISCALES DEL CANJE CCE, A FIN DE ATENDER REQUERIMIENTO DEL MHCP. LOS DÍAS SOLICITADOS SON LOS SIGUIENTES:11/01/2023, 12/01/2023</t>
  </si>
  <si>
    <t>Banpro</t>
  </si>
  <si>
    <t>Horas SASS</t>
  </si>
  <si>
    <t>SINPE-CCE-2023-03-0002</t>
  </si>
  <si>
    <t>Se solicita que en la carga del archivo de cheques fiscales del MHCP se valide únicamente que el número de CK y número de cuenta no se repita, sin importar el banco y la fecha en la que fue ingresado. En caso que ya exista la combinación (número de cheque y número de cuenta), el sistema no debe permitir cargar el archivo</t>
  </si>
  <si>
    <t>SINPE-TEF-2023-03-0001</t>
  </si>
  <si>
    <t>SOLICITAMOS INCLUIR EN EL CATALOGO DE TEF PARA REALIZAR OPERACIONES (GRABAR TRANSFERENCIAS)  AL USUARIO BCNHGONZALEZ3 CON EL ROL: TEF_USU_BCNOPE_DI PARA QUE SE INCLUYA EN EL GRUPO DRI (RESERVAS INTERNACIONALES).</t>
  </si>
  <si>
    <t>Actividades SASS'!A13</t>
  </si>
  <si>
    <t>STVE-2023-02-0006</t>
  </si>
  <si>
    <t>STVE-2023-02-0007</t>
  </si>
  <si>
    <t>STVE-2023-03-0003</t>
  </si>
  <si>
    <t>CONFORME A LA EJECUCIÓN DEL PROYECTO DE MEJORAS STVE Y SSE, SE SOLICITA actualizar las pantallas Nueva y Edición del menú CONVOCATORIA del rol Operador para que se visualicen las diferentes emisiones (DIARIAS, SEMANAL BCN Y MHCP) que se grabaron en la pantalla NUEVA EMISIÓN con el nuevo campo DENOMINACIÓN DEL INSTRUMENTO y las opciones que se agregaron a los campos FORMA DE PAGO y FORMA DE COTIZACIÓN</t>
  </si>
  <si>
    <t>SINPE-CCE-2023-03-0003</t>
  </si>
  <si>
    <t>SOLICITAMOS QUE EL CHEQUE NÚMERO 0003998 POR C$ 3,525.70 PRESENTADO POR BANCO AVANZ RECIBIDO POR EL BCN EN EL CANJE EN MONEDA NACIONAL CÓRDOBA DE HOY 28/03/2023 SEA CAMBIADO EL ESTADO A VALIDADO.  ESTA SOLICITUD ES URGENTE PARA PODER CERRAR EL CANJE ORDINARIO DE HOY.</t>
  </si>
  <si>
    <t>STVE-2023-03-0004</t>
  </si>
  <si>
    <t>STVE-2023-03-0005</t>
  </si>
  <si>
    <t>STVE-2023-03-0006</t>
  </si>
  <si>
    <t>STVE-2023-03-0007</t>
  </si>
  <si>
    <t>STVE-2023-03-0008</t>
  </si>
  <si>
    <t>STVE-2023-03-0009</t>
  </si>
  <si>
    <t>STVE-2023-03-0010</t>
  </si>
  <si>
    <t>CONFORME A LA EJECUCIÓN DEL PROYECTO DE MEJORAS STVE Y SSE, SE SOLICITA actualizar la pantalla Eliminación del menú CONVOCATORIA del rol Supervisor para que se editen las diferentes emisiones DIARIAS, SEMANAL(BCN Y MHCP) que se grabaron en la pantalla NUEVA EMISIÓN con el nuevo campo DENOMINACIÓN DEL INSTRUMENTO y las opciones que se agregaron a los campos FORMA DE PAGO y FORMA DE COTIZACIÓN.</t>
  </si>
  <si>
    <t>CONFORME A LA EJECUCIÓN DEL PROYECTO DE MEJORAS STVE Y SSE, SE SOLICITA actualizar las pantallas Autorización, cancelación y Sin Ofertas del menú CONVOCATORIA del rol Supervisor para que se editen las diferentes emisiones DIARIAS, SEMANAL(BCN Y MHCP) que se grabaron en la pantalla NUEVA EMISIÓN con el nuevo campo DENOMINACIÓN DEL INSTRUMENTO y las opciones que se agregaron a los campos FORMA DE PAGO y FORMA DE COTIZACIÓN.</t>
  </si>
  <si>
    <t>CONFORME A LA EJECUCIÓN DEL PROYECTO DE MEJORAS STVE Y SSE, SE SOLICITA actualizar la pantalla Autorizar monto de emisión del menú CONVOCATORIA del rol COMA para que se editen las diferentes emisiones (DIARIAS y SEMANAL) que se grabaron en la pantalla NUEVA EMISIÓN con el nuevo campo DENOMINACIÓN DEL INSTRUMENTO y las opciones que se agregaron a los campos FORMA DE PAGO y FORMA DE COTIZACIÓN.</t>
  </si>
  <si>
    <t>CONFORME A LA EJECUCIÓN DEL PROYECTO DE MEJORAS STVE Y SSE, SE SOLICITA actualizar la pantalla Registro de datos del menú OPERACIONES MONETARIAS Y OTRAS SUBASTAS del rol OPERADOR para que se AGREGUEN A LOS CAMPOS TIPO DE OPERACIÓN EL VALOR "OPERACIÓN DE INYECCIÓN" Y AL CAMPO MECANISMO EL VALOR "VENTANILLA".</t>
  </si>
  <si>
    <t>CONFORME A LA EJECUCIÓN DEL PROYECTO DE MEJORAS STVE Y SSE, SE SOLICITA actualizar la pantalla Visualización de ofertas del menú OPERACIONES MONETARIAS Y OTRAS SUBASTAS del rol OPERADOR para que se muestren en pantalla las nuevas opciones de LOS CAMPOS TIPO DE OPERACIÓN EL VALOR "OPERACIÓN DE INYECCIÓN" Y en el CAMPO MECANISMO EL VALOR "VENTANILLA".</t>
  </si>
  <si>
    <t>CONFORME A LA EJECUCIÓN DEL PROYECTO DE MEJORAS STVE Y SSE, SE SOLICITA actualizar la pantalla Autorización de datos del menú OPERACIONES MONETARIAS Y OTRAS SUBASTAS del rol SUPERVISOR para que se muestren en pantalla las nuevas opciones de LOS CAMPOS TIPO DE OPERACIÓN EL VALOR "OPERACIÓN DE INYECCIÓN" Y en el CAMPO MECANISMO EL VALOR "VENTANILLA".</t>
  </si>
  <si>
    <t>CONFORME A LA EJECUCIÓN DEL PROYECTO DE MEJORAS STVE Y SSE, SE SOLICITA actualizar la pantalla Visualización de ofertas del menú OPERACIONES MONETARIAS Y OTRAS SUBASTAS del rol SUPERVISOR para que se muestren en pantalla las nuevas opciones de LOS CAMPOS TIPO DE OPERACIÓN EL VALOR "OPERACIÓN DE INYECCIÓN" Y en el CAMPO MECANISMO EL VALOR "VENTANILLA".</t>
  </si>
  <si>
    <t>papa faxy</t>
  </si>
  <si>
    <t>abono</t>
  </si>
  <si>
    <t>pago don adonis</t>
  </si>
  <si>
    <t>Abril</t>
  </si>
  <si>
    <t>interes</t>
  </si>
  <si>
    <t>capital</t>
  </si>
  <si>
    <t>Mayo</t>
  </si>
  <si>
    <t>Junio</t>
  </si>
  <si>
    <t>Julio</t>
  </si>
  <si>
    <t>Agosto</t>
  </si>
  <si>
    <t>Septiembre</t>
  </si>
  <si>
    <t>Octubre</t>
  </si>
  <si>
    <t>Noviembre</t>
  </si>
  <si>
    <t>Diciembre</t>
  </si>
  <si>
    <t>Enero</t>
  </si>
  <si>
    <t>marzo</t>
  </si>
  <si>
    <t>abril</t>
  </si>
  <si>
    <t>mayo</t>
  </si>
  <si>
    <t>SINPE-CCE-2023-04-0001</t>
  </si>
  <si>
    <t>Debido a que el proceso automático que exporta los datos de Cheques e imágenes al histórico presentó problemas el día 03/04/2023 y no fue finalizado satisfactoriamente, se solicita realizar la correcciones correspondiente para que en la fecha 04/04/2023 funcione normalmente.</t>
  </si>
  <si>
    <t>ABRIL</t>
  </si>
  <si>
    <t>SINPE-CCE-2023-04-0002</t>
  </si>
  <si>
    <t>SOLICITAMOS QUE EL CHEQUE NÚMERO 0004019 POR C$ 39,199.00 PRESENTADO POR BANCO AVANZ RECIBIDO POR EL BCN EN EL CANJE EN MONEDA NACIONAL CÓRDOBA DE HOY 14/04/2023 SEA CAMBIADO EL ESTADO A VALIDADO.  ESTA SOLICITUD ES URGENTE PARA PODER CERRAR EL CANJE ORDINARIO DE HOY.</t>
  </si>
  <si>
    <t>F_FINALIZACION</t>
  </si>
  <si>
    <t>FP-2023-04-0001</t>
  </si>
  <si>
    <t>E SOLICITA ACTUALIZACION DE LAS FORMULAS DEL PRESUPUESTO DE PLAZA CONFORME SOLICITUD DE LA GERENCIA DE RECURSOS HUMANO.  SE ADJUNTA FORMULAS CORRESPONDIENTES.</t>
  </si>
  <si>
    <t>CONFORME AL PROYECTO DE MEJORAS STVE Y SSE, SE SOLICITA PARA EL ROL OPERADOR EN LA PANTALLA "EDICIÓN":
Agregar el campo DENOMINACIÓN DEL INSTRUMENTO con las siguientes opciones de selección: CÓRDOBAS CON MANTENIMIENTO AL VALOR, CÓRDOBAS NOMINALES, DÓLARES Y EUROS.
Modificar el campo FORMA DE PAGO y agregar las siguientes opciones de selección DÓLARES y EUROS.
Modificar el campo FORMA DE COTIZACIÓN y agregar las opciones de selección "TASA" y "Precio y Tasa", del menú EMISIÓN.</t>
  </si>
  <si>
    <t>CONFORME AL PROYECTO DE MEJORAS STVE Y SSE, SE SOLICITA PARA EL ROL SUPERVISOR EN LAS PANTALLAS "AUTORIZACIÓN", "ACTIVACION" Y "DESACTIVACIÓN":
Agregar el campo DENOMINACIÓN DEL INSTRUMENTO con las siguientes opciones de selección: CÓRDOBAS CON MANTENIMIENTO AL VALOR, CÓRDOBAS NOMINALES, DÓLARES Y EUROS.
Modificar el campo FORMA DE PAGO y agregar las siguientes opciones de selección DÓLARES y EUROS.
Modificar el campo FORMA DE COTIZACIÓN y agregar las opciones de selección "TASA" y "Precio y Tasa", del menú EMISIÓN.</t>
  </si>
  <si>
    <t>MAYO</t>
  </si>
  <si>
    <t>FP-2023-04-0002</t>
  </si>
  <si>
    <t>SE SOLICITA REVISION DEL REPORTE CONSOLIDADO MENSUAL POR CUENTA BCN DEL SISTEMA DE FORMULACION PRESUPUESTARIA EN VISTA QUE NO PRESENTA INFORMACIÓN EN LOS MESES QUE FUERON FORMULADODO INFORMACIÓN. "Reporte: RepConsolidado_Mensual". VIA CORREO SE REMITIRA EL REPORTE.</t>
  </si>
  <si>
    <t>SINPE-CCE-2023-04-0004</t>
  </si>
  <si>
    <t>SOLICITAMOS MODIFICAR TABLA DINÁMICA DE CHEQUES CCE PARA INCORPORAR LA CANTIDAD DE CHEQUES POR RANGO DE FECHAS. SE ADJUNTA LA TABLA DINÁMICA ACTUAL.</t>
  </si>
  <si>
    <t>SINPE-CCE-2023-05-0002</t>
  </si>
  <si>
    <t>Como complemento de la SASS SINPE-CCE-2023-03-0002, se solicita que las validaciones de los cheques fiscales sea considerada a partir de la fecha 01/03/2017</t>
  </si>
  <si>
    <t>SINPE-CCE-2023-04-0003</t>
  </si>
  <si>
    <t>Se solicita crear un procedimiento que se ejecute entre las 9:00 p.m. y 11:00 p.m.  para que valide que las fechas de canje se encuentren en estado 4 (Liquidado). En caso afirmativo, el procedimiento deberá eliminar los datos de la tabla cheque y canje. En caso negativo, no realizaría ninguna acción y como contingencia ante fallas en dicho procedimiento se solicita crear una opción dentro de la pantalla de Apertura para el rol supervisor en CCE, que muestre las fechas de canje que se encuentran en estado 4 (Liquidado) y le permita eliminarlas.</t>
  </si>
  <si>
    <t>STVE-2023-05-0001</t>
  </si>
  <si>
    <t>CONFORME A LA EJECUCIÓN DEL PROYECTO DE MEJORAS STVE Y SSE, SE SOLICITA :
Módulo  de emisión usuario rol supervisor :
"En el proceso de Eliminar, Desactivar y Activar una emisión, se debe revisar y ajustar la pantalla para que la información la presente bajo el siguiente comportamiento de los 3 nuevos campos:
1.- AL PRESENTAR EL INSTRUMENTO:
1.1 BONO --&gt; a) Denominación instrumentos: 
  a.1) DÓLARES y forma de pago : Dólares
          En monto de la emisión, valor facial y monto de retención de IR = US$
  a.2)  EUROS y forma de pago : Euros
          En monto de la emisión, valor facial y monto de retención de IR = EU
  a.3) Dólares y forma de pago : Córdobas 
          En monto de la emisión, valor facial y monto de retención de IR = US$
1.2: LETRAS --&gt; a) Denominación instrumentos: 
  a.1) DÓLARES y forma de pago : Dólares
          En monto de la emisión, valor facial y monto de retención de IR = US$
  a.2) Dólares y forma de pago : Córdobas 
          En monto de la emisión, valor facial y monto de retención de IR = US$
  a.3) Córdobas  con mantenimiento de valor y forma de pago : Córdobas 
          En monto de la emisión, valor facial y monto de retención de IR = C$
  a.4) Córdobas nominales  y forma de pago : Córdobas 
          En monto de la emisión, valor facial y monto de retención de IR = C$"</t>
  </si>
  <si>
    <t>STVE-2023-05-0002</t>
  </si>
  <si>
    <t>CONFORME A LA EJECUCIÓN DEL PROYECTO DE MEJORAS STVE Y SSE, SE SOLICITA :
Módulo  de emisión usuario rol supervisor :
"En el proceso de Autorizar una emisión se debe realizar la generación del código de la emisión con la siguiente nomenclatura diferenciada por las siglas del instrumento, denominación y forma de pago más el código del plazo más  los cuatro dígitos del año, más un numero consecutivo del plazo (se adjunta archivo en Excel con los ejemplos de códigos de emisión) y realizar los ajustes a las pantallas para que presente la información conforme  el siguiente comportamiento de los 3 nuevos campos: 
1.- AL PRESENTAR EL INSTRUMENTO:
1.1 BONO --&gt; a) Denominación instrumentos: 
       a.1) DÓLARES y forma de pago : Dólares
                En monto de la emisión, valor facial y monto de retención de IR = US$
       a.2)  EUROS y forma de pago : Euros
                 En monto de la emisión, valor facial y monto de retención de IR = EU
       a.3) Dólares y forma de pago : Córdobas 
               En monto de la emisión, valor facial y monto de retención de IR = US$
1.2: LETRAS --&gt; a) Denominación instrumentos: 
       a.1) DÓLARES y forma de pago : Dólares
                En monto de la emisión, valor facial y monto de retención de IR = US$
        a.2) Dólares y forma de pago : Córdobas 
                 En monto de la emisión, valor facial y monto de retención de IR = US$
         a.3) Córdobas  con mantenimiento de valor y forma de pago : Córdobas 
                  En monto de la emisión, valor facial y monto de retención de IR = C$
          a.4) Córdobas nominales  y forma de pago : Córdobas 
                  En monto de la emisión, valor facial y monto de retención de IR = C$"</t>
  </si>
  <si>
    <t>CONFORME A LA EJECUCIÓN DEL PROYECTO DE MEJORAS STVE Y SSE, SE SOLICITA :
Módulo  de emisión usuario rol operador :
"Se solicita que en el proceso de una nueva y edición de Emisión se realicen los siguientes ajustes, 
Para el caso del tipo de título: BONO
1.-  Denominación instrumentos DÓLARES y forma de pago : DÓLARES
En los campos Monto de la Emisión, Valor facial y Monto de retención de IR, código de la moneda debe ser igual a US$.
2.-  Denominación instrumentos EUROS y forma de pago EUROS
En los campos Monto de la Emisión, Valor facial y Monto de retención de IR, código de la moneda debe ser igual a EU
3.-  Denominación instrumentos DÓLARES y forma de pago : Córdobas 
En los campos Monto de la Emisión, Valor facial y monto de retención de IR código de la moneda debe ser igual a US$.
Validación : La pantalla debe tener las validaciones que al seleccionar la denominación del instrumento corresponda a  la moneda igual forma de pago excepto con los córdobas.
Para el caso del tipo de título: LETRAS
1.- Denominación instrumentos DÓLARES y forma de pago : DÓLARES
En los campos Monto de la Emisión, Valor facial y Monto de retención de IR, código de la moneda debe ser igual a US$.
2.-  Denominación instrumentos DÓLARES y forma de pago: Córdobas 
En los campos Monto de la Emisión, Valor facial y Monto de retención de IR, código de la moneda debe ser igual a US$.
3.- Denominación instrumentos Córdobas  con mantenimiento de valor y forma de pago : Córdobas 
 En los campos Monto de la Emisión, Valor facial y Monto de retención de IR, código de la moneda debe ser igual a C$.
4.- Denominación instrumentos Córdobas nominales  y forma de pago : Córdobas 
En los campos Monto de la Emisión, Valor facial y Monto de retención de IR, código de la moneda debe ser igual a C$.
Validación : La pantalla debe tener las validaciones que al seleccionar la denominación del instrumento Córdobas con mantenimiento de valor o Córdobas Nominales la forma de pago siempre debe ser Córdobas, otra combinación no la debe permitir."</t>
  </si>
  <si>
    <t>STVE-2023-05-0003</t>
  </si>
  <si>
    <t>STVE-2023-05-0004</t>
  </si>
  <si>
    <t xml:space="preserve">CONFORME A LA EJECUCIÓN DEL PROYECTO DE MEJORAS STVE Y SSE :
Se solicita se ajuste el módulo de Emisión, pantalla "Autorización", para que permita al rol supervisor autorizar las emisiones para Subastas diarias; y el código de referencia de la emisión que se construya, se ajuste según datos anexos.
Estos códigos de emisiones se generarán únicamente cuando al grabar la emisión, el rol operador seleccione en el módulo emisión, pantalla "Nueva", la opción Diaria en el campo Frecuencia de COLOCACIÓN.
SE ENVIÓ CORREO CON DATOS ANEXOS.
</t>
  </si>
  <si>
    <t>STVE-2023-05-0005</t>
  </si>
  <si>
    <t>CONFORME A LA EJECUCIÓN DEL PROYECTO DE MEJORAS STVE Y SSE :
Módulo de Emisión, pantalla "Edición" usuario rol operador
Se Solicita realizar los ajustes necesarios al módulo de Emisión, pantalla "Edición", para que se puedan editar los datos ingresados en la pantalla "Nueva" de las Subastas diarias, de acuerdo a lo siguiente:
Campos a editar
	Datos Generales
"	Emisor: en este campo se deberá ingresar la opción "BCN", disponible en una lista desplegable.
"	Tipo de Título: en este campo se deberá ingresar la opción "Letras", disponible en una lista desplegable.
"	No. Resolución: en este campo se deberá digitar un número de resolución, formado por letras, números y guiones. Este campo debe contar con al menos 20 caracteres de amplitud.
"	Monto de Emisión: este campo debe permitir digitar montos enteros, usando separador de miles, con dos posiciones decimales. 
"	Valor Facial: este campo debe permitir digitar montos enteros, usando separador de miles, con dos posiciones decimales.
"	Plazo: este campo debe permitir digitar diferentes plazos, 1 hasta 10 días de acuerdo al plazo de la emisión. 
"	Frecuencia del plazo: este campo debe permitir seleccionar de una lista desplegable la frecuencia del plazo, es decir dependiendo de si la emisión es de uno o varios días al vencimiento.
"	1 día plazo: seleccionar día
"	2 a más días: seleccionar días
"	Fecha de Emisión: seleccionar desde un calendario adjunto la fecha en que se va a convocar la emisión. Permitir que este campo sea editable.
"	Fecha de Vencimiento: este campo se calculará de forma automática, sumando al campo "Fecha de Emisión" la cantidad de días al vencimiento de la emisión, reflejado en el campo "Plazo".
"	Frecuencia de colocación: En este campo únicamente se debe seleccionar la opción "Diaria", disponible en una lista desplegable.
Nota: todos los campos deberán contener una validación que exija su llenado.
	Datos Específicos: 
"	Mecanismo de Colocación: en este campo se debe seleccionar la opción "Subasta Competitiva"
"	Fecha SIBOIF: digitar en este campo la fecha de la Resolución.
"	Código SIBOIF: digitar en este campo el código que brinda la SIBOIF, debe contar con al menos 20 caracteres de amplitud.
"	Denominación del Instrumento: en este campo se debe seleccionar a través de una lista desplegable el tipo de denominación del instrumento, que pueden ser,
5.	Dólares
6.	Córdobas Nominales
7.	Córdobas con mantenimiento al valor
8.	Euros
"	Forma de Pago: este campo se deberá llenar de acuerdo a lo siguiente,
1. Si la denominación del instrumento es Dólares, la forma de pago podrá ser
 1.1. En Córdobas 
 1.2. En Dólar
2. Si la denominación del instrumento es Córdobas Nominales o Córdobas con mantenimiento al valor, la forma de pago podrá ser:
2.1. En Córdobas 
3. Si la denominación del instrumento es Euros, la forma de pago podrá ser:
3.1. En Euro
"	Código ISIN: omitir validación de exigencia de este campo, para que se pueda registrar el código hasta que se tenga la adjudicación de la subasta, y se solicite el código, y posteriormente ingresarlo en Módulo Emisión, pantalla "Edición", con el rol supervisor.
"	Base de Cálculo: Actual/360
"	Forma de Cotización: se debe seleccionar de la lista desplegable la opción "precio"
"	Periodicidad de Cupones: No aplica
"	Tasa de Interés del cupón: No aplica
"	Emisión de Referencia: permitir que este campo sea editable, para poder ingresar una emisión de referencia que no esté registrada en base de datos.
"	Monto de Retención Definitiva (IR): campo numérico con dos posiciones decimales.
Nota: A excepción del campo "Código ISIN", se solicita que todos los campos tengan una validación que exija su llenado.
              Información de Títulos: No aplica</t>
  </si>
  <si>
    <t>STVE-2023-05-0006</t>
  </si>
  <si>
    <t>CONFORME A LA EJECUCIÓN DEL PROYECTO DE MEJORAS STVE Y SSE :
Módulo de Emisión, pantalla "Nueva" usuario rol operador
Se Solicita realizar los ajustes requeridos al módulo de Emisión, pantalla "Nueva", para que se ingresen las Subastas diarias, de acuerdo a lo siguiente:
Campos a ingresar
	Datos Generales
"	Emisor: en este campo se deberá ingresar la opción "BCN", disponible en una lista desplegable.
"	Tipo de Título: en este campo se deberá ingresar la opción "Letras", disponible en una lista desplegable.
"	No. Resolución: en este campo se deberá digitar un número de resolución, formado por letras, números y guiones. Este campo debe contar con al menos 20 caracteres de amplitud.
"	Monto de Emisión: este campo debe permitir digitar montos enteros, usando separador de miles, con dos posiciones decimales. 
"	Valor Facial: este campo debe permitir digitar montos enteros, usando separador de miles, con dos posiciones decimales.
"	Plazo: este campo debe permitir digitar diferentes plazos, 1 hasta 10 días de acuerdo al plazo de la emisión. 
"	Frecuencia del plazo: este campo debe permitir seleccionar de una lista desplegable la frecuencia del plazo, es decir dependiendo de si la emisión es de uno o varios días al vencimiento.
"	1 día plazo: seleccionar día
"	2 a más días: seleccionar días
"	Fecha de Emisión: seleccionar desde un calendario adjunto la fecha en que se va a convocar la emisión. Permitir que este campo sea editable.
"	Fecha de Vencimiento: este campo se calculará de forma automática, sumando al campo "Fecha de Emisión" la cantidad de días al vencimiento de la emisión, reflejado en el campo "Plazo".
"	Frecuencia de colocación: En este campo únicamente se debe seleccionar la opción "Diaria", disponible en una lista desplegable.
Nota: todos los campos deberán contener una validación que exija su llenado.
	Datos Específicos: 
"	Mecanismo de Colocación: en este campo se debe seleccionar la opción "Subasta Competitiva"
"	Fecha SIBOIF: digitar en este campo la fecha de la Resolución.
"	Código SIBOIF: digitar en este campo el código que brinda la SIBOIF, debe contar con al menos 20 caracteres de amplitud.
"	Denominación del Instrumento: en este campo se debe seleccionar a través de una lista desplegable el tipo de denominación del instrumento, que pueden ser,
1.	Dólares
2.	Córdobas Nominales
3.	Córdobas con mantenimiento al valor
4.	Euros
"	Forma de Pago: este campo se deberá llenar de acuerdo a lo siguiente,
1. Si la denominación del instrumento es Dólares, la forma de pago podrá ser
 1.1. En Córdobas 
 1.2. En Dólar
2. Si la denominación del instrumento es Córdobas Nominales o Córdobas con mantenimiento al valor, la forma de pago podrá ser:
2.1. En Córdobas 
3. Si la denominación del instrumento es Euros, la forma de pago podrá ser:
3.1. En Euro
"	Código ISIN: omitir validación de exigencia de este campo, para que se pueda registrar el código hasta que se tenga la adjudicación de la subasta, y se solicite el código, y posteriormente ingresarlo en Módulo Emisión, pantalla "Edición", con el rol supervisor.
"	Base de Cálculo: Actual/360
"	Forma de Cotización: se debe seleccionar de la lista desplegable la opción "precio"
"	Periodicidad de Cupones: No aplica
"	Tasa de Interés del cupón: No aplica
"	Emisión de Referencia: permitir que este campo sea editable, para poder ingresar una emisión de referencia que no esté registrada en base de datos.
"	Monto de Retención Definitiva (IR): campo numérico con dos posiciones decimales.
Nota: A excepción del campo "Código ISIN", se solicita que todos los campos tengan una validación que exija su llenado.
"	Información de Títulos: No aplica</t>
  </si>
  <si>
    <t>SINPE-CCE-2023-05-0001</t>
  </si>
  <si>
    <t>SE SOLICITA PREPARAR AMBIENTE EN DESARROLLO PARA LA DESCARGA DE CHEQUES FISCALES DEL CANJE CCE DE LOS DIAS 07 Y 21 DE NOVIEMBRE 2022, 27 DE DICIEMBRE 2022, 25 DE ENERO Y 03 DE FEBRERO DE 2023. ATENDIENDO REQUERIMIENTO DEL MHCP.</t>
  </si>
  <si>
    <t>JUNIO</t>
  </si>
  <si>
    <t>FP-2023-05-0001</t>
  </si>
  <si>
    <t>FP-2023-05-0002</t>
  </si>
  <si>
    <t>CON EL OBJETIVO DE CREAR LAS CONDICIONES QUE PERMITA INICIAR EL PRCESO DE FORMULACION PRESUPUESTARIA 2024,2025,2026,2027 Y 2028, SOLICITAMOS LO SIGUIENTE:
LIMPIEZA DE TABLAS DE FORMULACIÓN DE PLAZAS Y PRODUCTOS, EXCEPTUANDO LAS PANTALLAS DE LAS CUENTAS DETALLADAS A CONTINUACIÓN:
"              51220301001001- PAPELERIA
"              51220301001002- ARTICULOS DE OFICINA
"              51220301001003- MATERIALES PARA TESORERIA
"              51220301002001- RESPUESTOS /ACCESORIOS P/EQUIPOS
"              51220301003001- MATERIAL AUDIOVISUAL Y DE MICRO-FILM
"              51220301004001- ATENCION A OFICINAS
"              51220301004002- CAFETERIAS Y/O MATERIALES
"              51220301006001- HERRAMIENTAS MENORES
"              51220301006001- LLANTAS Y NEUMATICOS
"              51220301006003- PRODUCTOS SANITARIOS Y DE LIMPIEZAS
"              51220301006004- SUMINISTROS DIVERSOS
"              51220301007001- MATERIALES P/EDIFICIOS E INSTALACION
"              51220301007002- MATERIALES P/MOBILIARIO Y EQUIPO
PARA LOS ÍCONOS DEL AÑO 2024, 2025, 2026,2027 Y 2028 DEJAR LO FORMULADO EN LOS AÑOS 2023 AL 2028, RESPECTIVAMENTE, EN LAS CUENTAS ARRIBA DESCRITAS.</t>
  </si>
  <si>
    <t>CON EL OBJETIVO DE INICIAR EL PROCESO DE FORMULACIÓN PRESUPUESTARIA 2024, 2025 2026, 2027 Y 2028 SOLICITAMOS LO SIGUIENTE: 
1. ACTIVAR EL AÑO 2024, DEJANDO LA MISMA INFORMACION GRABADA EN EL AÑO 2023.
2.- PARA LOS ÍCONOS  2025, 2026, 2027 Y 2028, DEJAR LO FORMULADO EN LOS AÑOS 2024, 2025 AL 2026, RESPECTIVAMENTE.
ASI MISMO SOLICITAMOS QUE LA INFORMACIÓN INGRESADA EN EL SISTEMA POR LOS USUARIOS EN EL AÑO 2023 NO SEA ELIMNADA Y SE RESPALDE EN BASE DE DATOS.
 ATENTAMENTE,</t>
  </si>
  <si>
    <t>SE SOLICITA PREPARAR AMBIENTE EN DESARROLLO PARA LA DESCARGA DE LOS ARCHIVOS ORDINARIO Y DEVOLUCIONES DEL CANJE CCE DEL DIA 26 DE MAYO DE 2023.</t>
  </si>
  <si>
    <t>SINPE-CCE-2023-05-0004</t>
  </si>
  <si>
    <t>FEBRERO</t>
  </si>
  <si>
    <t>FP-2023-05-0003</t>
  </si>
  <si>
    <t>SE SOLICITA LA ACTUALIZACIÓN DEL AÑO 2024  EN LA TABLA DINAMICA FORMULACIÓN VS EJECUCIÓN, DICHA TABLA FUE REMITIDA VIA CORREO ELECTRONICO.</t>
  </si>
  <si>
    <t>STVE-2023-06-0001</t>
  </si>
  <si>
    <t>CONFORME A LA EJECUCIÓN DEL PROYECTO DE MEJORAS STVE Y SSE:
SE SOLICITA QUE EN EL MÓDULO DE EMISIÓN, PANTALLA "EDICIÓN" USUARIO ROL SUPERVISOR, QUE SE LE HABILITEN LOS CAMPOS: FECHA DE EMISIÓN, FECHA DE VENCIMIENTO Y CÓDIGO ISIN, DE TAL FORMA QUE EL USUARIO PUEDE EDITAR ESTOS CAMPOS.</t>
  </si>
  <si>
    <t>FP-2023-03-0001</t>
  </si>
  <si>
    <t>Se solicita que en la tabla dinámica elaborada (TD formulación 2022 vs ejecución) se incorpore el comparativo de formulación 2023 vs 2022, de los conceptos que se formulan en las pantallas de formulación (ej.  otros rubros, de materiales suministros, etc), con el objetivo de presentar información comparativa entre  2024 vs 2023.</t>
  </si>
  <si>
    <t>FP-2023-06-0002</t>
  </si>
  <si>
    <t>SE SOLICITA QUE LA TABLA DINÁMICA EXISTENTE POR PRODUCTOS, SE ACTUALICE CON LA NUEVA FORMULACIÓN PRESUPUESTARIA 2024, DICHA TABLA YA FUE REMITIDA POR CORREO ELECTRONICO.</t>
  </si>
  <si>
    <t>STVE-2023-07-0001</t>
  </si>
  <si>
    <t>SE SOLICITA AGREGAR VÍA BASE DE DATOS UN NUEVO USUARIO O REPRESENTANTE DE BANCO PRODUZCAMOS. LA INFORMACIÓN DEL USUARIO SERÁ REMITIDA VÍA CORRE ELECTRÓNICO A DENISSE GARCÍA.</t>
  </si>
  <si>
    <t>FP-2023-07-0001</t>
  </si>
  <si>
    <t xml:space="preserve">SE SOLICITA CORREGIR REPORTE DEL SISTEMA DE FORMULACION "CONSOLIDADO" "CUENTA", DEBIDO A QUE NO ESTÁ PRESENTANDO LO FORMULADO EN LA SIGUIENTE CUENTA 
"51220201012001	     LICENCIAS SOFTWARE", 
LO ANTERIOR, APARENTEMENTE AFECTA EN LA GENERACIÓN DE DATOS DE LA TABLA DINÁMICA, YA QUE NO ESTÁ PRESENTANDO EL MONTO FORMULADO.
</t>
  </si>
  <si>
    <t>debo doña ilsia</t>
  </si>
  <si>
    <t>JULIO</t>
  </si>
  <si>
    <t>Feriado</t>
  </si>
  <si>
    <t>STVE-2023-07-0003</t>
  </si>
  <si>
    <t>SE SOLICITA EXCLUIR DEL LISTADO DE LA NOTIFICACIÓN DEL STVE (SESQL Server Job System: STVE Traslada Datos a SE 8:00 AM completed on TICOMO) LA CUENTA DE RGOMEZS@BCN.GOB.NI. Y AGREGAR EN SU LUGAR LA DE DENISSE GARCÍA (DGT@BCN.GOB.NI).
ESTAS CUENTAS DE LA GSI SON UTILIZADAS PARA LAS PERSONAS A CARGO DE LAS ATENCIONES DE MANTENIMIENTO DE SISTEMAS Y ELLAS SEAN NOTIFICADAS DE QUE EL TRASLADO DE DATOS ESTA SATISFACTORIO.</t>
  </si>
  <si>
    <t>STVE-2023-07-0002</t>
  </si>
  <si>
    <t>SOLICITO SE RESETEE VÍA BASE DE DATOS LA CLAVE DEL USUARIO JSIRKER1971.</t>
  </si>
  <si>
    <t>SINPE-CCE-2023-07-0007</t>
  </si>
  <si>
    <t>SINPE-CCE-2023-07-0008</t>
  </si>
  <si>
    <t>SINPE-CCE-2023-07-0009</t>
  </si>
  <si>
    <t xml:space="preserve">SE SOLICITA CREAR EL REPORTE DE CHEQUES NO TRUNCADOS; EL CUAL PERMITE MOSTRAR LOS CHEQUES SEGÚN TIPO DE CANJE Y MONTO MAYOR AL QUE EL USUARIO INDIQUE EN EL MENU CAMARA DE COMPENSACION ELECTRONICA, OPCIÓN REPORTE DEL INTERCAMBIO FISICO PARA LOS ROLES CCE_INST_OP1 y CCE_INST_SUP1. </t>
  </si>
  <si>
    <t xml:space="preserve">SE SOLICITA CREAR REPORTE CHEQUES TRUNCADOS EL CUAL PERMITE MOSTRAR LOS CHEQUES SEGÚN TIPO DE CANJE Y MONTO MENOR AL QUE EL USUARIO INDIQUE  EN EL MENU CAMARA DE COMPENSACION ELECTRONICA, OPCIÓN REPORTE DEL INTERCAMBIO FISICO PARA LOS ROLES CCE_INST_OP1 y CCE_INST_SUP1. </t>
  </si>
  <si>
    <t>SE SOLICITA EN EL MENU CAMARA DE COMPENSACION ELECTRONICA, OPCIÓN REPORTE DEL INTERCAMBIO FISICO CAMBIAR EL TITULO de "Intercambio Físico" POR "Reporte sumatoria de cheques No Truncados y Truncados"</t>
  </si>
  <si>
    <t>STVE-2023-07-0004</t>
  </si>
  <si>
    <t>SE SOLICITA QUE SE ELIMINE VIA BASE DE DATOS EL REGISTRO DE LA CONVOCATORIA SMV-105-23 CON FECHA DEL 05 DE JUNIO 2023.</t>
  </si>
  <si>
    <t>FP-2023-07-0002</t>
  </si>
  <si>
    <t>CONFORME A SOLICITUD DE LA GERENTE DE RECURSOS HUMANOS, SE SOLICITA ACTUALIZAR LA SIGUIENTE FORMULA DEL PRESUPUESTO DE PLAZAS DEL BCN:
CUENTA BONO
Bono: (Sueldo mensual + Antigüedad mensual del personal de la Gerencia de Servicios Financieros y Tesorería)+22.5% de INSS Empleador + 2% de Cuota INATEC)*2 
El resultado se distribuye en cuatro partes por igual en los meses de marzo, junio, septiembre y diciembre.</t>
  </si>
  <si>
    <t>SINPE-CCE-2023-08-0001</t>
  </si>
  <si>
    <t>SE SOLICITA QUE PARA EL MENU CAMARA DE COMPENSACION ELECTRONICA EN LA OPCION REPORTE DEL INTERCAMBIO FISICO PARA LOS ROLES CCE_INST_OP1 y CCE_INST_SUP1. MODIFICAR LOS REPORTES PARA QUE SE PUEDAN MOSTRAR LOS CHEQUES ENVIADOS POR LA ENTIDAD A LA QUE PERTENECE EL USUARIO AUTENTICADO, ACTUALMENTE LOS REPORTES MUESTRAN SOLO CHEQUES RECIBIDOS</t>
  </si>
  <si>
    <t>FP-2023-07-0003</t>
  </si>
  <si>
    <t>SOLICITAMOS REVISAR EN EL SISTEMA DE FORMULACION LOS  REPORTES CONSOLIDADOS POR BCN, DIVISION Y AREAS, DEBIDO A QUE NO SE ESTAN VISULIZANDO LOS  MONTOS DE LA CUENTA DE CAPACITACION EN EL PAIS, LICENCIAS SOFTWARE Y EQUIPO DE SISTEMA DE PAGO</t>
  </si>
  <si>
    <t>FP-2023-06-0001</t>
  </si>
  <si>
    <t>SE SOLICITA 
ELABORACION TD DE FORMULACION PRESUPUESTARIA, POR CENTRO DE RESPONSABILIDAD CON PRESUPUESTO DE LOS AÑOS  2024 VERSUS 2023 Y 2022, POR MESES, PARA QUE ESTÉ DISPONIBLE PARA CADA USUARIO SEGÚN SU ÁREA. 
ATENTAMENTE,</t>
  </si>
  <si>
    <t>FP-2023-08-0001</t>
  </si>
  <si>
    <t>SOLICITAMOS REVISAR DE MANERA URGENTE LA CUENTA NO.51220101001009_BONO EN VISTA QUE LA MISMA SE ESTA DUPLICANDO.</t>
  </si>
  <si>
    <t>AGOSTO</t>
  </si>
  <si>
    <t>PENDIENTE</t>
  </si>
  <si>
    <t>SINPE-CCE-2023-08-0004</t>
  </si>
  <si>
    <t>SOLICITAMOS QUE EL CHEQUE NUMERO 281 DE LA CUENTA 51786 CON FECHA 27/07/2023 POR US$55,538.01 PRESENTADO POR BANCO LAFISE RECIBIDO POR EL BCN EN EL CANJE EN MONEDA EXTRANJERA DOLARES DE HOY 14/08/2023 SEA CAMBIADOS EL ESTADO A VALIDADO.  ESTA SOLICITUD ES URGENTE PARA PODER CERRAR EL CANJE ORDINARIO DE HOY.</t>
  </si>
  <si>
    <t>SINPE-ADMIN-2023-08-0001</t>
  </si>
  <si>
    <t>Se solicita que CCE en ambiente Web se conecte con SINPE ADMIN</t>
  </si>
  <si>
    <t>STVE-2023-08-0001</t>
  </si>
  <si>
    <t>MODIFICAR EN EL MODULO DE EMISIÓN LA FORMA DE PAGO DE DÓLARES A CÓRDOBAS DE LA EMISIÓN MHCP-B-25-09-27 A CONVOCARSE EN LA SUBASTA SVGD-30-2023 DEL DÍA MIERCOLES 23 DE AGOSTO 2023.</t>
  </si>
  <si>
    <t>FP-2023-08-0002</t>
  </si>
  <si>
    <t>SOLICITAMOS LA CORRECCION DE LAS SIGUIENTES INCONSISTENCIAS EN EL SISTEMA DE FORMULACION EN LA CUNTA DE PRODUCTOS SANITARIOS Y DE LIMPIEZA:
EN LA PANTALLA DE GRABACION SE DIGITALIZA UN MONTO PERO EN EL REPORTE DE CONSOLIDADO DEL SISTEMA SE REPORTA OTRO MONTO.
ASIMISMO, EL REPORTE EN PDF ESTÁ DUPLICANDO EL MONTO FORMULADO EN LA CUENTA "DIESEL" 2024.</t>
  </si>
  <si>
    <t>BD</t>
  </si>
  <si>
    <t>SERVIDORES</t>
  </si>
  <si>
    <t>EJECUTO</t>
  </si>
  <si>
    <t>SINPE-CCE-2023-08-0007</t>
  </si>
  <si>
    <t>SOLICITAMOS MODIFICAR TABLA DINÁMICA DE CHEQUES CCE PARA INCORPORAR UN FILTRO QUE PERMITA EXCLUIR DEL REPORTE DE CHEQUES PRESENTADOS LOS CHEQUES FISCALES Y DE TESORERIA (CUENTAS DEL MHCP), YA QUE ESTOS AUN NO SE TRUNCAN, POR LO CUAL NO DEBEN APARECER EN EL REPORTE DE CHEQUES TRUNCADOS.</t>
  </si>
  <si>
    <t>STVE-2023-08-0002</t>
  </si>
  <si>
    <t xml:space="preserve">SE SOLICITA ELIMINAR CAMPO REPETIDO "NOMBRE INVERSIONISTA" EN LA PANTALLA VISUALIZACIÓN Y CARGA DE OFERTAS, DEL MENÚ OPERACIONES MONETARIAS Y OTRAS SUBASTAS. </t>
  </si>
  <si>
    <t>SEPTIEMBRE</t>
  </si>
  <si>
    <t>OCTUBRE</t>
  </si>
  <si>
    <t>NOVIEMBRE</t>
  </si>
  <si>
    <t>DICIEMBRE</t>
  </si>
  <si>
    <t>STVE-2023-09-0001</t>
  </si>
  <si>
    <t xml:space="preserve">COMO PARTE DE LOS AJUSTES DEL SISTEMA DE TÍTULOS VALORES ESTANDARIZADOS, SE REQUIERE INCORPORAR UN NUEVO INSTRUMENTO DE ABSORCIÓN COMO SON LOS DEPÓSITOS MONETARIOS (DM). 
PARA INICIAR, CON EL ROL DE OPERADOR, SE SOLICITA EL REGISTRO DEL ANUNCIO DE LOS DM, PARA LO CUAL EN LA PANTALLA "REGISTRO DE DATOS", UBICADA EN EL MENÚ "OPERACIONES MONETARIAS Y OTRAS SUBASTAS", OPCIÓN "REGISTRO DE DATOS", SE SOLICITA REALIZAR LO SIGUIENTE:
1. CAMBIAR EL TÍTULO DEL CAMPO" DENOMINACIÓN DEL INSTRUMENTO (MONTO CONVOCADO)", POR "DENOMINACIÓN DEL INSTRUMENTO". 
2.CAMBIAR TÍTULO DEL CAMPO "VALOR FACIAL DE CADA INSTRUMENTO (MÍNIMO Y MÚLTIPLO)", POR "MÍNIMO Y MÚLTIPLO DEL INSTRUMENTO".
3. UNA VEZ QUE SE SELECCIONE EN EL CAMPO MECANISMO LA OPCIÓN "VENTANILLA ' QUE SE MUESTRE UN CHECK PARA INDICAR QUE ES UN DEPÓSITO MONETARIO, UNA VEZ QUE SE ACTIVE EL CHECK EN EL CAMPO INSTRUMENTO SE REGISTRE EL NOMBRE DEL INSTRUMENTO "DEPÓSITOS MONETARIOS".
4.UNA VEZ ACTIVADO EL CHECK DE LOS DM EN LOS DATOS GENERALES SE DEBEN DE OCULTAR EL CAMPO "PRECIO DE REFERENCIA (%)" Y EL CAMPO "TASA DE REFERENCIA (%); Y EN LA INFORMACIÓN DE REFERECNIA OCULTAR EL CAMPO DE "MONTO CONVOCADO" Y EL CAMPO DE "CUENTA TEF".
5. UNA VEZ ACTIVADO EL CHECK DE LOS DM CAMBIAR EL TÍTULO DEL CAMPO "FECHA DE SUBASTA" POR "FECHA DE VENTANILLA".
6. UNA VEZ ACTIVADO EL CHECK DE LOS DM CAMBIAR TITULO DEL CAMPO "HORA INICIO DE SUBASTA" "HORA INICIO DE VENTANILLA".
7. UNA VEZ ACTIVADO EL CHECK DE LOS DM CAMBIAR EL TÍTULO DEL CAMPO "HORA CIERRE DE SUBASTA" "HORA INICIO DE VENTANILLA".
8. AGREGAR UNA VALIDACIÓN OBLIGATORIA EN EL CAMPO "PLAZO" COMO REQUISITO PARA AGREGAR LA INFORMACIÓN DE REFERENCIA. </t>
  </si>
  <si>
    <t>STVE-2023-09-0002</t>
  </si>
  <si>
    <t>STVE-2023-09-0003</t>
  </si>
  <si>
    <t>STVE-2023-09-0004</t>
  </si>
  <si>
    <t xml:space="preserve">COMO PARTE DE LOS AJUSTES DEL SISTEMA DE TÍTULOS VALORES ESTANDARIZADOS, CON EL ROL DE OPERADOR, SE REALIZÓ EL REGISTRO DE DATOS DE LOS DEPÓSTIOS MONETARIOS. 
DADO LO ANTERIOR, SE REQUIERE QUE EN LA OPCIÓN "AUTORIZACIÓN DE DATOS" DEL "OPERACIONES MONETARIAS Y OTRAS SUBASTAS", UTILIZADA POR EL ROL DE SUPERVISOR, SE REALICE LO SIGUIENTE:
1. EN LA PRIMERA PANTALLA DE "DATOS GENERALES" CAMBIAR EL TÍTULO "FECHA DE SUBASTA" POR "FECHA". EN ESTA PANTALLA SE DEBEN MOSTRAR LOS DATOS REGISTRADOS PARA DEPÓSITOS MONETARIOS.	
2. EN LA SIGUIENTE PANTALLA TAMBIÉN SE REQUIERE QUE SE VISUALICEN LOS CAMBIOS SOLICITADOS EN LA PANTALLA "REGISTRO DE DATOS", SI SE GRABÓ UN DM SE DESPLIEGUEN LOS CAMPOS GRABADOS PARA EL MISMO. </t>
  </si>
  <si>
    <t xml:space="preserve">COMO PARTE DE LOS AJUSTES DEL SISTEMA DE TÍTULOS VALORES ESTANDARIZADOS, PARA EL REGISTRO DE LOS DEPÓSTOS MONETARIOS SE REQUIERE MODIFICACIONES EN LA OPCIÓN VISUALIZACIÓN DE OFERTAS, UBICADA EN EL MENÚ "OPERACIONES MONETARIAS Y OTRAS SUBASTAS", CONFORME LO SIGUIENTE:  
1. CAMBIAR EL TÍTULO "PERMITE PRESENTAR LAS OFERTAS QUE FUERON INGRESADAS A TRAVÉZ DE SUBASTA ELECTRONICA OPCIÓN OFERTAS OTRAS SUBASTAS" POR "PERMITE PRESENTAR LAS OFERTAS QUE FUERON INGRESADAS A TRAVÉZ DE SUBASTA Y VENTANILLA ELECTRONICA OPCIÓN OFERTAS OTRAS OPERACIONES MONETARIAS Y SUBASTAS" Y EN EL CAMPO SUPERIOR DERECHO "SUBASTA" POR "SUBASTA" POR "VENTANILLA".
2. SI ES UN DEPÓSITOS MONETARIO, CUANDO SE INGRESE A VISUALIZAR LOS DATOS QUE EN LA PANTALLA SOLO SE MUESTRE LA INFORMACIÓN CORRESPONDIENTE A VENTANILLA DE DEPÓSITOS MONETARIOS, POR TANTO, SE REQUIERE QUE SE OCULTEN LOS LOS CAMPOS "PRECIO (%)" Y "TASA (%)".
3. UNA VEZ QUE SE PRESIONE LA OPCIÓN "EXPORTAR" QUE LA PLATAFORMA GENERE UN ARCHIVO DE EXCEL SOLO CON LA INFORMACIÓN CORRESPONDIENTE A VENTANILLA DE DEPÓSITOS MONETARIOS. EN EL ARCHIVO DE EXCELL SE DEBEN MODIFICAR LOS TÍTULOS: "SUBASTA" POR "VENTANILLA", " TIPO DE SUBASTA" POR TIPO DE VENTANILLA", "FECHA DE SUBASTA" POR "FECHA DE VENTANILLA". SE DEBEN DE OCULTAR LOS CAMPOS: PRECIO, TASA, DEPOSITANTE Y CUENTA_CV.
CABE SEÑALAR QUE ESTE PROCESO NO INTERFIERE CON LAS SUBASTAS YA QUE SE EJECUTA A UNA HORA DIFERENTE, DE 2:30 PM A 3:30 PM, POR LO TANTO NO DEBERA MOSTRAR INFORMACIÓN DE SMV. </t>
  </si>
  <si>
    <t xml:space="preserve">COMO PARTE DE LOS AJUSTES DEL SISTEMA DE TÍTULOS VALORES ESTANDARIZADOS, PARA EL REGISTRO DE LOS DEPÓSITOS MONETARIOS (DM), SE REQUIERE MODIFICAR EL SISTEMA DE SUBASTA ELECTRÓNICA, PESTAÑA "OFERTAS OPERACIONES MONETARIAS Y LETRAS US$ Y PAGO EN US$, CONFORME LO SIGUIENTE:  
1. CAMBIAR EL NOMBRE DE "SUBASTA ELECTRÓNICA" A "SUBASTA Y VENTANILLA ELECTRÓNICA".
2. PARA EL CASO DE LOS DEPÓSITOS MONETARIOS SE SOLICITA MODIFICAR EL NOMBRE DE LOS SIGUIENTES TÍTULOS DE LA PRIMERA TABLA: "VALOR FACIAL DEL INSTRUMENTO" CAMBIARLO POR "MÍNIMO Y MÚLTIPLO DEL INSTRUMENTO"; "FECHA DE SUBASTA" CAMBIARLO POR "FECHA". EN ESTA MISMA TABLA OMITIR EL CAMPO "FORMA DE COTIZACIÓN".
3. EN LA SEGUNDA TABLA, CUANDO SEAN DEPÓSITOS MONETARIOS, SE DEBEN DE OCULTAR LOS CAMPOS MONTO CONVOCADO Y CUENTA TEF.  
4. EN EL CAMPO DE INGRESO DE DATOS CON SUBTITULO "PRESENTAR OFERTA PARA CODICO INSTRUMENTO", CUANDO SEA UN DEPÓSITO MONETARIO, OMITIR LOS CAMPOS "PRECIO (%), TASA (%), "DEPOSISTANTE" Y "NO. CUENTA EN CENTRAL DE VALORES".
5. EN EL CAMPO VISUAL DE CRONOMETRO INDICADOR DE INICIO Y CIERRE DE OPERACIONES,CUANDO SEA DEPÓSITO MONETARIO REEMPLAZAR LA PALABRA "PARA FINALIZAR LA SUBASTA" POR "PARA FINALIZAR LA VENTANILLA" .
6. LA HORA DE SERVIDOR DEBE COINCIDIR CON LA HORA DE INICIO DE OFERTAS Y HORA DE CIERRE DE OFERTAS.  </t>
  </si>
  <si>
    <t>FP-2023-10-0001</t>
  </si>
  <si>
    <t>SOLICITAMOS REALIZAR  PRUEBAS DE CARGA DEL PRESUPUESTO APROBADO AÑO  2024, CANTIDADES DE PRODUCTOS Y MONTOS.  ESTA CARGA SE REALIZA DESDE EL SISTEMA DE FORMULACION PRESUPUESTARIA AL SISTEMA DE EJECUCIÓN PRESUPUESTARIA  SIAACP-PRE, PARA SU EJECUCIÓN.  ASI COMO EL RESPALDO DE LA INFORMACIÓN DE LA FORMULACIÓN DEL PRESUPUESTO 2024 DEL SISTEMA DE FORMULACIÓN PRESUPUESTARIA.</t>
  </si>
  <si>
    <t>SINPE-CCE-2023-10-0008</t>
  </si>
  <si>
    <t>SOLICITAMOS Incluir ícono de  SINPE-CCE Web en Portal SINPE (Guardabarranco) disponible para el SFN, MHCP y BCN.</t>
  </si>
  <si>
    <t>SINPE-CCE-2023-10-0006</t>
  </si>
  <si>
    <t>A SOLICITUD URGENTE DE LA GERENCIA DE VIGILANCIA FINANCIERA, REQUERIMOS LA CREACION DE UNA TABLA (CONSULTA) NUEVA CON LA INFORMACION DE TODOS LOS CHEQUES NEGOCIADOS EN CCE QUE INCORPORE LOS SIGUIENTES CAMPOS: 
FECHA_CANJE	NO_CHEQUE	MONEDA   	BANCO_PRESENTADOR	BANCO_RECEPTOR	     MONTO(EN MONEDA ORIGINAL)</t>
  </si>
  <si>
    <t>STVE-2023-10-0001</t>
  </si>
  <si>
    <t>SOLICITO LA BAJA VÍA BASE DE DATOS EN EL STVE DE UN USUARIO DE BANCO FICOHSA NICARAGUA QUE YA NO LABORA PARA LA INSTITUCIÓN, CONFORME EL SIGUIENTE DETALLE:
1. VICTOR ALEXANDER NICARAGUA LÓPEZ: USUARIO: BANCO_FICOHSA_02.</t>
  </si>
  <si>
    <t>SINPE-ADMIN-2023-11-0001</t>
  </si>
  <si>
    <t>SINPE-TEF-2023-12-0001</t>
  </si>
  <si>
    <t>Solicitamos que se incorporen al grupo DOV dos usuarios nuevos de TEF: BCNCNORORI2 y BCNLOCONNOR1</t>
  </si>
  <si>
    <t>Febrero</t>
  </si>
  <si>
    <t>Marzo</t>
  </si>
  <si>
    <t>Faxy Tio</t>
  </si>
  <si>
    <t>STVE-2023-12-0001</t>
  </si>
  <si>
    <t>FP-2023-12-0001</t>
  </si>
  <si>
    <t>SE SOLICITA REALIZAR CORECCIÓN DEL REPORTE CONSOLIDADO EN PDF A NIVEL DEL BCN AÑO 2024, DEL SISTEMA DE FORMULACION PRESUPUESTARIA,  EN VISTA QUE LA CUENTA DE GASOLINA SE REFLEJA DUPLICADA.</t>
  </si>
  <si>
    <t>Celular</t>
  </si>
  <si>
    <t>camisas</t>
  </si>
  <si>
    <t>zapatillas</t>
  </si>
  <si>
    <t>bolso</t>
  </si>
  <si>
    <t>Pago Dic</t>
  </si>
  <si>
    <t>SINPE-TEF-2023-12-0002</t>
  </si>
  <si>
    <t>Se solicita eliminar el registro de grabación de la subasta STE-047-23 US$ en dólares en la base de datos STVE.</t>
  </si>
  <si>
    <t>para mandar a cuenta</t>
  </si>
  <si>
    <t>ENERO</t>
  </si>
  <si>
    <t>STVE-2024-01-0001</t>
  </si>
  <si>
    <t>SE REQUIERE RESETEAR EL USUARIO BDF_07 DE LEONEL QUANT, DEBIDO A QUE NO SE PUEDE EJECUTAR DICHA ACCIÓN EN AMBIENTE DE PRODUCCIÓN. A SU VEZ SE SOLICITA LA REVISIÓN DE LA OPCIÓN DE DESBLOQUEO EN PRODUCCIÓN.</t>
  </si>
  <si>
    <t>STVE-2024-01-0002</t>
  </si>
  <si>
    <t>Cuenta eduardo</t>
  </si>
  <si>
    <t>tranferencia</t>
  </si>
  <si>
    <t>Abonado</t>
  </si>
  <si>
    <t>Abono</t>
  </si>
  <si>
    <t>Total a pagar</t>
  </si>
  <si>
    <t>Resta</t>
  </si>
  <si>
    <t xml:space="preserve">SE REQUIERE REVISAR Y CORREGIR LA OPCIÓN PARA DESBLOQUEAR Y RESETEAR A USUARIOS, DEBIDO A QUE NO SE PUEDE EJECUTAR DICHA ACCIÓN EN AMBIENTE DE PRODUCCIÓN. </t>
  </si>
  <si>
    <t>SINPE-CCE-2024-01-0001</t>
  </si>
  <si>
    <t>Se solicita elaborar tabla dinámcia en excel para consultar cheques históricos presentados en el canje.</t>
  </si>
  <si>
    <t>SINPE-TEF-2022-10-0001</t>
  </si>
  <si>
    <t>En la fase final del Proyecto de Migración de Sistemas del Back Office a versiones actuales Oracle, se solicita el traslado a producción del Sistema  «SINPE-TEF»  con conexión a la base de datos migrada a Oracle 19c.</t>
  </si>
  <si>
    <t>STVE-2024-01-0003</t>
  </si>
  <si>
    <t>SE SOLICITA ELIMINAR VIA BASE DE DATOS EL REGISTRO DE GRABACIÓN DE LAS SIGUIENTES VENTANILLAS: VDM-001-24 C$, VDM-011-24 C$, VDM-012-24 C$ Y VDM-013-24.</t>
  </si>
  <si>
    <t>rechazada</t>
  </si>
  <si>
    <t>STVE-2024-02-0003</t>
  </si>
  <si>
    <t>SE SOLICITA INGRESAR VIA BASE DE DATOS LA INFORMACIÓN DEL USUARIO ARACELY DEL CARMEN CASCO MENDOZA (AVANZ_05), EL CUAL YA FUE INGRESADO DE FORMA SATISFACTORIA EN EL AMBIENTE DE DESARROLLO.</t>
  </si>
  <si>
    <t>STVE-2024-02-0004</t>
  </si>
  <si>
    <t xml:space="preserve">SE SOLICITA SEA ELIMINADO VÍA BASE DE DATOS REGISTRO DUPLICADO DE LA CONVOCATORIA N0. SMV-028-24, EN SUBASTA Y VENTANILLA ELECTRÓNICA, DEL SISTEMA DE TITULOS VALORES ESTANDARIZADOS. </t>
  </si>
  <si>
    <t>abono eduardo</t>
  </si>
  <si>
    <t>ABONOS SAYDA</t>
  </si>
  <si>
    <t>STVE-2024-02-0001</t>
  </si>
  <si>
    <t>SE SOLICITA MODIFICAR Y AGREGAR EN EL MENU OPERACIONES MONETARIAS Y OTRAS SUBASTAS, REGISTRO DE DATOS, EN LA OPCIÓN MECANISMO LO SIGUIENTE: 
1. MODIFICAR LA PALABRA SUBASTA POR SUBASTA COMPETITIVA Y
 2. AGREGAR EL NOMBRE SUBASTA NO COMPETITIVA.</t>
  </si>
  <si>
    <t xml:space="preserve">SE SOLICITA MODIFICAR EN EL SISTEMA DE SUBASTA Y VENTANILLA ELECTRÓNICA, LO SIGUIENTE: QUITAR LA VALIDACIÓN PARA LOS USUARIOS DE ROL NO COMPETITIVA Y AGREGARLE LA VALIDACIÓN DE QUE MUESTRE LAS SUBASTA CONFORME EL MECANISMO GRABADO Y AUTORIZADO, DE TAL FORMA QUE LOS USUARIOS PUEDAN INGRESAR AL SISTEMA CONFORME CADA MODALIDAD.  </t>
  </si>
  <si>
    <t>STVE-2024-02-0002</t>
  </si>
  <si>
    <t>FP-2024-02-0001</t>
  </si>
  <si>
    <t>URGENTE
CON EL OBJETIVO DE INICIAR EL PROCESO DE FORMULACIÓN PRESUPUESTARIA 2025, 2026 2027, 2028 Y 2029, SOLICITAMOS LO SIGUIENTE: 
1. ACTIVAR EL AÑO 2025, DEJANDO LA MISMA INFORMACION GRABADA EN EL AÑO 2025 EN TODAS LAS CUENTAS.
2.- PARA LOS ÍCONOS  2026, 2027, 2028 DEJAR LO FORMULADO EN SUS CORRESPONDIENTES AÑOS 2026, 2027 2028, EN TODAS SUS CUENTAS.
ASI MISMO SOLICITAMOS QUE LA FORMULACIÓN 2024 DEL SISTEMA, QUEDE  RESPALDADA EN BASE DE DATOS.
 ATENTAMENTE,</t>
  </si>
  <si>
    <t>STVE-2024-02-0005</t>
  </si>
  <si>
    <t>SOLICITO LA BAJA VÍA BASE DE DATOS EN EL STVE DE UN USUARIO DE BANCO ATLANTIDA QUE YA NO LABORA PARA LA INSTITUCIÓN, CONFORME EL SIGUIENTE DETALLE:
1. GUILLERMINA CHAMORRO ARGUELLO: USUARIO: BANCO_ATLANTIDA_04.</t>
  </si>
  <si>
    <t>FP-2024-03-0003</t>
  </si>
  <si>
    <t>SE SOLICITA LA ACTIVACION DEL BOTON DE ELIMINAR REGISTRO EN LA PANTALLA DE VIÁTICOS DEL SISTEMA DE FORMULACION PRESUPUESTARIA.</t>
  </si>
  <si>
    <t>FP-2024-03-0001</t>
  </si>
  <si>
    <t>SE SOLICITA LA ACTUALIZACIÓN DEL AÑO 2025  EN LA TABLA DINAMICA FORMULACIÓN VS EJECUCIÓN (ACTUALIZAR 2024), DICHA TABLA FUE REMITIDA VIA CORREO ELECTRONICO.</t>
  </si>
  <si>
    <t>FP-2024-03-0002</t>
  </si>
  <si>
    <t>SE SOLICITA LA ACTUALIZACIÓN DE TABLA DINAMICA DE LOS PRODUCTOS DE FORMULACIÓN Y ACTIVAR EL AÑO 2025, DICHA TABLA YA FUE REMITIDA POR CORREO ELECTRONICO.</t>
  </si>
  <si>
    <t>SINPE-TEF-2024-03-0001</t>
  </si>
  <si>
    <t>SOLITAMOS QUE DOS USUARIOS NUEVOS DE TEF SEAN INCORPORADOS A LOS SIGUIENTES GRUPOS CORRESPONDIENTES: BCNNDUARTE1 (DSP) Y EL USUARIO: BCNNDUARTE2 (DRI), ESTA SOLICITUD ES URGENTE.</t>
  </si>
  <si>
    <t>SINPE-TEF-2024-02-0001</t>
  </si>
  <si>
    <t>Se solicita realizar ajuste en la pantalla de registro de SIPAS del sistema TEF cuando se seleccione un banco de Costa Rica ya que actualmente el sistema TEF envía el siguiente mensaje: "El participante indirecto no ha sido registrado en el catálogo, o su código de país no coincide con el código del país del número IBAN", esto debido a que la estructura del IBAN de Costa Rica es diferente, por ello se requiere validación en base al formato que se enviará por correo, el mensaje mencionado anteriormente no permite realizar SIPAS para Costa Rica.</t>
  </si>
  <si>
    <t>SINPE-TEF-2024-03-0002</t>
  </si>
  <si>
    <t xml:space="preserve">Solicitud de Información en Excel de TEF TELEDOLAR
Concepto: Reporte en Excel de TEF realizadas (enviadas) por TELEDOLAR (Código Banco, 93) entre el 01/01/2024 y el 25/03/2024 en el cual se visualicé usuario grabador, autorizador, montos y entidad destino. </t>
  </si>
  <si>
    <t>SINPE-TEF-2024-04-0001</t>
  </si>
  <si>
    <t>Con la atención de la SASS: SINPE-TEF-2024-02-0001, que permite validar el código IBAN de bancos participantes del SIP de Costa Rica, el reporte "Detalle de Transferencias Regionales Enviadas - Formato SWIFT" (repSIPEnviadasSWIFT), muestra el código con el que fue registrado el Banco Participante Indirecto de CR en TEF-SIP en el campo "BIC Entidad Financiera Destino (57A)"; es decir, 0151CR y 0900CR para el Banco Nacional de Costa Rica y TELEDOLAR S.A, respectivamente. En su lugar, se solicita que en ese campo aparezca BNCRCRSJ y TELDCRSJ para el Banco Nacional de Costa Rica y TELEDOLAR S.A, respectivamente.</t>
  </si>
  <si>
    <t>FP-2024-04-0001</t>
  </si>
  <si>
    <t>SE SOLICITA LA ACTUALIZACIÓN DEL AÑO 2025  EN LA TABLA DINAMICA FORMULACIÓN VS EJECUCIÓN DETTALLE, DICHA TABLA FUE REMITIDA VIA CORREO ELECTRONICO.</t>
  </si>
  <si>
    <t>SINPE-TEF-2024-02-0002</t>
  </si>
  <si>
    <t xml:space="preserve">SE SOLICITA INCORPORAR EL CAMPO DEL IBAN EN LOS SIGUIENTES REPORTES GENERADOS EN TEF: NOTA DE DÉBITO (RepTEFNotifDebito), NOTA DE CRÉDITO (RepTEFNotifCredito), ESTADO DE CUENTA (repTEFEstadoCuenta), COBRO POR SERVICIOS (RepTEFCobroPorServicio), MOVIMIENTO DE LA CUENTA Y ESTADO DE CUENTA (Consulta de Saldos). ADEMAS SE SOLICITA INCORPORAR EL NUMERO DE COMPROBANTE DE LIQUIDACION A LAS A LAS TEF Y NUMERO DEL COMPROBANTE ORIGEN A LAS TEF DE LAS AREAS. </t>
  </si>
  <si>
    <t>SINPE-TEF-2024-04-0002</t>
  </si>
  <si>
    <t>SE SOLICITA INCORPORAR EL CAMPO DEL IBAN EN EL SIGUIENTE REPORTE GENERADO EN TEF NOTA DE CRÉDITO (RepTEFNotifCredito)</t>
  </si>
  <si>
    <t>SINPE-TEF-2024-02-0003</t>
  </si>
  <si>
    <t>EN LA PANTALLA DE TEF / SIPA DESDE LOS USUARIOS DE LOS BANCOS COMERCIALES, EN LA OPCIÓN GRABAR TRANSFERENCIA SIPA / TIPO CLIENTE ORIGEN / PERSONA NATURAL, SE SOLICITA CAMBIAR EL CAMPO DE "FECHA DE NACIMIENTO DEL CLIENTE ORIGEN" POR "DIRECCIÓN DEL CLIENTE ORIGEN", TAL Y COMO ESTA DISEÑADO CUANDO EL CLIENTE ORDENANTE ES PERSONA JURIDICA, CON LA FINALIDAD DE APLICAR LAS ORIENTACIONES INCLUIDAS EN LA GUIA DEL SIPA.</t>
  </si>
  <si>
    <t>bd</t>
  </si>
  <si>
    <t>si</t>
  </si>
  <si>
    <t>Henrru</t>
  </si>
  <si>
    <t>SINPE-TEF-2024-04-0003</t>
  </si>
  <si>
    <t>SE SOLICITA INCORPORAR EL CAMPO DEL IBAN EN EL SIGUIENTE REPORTE GENERADO EN TEF ESTADO DE CUENTA (repTEFEstadoCuenta)</t>
  </si>
  <si>
    <t>SINPE-CCE-2024-04-0006</t>
  </si>
  <si>
    <t>Para minimizar vulnerabilidad identificada en la auditoria del código de SINPE-CCE,  se solicita aplique un método para encriptación de las credenciales de conexión a la base de datos.</t>
  </si>
  <si>
    <t>BASURA</t>
  </si>
  <si>
    <t>SINPE-TEF-2024-04-0004</t>
  </si>
  <si>
    <t>SE SOLICITA INCORPORAR EL CAMPO DEL IBAN EN EL SIGUIENTE REPORTE GENERADO EN TEF COBRO POR SERVICIOS (RepTEFCobroPorServicio)</t>
  </si>
  <si>
    <t>FP-2024-05-0002</t>
  </si>
  <si>
    <t>SOLICITAMOS DE MANERA URGENTE  TD_"PRODUCTOS DE ALMACEN PARA EL AÑO 2029" EN EL SISTEMA DE FORMULACION PRESUPUESTARIA.</t>
  </si>
  <si>
    <t>SINPE-CCE-2024-04-0007</t>
  </si>
  <si>
    <t>SE SOLICITA HABILITAR AMBIENTE EN DESARROLLO DE CCE Y CARGA DE DATOS DEL CANJE CCE DEL DIA 29/04/2024 PARA PROCEDER A DESCARGAR LA IMAGENES DE CHEQUES FISCALES.</t>
  </si>
  <si>
    <t>Juan</t>
  </si>
  <si>
    <t>SINPE-CCE-2024-05-0004</t>
  </si>
  <si>
    <t>Para minimizar vulnerabilidad identificada en la auditoria del código de SINPE-CCE, relacionada con la utilización de datos fijos en lugar de parámetros, se solicita la inclusión de un catálogo de parámetros generales en una nueva pantalla de CCE-Web.</t>
  </si>
  <si>
    <t>SINPE-ADMIN-2024-05-0001</t>
  </si>
  <si>
    <t>Se solicita asociar la opción de menú "Parámetros Generales" desde el Sistema de Administración de Usuarios SINPE (SINPE_ADMIN) para que se visualice correctamente en el Sistema de Cámara de Compensación Electrónica de Cheques (SINPE_CCE).</t>
  </si>
  <si>
    <t>1 quincena</t>
  </si>
  <si>
    <t>2 quincena</t>
  </si>
  <si>
    <t>Gran Total</t>
  </si>
  <si>
    <t>QUEDA</t>
  </si>
  <si>
    <t>EDEL GYM</t>
  </si>
  <si>
    <t>edelisa</t>
  </si>
  <si>
    <t>TOTALES MES</t>
  </si>
  <si>
    <t>abonado</t>
  </si>
  <si>
    <t xml:space="preserve">deuda sayda pendiente </t>
  </si>
  <si>
    <t>Abono Sayda</t>
  </si>
  <si>
    <t>eudardo y sayda</t>
  </si>
  <si>
    <t>celular</t>
  </si>
  <si>
    <t>abanico</t>
  </si>
  <si>
    <t>casa</t>
  </si>
  <si>
    <t>colegio</t>
  </si>
  <si>
    <t>usulpura</t>
  </si>
  <si>
    <t xml:space="preserve">ilisia </t>
  </si>
  <si>
    <t>dolares</t>
  </si>
  <si>
    <t>cordobas</t>
  </si>
  <si>
    <t>EDUARDO y faxy otro</t>
  </si>
  <si>
    <t>junio</t>
  </si>
  <si>
    <t>julio</t>
  </si>
  <si>
    <t>agosto</t>
  </si>
  <si>
    <t>septiembre</t>
  </si>
  <si>
    <t>octubre</t>
  </si>
  <si>
    <t>15 agosto sayda</t>
  </si>
  <si>
    <t>Edelisa</t>
  </si>
  <si>
    <t>comida</t>
  </si>
  <si>
    <t>prestado comida</t>
  </si>
  <si>
    <t>abono celular</t>
  </si>
  <si>
    <t>prestado pendiente</t>
  </si>
  <si>
    <t>abono deuda</t>
  </si>
  <si>
    <t xml:space="preserve">zapatos </t>
  </si>
  <si>
    <t>zapatos edel</t>
  </si>
  <si>
    <t>otros zapatos</t>
  </si>
  <si>
    <t>Capital prestado</t>
  </si>
  <si>
    <t>Faxy yo y abanico</t>
  </si>
  <si>
    <t>sayda</t>
  </si>
  <si>
    <t xml:space="preserve">mario </t>
  </si>
  <si>
    <t xml:space="preserve">michel </t>
  </si>
  <si>
    <t>samir</t>
  </si>
  <si>
    <t>abonos abanico</t>
  </si>
  <si>
    <t>30 de julio</t>
  </si>
  <si>
    <t>15 de julio</t>
  </si>
  <si>
    <t>30 de agosto</t>
  </si>
  <si>
    <t>15 de agosto</t>
  </si>
  <si>
    <t>15 de septiembre</t>
  </si>
  <si>
    <t>Total abonado</t>
  </si>
  <si>
    <t>30 de septiembre</t>
  </si>
  <si>
    <t>15 de octubre</t>
  </si>
  <si>
    <t>30 de octubre</t>
  </si>
  <si>
    <t>cuenta amiga cristina</t>
  </si>
  <si>
    <t>ana cristina urbina cerda</t>
  </si>
  <si>
    <t>Cancelada</t>
  </si>
  <si>
    <t>noviembre</t>
  </si>
  <si>
    <t>Abonos ES consultores</t>
  </si>
  <si>
    <t>cuentas</t>
  </si>
  <si>
    <t>Abono a capital</t>
  </si>
  <si>
    <t>Pago</t>
  </si>
  <si>
    <t>Abonos Celular</t>
  </si>
  <si>
    <t>diciembre</t>
  </si>
  <si>
    <t>15 de noviembre</t>
  </si>
  <si>
    <t>30 de noviembre</t>
  </si>
  <si>
    <t>cuenta bac</t>
  </si>
  <si>
    <t>cuenta gerald</t>
  </si>
  <si>
    <t>aporte</t>
  </si>
  <si>
    <t>15 de diciembre</t>
  </si>
  <si>
    <t>CANCELADA</t>
  </si>
  <si>
    <t>30 de diciembre</t>
  </si>
  <si>
    <t>15 de enero</t>
  </si>
  <si>
    <t>30 de enero</t>
  </si>
  <si>
    <t>adelanto</t>
  </si>
  <si>
    <t>JESLER</t>
  </si>
  <si>
    <t>ultimo pago</t>
  </si>
  <si>
    <t>aplicando retencion</t>
  </si>
  <si>
    <t>aplicando adelanto</t>
  </si>
  <si>
    <t>total pendiente</t>
  </si>
  <si>
    <t>en dolares</t>
  </si>
  <si>
    <t>15 de febero</t>
  </si>
  <si>
    <t>abono usura</t>
  </si>
  <si>
    <t>TOTAL</t>
  </si>
  <si>
    <t>cuenta sayda</t>
  </si>
  <si>
    <t>lafise</t>
  </si>
  <si>
    <t>sayda elizabeth narvaez guido</t>
  </si>
  <si>
    <t>30 de marzo 2025 sayda</t>
  </si>
  <si>
    <t>edelisa y zapatos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</si>
</sst>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color theme="0"/>
      <name val="Calibri"/>
      <family val="2"/>
      <scheme val="minor"/>
    </font>
    <font>
      <sz val="11"/>
      <color theme="1"/>
      <name val="Calibri"/>
      <family val="2"/>
      <scheme val="minor"/>
    </font>
    <font>
      <b/>
      <u/>
      <sz val="11"/>
      <color theme="1"/>
      <name val="Calibri"/>
      <family val="2"/>
      <scheme val="minor"/>
    </font>
    <font>
      <b/>
      <sz val="11"/>
      <color rgb="FFFF0000"/>
      <name val="Calibri"/>
      <family val="2"/>
      <scheme val="minor"/>
    </font>
    <font>
      <b/>
      <sz val="18"/>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indexed="64"/>
      </patternFill>
    </fill>
    <fill>
      <patternFill patternType="solid">
        <fgColor rgb="FF00B0F0"/>
        <bgColor indexed="64"/>
      </patternFill>
    </fill>
    <fill>
      <patternFill patternType="solid">
        <fgColor theme="3"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0" fontId="2" fillId="0" borderId="0" applyNumberFormat="0" applyFill="0" applyBorder="0" applyAlignment="0" applyProtection="0"/>
    <xf numFmtId="43" fontId="5" fillId="0" borderId="0" applyFont="0" applyFill="0" applyBorder="0" applyAlignment="0" applyProtection="0"/>
  </cellStyleXfs>
  <cellXfs count="147">
    <xf numFmtId="0" fontId="0" fillId="0" borderId="0" xfId="0"/>
    <xf numFmtId="0" fontId="0" fillId="0" borderId="1" xfId="0" applyBorder="1"/>
    <xf numFmtId="0" fontId="1" fillId="0" borderId="1" xfId="0" applyFont="1" applyBorder="1"/>
    <xf numFmtId="0" fontId="1" fillId="0" borderId="1" xfId="0" applyFont="1" applyBorder="1" applyAlignment="1">
      <alignment horizontal="center"/>
    </xf>
    <xf numFmtId="0" fontId="2" fillId="0" borderId="1" xfId="1" quotePrefix="1" applyBorder="1"/>
    <xf numFmtId="0" fontId="1" fillId="0" borderId="5" xfId="0" applyFont="1" applyBorder="1"/>
    <xf numFmtId="3" fontId="1" fillId="0" borderId="5" xfId="0" applyNumberFormat="1" applyFont="1" applyBorder="1"/>
    <xf numFmtId="0" fontId="1" fillId="0" borderId="1" xfId="0" applyFont="1" applyBorder="1" applyAlignment="1">
      <alignment horizontal="center" vertical="top"/>
    </xf>
    <xf numFmtId="0" fontId="1" fillId="0" borderId="1" xfId="0" applyFont="1" applyBorder="1" applyAlignment="1">
      <alignment horizontal="left" vertical="center" wrapText="1"/>
    </xf>
    <xf numFmtId="0" fontId="1" fillId="0" borderId="1" xfId="0" applyFont="1" applyBorder="1" applyAlignment="1">
      <alignment wrapText="1"/>
    </xf>
    <xf numFmtId="0" fontId="2" fillId="0" borderId="1" xfId="1" quotePrefix="1" applyFill="1" applyBorder="1"/>
    <xf numFmtId="2" fontId="1" fillId="0" borderId="1" xfId="0" applyNumberFormat="1" applyFont="1" applyBorder="1" applyAlignment="1">
      <alignment horizontal="center"/>
    </xf>
    <xf numFmtId="0" fontId="1" fillId="0" borderId="2" xfId="0" applyFont="1" applyBorder="1" applyAlignment="1">
      <alignment wrapText="1"/>
    </xf>
    <xf numFmtId="14" fontId="1" fillId="0" borderId="2" xfId="0" applyNumberFormat="1" applyFont="1" applyBorder="1" applyAlignment="1">
      <alignment wrapText="1"/>
    </xf>
    <xf numFmtId="2" fontId="0" fillId="0" borderId="0" xfId="0" applyNumberFormat="1" applyAlignment="1">
      <alignment horizontal="center"/>
    </xf>
    <xf numFmtId="0" fontId="1" fillId="3" borderId="1" xfId="0" applyFont="1" applyFill="1" applyBorder="1"/>
    <xf numFmtId="22" fontId="1" fillId="3" borderId="1" xfId="0" applyNumberFormat="1" applyFont="1" applyFill="1" applyBorder="1"/>
    <xf numFmtId="2" fontId="1" fillId="3" borderId="2" xfId="0" applyNumberFormat="1" applyFont="1" applyFill="1" applyBorder="1" applyAlignment="1">
      <alignment horizontal="center"/>
    </xf>
    <xf numFmtId="0" fontId="1" fillId="0" borderId="2" xfId="0" applyFont="1" applyBorder="1"/>
    <xf numFmtId="0" fontId="1" fillId="5" borderId="1" xfId="0" applyFont="1" applyFill="1" applyBorder="1"/>
    <xf numFmtId="3" fontId="0" fillId="0" borderId="0" xfId="0" applyNumberFormat="1"/>
    <xf numFmtId="2" fontId="1" fillId="3" borderId="1" xfId="0" applyNumberFormat="1" applyFont="1" applyFill="1" applyBorder="1" applyAlignment="1">
      <alignment horizontal="center"/>
    </xf>
    <xf numFmtId="14" fontId="1" fillId="3" borderId="1" xfId="0" applyNumberFormat="1" applyFont="1" applyFill="1" applyBorder="1"/>
    <xf numFmtId="0" fontId="1" fillId="0" borderId="1" xfId="0" applyFont="1" applyBorder="1" applyAlignment="1">
      <alignment vertical="top"/>
    </xf>
    <xf numFmtId="0" fontId="1" fillId="3" borderId="1" xfId="0" applyFont="1" applyFill="1" applyBorder="1" applyAlignment="1">
      <alignment horizontal="center" vertical="center"/>
    </xf>
    <xf numFmtId="22"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6" borderId="1" xfId="0" applyFont="1" applyFill="1" applyBorder="1"/>
    <xf numFmtId="0" fontId="3" fillId="3" borderId="1" xfId="0" applyFont="1" applyFill="1" applyBorder="1" applyAlignment="1">
      <alignment vertical="top"/>
    </xf>
    <xf numFmtId="22" fontId="3" fillId="3" borderId="1" xfId="0" applyNumberFormat="1" applyFont="1" applyFill="1" applyBorder="1" applyAlignment="1">
      <alignment vertical="top"/>
    </xf>
    <xf numFmtId="2" fontId="3" fillId="3" borderId="1" xfId="0" applyNumberFormat="1" applyFont="1" applyFill="1" applyBorder="1" applyAlignment="1">
      <alignment horizontal="center" vertical="top"/>
    </xf>
    <xf numFmtId="0" fontId="1" fillId="3" borderId="1" xfId="0" applyFont="1" applyFill="1" applyBorder="1" applyAlignment="1">
      <alignment vertical="top"/>
    </xf>
    <xf numFmtId="22" fontId="1" fillId="3" borderId="1" xfId="0" applyNumberFormat="1" applyFont="1" applyFill="1" applyBorder="1" applyAlignment="1">
      <alignment vertical="top"/>
    </xf>
    <xf numFmtId="2" fontId="1" fillId="3" borderId="1" xfId="0" applyNumberFormat="1" applyFont="1" applyFill="1" applyBorder="1" applyAlignment="1">
      <alignment horizontal="center" vertical="top"/>
    </xf>
    <xf numFmtId="2" fontId="0" fillId="0" borderId="0" xfId="0" applyNumberFormat="1"/>
    <xf numFmtId="14" fontId="1" fillId="0" borderId="1" xfId="0" applyNumberFormat="1" applyFont="1" applyBorder="1" applyAlignment="1">
      <alignment horizontal="left"/>
    </xf>
    <xf numFmtId="0" fontId="1" fillId="0" borderId="1" xfId="0" applyFont="1" applyBorder="1" applyAlignment="1">
      <alignment horizontal="left"/>
    </xf>
    <xf numFmtId="0" fontId="1" fillId="4" borderId="1" xfId="0" applyFont="1" applyFill="1" applyBorder="1"/>
    <xf numFmtId="3" fontId="1" fillId="4" borderId="1" xfId="0" applyNumberFormat="1" applyFont="1" applyFill="1" applyBorder="1"/>
    <xf numFmtId="0" fontId="3" fillId="3" borderId="1" xfId="0" applyFont="1" applyFill="1" applyBorder="1"/>
    <xf numFmtId="22" fontId="3" fillId="3" borderId="1" xfId="0" applyNumberFormat="1" applyFont="1" applyFill="1" applyBorder="1"/>
    <xf numFmtId="2" fontId="3" fillId="3" borderId="1" xfId="0" applyNumberFormat="1" applyFont="1" applyFill="1" applyBorder="1" applyAlignment="1">
      <alignment horizontal="center"/>
    </xf>
    <xf numFmtId="0" fontId="1" fillId="0" borderId="0" xfId="0" applyFont="1"/>
    <xf numFmtId="3" fontId="0" fillId="0" borderId="1" xfId="0" applyNumberFormat="1" applyBorder="1"/>
    <xf numFmtId="0" fontId="4" fillId="7" borderId="1" xfId="0" applyFont="1" applyFill="1" applyBorder="1" applyAlignment="1">
      <alignment horizontal="left"/>
    </xf>
    <xf numFmtId="22" fontId="4" fillId="7" borderId="1" xfId="0" applyNumberFormat="1" applyFont="1" applyFill="1" applyBorder="1"/>
    <xf numFmtId="22" fontId="4" fillId="7" borderId="2" xfId="0" applyNumberFormat="1" applyFont="1" applyFill="1" applyBorder="1"/>
    <xf numFmtId="2" fontId="4" fillId="7" borderId="2" xfId="0" applyNumberFormat="1" applyFont="1" applyFill="1" applyBorder="1" applyAlignment="1">
      <alignment horizontal="center"/>
    </xf>
    <xf numFmtId="0" fontId="4" fillId="7" borderId="1" xfId="0" applyFont="1" applyFill="1" applyBorder="1"/>
    <xf numFmtId="2" fontId="4" fillId="7" borderId="1" xfId="0" applyNumberFormat="1" applyFont="1" applyFill="1" applyBorder="1" applyAlignment="1">
      <alignment horizontal="center"/>
    </xf>
    <xf numFmtId="2" fontId="0" fillId="0" borderId="1" xfId="0" applyNumberFormat="1" applyBorder="1"/>
    <xf numFmtId="4" fontId="0" fillId="0" borderId="0" xfId="0" applyNumberFormat="1"/>
    <xf numFmtId="0" fontId="1" fillId="8" borderId="1" xfId="0" applyFont="1" applyFill="1" applyBorder="1"/>
    <xf numFmtId="3" fontId="1" fillId="0" borderId="1" xfId="0" applyNumberFormat="1" applyFont="1" applyBorder="1"/>
    <xf numFmtId="2" fontId="1" fillId="8" borderId="1" xfId="0" applyNumberFormat="1" applyFont="1" applyFill="1" applyBorder="1"/>
    <xf numFmtId="2" fontId="1" fillId="0" borderId="1" xfId="0" applyNumberFormat="1" applyFont="1" applyBorder="1"/>
    <xf numFmtId="0" fontId="1" fillId="4" borderId="0" xfId="0" applyFont="1" applyFill="1"/>
    <xf numFmtId="3" fontId="1" fillId="4" borderId="0" xfId="0" applyNumberFormat="1" applyFont="1" applyFill="1"/>
    <xf numFmtId="4" fontId="1" fillId="0" borderId="1" xfId="0" applyNumberFormat="1" applyFont="1" applyBorder="1"/>
    <xf numFmtId="164" fontId="0" fillId="0" borderId="0" xfId="0" applyNumberFormat="1"/>
    <xf numFmtId="0" fontId="1" fillId="3" borderId="1" xfId="0" applyFont="1" applyFill="1" applyBorder="1" applyAlignment="1">
      <alignment horizontal="left" vertical="center"/>
    </xf>
    <xf numFmtId="43" fontId="1" fillId="3" borderId="1" xfId="2" applyFont="1" applyFill="1" applyBorder="1"/>
    <xf numFmtId="43" fontId="6" fillId="3" borderId="1" xfId="2" applyFont="1" applyFill="1" applyBorder="1"/>
    <xf numFmtId="43" fontId="1" fillId="0" borderId="1" xfId="2" applyFont="1" applyBorder="1"/>
    <xf numFmtId="43" fontId="1" fillId="4" borderId="1" xfId="2" applyFont="1" applyFill="1" applyBorder="1"/>
    <xf numFmtId="43" fontId="7" fillId="0" borderId="1" xfId="2" applyFont="1" applyBorder="1"/>
    <xf numFmtId="0" fontId="4" fillId="9" borderId="1" xfId="0" applyFont="1" applyFill="1" applyBorder="1"/>
    <xf numFmtId="0" fontId="0" fillId="3" borderId="1" xfId="0" applyFill="1" applyBorder="1"/>
    <xf numFmtId="0" fontId="1" fillId="4" borderId="1" xfId="0" applyFont="1" applyFill="1" applyBorder="1" applyAlignment="1">
      <alignment horizontal="center"/>
    </xf>
    <xf numFmtId="0" fontId="1" fillId="0" borderId="1" xfId="0" applyFont="1" applyBorder="1" applyAlignment="1">
      <alignment vertical="center" wrapText="1"/>
    </xf>
    <xf numFmtId="0" fontId="1" fillId="3" borderId="1" xfId="0" applyFont="1" applyFill="1" applyBorder="1" applyAlignment="1">
      <alignment vertical="center"/>
    </xf>
    <xf numFmtId="22" fontId="1" fillId="3" borderId="1" xfId="0" applyNumberFormat="1" applyFont="1" applyFill="1" applyBorder="1" applyAlignment="1">
      <alignment vertical="center"/>
    </xf>
    <xf numFmtId="0" fontId="1" fillId="2" borderId="1" xfId="0" applyFont="1" applyFill="1" applyBorder="1"/>
    <xf numFmtId="22" fontId="1" fillId="2" borderId="1" xfId="0" applyNumberFormat="1" applyFont="1" applyFill="1" applyBorder="1"/>
    <xf numFmtId="2" fontId="1" fillId="2" borderId="1" xfId="0" applyNumberFormat="1" applyFont="1" applyFill="1" applyBorder="1" applyAlignment="1">
      <alignment horizontal="center"/>
    </xf>
    <xf numFmtId="17" fontId="0" fillId="0" borderId="1" xfId="0" applyNumberFormat="1" applyBorder="1"/>
    <xf numFmtId="0" fontId="1" fillId="10" borderId="1" xfId="0" applyFont="1" applyFill="1" applyBorder="1"/>
    <xf numFmtId="22" fontId="1" fillId="10" borderId="1" xfId="0" applyNumberFormat="1" applyFont="1" applyFill="1" applyBorder="1"/>
    <xf numFmtId="2" fontId="1" fillId="10" borderId="1" xfId="0" applyNumberFormat="1" applyFont="1" applyFill="1" applyBorder="1" applyAlignment="1">
      <alignment horizontal="center"/>
    </xf>
    <xf numFmtId="0" fontId="1" fillId="11" borderId="1" xfId="0" applyFont="1" applyFill="1" applyBorder="1"/>
    <xf numFmtId="22" fontId="1" fillId="11" borderId="1" xfId="0" applyNumberFormat="1" applyFont="1" applyFill="1" applyBorder="1"/>
    <xf numFmtId="2" fontId="1" fillId="11" borderId="1" xfId="0" applyNumberFormat="1" applyFont="1" applyFill="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0" fillId="0" borderId="2" xfId="0" applyBorder="1"/>
    <xf numFmtId="43" fontId="0" fillId="0" borderId="1" xfId="2" applyFont="1" applyBorder="1"/>
    <xf numFmtId="43" fontId="0" fillId="0" borderId="2" xfId="2" applyFont="1" applyBorder="1"/>
    <xf numFmtId="43" fontId="0" fillId="4" borderId="1" xfId="2" applyFont="1" applyFill="1" applyBorder="1"/>
    <xf numFmtId="43" fontId="0" fillId="4" borderId="2" xfId="2" applyFont="1" applyFill="1" applyBorder="1"/>
    <xf numFmtId="1" fontId="1" fillId="0" borderId="1" xfId="0" applyNumberFormat="1" applyFont="1" applyBorder="1"/>
    <xf numFmtId="43" fontId="0" fillId="12" borderId="1" xfId="2" applyFont="1" applyFill="1" applyBorder="1"/>
    <xf numFmtId="43" fontId="0" fillId="0" borderId="0" xfId="0" applyNumberFormat="1"/>
    <xf numFmtId="0" fontId="1" fillId="13" borderId="1" xfId="0" applyFont="1" applyFill="1" applyBorder="1" applyAlignment="1">
      <alignment horizontal="center"/>
    </xf>
    <xf numFmtId="43" fontId="1" fillId="13" borderId="1" xfId="2" applyFont="1" applyFill="1" applyBorder="1"/>
    <xf numFmtId="0" fontId="1" fillId="14" borderId="1" xfId="0" applyFont="1" applyFill="1" applyBorder="1" applyAlignment="1">
      <alignment horizontal="center"/>
    </xf>
    <xf numFmtId="0" fontId="1" fillId="14" borderId="2" xfId="0" applyFont="1" applyFill="1" applyBorder="1" applyAlignment="1">
      <alignment horizontal="center"/>
    </xf>
    <xf numFmtId="43" fontId="1" fillId="14" borderId="1" xfId="2" applyFont="1" applyFill="1" applyBorder="1"/>
    <xf numFmtId="43" fontId="1" fillId="14" borderId="2" xfId="2" applyFont="1" applyFill="1" applyBorder="1"/>
    <xf numFmtId="43" fontId="1" fillId="0" borderId="1" xfId="2" applyFont="1" applyFill="1" applyBorder="1"/>
    <xf numFmtId="0" fontId="1" fillId="0" borderId="8" xfId="0" applyFont="1" applyBorder="1"/>
    <xf numFmtId="43" fontId="1" fillId="0" borderId="8" xfId="2" applyFont="1" applyFill="1" applyBorder="1"/>
    <xf numFmtId="0" fontId="1" fillId="15" borderId="1" xfId="0" applyFont="1" applyFill="1" applyBorder="1"/>
    <xf numFmtId="43" fontId="1" fillId="15" borderId="1" xfId="2" applyFont="1" applyFill="1" applyBorder="1"/>
    <xf numFmtId="16" fontId="1" fillId="0" borderId="1" xfId="0" applyNumberFormat="1" applyFont="1" applyBorder="1"/>
    <xf numFmtId="1" fontId="8" fillId="0" borderId="0" xfId="0" applyNumberFormat="1" applyFont="1"/>
    <xf numFmtId="43" fontId="1" fillId="0" borderId="2" xfId="2" applyFont="1" applyBorder="1"/>
    <xf numFmtId="0" fontId="1" fillId="0" borderId="4" xfId="0" applyFont="1" applyBorder="1"/>
    <xf numFmtId="16" fontId="1" fillId="3" borderId="1" xfId="0" applyNumberFormat="1" applyFont="1" applyFill="1" applyBorder="1"/>
    <xf numFmtId="43" fontId="1" fillId="0" borderId="2" xfId="0" applyNumberFormat="1" applyFont="1" applyBorder="1" applyAlignment="1">
      <alignment horizontal="center"/>
    </xf>
    <xf numFmtId="43" fontId="1" fillId="0" borderId="0" xfId="2" applyFont="1" applyBorder="1"/>
    <xf numFmtId="43" fontId="1" fillId="0" borderId="0" xfId="2" applyFont="1" applyFill="1" applyBorder="1"/>
    <xf numFmtId="14" fontId="1" fillId="0" borderId="1" xfId="0" applyNumberFormat="1" applyFont="1" applyBorder="1"/>
    <xf numFmtId="0" fontId="0" fillId="16" borderId="1" xfId="0" applyFill="1" applyBorder="1"/>
    <xf numFmtId="43" fontId="1" fillId="0" borderId="1" xfId="0" applyNumberFormat="1" applyFont="1" applyBorder="1"/>
    <xf numFmtId="43" fontId="0" fillId="0" borderId="2" xfId="0" applyNumberFormat="1" applyBorder="1"/>
    <xf numFmtId="0" fontId="0" fillId="0" borderId="4" xfId="0" applyBorder="1"/>
    <xf numFmtId="0" fontId="9" fillId="0" borderId="0" xfId="0" applyFont="1"/>
    <xf numFmtId="43" fontId="1" fillId="3" borderId="1" xfId="0" applyNumberFormat="1" applyFont="1" applyFill="1" applyBorder="1"/>
    <xf numFmtId="2" fontId="0" fillId="3" borderId="1" xfId="0" applyNumberFormat="1" applyFill="1" applyBorder="1"/>
    <xf numFmtId="0" fontId="1" fillId="3" borderId="0" xfId="0" applyFont="1" applyFill="1"/>
    <xf numFmtId="0" fontId="1" fillId="4" borderId="0" xfId="0" applyFont="1" applyFill="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0" fillId="3" borderId="1" xfId="0"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1" xfId="0" applyFont="1" applyFill="1" applyBorder="1" applyAlignment="1">
      <alignment horizontal="center" vertical="center"/>
    </xf>
    <xf numFmtId="0" fontId="1" fillId="0" borderId="1" xfId="0" applyFont="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7" xfId="0" applyBorder="1" applyAlignment="1">
      <alignment horizontal="center"/>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xf numFmtId="0" fontId="0" fillId="10" borderId="6" xfId="0" applyFill="1" applyBorder="1" applyAlignment="1">
      <alignment horizontal="center"/>
    </xf>
    <xf numFmtId="0" fontId="0" fillId="10" borderId="0" xfId="0" applyFill="1" applyAlignment="1">
      <alignment horizontal="center"/>
    </xf>
    <xf numFmtId="0" fontId="0" fillId="0" borderId="6" xfId="0" applyBorder="1" applyAlignment="1">
      <alignment horizontal="center"/>
    </xf>
    <xf numFmtId="0" fontId="0" fillId="0" borderId="0" xfId="0" applyAlignment="1">
      <alignment horizontal="center"/>
    </xf>
    <xf numFmtId="0" fontId="0" fillId="0" borderId="1" xfId="0" applyBorder="1" applyAlignment="1">
      <alignment horizontal="center"/>
    </xf>
    <xf numFmtId="43" fontId="1" fillId="0" borderId="1" xfId="0" applyNumberFormat="1" applyFont="1" applyBorder="1" applyAlignment="1">
      <alignment horizontal="center"/>
    </xf>
    <xf numFmtId="0" fontId="1" fillId="0" borderId="2" xfId="0" applyFont="1" applyBorder="1" applyAlignment="1">
      <alignment horizontal="center"/>
    </xf>
    <xf numFmtId="43" fontId="1" fillId="0" borderId="0" xfId="0" applyNumberFormat="1" applyFont="1"/>
  </cellXfs>
  <cellStyles count="3">
    <cellStyle name="Hipervínculo" xfId="1" builtinId="8"/>
    <cellStyle name="Millares" xfId="2" builtinId="3"/>
    <cellStyle name="Normal" xfId="0" builtinId="0"/>
  </cellStyles>
  <dxfs count="6">
    <dxf>
      <font>
        <color rgb="FF9C0006"/>
      </font>
      <fill>
        <patternFill>
          <bgColor rgb="FFFFC7CE"/>
        </patternFill>
      </fill>
    </dxf>
    <dxf>
      <font>
        <color rgb="FF9C0006"/>
      </font>
      <fill>
        <patternFill>
          <bgColor rgb="FFFFC7CE"/>
        </patternFill>
      </fill>
    </dxf>
    <dxf>
      <font>
        <color theme="1"/>
      </font>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D46AF-02BD-49FA-BA43-44DA42422AC6}">
  <sheetPr codeName="Hoja3">
    <tabColor rgb="FFFF0000"/>
  </sheetPr>
  <dimension ref="A1:H5"/>
  <sheetViews>
    <sheetView zoomScale="85" zoomScaleNormal="85" workbookViewId="0">
      <pane ySplit="1" topLeftCell="A2" activePane="bottomLeft" state="frozen"/>
      <selection pane="bottomLeft" activeCell="B16" sqref="B16"/>
    </sheetView>
  </sheetViews>
  <sheetFormatPr baseColWidth="10" defaultRowHeight="14.4" x14ac:dyDescent="0.3"/>
  <cols>
    <col min="1" max="1" width="25.5546875" bestFit="1" customWidth="1"/>
    <col min="2" max="2" width="25.77734375" customWidth="1"/>
    <col min="3" max="3" width="18.5546875" bestFit="1" customWidth="1"/>
    <col min="4" max="4" width="18.5546875" customWidth="1"/>
    <col min="5" max="5" width="27.77734375" style="14" customWidth="1"/>
    <col min="6" max="6" width="11.77734375" style="14" bestFit="1" customWidth="1"/>
    <col min="7" max="7" width="179.21875" customWidth="1"/>
    <col min="8" max="8" width="34.77734375" customWidth="1"/>
  </cols>
  <sheetData>
    <row r="1" spans="1:8" x14ac:dyDescent="0.3">
      <c r="A1" s="2" t="s">
        <v>2</v>
      </c>
      <c r="B1" s="2" t="s">
        <v>4</v>
      </c>
      <c r="C1" s="2" t="s">
        <v>5</v>
      </c>
      <c r="D1" s="2" t="s">
        <v>96</v>
      </c>
      <c r="E1" s="11" t="s">
        <v>47</v>
      </c>
      <c r="F1" s="11" t="s">
        <v>181</v>
      </c>
      <c r="G1" s="7" t="s">
        <v>3</v>
      </c>
      <c r="H1" s="2" t="s">
        <v>8</v>
      </c>
    </row>
    <row r="2" spans="1:8" x14ac:dyDescent="0.3">
      <c r="A2" s="44" t="s">
        <v>48</v>
      </c>
      <c r="B2" s="45">
        <v>44992.357048611113</v>
      </c>
      <c r="C2" s="45">
        <v>45030.434166666666</v>
      </c>
      <c r="D2" s="46"/>
      <c r="E2" s="47">
        <v>14</v>
      </c>
      <c r="F2" s="47"/>
      <c r="G2" s="2" t="s">
        <v>49</v>
      </c>
    </row>
    <row r="3" spans="1:8" x14ac:dyDescent="0.3">
      <c r="A3" s="44" t="s">
        <v>106</v>
      </c>
      <c r="B3" s="45">
        <v>45055.417534722219</v>
      </c>
      <c r="C3" s="48"/>
      <c r="D3" s="48"/>
      <c r="E3" s="49">
        <v>4</v>
      </c>
      <c r="F3" s="49"/>
      <c r="G3" s="27" t="s">
        <v>107</v>
      </c>
    </row>
    <row r="4" spans="1:8" x14ac:dyDescent="0.3">
      <c r="A4" s="44" t="s">
        <v>108</v>
      </c>
      <c r="B4" s="45">
        <v>45057.445798611108</v>
      </c>
      <c r="C4" s="48"/>
      <c r="D4" s="48"/>
      <c r="E4" s="49">
        <v>4</v>
      </c>
      <c r="F4" s="49"/>
      <c r="G4" s="27" t="s">
        <v>109</v>
      </c>
    </row>
    <row r="5" spans="1:8" ht="20.25" customHeight="1" x14ac:dyDescent="0.3">
      <c r="A5" s="48" t="s">
        <v>159</v>
      </c>
      <c r="B5" s="48" t="s">
        <v>240</v>
      </c>
      <c r="C5" s="48"/>
      <c r="D5" s="48"/>
      <c r="E5" s="49"/>
      <c r="F5" s="49"/>
      <c r="G5" s="9" t="s">
        <v>160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ADED4-D424-40B1-A9C2-D70E0CE13E42}">
  <sheetPr codeName="Hoja6">
    <tabColor rgb="FF92D050"/>
  </sheetPr>
  <dimension ref="A1:H76"/>
  <sheetViews>
    <sheetView zoomScale="85" zoomScaleNormal="85" workbookViewId="0">
      <pane ySplit="1" topLeftCell="A47" activePane="bottomLeft" state="frozen"/>
      <selection pane="bottomLeft" activeCell="C81" sqref="C81"/>
    </sheetView>
  </sheetViews>
  <sheetFormatPr baseColWidth="10" defaultRowHeight="14.4" x14ac:dyDescent="0.3"/>
  <cols>
    <col min="1" max="1" width="25.5546875" bestFit="1" customWidth="1"/>
    <col min="2" max="2" width="25.77734375" customWidth="1"/>
    <col min="3" max="3" width="18.5546875" bestFit="1" customWidth="1"/>
    <col min="4" max="4" width="18.5546875" customWidth="1"/>
    <col min="5" max="5" width="27.77734375" style="14" customWidth="1"/>
    <col min="6" max="6" width="11.77734375" style="14" bestFit="1" customWidth="1"/>
    <col min="7" max="7" width="179.21875" customWidth="1"/>
    <col min="8" max="8" width="34.77734375" customWidth="1"/>
  </cols>
  <sheetData>
    <row r="1" spans="1:8" x14ac:dyDescent="0.3">
      <c r="A1" s="2" t="s">
        <v>2</v>
      </c>
      <c r="B1" s="2" t="s">
        <v>4</v>
      </c>
      <c r="C1" s="2" t="s">
        <v>5</v>
      </c>
      <c r="D1" s="2" t="s">
        <v>96</v>
      </c>
      <c r="E1" s="11" t="s">
        <v>47</v>
      </c>
      <c r="F1" s="11" t="s">
        <v>181</v>
      </c>
      <c r="G1" s="7" t="s">
        <v>3</v>
      </c>
      <c r="H1" s="2" t="s">
        <v>8</v>
      </c>
    </row>
    <row r="2" spans="1:8" x14ac:dyDescent="0.3">
      <c r="A2" s="121" t="s">
        <v>131</v>
      </c>
      <c r="B2" s="122"/>
      <c r="C2" s="122"/>
      <c r="D2" s="122"/>
      <c r="E2" s="122"/>
      <c r="F2" s="122"/>
      <c r="G2" s="122"/>
      <c r="H2" s="123"/>
    </row>
    <row r="3" spans="1:8" x14ac:dyDescent="0.3">
      <c r="A3" s="24" t="s">
        <v>0</v>
      </c>
      <c r="B3" s="25">
        <v>44963.40216435185</v>
      </c>
      <c r="C3" s="25">
        <v>44964.429756944446</v>
      </c>
      <c r="D3" s="25">
        <v>44964.436701388891</v>
      </c>
      <c r="E3" s="26">
        <v>4</v>
      </c>
      <c r="F3" s="26"/>
      <c r="G3" s="8" t="s">
        <v>1</v>
      </c>
      <c r="H3" s="4" t="s">
        <v>9</v>
      </c>
    </row>
    <row r="4" spans="1:8" ht="28.8" x14ac:dyDescent="0.3">
      <c r="A4" s="15" t="s">
        <v>6</v>
      </c>
      <c r="B4" s="16">
        <v>44974.458391203705</v>
      </c>
      <c r="C4" s="16">
        <v>44981.580555555556</v>
      </c>
      <c r="D4" s="16">
        <v>44981.580555555556</v>
      </c>
      <c r="E4" s="21">
        <v>12</v>
      </c>
      <c r="F4" s="21"/>
      <c r="G4" s="9" t="s">
        <v>7</v>
      </c>
      <c r="H4" s="10" t="s">
        <v>42</v>
      </c>
    </row>
    <row r="5" spans="1:8" ht="28.8" x14ac:dyDescent="0.3">
      <c r="A5" s="15" t="s">
        <v>39</v>
      </c>
      <c r="B5" s="16">
        <v>44979.684398148151</v>
      </c>
      <c r="C5" s="16">
        <v>44981.580555555556</v>
      </c>
      <c r="D5" s="16">
        <v>44981.581250000003</v>
      </c>
      <c r="E5" s="21">
        <v>4</v>
      </c>
      <c r="F5" s="21"/>
      <c r="G5" s="9" t="s">
        <v>40</v>
      </c>
      <c r="H5" s="4" t="s">
        <v>41</v>
      </c>
    </row>
    <row r="6" spans="1:8" x14ac:dyDescent="0.3">
      <c r="A6" s="121" t="s">
        <v>43</v>
      </c>
      <c r="B6" s="122"/>
      <c r="C6" s="122"/>
      <c r="D6" s="122"/>
      <c r="E6" s="122"/>
      <c r="F6" s="122"/>
      <c r="G6" s="122"/>
      <c r="H6" s="123"/>
    </row>
    <row r="7" spans="1:8" ht="28.8" x14ac:dyDescent="0.3">
      <c r="A7" s="15" t="s">
        <v>44</v>
      </c>
      <c r="B7" s="16">
        <v>44991.401724537034</v>
      </c>
      <c r="C7" s="16">
        <v>45001.363182870373</v>
      </c>
      <c r="D7" s="16">
        <v>45001.372210648151</v>
      </c>
      <c r="E7" s="21">
        <v>6</v>
      </c>
      <c r="F7" s="21"/>
      <c r="G7" s="9" t="s">
        <v>45</v>
      </c>
      <c r="H7" s="4" t="s">
        <v>52</v>
      </c>
    </row>
    <row r="8" spans="1:8" ht="28.8" x14ac:dyDescent="0.3">
      <c r="A8" s="15" t="s">
        <v>50</v>
      </c>
      <c r="B8" s="16">
        <v>44993</v>
      </c>
      <c r="C8" s="22">
        <v>44993</v>
      </c>
      <c r="D8" s="16">
        <v>45016.429965277777</v>
      </c>
      <c r="E8" s="17">
        <v>1</v>
      </c>
      <c r="F8" s="17"/>
      <c r="G8" s="13" t="s">
        <v>51</v>
      </c>
      <c r="H8" s="1"/>
    </row>
    <row r="9" spans="1:8" ht="28.8" x14ac:dyDescent="0.3">
      <c r="A9" s="15" t="s">
        <v>57</v>
      </c>
      <c r="B9" s="16">
        <v>45013.405995370369</v>
      </c>
      <c r="C9" s="22">
        <v>45013.418553240743</v>
      </c>
      <c r="D9" s="16">
        <v>45016.429965277777</v>
      </c>
      <c r="E9" s="17">
        <v>1</v>
      </c>
      <c r="F9" s="17"/>
      <c r="G9" s="12" t="s">
        <v>58</v>
      </c>
      <c r="H9" s="1"/>
    </row>
    <row r="10" spans="1:8" x14ac:dyDescent="0.3">
      <c r="A10" s="121" t="s">
        <v>93</v>
      </c>
      <c r="B10" s="122"/>
      <c r="C10" s="122"/>
      <c r="D10" s="122"/>
      <c r="E10" s="122"/>
      <c r="F10" s="122"/>
      <c r="G10" s="122"/>
      <c r="H10" s="123"/>
    </row>
    <row r="11" spans="1:8" x14ac:dyDescent="0.3">
      <c r="A11" s="15" t="s">
        <v>91</v>
      </c>
      <c r="B11" s="16">
        <v>45020.375138888892</v>
      </c>
      <c r="C11" s="16">
        <v>45020.375138888892</v>
      </c>
      <c r="D11" s="16">
        <v>45040.383553240739</v>
      </c>
      <c r="E11" s="17">
        <v>1</v>
      </c>
      <c r="F11" s="17"/>
      <c r="G11" s="18" t="s">
        <v>92</v>
      </c>
      <c r="H11" s="1"/>
    </row>
    <row r="12" spans="1:8" x14ac:dyDescent="0.3">
      <c r="A12" s="15" t="s">
        <v>53</v>
      </c>
      <c r="B12" s="16">
        <v>45009.347395833334</v>
      </c>
      <c r="C12" s="16">
        <v>45034.668275462966</v>
      </c>
      <c r="D12" s="16">
        <v>45034.747442129628</v>
      </c>
      <c r="E12" s="17">
        <v>6</v>
      </c>
      <c r="F12" s="17"/>
      <c r="G12" s="18" t="s">
        <v>99</v>
      </c>
      <c r="H12" s="1"/>
    </row>
    <row r="13" spans="1:8" x14ac:dyDescent="0.3">
      <c r="A13" s="15" t="s">
        <v>94</v>
      </c>
      <c r="B13" s="16">
        <v>45030.397164351853</v>
      </c>
      <c r="C13" s="16">
        <v>45030.397164351853</v>
      </c>
      <c r="D13" s="16">
        <v>45040.383553240739</v>
      </c>
      <c r="E13" s="17">
        <v>1</v>
      </c>
      <c r="F13" s="17"/>
      <c r="G13" s="2" t="s">
        <v>95</v>
      </c>
      <c r="H13" s="1"/>
    </row>
    <row r="14" spans="1:8" x14ac:dyDescent="0.3">
      <c r="A14" s="120" t="s">
        <v>101</v>
      </c>
      <c r="B14" s="120"/>
      <c r="C14" s="120"/>
      <c r="D14" s="120"/>
      <c r="E14" s="120"/>
      <c r="F14" s="120"/>
      <c r="G14" s="120"/>
      <c r="H14" s="120"/>
    </row>
    <row r="15" spans="1:8" x14ac:dyDescent="0.3">
      <c r="A15" s="15" t="s">
        <v>102</v>
      </c>
      <c r="B15" s="16">
        <v>45048.620740740742</v>
      </c>
      <c r="C15" s="16">
        <v>45071.608113425929</v>
      </c>
      <c r="D15" s="16">
        <v>45075.638414351852</v>
      </c>
      <c r="E15" s="21">
        <v>11</v>
      </c>
      <c r="F15" s="21"/>
      <c r="G15" s="27" t="s">
        <v>103</v>
      </c>
    </row>
    <row r="16" spans="1:8" x14ac:dyDescent="0.3">
      <c r="A16" s="120" t="s">
        <v>124</v>
      </c>
      <c r="B16" s="120"/>
      <c r="C16" s="120"/>
      <c r="D16" s="120"/>
      <c r="E16" s="120"/>
      <c r="F16" s="120"/>
      <c r="G16" s="120"/>
      <c r="H16" s="120"/>
    </row>
    <row r="17" spans="1:8" x14ac:dyDescent="0.3">
      <c r="A17" s="15" t="s">
        <v>122</v>
      </c>
      <c r="B17" s="16">
        <v>45068.42591435185</v>
      </c>
      <c r="C17" s="16">
        <v>45079.443067129629</v>
      </c>
      <c r="D17" s="16">
        <v>45079.150011574071</v>
      </c>
      <c r="E17" s="21">
        <v>4</v>
      </c>
      <c r="F17" s="21"/>
      <c r="G17" s="19" t="s">
        <v>123</v>
      </c>
    </row>
    <row r="18" spans="1:8" x14ac:dyDescent="0.3">
      <c r="A18" s="15" t="s">
        <v>130</v>
      </c>
      <c r="B18" s="16">
        <v>45079.382905092592</v>
      </c>
      <c r="C18" s="16">
        <v>45079.444166666668</v>
      </c>
      <c r="D18" s="16">
        <v>45079.150011574071</v>
      </c>
      <c r="E18" s="21">
        <v>2</v>
      </c>
      <c r="F18" s="21"/>
      <c r="G18" s="19" t="s">
        <v>129</v>
      </c>
    </row>
    <row r="19" spans="1:8" x14ac:dyDescent="0.3">
      <c r="A19" s="15" t="s">
        <v>126</v>
      </c>
      <c r="B19" s="16">
        <v>45078.657743055555</v>
      </c>
      <c r="C19" s="16">
        <v>45085.655729166669</v>
      </c>
      <c r="D19" s="16">
        <v>45085.671701388892</v>
      </c>
      <c r="E19" s="21">
        <v>6</v>
      </c>
      <c r="F19" s="21"/>
      <c r="G19" s="2" t="s">
        <v>127</v>
      </c>
    </row>
    <row r="20" spans="1:8" x14ac:dyDescent="0.3">
      <c r="A20" s="15" t="s">
        <v>132</v>
      </c>
      <c r="B20" s="16">
        <v>45084.603912037041</v>
      </c>
      <c r="C20" s="16">
        <v>45097.686643518522</v>
      </c>
      <c r="D20" s="16">
        <v>45098.344282407408</v>
      </c>
      <c r="E20" s="21">
        <v>14</v>
      </c>
      <c r="F20" s="21"/>
      <c r="G20" s="27" t="s">
        <v>133</v>
      </c>
    </row>
    <row r="21" spans="1:8" x14ac:dyDescent="0.3">
      <c r="A21" s="15" t="s">
        <v>125</v>
      </c>
      <c r="B21" s="16">
        <v>45078.637743055559</v>
      </c>
      <c r="C21" s="16">
        <v>45085.655729166669</v>
      </c>
      <c r="D21" s="16">
        <v>45099.398611111108</v>
      </c>
      <c r="E21" s="21">
        <v>10</v>
      </c>
      <c r="F21" s="21"/>
      <c r="G21" s="2" t="s">
        <v>128</v>
      </c>
    </row>
    <row r="22" spans="1:8" x14ac:dyDescent="0.3">
      <c r="A22" s="15" t="s">
        <v>104</v>
      </c>
      <c r="B22" s="16">
        <v>45055.37641203704</v>
      </c>
      <c r="C22" s="16">
        <v>45105.674398148149</v>
      </c>
      <c r="D22" s="16">
        <v>45105.692233796297</v>
      </c>
      <c r="E22" s="21">
        <v>12</v>
      </c>
      <c r="F22" s="21"/>
      <c r="G22" s="27" t="s">
        <v>105</v>
      </c>
    </row>
    <row r="23" spans="1:8" x14ac:dyDescent="0.3">
      <c r="A23" s="120" t="s">
        <v>81</v>
      </c>
      <c r="B23" s="120"/>
      <c r="C23" s="120"/>
      <c r="D23" s="120"/>
      <c r="E23" s="120"/>
      <c r="F23" s="120"/>
      <c r="G23" s="120"/>
      <c r="H23" s="120"/>
    </row>
    <row r="24" spans="1:8" x14ac:dyDescent="0.3">
      <c r="A24" s="28" t="s">
        <v>110</v>
      </c>
      <c r="B24" s="29">
        <v>45058.420613425929</v>
      </c>
      <c r="C24" s="29">
        <v>45111.613541666666</v>
      </c>
      <c r="D24" s="29">
        <v>45119.607291666667</v>
      </c>
      <c r="E24" s="30">
        <v>14</v>
      </c>
      <c r="F24" s="30"/>
      <c r="G24" s="23" t="s">
        <v>111</v>
      </c>
    </row>
    <row r="25" spans="1:8" x14ac:dyDescent="0.3">
      <c r="A25" s="31" t="s">
        <v>112</v>
      </c>
      <c r="B25" s="32">
        <v>45062.639155092591</v>
      </c>
      <c r="C25" s="32">
        <v>45111.613541666666</v>
      </c>
      <c r="D25" s="29">
        <v>45119.607291666667</v>
      </c>
      <c r="E25" s="33">
        <v>7</v>
      </c>
      <c r="F25" s="33"/>
      <c r="G25" s="23" t="s">
        <v>113</v>
      </c>
    </row>
    <row r="26" spans="1:8" x14ac:dyDescent="0.3">
      <c r="A26" s="31" t="s">
        <v>115</v>
      </c>
      <c r="B26" s="32">
        <v>45065.359918981485</v>
      </c>
      <c r="C26" s="32">
        <v>45111.613541666666</v>
      </c>
      <c r="D26" s="29">
        <v>45119.607291666667</v>
      </c>
      <c r="E26" s="33">
        <v>9</v>
      </c>
      <c r="F26" s="33"/>
      <c r="G26" s="23" t="s">
        <v>114</v>
      </c>
    </row>
    <row r="27" spans="1:8" x14ac:dyDescent="0.3">
      <c r="A27" s="15" t="s">
        <v>116</v>
      </c>
      <c r="B27" s="16">
        <v>45068.357199074075</v>
      </c>
      <c r="C27" s="16">
        <v>45111.613541666666</v>
      </c>
      <c r="D27" s="29">
        <v>45119.607291666667</v>
      </c>
      <c r="E27" s="21">
        <v>9</v>
      </c>
      <c r="F27" s="21"/>
      <c r="G27" s="2" t="s">
        <v>117</v>
      </c>
    </row>
    <row r="28" spans="1:8" x14ac:dyDescent="0.3">
      <c r="A28" s="15" t="s">
        <v>118</v>
      </c>
      <c r="B28" s="16">
        <v>45068.412627314814</v>
      </c>
      <c r="C28" s="16">
        <v>45111.613541666666</v>
      </c>
      <c r="D28" s="29">
        <v>45119.607291666667</v>
      </c>
      <c r="E28" s="21">
        <v>8</v>
      </c>
      <c r="F28" s="21"/>
      <c r="G28" s="2" t="s">
        <v>119</v>
      </c>
    </row>
    <row r="29" spans="1:8" x14ac:dyDescent="0.3">
      <c r="A29" s="15" t="s">
        <v>134</v>
      </c>
      <c r="B29" s="16">
        <v>45089.395601851851</v>
      </c>
      <c r="C29" s="16">
        <v>45111.613541666666</v>
      </c>
      <c r="D29" s="29">
        <v>45119.607291666667</v>
      </c>
      <c r="E29" s="21">
        <v>16</v>
      </c>
      <c r="F29" s="21"/>
      <c r="G29" s="2" t="s">
        <v>135</v>
      </c>
    </row>
    <row r="30" spans="1:8" x14ac:dyDescent="0.3">
      <c r="A30" s="15" t="s">
        <v>120</v>
      </c>
      <c r="B30" s="16">
        <v>45068.412210648145</v>
      </c>
      <c r="C30" s="16">
        <v>45111.613541666666</v>
      </c>
      <c r="D30" s="29">
        <v>45124.446875000001</v>
      </c>
      <c r="E30" s="21">
        <v>8</v>
      </c>
      <c r="F30" s="21"/>
      <c r="G30" s="2" t="s">
        <v>121</v>
      </c>
    </row>
    <row r="31" spans="1:8" x14ac:dyDescent="0.3">
      <c r="A31" s="15" t="s">
        <v>54</v>
      </c>
      <c r="B31" s="16">
        <v>45009.347395833334</v>
      </c>
      <c r="C31" s="16">
        <v>45034.668275462966</v>
      </c>
      <c r="D31" s="29">
        <v>45125.446875000001</v>
      </c>
      <c r="E31" s="17">
        <v>6</v>
      </c>
      <c r="F31" s="17"/>
      <c r="G31" s="2" t="s">
        <v>100</v>
      </c>
    </row>
    <row r="32" spans="1:8" x14ac:dyDescent="0.3">
      <c r="A32" s="15" t="s">
        <v>140</v>
      </c>
      <c r="B32" s="16">
        <v>45119.58017361111</v>
      </c>
      <c r="C32" s="16">
        <v>45120.58017361111</v>
      </c>
      <c r="D32" s="29">
        <v>45125.446875000001</v>
      </c>
      <c r="E32" s="21">
        <v>4</v>
      </c>
      <c r="F32" s="21"/>
      <c r="G32" s="2" t="s">
        <v>141</v>
      </c>
    </row>
    <row r="33" spans="1:8" x14ac:dyDescent="0.3">
      <c r="A33" s="15" t="s">
        <v>142</v>
      </c>
      <c r="B33" s="16">
        <v>45124.588541666664</v>
      </c>
      <c r="C33" s="16">
        <v>45127.455000000002</v>
      </c>
      <c r="D33" s="29">
        <v>45132.651041666664</v>
      </c>
      <c r="E33" s="21">
        <v>12</v>
      </c>
      <c r="F33" s="21"/>
      <c r="G33" s="2" t="s">
        <v>143</v>
      </c>
    </row>
    <row r="34" spans="1:8" x14ac:dyDescent="0.3">
      <c r="A34" s="39" t="s">
        <v>149</v>
      </c>
      <c r="B34" s="40">
        <v>45132.408090277779</v>
      </c>
      <c r="C34" s="16">
        <v>45135.349340277775</v>
      </c>
      <c r="D34" s="16">
        <v>45138.711145833331</v>
      </c>
      <c r="E34" s="41">
        <v>1</v>
      </c>
      <c r="F34" s="41"/>
      <c r="G34" s="2" t="s">
        <v>150</v>
      </c>
    </row>
    <row r="35" spans="1:8" x14ac:dyDescent="0.3">
      <c r="A35" s="120" t="s">
        <v>82</v>
      </c>
      <c r="B35" s="120"/>
      <c r="C35" s="120"/>
      <c r="D35" s="120"/>
      <c r="E35" s="120"/>
      <c r="F35" s="120"/>
      <c r="G35" s="120"/>
      <c r="H35" s="120"/>
    </row>
    <row r="36" spans="1:8" x14ac:dyDescent="0.3">
      <c r="A36" s="15" t="s">
        <v>151</v>
      </c>
      <c r="B36" s="16">
        <v>45133.639814814815</v>
      </c>
      <c r="C36" s="16">
        <v>45134.677118055559</v>
      </c>
      <c r="D36" s="16">
        <v>45145.712418981479</v>
      </c>
      <c r="E36" s="21">
        <v>2</v>
      </c>
      <c r="F36" s="21"/>
      <c r="G36" s="2" t="s">
        <v>154</v>
      </c>
    </row>
    <row r="37" spans="1:8" x14ac:dyDescent="0.3">
      <c r="A37" s="15" t="s">
        <v>152</v>
      </c>
      <c r="B37" s="16">
        <v>45133.658009259256</v>
      </c>
      <c r="C37" s="16">
        <v>45134.677118055559</v>
      </c>
      <c r="D37" s="16">
        <v>45145.712418981479</v>
      </c>
      <c r="E37" s="21">
        <v>2</v>
      </c>
      <c r="F37" s="21"/>
      <c r="G37" s="2" t="s">
        <v>155</v>
      </c>
    </row>
    <row r="38" spans="1:8" ht="18" customHeight="1" x14ac:dyDescent="0.3">
      <c r="A38" s="15" t="s">
        <v>161</v>
      </c>
      <c r="B38" s="16">
        <v>45141.65011574074</v>
      </c>
      <c r="C38" s="16">
        <v>45145.712048611109</v>
      </c>
      <c r="D38" s="16">
        <v>45145.712418981479</v>
      </c>
      <c r="E38" s="21">
        <v>8</v>
      </c>
      <c r="F38" s="21"/>
      <c r="G38" s="19" t="s">
        <v>162</v>
      </c>
    </row>
    <row r="39" spans="1:8" ht="16.5" customHeight="1" x14ac:dyDescent="0.3">
      <c r="A39" s="15" t="s">
        <v>60</v>
      </c>
      <c r="B39" s="16">
        <v>45027.654074074075</v>
      </c>
      <c r="C39" s="16">
        <v>45159.47215277778</v>
      </c>
      <c r="D39" s="16">
        <v>45159.497847222221</v>
      </c>
      <c r="E39" s="17">
        <v>6</v>
      </c>
      <c r="F39" s="17"/>
      <c r="G39" s="27" t="s">
        <v>67</v>
      </c>
    </row>
    <row r="40" spans="1:8" ht="16.5" customHeight="1" x14ac:dyDescent="0.3">
      <c r="A40" s="15" t="s">
        <v>62</v>
      </c>
      <c r="B40" s="16">
        <v>45028.629224537035</v>
      </c>
      <c r="C40" s="16">
        <v>45159.48033564815</v>
      </c>
      <c r="D40" s="16">
        <v>45162.695069444446</v>
      </c>
      <c r="E40" s="17">
        <v>6</v>
      </c>
      <c r="F40" s="21" t="s">
        <v>179</v>
      </c>
      <c r="G40" s="27" t="s">
        <v>69</v>
      </c>
    </row>
    <row r="41" spans="1:8" x14ac:dyDescent="0.3">
      <c r="A41" s="15" t="s">
        <v>64</v>
      </c>
      <c r="B41" s="16">
        <v>45035.391932870371</v>
      </c>
      <c r="C41" s="16">
        <v>45159.48033564815</v>
      </c>
      <c r="D41" s="16">
        <v>45162.695763888885</v>
      </c>
      <c r="E41" s="21">
        <v>7</v>
      </c>
      <c r="F41" s="21" t="s">
        <v>179</v>
      </c>
      <c r="G41" s="27" t="s">
        <v>71</v>
      </c>
    </row>
    <row r="42" spans="1:8" ht="19.5" customHeight="1" x14ac:dyDescent="0.3">
      <c r="A42" s="15" t="s">
        <v>153</v>
      </c>
      <c r="B42" s="16">
        <v>45133.658796296295</v>
      </c>
      <c r="C42" s="16">
        <v>45134.677118055559</v>
      </c>
      <c r="D42" s="16">
        <v>45167.630555555559</v>
      </c>
      <c r="E42" s="21">
        <v>2</v>
      </c>
      <c r="F42" s="21" t="s">
        <v>180</v>
      </c>
      <c r="G42" s="2" t="s">
        <v>156</v>
      </c>
    </row>
    <row r="43" spans="1:8" x14ac:dyDescent="0.3">
      <c r="A43" s="15" t="s">
        <v>171</v>
      </c>
      <c r="B43" s="16">
        <v>45152.385937500003</v>
      </c>
      <c r="C43" s="16">
        <v>45152.39984953704</v>
      </c>
      <c r="D43" s="16">
        <v>45166.413194444445</v>
      </c>
      <c r="E43" s="21">
        <v>1</v>
      </c>
      <c r="F43" s="21" t="s">
        <v>179</v>
      </c>
      <c r="G43" s="2" t="s">
        <v>172</v>
      </c>
    </row>
    <row r="44" spans="1:8" x14ac:dyDescent="0.3">
      <c r="A44" s="15" t="s">
        <v>97</v>
      </c>
      <c r="B44" s="16">
        <v>45037.504490740743</v>
      </c>
      <c r="C44" s="16">
        <v>45140.432141203702</v>
      </c>
      <c r="D44" s="16">
        <v>45166.435416666667</v>
      </c>
      <c r="E44" s="21">
        <v>15</v>
      </c>
      <c r="F44" s="21" t="s">
        <v>179</v>
      </c>
      <c r="G44" s="19" t="s">
        <v>98</v>
      </c>
    </row>
    <row r="45" spans="1:8" ht="15.75" customHeight="1" x14ac:dyDescent="0.3">
      <c r="A45" s="15" t="s">
        <v>167</v>
      </c>
      <c r="B45" s="16">
        <v>45146.474618055552</v>
      </c>
      <c r="C45" s="16">
        <v>45153.585219907407</v>
      </c>
      <c r="D45" s="16">
        <v>45168.36041666667</v>
      </c>
      <c r="E45" s="21">
        <v>6</v>
      </c>
      <c r="F45" s="21" t="s">
        <v>179</v>
      </c>
      <c r="G45" s="2" t="s">
        <v>168</v>
      </c>
    </row>
    <row r="46" spans="1:8" ht="21.75" customHeight="1" x14ac:dyDescent="0.3">
      <c r="A46" s="15" t="s">
        <v>177</v>
      </c>
      <c r="B46" s="16">
        <v>45161.61613425926</v>
      </c>
      <c r="C46" s="16">
        <v>45162.559016203704</v>
      </c>
      <c r="D46" s="16">
        <v>45167.630555555559</v>
      </c>
      <c r="E46" s="21">
        <v>4</v>
      </c>
      <c r="F46" s="21" t="s">
        <v>180</v>
      </c>
      <c r="G46" s="9" t="s">
        <v>178</v>
      </c>
    </row>
    <row r="47" spans="1:8" ht="19.5" customHeight="1" x14ac:dyDescent="0.3">
      <c r="A47" s="15" t="s">
        <v>55</v>
      </c>
      <c r="B47" s="16">
        <v>45012.648553240739</v>
      </c>
      <c r="C47" s="16">
        <v>45159.459027777775</v>
      </c>
      <c r="D47" s="16">
        <v>45166.392361111109</v>
      </c>
      <c r="E47" s="21">
        <v>23</v>
      </c>
      <c r="F47" s="21" t="s">
        <v>179</v>
      </c>
      <c r="G47" s="2" t="s">
        <v>56</v>
      </c>
    </row>
    <row r="48" spans="1:8" ht="18.75" customHeight="1" x14ac:dyDescent="0.3">
      <c r="A48" s="15" t="s">
        <v>59</v>
      </c>
      <c r="B48" s="16">
        <v>45027.654074074075</v>
      </c>
      <c r="C48" s="16">
        <v>45159.462210648147</v>
      </c>
      <c r="D48" s="16">
        <v>45166.392361111109</v>
      </c>
      <c r="E48" s="17">
        <v>6</v>
      </c>
      <c r="F48" s="21" t="s">
        <v>179</v>
      </c>
      <c r="G48" s="2" t="s">
        <v>66</v>
      </c>
    </row>
    <row r="49" spans="1:8" ht="21" customHeight="1" x14ac:dyDescent="0.3">
      <c r="A49" s="15" t="s">
        <v>61</v>
      </c>
      <c r="B49" s="16">
        <v>45028.50990740741</v>
      </c>
      <c r="C49" s="16">
        <v>45159.47215277778</v>
      </c>
      <c r="D49" s="16">
        <v>45166.392361111109</v>
      </c>
      <c r="E49" s="17">
        <v>6</v>
      </c>
      <c r="F49" s="21" t="s">
        <v>179</v>
      </c>
      <c r="G49" s="27" t="s">
        <v>68</v>
      </c>
    </row>
    <row r="50" spans="1:8" ht="18.75" customHeight="1" x14ac:dyDescent="0.3">
      <c r="A50" s="15" t="s">
        <v>63</v>
      </c>
      <c r="B50" s="16">
        <v>45034.573888888888</v>
      </c>
      <c r="C50" s="16">
        <v>45159.48033564815</v>
      </c>
      <c r="D50" s="16">
        <v>45166.392361111109</v>
      </c>
      <c r="E50" s="21">
        <v>13</v>
      </c>
      <c r="F50" s="21" t="s">
        <v>179</v>
      </c>
      <c r="G50" s="27" t="s">
        <v>70</v>
      </c>
    </row>
    <row r="51" spans="1:8" ht="19.5" customHeight="1" x14ac:dyDescent="0.3">
      <c r="A51" s="15" t="s">
        <v>65</v>
      </c>
      <c r="B51" s="16">
        <v>45035.649652777778</v>
      </c>
      <c r="C51" s="16">
        <v>45159.48033564815</v>
      </c>
      <c r="D51" s="16">
        <v>45167.630555555559</v>
      </c>
      <c r="E51" s="21">
        <v>7</v>
      </c>
      <c r="F51" s="21" t="s">
        <v>180</v>
      </c>
      <c r="G51" s="27" t="s">
        <v>72</v>
      </c>
    </row>
    <row r="52" spans="1:8" ht="12" customHeight="1" x14ac:dyDescent="0.3">
      <c r="A52" s="39" t="s">
        <v>147</v>
      </c>
      <c r="B52" s="40">
        <v>45134.470451388886</v>
      </c>
      <c r="C52" s="16">
        <v>45135.385451388887</v>
      </c>
      <c r="D52" s="16">
        <v>45168.36041666667</v>
      </c>
      <c r="E52" s="41">
        <v>1</v>
      </c>
      <c r="F52" s="41" t="s">
        <v>179</v>
      </c>
      <c r="G52" s="9" t="s">
        <v>148</v>
      </c>
    </row>
    <row r="53" spans="1:8" ht="19.5" customHeight="1" x14ac:dyDescent="0.3">
      <c r="A53" s="15" t="s">
        <v>157</v>
      </c>
      <c r="B53" s="16">
        <v>45141.362696759257</v>
      </c>
      <c r="C53" s="16">
        <v>45142.635729166665</v>
      </c>
      <c r="D53" s="16">
        <v>45166.407638888886</v>
      </c>
      <c r="E53" s="21">
        <v>1</v>
      </c>
      <c r="F53" s="21" t="s">
        <v>179</v>
      </c>
      <c r="G53" s="19" t="s">
        <v>158</v>
      </c>
    </row>
    <row r="54" spans="1:8" x14ac:dyDescent="0.3">
      <c r="A54" s="15" t="s">
        <v>175</v>
      </c>
      <c r="B54" s="16">
        <v>45160.417349537034</v>
      </c>
      <c r="C54" s="16">
        <v>45160.587407407409</v>
      </c>
      <c r="D54" s="16">
        <v>45166.407638888886</v>
      </c>
      <c r="E54" s="21">
        <v>1</v>
      </c>
      <c r="F54" s="21" t="s">
        <v>179</v>
      </c>
      <c r="G54" s="2" t="s">
        <v>176</v>
      </c>
    </row>
    <row r="55" spans="1:8" ht="17.25" customHeight="1" x14ac:dyDescent="0.3">
      <c r="A55" s="15" t="s">
        <v>173</v>
      </c>
      <c r="B55" s="16">
        <v>45155.591863425929</v>
      </c>
      <c r="C55" s="16">
        <v>45155.667060185187</v>
      </c>
      <c r="D55" s="16">
        <v>45166.411111111112</v>
      </c>
      <c r="E55" s="21">
        <v>16</v>
      </c>
      <c r="F55" s="21" t="s">
        <v>179</v>
      </c>
      <c r="G55" s="19" t="s">
        <v>174</v>
      </c>
    </row>
    <row r="56" spans="1:8" ht="18.75" customHeight="1" x14ac:dyDescent="0.3">
      <c r="A56" s="120" t="s">
        <v>83</v>
      </c>
      <c r="B56" s="120"/>
      <c r="C56" s="120"/>
      <c r="D56" s="120"/>
      <c r="E56" s="120"/>
      <c r="F56" s="120"/>
      <c r="G56" s="120"/>
      <c r="H56" s="120"/>
    </row>
    <row r="57" spans="1:8" x14ac:dyDescent="0.3">
      <c r="A57" s="15" t="s">
        <v>138</v>
      </c>
      <c r="B57" s="16">
        <v>45103.38853009259</v>
      </c>
      <c r="C57" s="16">
        <v>45195.454259259262</v>
      </c>
      <c r="D57" s="16">
        <v>45195.464675925927</v>
      </c>
      <c r="E57" s="21">
        <v>20</v>
      </c>
      <c r="F57" s="21"/>
      <c r="G57" s="2" t="s">
        <v>139</v>
      </c>
    </row>
    <row r="58" spans="1:8" ht="18" customHeight="1" x14ac:dyDescent="0.3">
      <c r="A58" s="15" t="s">
        <v>163</v>
      </c>
      <c r="B58" s="16">
        <v>45141.402546296296</v>
      </c>
      <c r="C58" s="16">
        <v>45195.456932870373</v>
      </c>
      <c r="D58" s="16">
        <v>45195.465370370373</v>
      </c>
      <c r="E58" s="21">
        <v>1</v>
      </c>
      <c r="F58" s="21"/>
      <c r="G58" s="2" t="s">
        <v>164</v>
      </c>
    </row>
    <row r="59" spans="1:8" ht="16.5" customHeight="1" x14ac:dyDescent="0.3">
      <c r="A59" s="15" t="s">
        <v>182</v>
      </c>
      <c r="B59" s="16">
        <v>45154.648194444446</v>
      </c>
      <c r="C59" s="16">
        <v>45195.459918981483</v>
      </c>
      <c r="D59" s="16">
        <v>45195.466064814813</v>
      </c>
      <c r="E59" s="21">
        <v>8</v>
      </c>
      <c r="F59" s="21"/>
      <c r="G59" s="2" t="s">
        <v>183</v>
      </c>
    </row>
    <row r="60" spans="1:8" ht="15.75" customHeight="1" x14ac:dyDescent="0.3">
      <c r="A60" s="15" t="s">
        <v>184</v>
      </c>
      <c r="B60" s="16">
        <v>45169.362037037034</v>
      </c>
      <c r="C60" s="16">
        <v>45191.389224537037</v>
      </c>
      <c r="D60" s="16">
        <v>45194.651388888888</v>
      </c>
      <c r="E60" s="21">
        <v>6</v>
      </c>
      <c r="F60" s="21" t="s">
        <v>180</v>
      </c>
      <c r="G60" s="2" t="s">
        <v>185</v>
      </c>
    </row>
    <row r="61" spans="1:8" ht="15.75" customHeight="1" x14ac:dyDescent="0.3">
      <c r="A61" s="120" t="s">
        <v>84</v>
      </c>
      <c r="B61" s="120"/>
      <c r="C61" s="120"/>
      <c r="D61" s="120"/>
      <c r="E61" s="120"/>
      <c r="F61" s="120"/>
      <c r="G61" s="120"/>
      <c r="H61" s="120"/>
    </row>
    <row r="62" spans="1:8" ht="15.75" customHeight="1" x14ac:dyDescent="0.3">
      <c r="A62" s="15" t="s">
        <v>136</v>
      </c>
      <c r="B62" s="16">
        <v>45092.357847222222</v>
      </c>
      <c r="C62" s="16">
        <v>45212.362222222226</v>
      </c>
      <c r="D62" s="16">
        <v>45219.369166666664</v>
      </c>
      <c r="E62" s="21">
        <v>49</v>
      </c>
      <c r="F62" s="21"/>
      <c r="G62" s="2" t="s">
        <v>137</v>
      </c>
    </row>
    <row r="63" spans="1:8" ht="16.5" customHeight="1" x14ac:dyDescent="0.3">
      <c r="A63" s="15" t="s">
        <v>200</v>
      </c>
      <c r="B63" s="16">
        <v>45217.342557870368</v>
      </c>
      <c r="C63" s="16">
        <v>45218.505266203705</v>
      </c>
      <c r="D63" s="16">
        <v>45230.380266203705</v>
      </c>
      <c r="E63" s="21">
        <v>10</v>
      </c>
      <c r="F63" s="21" t="s">
        <v>180</v>
      </c>
      <c r="G63" s="2" t="s">
        <v>201</v>
      </c>
    </row>
    <row r="64" spans="1:8" x14ac:dyDescent="0.3">
      <c r="A64" s="120" t="s">
        <v>85</v>
      </c>
      <c r="B64" s="120"/>
      <c r="C64" s="120"/>
      <c r="D64" s="120"/>
      <c r="E64" s="120"/>
      <c r="F64" s="120"/>
      <c r="G64" s="120"/>
      <c r="H64" s="120"/>
    </row>
    <row r="65" spans="1:8" ht="16.5" customHeight="1" x14ac:dyDescent="0.3">
      <c r="A65" s="15" t="s">
        <v>202</v>
      </c>
      <c r="B65" s="16">
        <v>45222.368888888886</v>
      </c>
      <c r="C65" s="16">
        <v>45240.382453703707</v>
      </c>
      <c r="D65" s="16">
        <v>45240.452592592592</v>
      </c>
      <c r="E65" s="21">
        <v>12</v>
      </c>
      <c r="F65" s="21"/>
      <c r="G65" s="9" t="s">
        <v>203</v>
      </c>
    </row>
    <row r="66" spans="1:8" ht="15.75" customHeight="1" x14ac:dyDescent="0.3">
      <c r="A66" s="15" t="s">
        <v>204</v>
      </c>
      <c r="B66" s="16">
        <v>45229.551666666666</v>
      </c>
      <c r="C66" s="16">
        <v>45236.606180555558</v>
      </c>
      <c r="D66" s="16">
        <v>45240.452592592592</v>
      </c>
      <c r="E66" s="21">
        <v>2</v>
      </c>
      <c r="F66" s="21" t="s">
        <v>179</v>
      </c>
      <c r="G66" s="9" t="s">
        <v>205</v>
      </c>
    </row>
    <row r="67" spans="1:8" ht="15.75" customHeight="1" x14ac:dyDescent="0.3">
      <c r="A67" s="15" t="s">
        <v>206</v>
      </c>
      <c r="B67" s="16">
        <v>45236.669652777775</v>
      </c>
      <c r="C67" s="16">
        <v>45236.669652777775</v>
      </c>
      <c r="D67" s="16">
        <v>45240.452592592592</v>
      </c>
      <c r="E67" s="21">
        <v>1</v>
      </c>
      <c r="F67" s="21" t="s">
        <v>179</v>
      </c>
    </row>
    <row r="68" spans="1:8" ht="15.75" customHeight="1" x14ac:dyDescent="0.3">
      <c r="A68" s="120" t="s">
        <v>86</v>
      </c>
      <c r="B68" s="120"/>
      <c r="C68" s="120"/>
      <c r="D68" s="120"/>
      <c r="E68" s="120"/>
      <c r="F68" s="120"/>
      <c r="G68" s="120"/>
      <c r="H68" s="120"/>
    </row>
    <row r="69" spans="1:8" ht="20.25" customHeight="1" x14ac:dyDescent="0.3">
      <c r="A69" s="60" t="s">
        <v>190</v>
      </c>
      <c r="B69" s="16">
        <v>45197.574120370373</v>
      </c>
      <c r="C69" s="16">
        <v>45264.355532407404</v>
      </c>
      <c r="D69" s="16">
        <v>45278.404826388891</v>
      </c>
      <c r="E69" s="21">
        <v>24</v>
      </c>
      <c r="F69" s="21" t="s">
        <v>179</v>
      </c>
      <c r="G69" s="9" t="s">
        <v>191</v>
      </c>
    </row>
    <row r="70" spans="1:8" ht="17.25" customHeight="1" x14ac:dyDescent="0.3">
      <c r="A70" s="60" t="s">
        <v>192</v>
      </c>
      <c r="B70" s="16">
        <v>45203.628576388888</v>
      </c>
      <c r="C70" s="16">
        <v>45264.362233796295</v>
      </c>
      <c r="D70" s="16">
        <v>45278.404826388891</v>
      </c>
      <c r="E70" s="21">
        <v>16</v>
      </c>
      <c r="F70" s="21" t="s">
        <v>179</v>
      </c>
      <c r="G70" s="9" t="s">
        <v>195</v>
      </c>
    </row>
    <row r="71" spans="1:8" ht="17.25" customHeight="1" x14ac:dyDescent="0.3">
      <c r="A71" s="60" t="s">
        <v>193</v>
      </c>
      <c r="B71" s="16">
        <v>45211.408414351848</v>
      </c>
      <c r="C71" s="16">
        <v>45264.377256944441</v>
      </c>
      <c r="D71" s="16">
        <v>45287.475752314815</v>
      </c>
      <c r="E71" s="21">
        <v>14</v>
      </c>
      <c r="F71" s="21" t="s">
        <v>180</v>
      </c>
      <c r="G71" s="9" t="s">
        <v>196</v>
      </c>
    </row>
    <row r="72" spans="1:8" ht="18" customHeight="1" x14ac:dyDescent="0.3">
      <c r="A72" s="60" t="s">
        <v>194</v>
      </c>
      <c r="B72" s="16">
        <v>45209.414594907408</v>
      </c>
      <c r="C72" s="16">
        <v>45264.40425925926</v>
      </c>
      <c r="D72" s="16">
        <v>45287.476446759261</v>
      </c>
      <c r="E72" s="21">
        <v>24</v>
      </c>
      <c r="F72" s="21" t="s">
        <v>180</v>
      </c>
      <c r="G72" s="9" t="s">
        <v>197</v>
      </c>
    </row>
    <row r="73" spans="1:8" ht="18.75" customHeight="1" x14ac:dyDescent="0.3">
      <c r="A73" s="15" t="s">
        <v>198</v>
      </c>
      <c r="B73" s="16">
        <v>45218.427662037036</v>
      </c>
      <c r="C73" s="16">
        <v>45287.352800925924</v>
      </c>
      <c r="D73" s="16">
        <v>45287.445162037038</v>
      </c>
      <c r="E73" s="21">
        <v>8</v>
      </c>
      <c r="F73" s="21"/>
      <c r="G73" s="9" t="s">
        <v>199</v>
      </c>
    </row>
    <row r="74" spans="1:8" ht="16.5" customHeight="1" x14ac:dyDescent="0.3">
      <c r="A74" s="15" t="s">
        <v>213</v>
      </c>
      <c r="B74" s="16">
        <v>45278.495706018519</v>
      </c>
      <c r="C74" s="16">
        <v>45279.689583333333</v>
      </c>
      <c r="D74" s="16">
        <v>45287.47247685185</v>
      </c>
      <c r="E74" s="21">
        <v>1</v>
      </c>
      <c r="F74" s="21" t="s">
        <v>180</v>
      </c>
      <c r="G74" s="2" t="s">
        <v>214</v>
      </c>
    </row>
    <row r="75" spans="1:8" ht="15.75" customHeight="1" x14ac:dyDescent="0.3">
      <c r="A75" s="15" t="s">
        <v>207</v>
      </c>
      <c r="B75" s="16">
        <v>45265.549108796295</v>
      </c>
      <c r="C75" s="16">
        <v>45265.568715277775</v>
      </c>
      <c r="D75" s="16">
        <v>45278.404826388891</v>
      </c>
      <c r="E75" s="21">
        <v>1</v>
      </c>
      <c r="F75" s="21" t="s">
        <v>179</v>
      </c>
      <c r="G75" s="2" t="s">
        <v>208</v>
      </c>
    </row>
    <row r="76" spans="1:8" ht="18.75" customHeight="1" x14ac:dyDescent="0.3">
      <c r="A76" s="15" t="s">
        <v>220</v>
      </c>
      <c r="B76" s="16">
        <v>45280.417071759257</v>
      </c>
      <c r="C76" s="16">
        <v>45280.599016203705</v>
      </c>
      <c r="D76" s="16">
        <v>45287.477141203701</v>
      </c>
      <c r="E76" s="21">
        <v>2</v>
      </c>
      <c r="F76" s="21" t="s">
        <v>179</v>
      </c>
      <c r="G76" s="2"/>
    </row>
  </sheetData>
  <protectedRanges>
    <protectedRange sqref="A9 A13 A39:A40 A47:A50" name="Rango1"/>
    <protectedRange sqref="A44 A41 A51" name="Rango1_1"/>
  </protectedRanges>
  <mergeCells count="11">
    <mergeCell ref="A23:H23"/>
    <mergeCell ref="A2:H2"/>
    <mergeCell ref="A6:H6"/>
    <mergeCell ref="A10:H10"/>
    <mergeCell ref="A14:H14"/>
    <mergeCell ref="A16:H16"/>
    <mergeCell ref="A35:H35"/>
    <mergeCell ref="A56:H56"/>
    <mergeCell ref="A61:H61"/>
    <mergeCell ref="A64:H64"/>
    <mergeCell ref="A68:H68"/>
  </mergeCells>
  <hyperlinks>
    <hyperlink ref="H3" location="'Actividades SASS'!A3" display="'Actividades SASS'!A3" xr:uid="{062656BA-19C4-4971-B8B4-9E831DADB73B}"/>
    <hyperlink ref="H5" location="'Actividades SASS'!A11" display="'Actividades SASS'!A11" xr:uid="{0395F7F6-6705-4F53-BEFA-FDA7878AEF0C}"/>
    <hyperlink ref="H4" location="'Actividades SASS'!A6" display="'Actividades SASS'!A6" xr:uid="{A724DBA0-C9E1-4BEE-83DF-7F92B23B9E3D}"/>
    <hyperlink ref="H7" location="'Actividades SASS'!A13" display="'Actividades SASS'!A13" xr:uid="{50F64E53-612F-40F8-B631-C0F0CE675B0F}"/>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8322D-0925-4CAB-9573-B6F38F6439D6}">
  <sheetPr codeName="Hoja2">
    <tabColor rgb="FFFFFF00"/>
  </sheetPr>
  <dimension ref="A1:H37"/>
  <sheetViews>
    <sheetView zoomScale="85" zoomScaleNormal="85" workbookViewId="0">
      <pane ySplit="1" topLeftCell="A11" activePane="bottomLeft" state="frozen"/>
      <selection pane="bottomLeft" activeCell="E42" sqref="E42:E46"/>
    </sheetView>
  </sheetViews>
  <sheetFormatPr baseColWidth="10" defaultRowHeight="14.4" x14ac:dyDescent="0.3"/>
  <cols>
    <col min="1" max="1" width="25.5546875" bestFit="1" customWidth="1"/>
    <col min="2" max="2" width="25.77734375" customWidth="1"/>
    <col min="3" max="3" width="18.5546875" bestFit="1" customWidth="1"/>
    <col min="4" max="4" width="18.5546875" customWidth="1"/>
    <col min="5" max="5" width="27.77734375" style="14" customWidth="1"/>
    <col min="6" max="6" width="11.77734375" style="14" bestFit="1" customWidth="1"/>
    <col min="7" max="7" width="179.21875" customWidth="1"/>
    <col min="8" max="8" width="34.77734375" customWidth="1"/>
  </cols>
  <sheetData>
    <row r="1" spans="1:8" x14ac:dyDescent="0.3">
      <c r="A1" s="2" t="s">
        <v>2</v>
      </c>
      <c r="B1" s="2" t="s">
        <v>4</v>
      </c>
      <c r="C1" s="2" t="s">
        <v>5</v>
      </c>
      <c r="D1" s="2" t="s">
        <v>96</v>
      </c>
      <c r="E1" s="11" t="s">
        <v>47</v>
      </c>
      <c r="F1" s="11" t="s">
        <v>181</v>
      </c>
      <c r="G1" s="7" t="s">
        <v>3</v>
      </c>
      <c r="H1" s="2" t="s">
        <v>8</v>
      </c>
    </row>
    <row r="2" spans="1:8" ht="15.75" customHeight="1" x14ac:dyDescent="0.3">
      <c r="A2" s="120" t="s">
        <v>223</v>
      </c>
      <c r="B2" s="120"/>
      <c r="C2" s="120"/>
      <c r="D2" s="120"/>
      <c r="E2" s="120"/>
      <c r="F2" s="120"/>
      <c r="G2" s="120"/>
      <c r="H2" s="120"/>
    </row>
    <row r="3" spans="1:8" ht="19.5" customHeight="1" x14ac:dyDescent="0.3">
      <c r="A3" s="15" t="s">
        <v>236</v>
      </c>
      <c r="B3" s="16">
        <v>45091.399768518517</v>
      </c>
      <c r="C3" s="16">
        <v>45110.398877314816</v>
      </c>
      <c r="D3" s="16">
        <v>45310.640706018516</v>
      </c>
      <c r="E3" s="21">
        <v>1</v>
      </c>
      <c r="F3" s="21"/>
      <c r="G3" s="2" t="s">
        <v>237</v>
      </c>
    </row>
    <row r="4" spans="1:8" ht="19.5" customHeight="1" x14ac:dyDescent="0.3">
      <c r="A4" s="15" t="s">
        <v>234</v>
      </c>
      <c r="B4" s="16">
        <v>45308.370462962965</v>
      </c>
      <c r="C4" s="16">
        <v>45310.382372685184</v>
      </c>
      <c r="D4" s="16">
        <v>45313.608761574076</v>
      </c>
      <c r="E4" s="21">
        <v>4</v>
      </c>
      <c r="F4" s="21"/>
      <c r="G4" s="2" t="s">
        <v>235</v>
      </c>
    </row>
    <row r="5" spans="1:8" ht="19.5" customHeight="1" x14ac:dyDescent="0.3">
      <c r="A5" s="15" t="s">
        <v>212</v>
      </c>
      <c r="B5" s="16">
        <v>45273.440520833334</v>
      </c>
      <c r="C5" s="16">
        <v>45295.444363425922</v>
      </c>
      <c r="D5" s="16">
        <v>45316.412349537037</v>
      </c>
      <c r="E5" s="21">
        <v>1</v>
      </c>
      <c r="F5" s="21" t="s">
        <v>179</v>
      </c>
      <c r="G5" s="2" t="s">
        <v>221</v>
      </c>
    </row>
    <row r="6" spans="1:8" ht="16.5" customHeight="1" x14ac:dyDescent="0.3">
      <c r="A6" s="15" t="s">
        <v>224</v>
      </c>
      <c r="B6" s="16">
        <v>45295.64230324074</v>
      </c>
      <c r="C6" s="16">
        <v>45295.685578703706</v>
      </c>
      <c r="D6" s="16">
        <v>45316.412349537037</v>
      </c>
      <c r="E6" s="21">
        <v>1</v>
      </c>
      <c r="F6" s="21" t="s">
        <v>179</v>
      </c>
      <c r="G6" s="2" t="s">
        <v>225</v>
      </c>
    </row>
    <row r="7" spans="1:8" ht="16.5" customHeight="1" x14ac:dyDescent="0.3">
      <c r="A7" s="15" t="s">
        <v>226</v>
      </c>
      <c r="B7" s="16">
        <v>45303.417303240742</v>
      </c>
      <c r="C7" s="16">
        <v>45310.423576388886</v>
      </c>
      <c r="D7" s="16">
        <v>45322.754710648151</v>
      </c>
      <c r="E7" s="21">
        <v>26</v>
      </c>
      <c r="F7" s="21" t="s">
        <v>180</v>
      </c>
      <c r="G7" s="2" t="s">
        <v>233</v>
      </c>
    </row>
    <row r="8" spans="1:8" ht="16.5" customHeight="1" x14ac:dyDescent="0.3">
      <c r="A8" s="15" t="s">
        <v>238</v>
      </c>
      <c r="B8" s="16">
        <v>45315.576793981483</v>
      </c>
      <c r="C8" s="16">
        <v>45316.352627314816</v>
      </c>
      <c r="D8" s="16">
        <v>45321.599849537037</v>
      </c>
      <c r="E8" s="21">
        <v>1</v>
      </c>
      <c r="F8" s="21" t="s">
        <v>179</v>
      </c>
      <c r="G8" s="19" t="s">
        <v>239</v>
      </c>
    </row>
    <row r="9" spans="1:8" ht="16.5" customHeight="1" x14ac:dyDescent="0.3">
      <c r="A9" s="120" t="s">
        <v>131</v>
      </c>
      <c r="B9" s="120"/>
      <c r="C9" s="120"/>
      <c r="D9" s="120"/>
      <c r="E9" s="120"/>
      <c r="F9" s="120"/>
      <c r="G9" s="120"/>
      <c r="H9" s="120"/>
    </row>
    <row r="10" spans="1:8" x14ac:dyDescent="0.3">
      <c r="A10" s="15" t="s">
        <v>241</v>
      </c>
      <c r="B10" s="16">
        <v>45327.536145833335</v>
      </c>
      <c r="C10" s="16">
        <v>45327.629050925927</v>
      </c>
      <c r="D10" s="16">
        <v>45345.406018518515</v>
      </c>
      <c r="E10" s="21">
        <v>1</v>
      </c>
      <c r="F10" s="21"/>
      <c r="G10" s="2" t="s">
        <v>242</v>
      </c>
    </row>
    <row r="11" spans="1:8" x14ac:dyDescent="0.3">
      <c r="A11" s="15" t="s">
        <v>243</v>
      </c>
      <c r="B11" s="16">
        <v>45331.53465277778</v>
      </c>
      <c r="C11" s="16">
        <v>45337.630833333336</v>
      </c>
      <c r="D11" s="16">
        <v>45345.407407407409</v>
      </c>
      <c r="E11" s="21">
        <v>1</v>
      </c>
      <c r="F11" s="21"/>
      <c r="G11" s="2" t="s">
        <v>244</v>
      </c>
    </row>
    <row r="12" spans="1:8" x14ac:dyDescent="0.3">
      <c r="A12" s="120" t="s">
        <v>43</v>
      </c>
      <c r="B12" s="120"/>
      <c r="C12" s="120"/>
      <c r="D12" s="120"/>
      <c r="E12" s="120"/>
      <c r="F12" s="120"/>
      <c r="G12" s="120"/>
      <c r="H12" s="120"/>
    </row>
    <row r="13" spans="1:8" ht="21" customHeight="1" x14ac:dyDescent="0.3">
      <c r="A13" s="70" t="s">
        <v>247</v>
      </c>
      <c r="B13" s="71">
        <v>45342.342569444445</v>
      </c>
      <c r="C13" s="71">
        <v>45350.367673611108</v>
      </c>
      <c r="D13" s="71">
        <v>45372.55572916667</v>
      </c>
      <c r="E13" s="21">
        <v>12</v>
      </c>
      <c r="F13" s="21" t="s">
        <v>180</v>
      </c>
      <c r="G13" s="9" t="s">
        <v>248</v>
      </c>
    </row>
    <row r="14" spans="1:8" ht="22.5" customHeight="1" x14ac:dyDescent="0.3">
      <c r="A14" s="70" t="s">
        <v>250</v>
      </c>
      <c r="B14" s="16">
        <v>45324.370127314818</v>
      </c>
      <c r="C14" s="71">
        <v>45350.387835648151</v>
      </c>
      <c r="D14" s="71">
        <v>45372.556423611109</v>
      </c>
      <c r="E14" s="21">
        <v>8</v>
      </c>
      <c r="F14" s="21" t="s">
        <v>180</v>
      </c>
      <c r="G14" s="9" t="s">
        <v>249</v>
      </c>
    </row>
    <row r="15" spans="1:8" ht="23.25" customHeight="1" x14ac:dyDescent="0.3">
      <c r="A15" s="70" t="s">
        <v>253</v>
      </c>
      <c r="B15" s="71">
        <v>45350.400879629633</v>
      </c>
      <c r="C15" s="71">
        <v>45356.610590277778</v>
      </c>
      <c r="D15" s="71">
        <v>45369.589756944442</v>
      </c>
      <c r="E15" s="26">
        <v>1</v>
      </c>
      <c r="F15" s="26" t="s">
        <v>179</v>
      </c>
      <c r="G15" s="69" t="s">
        <v>254</v>
      </c>
    </row>
    <row r="16" spans="1:8" ht="21" customHeight="1" x14ac:dyDescent="0.3">
      <c r="A16" s="15" t="s">
        <v>261</v>
      </c>
      <c r="B16" s="16">
        <v>45358.377534722225</v>
      </c>
      <c r="C16" s="16">
        <v>45359.367094907408</v>
      </c>
      <c r="D16" s="71">
        <v>45369.589756944442</v>
      </c>
      <c r="E16" s="21">
        <v>1</v>
      </c>
      <c r="F16" s="21" t="s">
        <v>179</v>
      </c>
      <c r="G16" s="19" t="s">
        <v>262</v>
      </c>
    </row>
    <row r="17" spans="1:8" ht="18.75" customHeight="1" x14ac:dyDescent="0.3">
      <c r="A17" s="15" t="s">
        <v>255</v>
      </c>
      <c r="B17" s="16">
        <v>45356.440254629626</v>
      </c>
      <c r="C17" s="16">
        <v>45372.566678240742</v>
      </c>
      <c r="D17" s="71">
        <v>45373.424479166664</v>
      </c>
      <c r="E17" s="21">
        <v>8</v>
      </c>
      <c r="F17" s="21"/>
      <c r="G17" s="9" t="s">
        <v>256</v>
      </c>
    </row>
    <row r="18" spans="1:8" ht="21.75" customHeight="1" x14ac:dyDescent="0.3">
      <c r="A18" s="15" t="s">
        <v>259</v>
      </c>
      <c r="B18" s="16">
        <v>45364.448518518519</v>
      </c>
      <c r="C18" s="16">
        <v>45372.565520833334</v>
      </c>
      <c r="D18" s="71">
        <v>45373.424479166664</v>
      </c>
      <c r="E18" s="21">
        <v>2</v>
      </c>
      <c r="F18" s="21"/>
      <c r="G18" s="2" t="s">
        <v>260</v>
      </c>
    </row>
    <row r="19" spans="1:8" ht="21.75" customHeight="1" x14ac:dyDescent="0.3">
      <c r="A19" s="120" t="s">
        <v>93</v>
      </c>
      <c r="B19" s="120"/>
      <c r="C19" s="120"/>
      <c r="D19" s="120"/>
      <c r="E19" s="120"/>
      <c r="F19" s="120"/>
      <c r="G19" s="120"/>
      <c r="H19" s="120"/>
    </row>
    <row r="20" spans="1:8" ht="21.75" customHeight="1" x14ac:dyDescent="0.3">
      <c r="A20" s="15" t="s">
        <v>165</v>
      </c>
      <c r="B20" s="16">
        <v>45314.441481481481</v>
      </c>
      <c r="C20" s="16">
        <v>45387.64298611111</v>
      </c>
      <c r="D20" s="16">
        <v>45387.647557870368</v>
      </c>
      <c r="E20" s="21">
        <v>24</v>
      </c>
      <c r="F20" s="21"/>
      <c r="G20" s="9" t="s">
        <v>166</v>
      </c>
    </row>
    <row r="21" spans="1:8" ht="21.75" customHeight="1" x14ac:dyDescent="0.3">
      <c r="A21" s="70" t="s">
        <v>251</v>
      </c>
      <c r="B21" s="71">
        <v>45350.499652777777</v>
      </c>
      <c r="C21" s="71">
        <v>45383.380937499998</v>
      </c>
      <c r="D21" s="71">
        <v>45411.635104166664</v>
      </c>
      <c r="E21" s="26">
        <v>24</v>
      </c>
      <c r="F21" s="26"/>
      <c r="G21" s="9" t="s">
        <v>252</v>
      </c>
    </row>
    <row r="22" spans="1:8" ht="21.75" customHeight="1" x14ac:dyDescent="0.3">
      <c r="A22" s="15" t="s">
        <v>257</v>
      </c>
      <c r="B22" s="16">
        <v>45358.360393518517</v>
      </c>
      <c r="C22" s="16">
        <v>45385.363530092596</v>
      </c>
      <c r="D22" s="16">
        <v>45385.40797453704</v>
      </c>
      <c r="E22" s="21">
        <v>3</v>
      </c>
      <c r="F22" s="21" t="s">
        <v>179</v>
      </c>
      <c r="G22" s="2" t="s">
        <v>258</v>
      </c>
    </row>
    <row r="23" spans="1:8" x14ac:dyDescent="0.3">
      <c r="A23" s="15" t="s">
        <v>263</v>
      </c>
      <c r="B23" s="16">
        <v>45371.407349537039</v>
      </c>
      <c r="C23" s="16">
        <v>45387.365416666667</v>
      </c>
      <c r="D23" s="16">
        <v>45387.646863425929</v>
      </c>
      <c r="E23" s="21">
        <v>20</v>
      </c>
      <c r="F23" s="21"/>
      <c r="G23" s="2" t="s">
        <v>264</v>
      </c>
    </row>
    <row r="24" spans="1:8" x14ac:dyDescent="0.3">
      <c r="A24" s="15" t="s">
        <v>267</v>
      </c>
      <c r="B24" s="16">
        <v>45387.467604166668</v>
      </c>
      <c r="C24" s="16">
        <v>45393.360706018517</v>
      </c>
      <c r="D24" s="16">
        <v>45406.42796296296</v>
      </c>
      <c r="E24" s="21">
        <v>12</v>
      </c>
      <c r="F24" s="21"/>
      <c r="G24" s="2" t="s">
        <v>268</v>
      </c>
    </row>
    <row r="25" spans="1:8" ht="21.75" customHeight="1" x14ac:dyDescent="0.3">
      <c r="A25" s="15" t="s">
        <v>265</v>
      </c>
      <c r="B25" s="16">
        <v>45377.427233796298</v>
      </c>
      <c r="C25" s="16">
        <v>45377.547766203701</v>
      </c>
      <c r="D25" s="16">
        <v>45387.64130787037</v>
      </c>
      <c r="E25" s="21">
        <v>1</v>
      </c>
      <c r="F25" s="21"/>
      <c r="G25" s="9" t="s">
        <v>266</v>
      </c>
    </row>
    <row r="26" spans="1:8" x14ac:dyDescent="0.3">
      <c r="A26" s="15" t="s">
        <v>269</v>
      </c>
      <c r="B26" s="16">
        <v>45391.394490740742</v>
      </c>
      <c r="C26" s="16">
        <v>45398.454016203701</v>
      </c>
      <c r="D26" s="16">
        <v>45398.472766203704</v>
      </c>
      <c r="E26" s="21">
        <v>8</v>
      </c>
      <c r="F26" s="21"/>
      <c r="G26" s="2" t="s">
        <v>270</v>
      </c>
    </row>
    <row r="27" spans="1:8" x14ac:dyDescent="0.3">
      <c r="A27" s="120" t="s">
        <v>101</v>
      </c>
      <c r="B27" s="120"/>
      <c r="C27" s="120"/>
      <c r="D27" s="120"/>
      <c r="E27" s="120"/>
      <c r="F27" s="120"/>
      <c r="G27" s="120"/>
      <c r="H27" s="120"/>
    </row>
    <row r="28" spans="1:8" x14ac:dyDescent="0.3">
      <c r="A28" s="15" t="s">
        <v>271</v>
      </c>
      <c r="B28" s="16">
        <v>45394.578773148147</v>
      </c>
      <c r="C28" s="16">
        <v>45405.650763888887</v>
      </c>
      <c r="D28" s="16">
        <v>45440.417997685188</v>
      </c>
      <c r="E28" s="21">
        <v>8</v>
      </c>
      <c r="F28" s="21" t="s">
        <v>180</v>
      </c>
      <c r="G28" s="2" t="s">
        <v>272</v>
      </c>
    </row>
    <row r="29" spans="1:8" x14ac:dyDescent="0.3">
      <c r="A29" s="15" t="s">
        <v>275</v>
      </c>
      <c r="B29" s="16">
        <v>45405.367511574077</v>
      </c>
      <c r="C29" s="16">
        <v>45427.434606481482</v>
      </c>
      <c r="D29" s="16">
        <v>45440.417997685188</v>
      </c>
      <c r="E29" s="21">
        <v>12</v>
      </c>
      <c r="F29" s="21" t="s">
        <v>180</v>
      </c>
      <c r="G29" s="2" t="s">
        <v>276</v>
      </c>
    </row>
    <row r="30" spans="1:8" x14ac:dyDescent="0.3">
      <c r="A30" s="15" t="s">
        <v>273</v>
      </c>
      <c r="B30" s="16">
        <v>45397.641145833331</v>
      </c>
      <c r="C30" s="16">
        <v>45405.650763888887</v>
      </c>
      <c r="D30" s="16">
        <v>45440.418692129628</v>
      </c>
      <c r="E30" s="21">
        <v>8</v>
      </c>
      <c r="F30" s="21" t="s">
        <v>277</v>
      </c>
      <c r="G30" s="2" t="s">
        <v>274</v>
      </c>
    </row>
    <row r="31" spans="1:8" x14ac:dyDescent="0.3">
      <c r="A31" s="15" t="s">
        <v>280</v>
      </c>
      <c r="B31" s="16">
        <v>45418.618159722224</v>
      </c>
      <c r="C31" s="16">
        <v>45428.440972222219</v>
      </c>
      <c r="D31" s="16">
        <v>45440.419386574074</v>
      </c>
      <c r="E31" s="21">
        <v>16</v>
      </c>
      <c r="F31" s="21" t="s">
        <v>180</v>
      </c>
      <c r="G31" s="2" t="s">
        <v>281</v>
      </c>
    </row>
    <row r="32" spans="1:8" x14ac:dyDescent="0.3">
      <c r="A32" s="15" t="s">
        <v>282</v>
      </c>
      <c r="B32" s="16">
        <v>45419.34642361111</v>
      </c>
      <c r="C32" s="16">
        <v>45428.645972222221</v>
      </c>
      <c r="D32" s="16">
        <v>45440.421469907407</v>
      </c>
      <c r="E32" s="21">
        <v>20</v>
      </c>
      <c r="F32" s="21" t="s">
        <v>180</v>
      </c>
      <c r="G32" s="2" t="s">
        <v>283</v>
      </c>
    </row>
    <row r="33" spans="1:7" x14ac:dyDescent="0.3">
      <c r="A33" s="15" t="s">
        <v>289</v>
      </c>
      <c r="B33" s="16">
        <v>45412.579293981478</v>
      </c>
      <c r="C33" s="16">
        <v>45428.652719907404</v>
      </c>
      <c r="D33" s="16">
        <v>45432.383275462962</v>
      </c>
      <c r="E33" s="21">
        <v>1</v>
      </c>
      <c r="F33" s="21"/>
      <c r="G33" s="2" t="s">
        <v>290</v>
      </c>
    </row>
    <row r="34" spans="1:7" x14ac:dyDescent="0.3">
      <c r="A34" s="76" t="s">
        <v>285</v>
      </c>
      <c r="B34" s="77">
        <v>45422.377210648148</v>
      </c>
      <c r="C34" s="76"/>
      <c r="D34" s="76"/>
      <c r="E34" s="78">
        <v>2</v>
      </c>
      <c r="F34" s="78"/>
      <c r="G34" s="2" t="s">
        <v>286</v>
      </c>
    </row>
    <row r="35" spans="1:7" x14ac:dyDescent="0.3">
      <c r="A35" s="79" t="s">
        <v>287</v>
      </c>
      <c r="B35" s="80">
        <v>45422.545393518521</v>
      </c>
      <c r="C35" s="79"/>
      <c r="D35" s="79"/>
      <c r="E35" s="81">
        <v>10</v>
      </c>
      <c r="F35" s="81"/>
      <c r="G35" s="2" t="s">
        <v>288</v>
      </c>
    </row>
    <row r="36" spans="1:7" x14ac:dyDescent="0.3">
      <c r="A36" s="72" t="s">
        <v>292</v>
      </c>
      <c r="B36" s="73">
        <v>45435.421967592592</v>
      </c>
      <c r="C36" s="73">
        <v>45435.613611111112</v>
      </c>
      <c r="D36" s="72"/>
      <c r="E36" s="74">
        <v>1</v>
      </c>
      <c r="F36" s="74" t="s">
        <v>180</v>
      </c>
      <c r="G36" s="2" t="s">
        <v>293</v>
      </c>
    </row>
    <row r="37" spans="1:7" x14ac:dyDescent="0.3">
      <c r="A37" s="15" t="s">
        <v>294</v>
      </c>
      <c r="B37" s="16">
        <v>45435.465532407405</v>
      </c>
      <c r="C37" s="16">
        <v>45435.613611111112</v>
      </c>
      <c r="D37" s="16">
        <v>45440.422164351854</v>
      </c>
      <c r="E37" s="21">
        <v>2</v>
      </c>
      <c r="F37" s="21" t="s">
        <v>179</v>
      </c>
      <c r="G37" s="2" t="s">
        <v>295</v>
      </c>
    </row>
  </sheetData>
  <mergeCells count="5">
    <mergeCell ref="A2:H2"/>
    <mergeCell ref="A9:H9"/>
    <mergeCell ref="A12:H12"/>
    <mergeCell ref="A19:H19"/>
    <mergeCell ref="A27:H2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3E447-C3EE-4D27-937A-BC0961235467}">
  <sheetPr codeName="Hoja4"/>
  <dimension ref="A1:S87"/>
  <sheetViews>
    <sheetView zoomScaleNormal="100" workbookViewId="0">
      <selection activeCell="K31" sqref="K31"/>
    </sheetView>
  </sheetViews>
  <sheetFormatPr baseColWidth="10" defaultRowHeight="14.4" x14ac:dyDescent="0.3"/>
  <cols>
    <col min="1" max="1" width="21.44140625" bestFit="1" customWidth="1"/>
    <col min="6" max="6" width="20" bestFit="1" customWidth="1"/>
    <col min="8" max="8" width="12" bestFit="1" customWidth="1"/>
    <col min="9" max="9" width="16.77734375" bestFit="1" customWidth="1"/>
    <col min="11" max="11" width="32.21875" bestFit="1" customWidth="1"/>
    <col min="13" max="13" width="14.5546875" bestFit="1" customWidth="1"/>
    <col min="16" max="16" width="15.44140625" bestFit="1" customWidth="1"/>
    <col min="19" max="19" width="15.44140625" bestFit="1" customWidth="1"/>
  </cols>
  <sheetData>
    <row r="1" spans="1:19" x14ac:dyDescent="0.3">
      <c r="A1" s="5" t="s">
        <v>10</v>
      </c>
      <c r="B1" s="6">
        <v>51000</v>
      </c>
      <c r="C1" s="5" t="s">
        <v>11</v>
      </c>
      <c r="D1" s="5">
        <v>36.99</v>
      </c>
      <c r="E1">
        <f>100*D1</f>
        <v>3699</v>
      </c>
      <c r="F1" s="20">
        <f>G1*D1</f>
        <v>184.95000000000002</v>
      </c>
      <c r="G1">
        <v>5</v>
      </c>
      <c r="J1" s="51"/>
      <c r="O1" s="2"/>
      <c r="P1" s="2" t="s">
        <v>144</v>
      </c>
      <c r="Q1" s="2" t="s">
        <v>170</v>
      </c>
      <c r="R1" s="18" t="s">
        <v>303</v>
      </c>
      <c r="S1" s="2" t="s">
        <v>331</v>
      </c>
    </row>
    <row r="2" spans="1:19" x14ac:dyDescent="0.3">
      <c r="A2" s="128" t="s">
        <v>12</v>
      </c>
      <c r="B2" s="128"/>
      <c r="C2" s="128"/>
      <c r="D2" s="128"/>
      <c r="E2" s="128"/>
      <c r="K2" s="1" t="s">
        <v>73</v>
      </c>
      <c r="L2" s="1"/>
      <c r="M2" s="1" t="s">
        <v>74</v>
      </c>
      <c r="N2" s="1">
        <f>164+82</f>
        <v>246</v>
      </c>
      <c r="O2" s="2" t="s">
        <v>101</v>
      </c>
      <c r="P2" s="2">
        <f>38+4</f>
        <v>42</v>
      </c>
      <c r="Q2" s="2">
        <f>SUM(P2:P15)</f>
        <v>546</v>
      </c>
      <c r="R2" s="18">
        <f>Q2-Q3-Q4</f>
        <v>528</v>
      </c>
      <c r="S2" s="1">
        <v>40</v>
      </c>
    </row>
    <row r="3" spans="1:19" x14ac:dyDescent="0.3">
      <c r="A3" s="128"/>
      <c r="B3" s="128"/>
      <c r="C3" s="128"/>
      <c r="D3" s="128"/>
      <c r="E3" s="128"/>
      <c r="F3" s="129" t="s">
        <v>33</v>
      </c>
      <c r="G3" s="129"/>
      <c r="H3" s="129"/>
      <c r="K3" s="1" t="s">
        <v>88</v>
      </c>
      <c r="L3" s="1">
        <f>164+82</f>
        <v>246</v>
      </c>
      <c r="M3" s="1">
        <v>50</v>
      </c>
      <c r="N3" s="1">
        <f t="shared" ref="N3:N8" si="0">N2-M3</f>
        <v>196</v>
      </c>
      <c r="O3" s="15" t="s">
        <v>124</v>
      </c>
      <c r="P3" s="15">
        <f t="shared" ref="P3:P8" si="1">38+4</f>
        <v>42</v>
      </c>
      <c r="Q3" s="15">
        <v>18</v>
      </c>
      <c r="S3" s="1">
        <v>160</v>
      </c>
    </row>
    <row r="4" spans="1:19" x14ac:dyDescent="0.3">
      <c r="A4" s="3" t="s">
        <v>13</v>
      </c>
      <c r="B4" s="3" t="s">
        <v>14</v>
      </c>
      <c r="C4" s="3" t="s">
        <v>15</v>
      </c>
      <c r="D4" s="3" t="s">
        <v>22</v>
      </c>
      <c r="E4" s="3" t="s">
        <v>23</v>
      </c>
      <c r="F4" s="2" t="s">
        <v>34</v>
      </c>
      <c r="G4" s="55">
        <f>D21</f>
        <v>571.09199999999998</v>
      </c>
      <c r="H4" s="55">
        <f>G4*D1</f>
        <v>21124.693080000001</v>
      </c>
      <c r="K4" s="1" t="s">
        <v>89</v>
      </c>
      <c r="L4" s="1"/>
      <c r="M4" s="1"/>
      <c r="N4" s="1">
        <f t="shared" si="0"/>
        <v>196</v>
      </c>
      <c r="O4" s="15" t="s">
        <v>145</v>
      </c>
      <c r="P4" s="15">
        <f t="shared" si="1"/>
        <v>42</v>
      </c>
      <c r="Q4" s="72">
        <v>0</v>
      </c>
      <c r="S4" s="1">
        <v>220</v>
      </c>
    </row>
    <row r="5" spans="1:19" x14ac:dyDescent="0.3">
      <c r="A5" s="2" t="s">
        <v>16</v>
      </c>
      <c r="B5" s="1"/>
      <c r="C5" s="1">
        <f>2000+1500</f>
        <v>3500</v>
      </c>
      <c r="D5" s="50"/>
      <c r="E5" s="1">
        <v>1000</v>
      </c>
      <c r="F5" s="2" t="s">
        <v>35</v>
      </c>
      <c r="G5" s="58">
        <f>B33+E21</f>
        <v>21013</v>
      </c>
      <c r="H5" s="2"/>
      <c r="I5" s="51"/>
      <c r="K5" s="1" t="s">
        <v>90</v>
      </c>
      <c r="L5" s="1"/>
      <c r="M5" s="1">
        <v>23</v>
      </c>
      <c r="N5" s="1">
        <f t="shared" si="0"/>
        <v>173</v>
      </c>
      <c r="O5" s="15" t="s">
        <v>169</v>
      </c>
      <c r="P5" s="15">
        <f t="shared" si="1"/>
        <v>42</v>
      </c>
      <c r="Q5" s="72">
        <v>0</v>
      </c>
      <c r="S5" s="2">
        <f>SUM(S2:S4)</f>
        <v>420</v>
      </c>
    </row>
    <row r="6" spans="1:19" x14ac:dyDescent="0.3">
      <c r="A6" s="52" t="s">
        <v>245</v>
      </c>
      <c r="B6" s="50"/>
      <c r="C6" s="1"/>
      <c r="D6" s="54"/>
      <c r="E6" s="1">
        <v>2760</v>
      </c>
      <c r="F6" s="2"/>
      <c r="G6" s="53"/>
      <c r="H6" s="2"/>
      <c r="I6" s="51"/>
      <c r="K6" s="1" t="s">
        <v>145</v>
      </c>
      <c r="L6" s="1"/>
      <c r="M6" s="1">
        <v>11</v>
      </c>
      <c r="N6" s="1">
        <f t="shared" si="0"/>
        <v>162</v>
      </c>
      <c r="O6" s="15" t="s">
        <v>186</v>
      </c>
      <c r="P6" s="15">
        <f t="shared" si="1"/>
        <v>42</v>
      </c>
      <c r="Q6" s="72">
        <v>0</v>
      </c>
    </row>
    <row r="7" spans="1:19" x14ac:dyDescent="0.3">
      <c r="A7" s="52"/>
      <c r="B7" s="50"/>
      <c r="C7" s="1"/>
      <c r="D7" s="54"/>
      <c r="E7" s="1">
        <v>1200</v>
      </c>
      <c r="F7" s="2" t="s">
        <v>222</v>
      </c>
      <c r="G7" s="58">
        <f>G5+H4</f>
        <v>42137.693079999997</v>
      </c>
      <c r="H7" s="2"/>
      <c r="I7" s="51"/>
      <c r="K7" s="1" t="s">
        <v>169</v>
      </c>
      <c r="L7" s="1"/>
      <c r="M7" s="1">
        <v>3.7</v>
      </c>
      <c r="N7" s="1">
        <f t="shared" si="0"/>
        <v>158.30000000000001</v>
      </c>
      <c r="O7" s="2" t="s">
        <v>187</v>
      </c>
      <c r="P7" s="2">
        <f t="shared" si="1"/>
        <v>42</v>
      </c>
      <c r="Q7" s="72">
        <v>0</v>
      </c>
    </row>
    <row r="8" spans="1:19" x14ac:dyDescent="0.3">
      <c r="A8" s="52" t="s">
        <v>279</v>
      </c>
      <c r="B8" s="1"/>
      <c r="C8" s="1"/>
      <c r="D8" s="54"/>
      <c r="E8" s="1"/>
      <c r="F8" s="37" t="s">
        <v>36</v>
      </c>
      <c r="G8" s="38">
        <f>B1-H4-G5</f>
        <v>8862.3069199999991</v>
      </c>
      <c r="H8" s="2">
        <f>G8/D1</f>
        <v>239.58656177345225</v>
      </c>
      <c r="I8" s="59">
        <f>700*36</f>
        <v>25200</v>
      </c>
      <c r="J8">
        <f>I8*2</f>
        <v>50400</v>
      </c>
      <c r="K8" s="75">
        <v>45383</v>
      </c>
      <c r="L8" s="1"/>
      <c r="M8" s="1">
        <v>4</v>
      </c>
      <c r="N8" s="1">
        <f t="shared" si="0"/>
        <v>154.30000000000001</v>
      </c>
      <c r="O8" s="2" t="s">
        <v>188</v>
      </c>
      <c r="P8" s="2">
        <f t="shared" si="1"/>
        <v>42</v>
      </c>
      <c r="Q8" s="2"/>
    </row>
    <row r="9" spans="1:19" x14ac:dyDescent="0.3">
      <c r="A9" s="52" t="s">
        <v>211</v>
      </c>
      <c r="B9" s="1"/>
      <c r="C9" s="1"/>
      <c r="D9" s="54">
        <f>B9*0.4</f>
        <v>0</v>
      </c>
      <c r="E9" s="1"/>
      <c r="F9" s="56"/>
      <c r="G9" s="57"/>
      <c r="H9" s="42"/>
      <c r="K9" s="75">
        <v>45413</v>
      </c>
      <c r="L9" s="1"/>
      <c r="M9" s="1">
        <v>2</v>
      </c>
      <c r="N9" s="1">
        <f>N8-M9</f>
        <v>152.30000000000001</v>
      </c>
      <c r="O9" s="2" t="s">
        <v>189</v>
      </c>
      <c r="P9" s="1">
        <v>42</v>
      </c>
      <c r="Q9" s="2"/>
    </row>
    <row r="10" spans="1:19" x14ac:dyDescent="0.3">
      <c r="A10" s="52" t="s">
        <v>17</v>
      </c>
      <c r="B10" s="1">
        <f>28+20+20+41+40+20+33.57+100+60+60+60+13.89-196+40+60+80+110-100</f>
        <v>490.46000000000004</v>
      </c>
      <c r="C10" s="1"/>
      <c r="D10" s="54">
        <f>B10*0.2</f>
        <v>98.092000000000013</v>
      </c>
      <c r="E10" s="1"/>
      <c r="F10" s="130"/>
      <c r="G10" s="131"/>
      <c r="H10" s="132"/>
      <c r="K10" s="75">
        <v>45505</v>
      </c>
      <c r="L10" s="1"/>
      <c r="M10" s="1">
        <v>4</v>
      </c>
      <c r="N10" s="1">
        <f>N9-M10</f>
        <v>148.30000000000001</v>
      </c>
      <c r="O10" s="2" t="s">
        <v>223</v>
      </c>
      <c r="P10" s="1">
        <v>42</v>
      </c>
      <c r="Q10" s="2"/>
    </row>
    <row r="11" spans="1:19" x14ac:dyDescent="0.3">
      <c r="A11" s="52"/>
      <c r="B11" s="1"/>
      <c r="C11" s="1"/>
      <c r="D11" s="54"/>
      <c r="E11" s="1"/>
      <c r="F11" s="130" t="str">
        <f ca="1">TEXT(TODAY(),"mmmm")</f>
        <v>marzo</v>
      </c>
      <c r="G11" s="131"/>
      <c r="H11" s="132"/>
      <c r="I11" s="3" t="s">
        <v>146</v>
      </c>
      <c r="K11" s="75">
        <v>45656</v>
      </c>
      <c r="L11" s="1"/>
      <c r="M11" s="1">
        <v>8</v>
      </c>
      <c r="N11" s="1">
        <v>140</v>
      </c>
      <c r="O11" s="2" t="s">
        <v>131</v>
      </c>
      <c r="P11" s="1">
        <v>42</v>
      </c>
      <c r="Q11" s="89"/>
    </row>
    <row r="12" spans="1:19" x14ac:dyDescent="0.3">
      <c r="A12" s="2" t="s">
        <v>18</v>
      </c>
      <c r="B12" s="1">
        <v>440</v>
      </c>
      <c r="C12" s="1"/>
      <c r="D12" s="54">
        <v>90</v>
      </c>
      <c r="E12" s="1"/>
      <c r="F12" s="35">
        <v>45413</v>
      </c>
      <c r="G12" s="36" t="str">
        <f>TEXT(F12,"dddd")</f>
        <v>miércoles</v>
      </c>
      <c r="H12" s="36">
        <f>IF(I12="SI",0,(58))</f>
        <v>0</v>
      </c>
      <c r="I12" s="3" t="s">
        <v>278</v>
      </c>
      <c r="O12" s="2" t="s">
        <v>43</v>
      </c>
      <c r="P12" s="1">
        <v>42</v>
      </c>
      <c r="Q12" s="2"/>
    </row>
    <row r="13" spans="1:19" x14ac:dyDescent="0.3">
      <c r="A13" s="2" t="s">
        <v>284</v>
      </c>
      <c r="B13" s="1"/>
      <c r="C13" s="1"/>
      <c r="D13" s="54"/>
      <c r="E13" s="1"/>
      <c r="F13" s="35">
        <v>45414</v>
      </c>
      <c r="G13" s="36" t="str">
        <f>TEXT(F13,"dddd")</f>
        <v>jueves</v>
      </c>
      <c r="H13" s="36">
        <f t="shared" ref="H13:H42" si="2">IF(I13="SI",0,(58))</f>
        <v>58</v>
      </c>
      <c r="I13" s="3" t="str">
        <f t="shared" ref="I13:I42" si="3">IF(G13="Sábado","Si",IF(G13="domingo","Si","No"))</f>
        <v>No</v>
      </c>
      <c r="L13" s="20"/>
      <c r="M13" s="20"/>
      <c r="O13" s="2" t="s">
        <v>93</v>
      </c>
      <c r="P13" s="1">
        <v>42</v>
      </c>
      <c r="Q13" s="2"/>
    </row>
    <row r="14" spans="1:19" x14ac:dyDescent="0.3">
      <c r="A14" s="2" t="s">
        <v>19</v>
      </c>
      <c r="B14" s="1"/>
      <c r="C14" s="1">
        <v>1500</v>
      </c>
      <c r="D14" s="54"/>
      <c r="E14" s="1"/>
      <c r="F14" s="35">
        <v>45415</v>
      </c>
      <c r="G14" s="36" t="str">
        <f>TEXT(F14,"dddd")</f>
        <v>viernes</v>
      </c>
      <c r="H14" s="36">
        <f t="shared" si="2"/>
        <v>58</v>
      </c>
      <c r="I14" s="3" t="str">
        <f t="shared" si="3"/>
        <v>No</v>
      </c>
      <c r="K14" s="34"/>
      <c r="O14" s="2" t="s">
        <v>101</v>
      </c>
      <c r="P14" s="1">
        <v>42</v>
      </c>
      <c r="Q14" s="2"/>
    </row>
    <row r="15" spans="1:19" x14ac:dyDescent="0.3">
      <c r="A15" s="2" t="s">
        <v>20</v>
      </c>
      <c r="B15" s="1"/>
      <c r="C15" s="1"/>
      <c r="D15" s="54">
        <v>85</v>
      </c>
      <c r="E15" s="1"/>
      <c r="F15" s="35">
        <v>45416</v>
      </c>
      <c r="G15" s="36" t="str">
        <f t="shared" ref="G15:G39" si="4">TEXT(F15,"dddd")</f>
        <v>sábado</v>
      </c>
      <c r="H15" s="36">
        <f t="shared" si="2"/>
        <v>0</v>
      </c>
      <c r="I15" s="3" t="str">
        <f t="shared" si="3"/>
        <v>Si</v>
      </c>
      <c r="O15" s="42"/>
    </row>
    <row r="16" spans="1:19" x14ac:dyDescent="0.3">
      <c r="A16" s="2" t="s">
        <v>21</v>
      </c>
      <c r="B16" s="1">
        <v>300</v>
      </c>
      <c r="C16" s="1"/>
      <c r="D16" s="54">
        <v>60</v>
      </c>
      <c r="E16" s="1"/>
      <c r="F16" s="35">
        <v>45417</v>
      </c>
      <c r="G16" s="36" t="str">
        <f t="shared" si="4"/>
        <v>domingo</v>
      </c>
      <c r="H16" s="36">
        <f t="shared" si="2"/>
        <v>0</v>
      </c>
      <c r="I16" s="3" t="str">
        <f t="shared" si="3"/>
        <v>Si</v>
      </c>
    </row>
    <row r="17" spans="1:15" x14ac:dyDescent="0.3">
      <c r="A17" s="2" t="s">
        <v>291</v>
      </c>
      <c r="B17" s="1">
        <v>124</v>
      </c>
      <c r="C17" s="1"/>
      <c r="D17" s="54"/>
      <c r="E17" s="1"/>
      <c r="F17" s="35">
        <v>45418</v>
      </c>
      <c r="G17" s="36" t="str">
        <f t="shared" si="4"/>
        <v>lunes</v>
      </c>
      <c r="H17" s="36">
        <f t="shared" si="2"/>
        <v>58</v>
      </c>
      <c r="I17" s="3" t="str">
        <f t="shared" si="3"/>
        <v>No</v>
      </c>
    </row>
    <row r="18" spans="1:15" x14ac:dyDescent="0.3">
      <c r="A18" s="2" t="s">
        <v>38</v>
      </c>
      <c r="B18" s="1"/>
      <c r="C18" s="1"/>
      <c r="D18" s="54">
        <v>155</v>
      </c>
      <c r="E18" s="1"/>
      <c r="F18" s="35">
        <v>45419</v>
      </c>
      <c r="G18" s="36" t="str">
        <f t="shared" si="4"/>
        <v>martes</v>
      </c>
      <c r="H18" s="36">
        <f t="shared" si="2"/>
        <v>58</v>
      </c>
      <c r="I18" s="3" t="str">
        <f t="shared" si="3"/>
        <v>No</v>
      </c>
      <c r="K18" s="1" t="s">
        <v>75</v>
      </c>
      <c r="L18" s="1" t="s">
        <v>354</v>
      </c>
      <c r="M18" s="1" t="s">
        <v>353</v>
      </c>
      <c r="N18" s="1">
        <v>250</v>
      </c>
    </row>
    <row r="19" spans="1:15" x14ac:dyDescent="0.3">
      <c r="A19" s="2" t="s">
        <v>46</v>
      </c>
      <c r="B19" s="1"/>
      <c r="C19" s="1"/>
      <c r="D19" s="1">
        <v>83</v>
      </c>
      <c r="E19" s="1"/>
      <c r="F19" s="35">
        <v>45420</v>
      </c>
      <c r="G19" s="36" t="str">
        <f t="shared" si="4"/>
        <v>miércoles</v>
      </c>
      <c r="H19" s="36">
        <f t="shared" si="2"/>
        <v>58</v>
      </c>
      <c r="I19" s="3" t="str">
        <f t="shared" si="3"/>
        <v>No</v>
      </c>
      <c r="K19" s="67" t="s">
        <v>43</v>
      </c>
      <c r="L19" s="67">
        <v>25</v>
      </c>
      <c r="M19" s="112">
        <v>0</v>
      </c>
      <c r="N19" s="67">
        <f t="shared" ref="N19:N29" si="5">N18-M19</f>
        <v>250</v>
      </c>
    </row>
    <row r="20" spans="1:15" x14ac:dyDescent="0.3">
      <c r="A20" s="2" t="s">
        <v>30</v>
      </c>
      <c r="B20" s="1"/>
      <c r="C20" s="1">
        <v>12688</v>
      </c>
      <c r="D20" s="1"/>
      <c r="E20" s="1"/>
      <c r="F20" s="35">
        <v>45421</v>
      </c>
      <c r="G20" s="36" t="str">
        <f t="shared" si="4"/>
        <v>jueves</v>
      </c>
      <c r="H20" s="36">
        <f t="shared" si="2"/>
        <v>58</v>
      </c>
      <c r="I20" s="3" t="str">
        <f t="shared" si="3"/>
        <v>No</v>
      </c>
      <c r="K20" s="67" t="s">
        <v>93</v>
      </c>
      <c r="L20" s="67">
        <v>25</v>
      </c>
      <c r="M20" s="112">
        <v>0</v>
      </c>
      <c r="N20" s="67">
        <f t="shared" si="5"/>
        <v>250</v>
      </c>
    </row>
    <row r="21" spans="1:15" x14ac:dyDescent="0.3">
      <c r="A21" s="2" t="s">
        <v>24</v>
      </c>
      <c r="B21" s="2">
        <f>SUM(B5:B20)</f>
        <v>1354.46</v>
      </c>
      <c r="C21" s="2">
        <f>SUM(C5:C20)</f>
        <v>17688</v>
      </c>
      <c r="D21" s="50">
        <f>SUM(D5:D20)</f>
        <v>571.09199999999998</v>
      </c>
      <c r="E21" s="2">
        <f>SUM(E5:E20)</f>
        <v>4960</v>
      </c>
      <c r="F21" s="35">
        <v>45422</v>
      </c>
      <c r="G21" s="36" t="str">
        <f t="shared" si="4"/>
        <v>viernes</v>
      </c>
      <c r="H21" s="36">
        <f t="shared" si="2"/>
        <v>58</v>
      </c>
      <c r="I21" s="3" t="str">
        <f t="shared" si="3"/>
        <v>No</v>
      </c>
      <c r="K21" s="67" t="s">
        <v>101</v>
      </c>
      <c r="L21" s="67">
        <v>25</v>
      </c>
      <c r="M21" s="112">
        <v>0</v>
      </c>
      <c r="N21" s="67">
        <f t="shared" si="5"/>
        <v>250</v>
      </c>
    </row>
    <row r="22" spans="1:15" x14ac:dyDescent="0.3">
      <c r="A22" s="1"/>
      <c r="B22" s="1"/>
      <c r="C22" s="1"/>
      <c r="D22" s="1"/>
      <c r="E22" s="1"/>
      <c r="F22" s="35">
        <v>45423</v>
      </c>
      <c r="G22" s="36" t="str">
        <f t="shared" si="4"/>
        <v>sábado</v>
      </c>
      <c r="H22" s="36">
        <f t="shared" si="2"/>
        <v>0</v>
      </c>
      <c r="I22" s="3" t="str">
        <f t="shared" si="3"/>
        <v>Si</v>
      </c>
      <c r="K22" s="67" t="s">
        <v>124</v>
      </c>
      <c r="L22" s="67">
        <v>25</v>
      </c>
      <c r="M22" s="112">
        <v>0</v>
      </c>
      <c r="N22" s="67">
        <f t="shared" si="5"/>
        <v>250</v>
      </c>
    </row>
    <row r="23" spans="1:15" x14ac:dyDescent="0.3">
      <c r="A23" s="125" t="s">
        <v>25</v>
      </c>
      <c r="B23" s="126"/>
      <c r="C23" s="126"/>
      <c r="D23" s="126"/>
      <c r="E23" s="127"/>
      <c r="F23" s="35">
        <v>45424</v>
      </c>
      <c r="G23" s="36" t="str">
        <f t="shared" si="4"/>
        <v>domingo</v>
      </c>
      <c r="H23" s="36">
        <f t="shared" si="2"/>
        <v>0</v>
      </c>
      <c r="I23" s="3" t="str">
        <f t="shared" si="3"/>
        <v>Si</v>
      </c>
      <c r="K23" s="67" t="s">
        <v>145</v>
      </c>
      <c r="L23" s="67">
        <v>25</v>
      </c>
      <c r="M23" s="112">
        <v>0</v>
      </c>
      <c r="N23" s="67">
        <f t="shared" si="5"/>
        <v>250</v>
      </c>
    </row>
    <row r="24" spans="1:15" x14ac:dyDescent="0.3">
      <c r="A24" s="2"/>
      <c r="B24" s="2" t="s">
        <v>15</v>
      </c>
      <c r="C24" s="1" t="s">
        <v>14</v>
      </c>
      <c r="D24" s="1"/>
      <c r="E24" s="1"/>
      <c r="F24" s="35">
        <v>45425</v>
      </c>
      <c r="G24" s="36" t="str">
        <f t="shared" si="4"/>
        <v>lunes</v>
      </c>
      <c r="H24" s="36">
        <f t="shared" si="2"/>
        <v>58</v>
      </c>
      <c r="I24" s="3" t="str">
        <f t="shared" si="3"/>
        <v>No</v>
      </c>
      <c r="K24" s="67" t="s">
        <v>169</v>
      </c>
      <c r="L24" s="67">
        <v>25</v>
      </c>
      <c r="M24" s="112">
        <v>0</v>
      </c>
      <c r="N24" s="67">
        <f t="shared" si="5"/>
        <v>250</v>
      </c>
    </row>
    <row r="25" spans="1:15" x14ac:dyDescent="0.3">
      <c r="A25" s="2" t="s">
        <v>26</v>
      </c>
      <c r="B25" s="43">
        <v>10000</v>
      </c>
      <c r="C25" s="50">
        <f>B25/$D$1</f>
        <v>270.34333603676669</v>
      </c>
      <c r="D25" s="1"/>
      <c r="E25" s="1"/>
      <c r="F25" s="35">
        <v>45426</v>
      </c>
      <c r="G25" s="36" t="str">
        <f t="shared" si="4"/>
        <v>martes</v>
      </c>
      <c r="H25" s="36">
        <f t="shared" si="2"/>
        <v>58</v>
      </c>
      <c r="I25" s="3" t="str">
        <f t="shared" si="3"/>
        <v>No</v>
      </c>
      <c r="K25" s="67" t="s">
        <v>186</v>
      </c>
      <c r="L25" s="67">
        <v>40</v>
      </c>
      <c r="M25" s="67">
        <v>15</v>
      </c>
      <c r="N25" s="67">
        <f t="shared" si="5"/>
        <v>235</v>
      </c>
    </row>
    <row r="26" spans="1:15" x14ac:dyDescent="0.3">
      <c r="A26" s="2" t="s">
        <v>37</v>
      </c>
      <c r="B26" s="1">
        <v>1400</v>
      </c>
      <c r="C26" s="50">
        <f t="shared" ref="C26:C32" si="6">B26/$D$1</f>
        <v>37.848067045147332</v>
      </c>
      <c r="D26" s="1"/>
      <c r="E26" s="1"/>
      <c r="F26" s="35">
        <v>45427</v>
      </c>
      <c r="G26" s="36" t="str">
        <f t="shared" si="4"/>
        <v>miércoles</v>
      </c>
      <c r="H26" s="36">
        <f t="shared" si="2"/>
        <v>58</v>
      </c>
      <c r="I26" s="3" t="str">
        <f t="shared" si="3"/>
        <v>No</v>
      </c>
      <c r="K26" s="67" t="s">
        <v>187</v>
      </c>
      <c r="L26" s="67">
        <v>30</v>
      </c>
      <c r="M26" s="67">
        <v>5</v>
      </c>
      <c r="N26" s="67">
        <f t="shared" si="5"/>
        <v>230</v>
      </c>
    </row>
    <row r="27" spans="1:15" x14ac:dyDescent="0.3">
      <c r="A27" s="2" t="s">
        <v>27</v>
      </c>
      <c r="B27" s="1">
        <v>700</v>
      </c>
      <c r="C27" s="50">
        <f t="shared" si="6"/>
        <v>18.924033522573666</v>
      </c>
      <c r="D27" s="1"/>
      <c r="E27" s="1"/>
      <c r="F27" s="35">
        <v>45428</v>
      </c>
      <c r="G27" s="36" t="str">
        <f t="shared" si="4"/>
        <v>jueves</v>
      </c>
      <c r="H27" s="36">
        <f t="shared" si="2"/>
        <v>58</v>
      </c>
      <c r="I27" s="3" t="str">
        <f t="shared" si="3"/>
        <v>No</v>
      </c>
      <c r="K27" s="67" t="s">
        <v>188</v>
      </c>
      <c r="L27" s="67">
        <v>23</v>
      </c>
      <c r="M27" s="67">
        <v>0</v>
      </c>
      <c r="N27" s="67">
        <f t="shared" si="5"/>
        <v>230</v>
      </c>
    </row>
    <row r="28" spans="1:15" x14ac:dyDescent="0.3">
      <c r="A28" s="2" t="s">
        <v>301</v>
      </c>
      <c r="B28" s="1">
        <v>1800</v>
      </c>
      <c r="C28" s="50">
        <f t="shared" si="6"/>
        <v>48.661800486617999</v>
      </c>
      <c r="D28" s="1"/>
      <c r="E28" s="1"/>
      <c r="F28" s="35">
        <v>45429</v>
      </c>
      <c r="G28" s="36" t="str">
        <f t="shared" si="4"/>
        <v>viernes</v>
      </c>
      <c r="H28" s="36">
        <f t="shared" si="2"/>
        <v>58</v>
      </c>
      <c r="I28" s="3" t="str">
        <f t="shared" si="3"/>
        <v>No</v>
      </c>
      <c r="K28" s="67" t="s">
        <v>189</v>
      </c>
      <c r="L28" s="67">
        <v>40</v>
      </c>
      <c r="M28" s="67">
        <v>17</v>
      </c>
      <c r="N28" s="67">
        <f t="shared" si="5"/>
        <v>213</v>
      </c>
    </row>
    <row r="29" spans="1:15" x14ac:dyDescent="0.3">
      <c r="A29" s="2" t="s">
        <v>32</v>
      </c>
      <c r="B29" s="1">
        <v>1283</v>
      </c>
      <c r="C29" s="50">
        <f t="shared" si="6"/>
        <v>34.685050013517163</v>
      </c>
      <c r="D29" s="1"/>
      <c r="E29" s="1"/>
      <c r="F29" s="35">
        <v>45430</v>
      </c>
      <c r="G29" s="36" t="str">
        <f t="shared" si="4"/>
        <v>sábado</v>
      </c>
      <c r="H29" s="36">
        <f t="shared" si="2"/>
        <v>0</v>
      </c>
      <c r="I29" s="3" t="str">
        <f t="shared" si="3"/>
        <v>Si</v>
      </c>
      <c r="K29" s="67" t="s">
        <v>223</v>
      </c>
      <c r="L29" s="67">
        <v>25</v>
      </c>
      <c r="M29" s="67">
        <v>4</v>
      </c>
      <c r="N29" s="67">
        <f t="shared" si="5"/>
        <v>209</v>
      </c>
    </row>
    <row r="30" spans="1:15" x14ac:dyDescent="0.3">
      <c r="A30" s="2" t="s">
        <v>31</v>
      </c>
      <c r="B30" s="1"/>
      <c r="C30" s="50">
        <f t="shared" si="6"/>
        <v>0</v>
      </c>
      <c r="D30" s="1"/>
      <c r="E30" s="1"/>
      <c r="F30" s="35">
        <v>45431</v>
      </c>
      <c r="G30" s="36" t="str">
        <f t="shared" si="4"/>
        <v>domingo</v>
      </c>
      <c r="H30" s="36">
        <f t="shared" si="2"/>
        <v>0</v>
      </c>
      <c r="I30" s="3" t="str">
        <f t="shared" si="3"/>
        <v>Si</v>
      </c>
      <c r="K30" s="67" t="s">
        <v>131</v>
      </c>
      <c r="L30" s="67">
        <v>25</v>
      </c>
      <c r="M30" s="118">
        <f>L30-(N29*0.1)</f>
        <v>4.0999999999999979</v>
      </c>
      <c r="N30" s="118">
        <f>N29-M30</f>
        <v>204.9</v>
      </c>
    </row>
    <row r="31" spans="1:15" x14ac:dyDescent="0.3">
      <c r="A31" s="2" t="s">
        <v>28</v>
      </c>
      <c r="B31" s="1">
        <v>170</v>
      </c>
      <c r="C31" s="50">
        <f t="shared" si="6"/>
        <v>4.5958367126250339</v>
      </c>
      <c r="D31" s="1"/>
      <c r="E31" s="1"/>
      <c r="F31" s="35">
        <v>45432</v>
      </c>
      <c r="G31" s="36" t="str">
        <f t="shared" si="4"/>
        <v>lunes</v>
      </c>
      <c r="H31" s="36">
        <f t="shared" si="2"/>
        <v>58</v>
      </c>
      <c r="I31" s="3" t="str">
        <f t="shared" si="3"/>
        <v>No</v>
      </c>
      <c r="K31" s="1" t="s">
        <v>43</v>
      </c>
      <c r="L31" s="1">
        <v>25</v>
      </c>
      <c r="M31" s="50">
        <f>L31-(N30*0.1)</f>
        <v>4.509999999999998</v>
      </c>
      <c r="N31" s="50">
        <f t="shared" ref="N31:N33" si="7">N30-M31</f>
        <v>200.39000000000001</v>
      </c>
      <c r="O31" s="115"/>
    </row>
    <row r="32" spans="1:15" x14ac:dyDescent="0.3">
      <c r="A32" s="2" t="s">
        <v>29</v>
      </c>
      <c r="B32" s="1">
        <v>700</v>
      </c>
      <c r="C32" s="50">
        <f t="shared" si="6"/>
        <v>18.924033522573666</v>
      </c>
      <c r="D32" s="1"/>
      <c r="E32" s="1"/>
      <c r="F32" s="35">
        <v>45433</v>
      </c>
      <c r="G32" s="36" t="str">
        <f t="shared" si="4"/>
        <v>martes</v>
      </c>
      <c r="H32" s="36">
        <f t="shared" si="2"/>
        <v>58</v>
      </c>
      <c r="I32" s="3" t="str">
        <f t="shared" si="3"/>
        <v>No</v>
      </c>
      <c r="K32" s="1" t="s">
        <v>93</v>
      </c>
      <c r="L32" s="1">
        <v>25</v>
      </c>
      <c r="M32" s="50">
        <f>L32-(N31*0.1)</f>
        <v>4.9609999999999985</v>
      </c>
      <c r="N32" s="50">
        <f t="shared" si="7"/>
        <v>195.42900000000003</v>
      </c>
      <c r="O32" s="115"/>
    </row>
    <row r="33" spans="1:16" x14ac:dyDescent="0.3">
      <c r="A33" s="37" t="s">
        <v>24</v>
      </c>
      <c r="B33" s="38">
        <f>SUM(B25:B32)</f>
        <v>16053</v>
      </c>
      <c r="C33" s="50">
        <f>B33/$D$1</f>
        <v>433.98215733982153</v>
      </c>
      <c r="D33" s="1"/>
      <c r="E33" s="1"/>
      <c r="F33" s="35">
        <v>45434</v>
      </c>
      <c r="G33" s="36" t="str">
        <f t="shared" si="4"/>
        <v>miércoles</v>
      </c>
      <c r="H33" s="36">
        <f t="shared" si="2"/>
        <v>58</v>
      </c>
      <c r="I33" s="3" t="str">
        <f t="shared" si="3"/>
        <v>No</v>
      </c>
      <c r="K33" s="1" t="s">
        <v>101</v>
      </c>
      <c r="L33" s="1">
        <v>25</v>
      </c>
      <c r="M33" s="50">
        <f>L33-(N32*0.1)</f>
        <v>5.457099999999997</v>
      </c>
      <c r="N33" s="50">
        <f t="shared" si="7"/>
        <v>189.97190000000003</v>
      </c>
      <c r="O33" s="115"/>
      <c r="P33" s="34"/>
    </row>
    <row r="34" spans="1:16" x14ac:dyDescent="0.3">
      <c r="A34" s="1"/>
      <c r="B34" s="1"/>
      <c r="C34" s="1"/>
      <c r="D34" s="1"/>
      <c r="E34" s="1"/>
      <c r="F34" s="35">
        <v>45435</v>
      </c>
      <c r="G34" s="36" t="str">
        <f t="shared" si="4"/>
        <v>jueves</v>
      </c>
      <c r="H34" s="36">
        <f t="shared" si="2"/>
        <v>58</v>
      </c>
      <c r="I34" s="3" t="str">
        <f t="shared" si="3"/>
        <v>No</v>
      </c>
      <c r="K34" s="1" t="s">
        <v>124</v>
      </c>
      <c r="L34" s="1">
        <v>25</v>
      </c>
      <c r="M34" s="50">
        <f>L34-(N33*0.1)</f>
        <v>6.0028099999999966</v>
      </c>
      <c r="N34" s="50">
        <f>N33-M34</f>
        <v>183.96909000000005</v>
      </c>
    </row>
    <row r="35" spans="1:16" x14ac:dyDescent="0.3">
      <c r="B35" s="20"/>
      <c r="F35" s="35">
        <v>45436</v>
      </c>
      <c r="G35" s="36" t="str">
        <f t="shared" si="4"/>
        <v>viernes</v>
      </c>
      <c r="H35" s="36">
        <f t="shared" si="2"/>
        <v>58</v>
      </c>
      <c r="I35" s="3" t="str">
        <f t="shared" si="3"/>
        <v>No</v>
      </c>
    </row>
    <row r="36" spans="1:16" x14ac:dyDescent="0.3">
      <c r="B36" s="20"/>
      <c r="F36" s="35">
        <v>45437</v>
      </c>
      <c r="G36" s="36" t="str">
        <f t="shared" si="4"/>
        <v>sábado</v>
      </c>
      <c r="H36" s="36">
        <f t="shared" si="2"/>
        <v>0</v>
      </c>
      <c r="I36" s="3" t="str">
        <f t="shared" si="3"/>
        <v>Si</v>
      </c>
    </row>
    <row r="37" spans="1:16" x14ac:dyDescent="0.3">
      <c r="A37" s="34">
        <f>(64.9)*36.5</f>
        <v>2368.8500000000004</v>
      </c>
      <c r="B37" s="34">
        <f>A37-440-600-400</f>
        <v>928.85000000000036</v>
      </c>
      <c r="C37">
        <f>B37/D1</f>
        <v>25.110840767775084</v>
      </c>
      <c r="F37" s="35">
        <v>45438</v>
      </c>
      <c r="G37" s="36" t="str">
        <f t="shared" si="4"/>
        <v>domingo</v>
      </c>
      <c r="H37" s="36">
        <f t="shared" si="2"/>
        <v>0</v>
      </c>
      <c r="I37" s="3" t="str">
        <f t="shared" si="3"/>
        <v>Si</v>
      </c>
      <c r="O37" s="20"/>
    </row>
    <row r="38" spans="1:16" x14ac:dyDescent="0.3">
      <c r="B38" s="20"/>
      <c r="C38" s="20"/>
      <c r="F38" s="35">
        <v>45439</v>
      </c>
      <c r="G38" s="36" t="str">
        <f t="shared" si="4"/>
        <v>lunes</v>
      </c>
      <c r="H38" s="36">
        <f t="shared" si="2"/>
        <v>58</v>
      </c>
      <c r="I38" s="3" t="str">
        <f t="shared" si="3"/>
        <v>No</v>
      </c>
      <c r="K38" s="1" t="s">
        <v>75</v>
      </c>
      <c r="L38" s="1" t="s">
        <v>354</v>
      </c>
      <c r="M38" s="1" t="s">
        <v>353</v>
      </c>
      <c r="N38" s="1">
        <v>150</v>
      </c>
    </row>
    <row r="39" spans="1:16" x14ac:dyDescent="0.3">
      <c r="B39">
        <f>1266+1266+B29</f>
        <v>3815</v>
      </c>
      <c r="F39" s="35">
        <v>45440</v>
      </c>
      <c r="G39" s="36" t="str">
        <f t="shared" si="4"/>
        <v>martes</v>
      </c>
      <c r="H39" s="36">
        <f t="shared" si="2"/>
        <v>58</v>
      </c>
      <c r="I39" s="3" t="str">
        <f t="shared" si="3"/>
        <v>No</v>
      </c>
      <c r="K39" s="67" t="s">
        <v>223</v>
      </c>
      <c r="L39" s="67">
        <v>15</v>
      </c>
      <c r="M39" s="67">
        <v>0</v>
      </c>
      <c r="N39" s="67">
        <f>N38-M39</f>
        <v>150</v>
      </c>
    </row>
    <row r="40" spans="1:16" x14ac:dyDescent="0.3">
      <c r="B40">
        <f>100*36.9</f>
        <v>3690</v>
      </c>
      <c r="F40" s="35">
        <v>45441</v>
      </c>
      <c r="G40" s="36" t="str">
        <f t="shared" ref="G40:G42" si="8">TEXT(F40,"dddd")</f>
        <v>miércoles</v>
      </c>
      <c r="H40" s="36">
        <f t="shared" si="2"/>
        <v>58</v>
      </c>
      <c r="I40" s="3" t="str">
        <f t="shared" si="3"/>
        <v>No</v>
      </c>
      <c r="K40" s="67" t="s">
        <v>131</v>
      </c>
      <c r="L40" s="67">
        <v>15</v>
      </c>
      <c r="M40" s="67">
        <v>0</v>
      </c>
      <c r="N40" s="67">
        <v>150</v>
      </c>
    </row>
    <row r="41" spans="1:16" x14ac:dyDescent="0.3">
      <c r="B41">
        <f>B40-B39</f>
        <v>-125</v>
      </c>
      <c r="F41" s="35">
        <v>45442</v>
      </c>
      <c r="G41" s="36" t="str">
        <f t="shared" si="8"/>
        <v>jueves</v>
      </c>
      <c r="H41" s="36">
        <f t="shared" si="2"/>
        <v>58</v>
      </c>
      <c r="I41" s="3" t="str">
        <f t="shared" si="3"/>
        <v>No</v>
      </c>
      <c r="K41" s="1" t="s">
        <v>43</v>
      </c>
      <c r="L41" s="1">
        <v>15</v>
      </c>
      <c r="M41" s="1">
        <v>0</v>
      </c>
      <c r="N41" s="1">
        <v>150</v>
      </c>
    </row>
    <row r="42" spans="1:16" x14ac:dyDescent="0.3">
      <c r="F42" s="35"/>
      <c r="G42" s="36" t="str">
        <f t="shared" si="8"/>
        <v>sábado</v>
      </c>
      <c r="H42" s="36">
        <f t="shared" si="2"/>
        <v>0</v>
      </c>
      <c r="I42" s="3" t="str">
        <f t="shared" si="3"/>
        <v>Si</v>
      </c>
      <c r="K42" s="1" t="s">
        <v>93</v>
      </c>
      <c r="L42" s="1">
        <v>15</v>
      </c>
      <c r="M42" s="1">
        <v>0</v>
      </c>
      <c r="N42" s="1">
        <v>150</v>
      </c>
    </row>
    <row r="43" spans="1:16" x14ac:dyDescent="0.3">
      <c r="F43" s="35"/>
      <c r="G43" s="36"/>
      <c r="H43" s="36">
        <f>SUM(H12:H42)</f>
        <v>1218</v>
      </c>
      <c r="I43" s="3"/>
      <c r="K43" s="1" t="s">
        <v>101</v>
      </c>
      <c r="L43" s="1">
        <v>15</v>
      </c>
      <c r="M43" s="1">
        <v>0</v>
      </c>
      <c r="N43" s="1">
        <v>150</v>
      </c>
    </row>
    <row r="44" spans="1:16" x14ac:dyDescent="0.3">
      <c r="K44" s="1" t="s">
        <v>124</v>
      </c>
      <c r="L44" s="1">
        <v>15</v>
      </c>
      <c r="M44" s="1">
        <v>0</v>
      </c>
      <c r="N44" s="1">
        <v>150</v>
      </c>
    </row>
    <row r="45" spans="1:16" x14ac:dyDescent="0.3">
      <c r="A45" t="s">
        <v>16</v>
      </c>
      <c r="C45" t="s">
        <v>219</v>
      </c>
      <c r="F45" s="3" t="s">
        <v>246</v>
      </c>
      <c r="K45" s="1"/>
      <c r="L45" s="1"/>
      <c r="M45" s="1">
        <v>0</v>
      </c>
      <c r="N45" s="1"/>
    </row>
    <row r="46" spans="1:16" x14ac:dyDescent="0.3">
      <c r="A46" t="s">
        <v>215</v>
      </c>
      <c r="B46">
        <v>1350</v>
      </c>
      <c r="C46">
        <f>B46-1000</f>
        <v>350</v>
      </c>
      <c r="D46">
        <v>350</v>
      </c>
      <c r="F46" s="68">
        <v>1133</v>
      </c>
      <c r="K46" s="1"/>
      <c r="L46" s="1"/>
      <c r="M46" s="1"/>
      <c r="N46" s="1"/>
    </row>
    <row r="47" spans="1:16" x14ac:dyDescent="0.3">
      <c r="A47" t="s">
        <v>216</v>
      </c>
      <c r="B47">
        <v>600</v>
      </c>
      <c r="C47">
        <f>B47-300</f>
        <v>300</v>
      </c>
      <c r="D47">
        <v>300</v>
      </c>
      <c r="F47" s="68">
        <v>1266</v>
      </c>
      <c r="K47" s="1"/>
      <c r="L47" s="1"/>
      <c r="M47" s="1"/>
      <c r="N47" s="1"/>
    </row>
    <row r="48" spans="1:16" x14ac:dyDescent="0.3">
      <c r="A48" t="s">
        <v>217</v>
      </c>
      <c r="B48">
        <v>1000</v>
      </c>
      <c r="C48">
        <f>B48-500</f>
        <v>500</v>
      </c>
      <c r="D48">
        <v>500</v>
      </c>
      <c r="F48" s="68">
        <v>1266</v>
      </c>
      <c r="K48" s="1"/>
      <c r="L48" s="1"/>
      <c r="M48" s="1"/>
      <c r="N48" s="1"/>
    </row>
    <row r="49" spans="1:14" x14ac:dyDescent="0.3">
      <c r="A49" t="s">
        <v>218</v>
      </c>
      <c r="B49">
        <v>880</v>
      </c>
      <c r="C49">
        <f>B49-0</f>
        <v>880</v>
      </c>
      <c r="F49" s="3">
        <v>1266</v>
      </c>
    </row>
    <row r="50" spans="1:14" x14ac:dyDescent="0.3">
      <c r="C50">
        <v>2500</v>
      </c>
    </row>
    <row r="51" spans="1:14" x14ac:dyDescent="0.3">
      <c r="C51">
        <f>SUM(C46:C50)</f>
        <v>4530</v>
      </c>
      <c r="D51">
        <f>C51/4</f>
        <v>1132.5</v>
      </c>
      <c r="E51">
        <f>D51+H50</f>
        <v>1132.5</v>
      </c>
    </row>
    <row r="54" spans="1:14" x14ac:dyDescent="0.3">
      <c r="K54" s="1" t="s">
        <v>75</v>
      </c>
      <c r="L54" s="1" t="s">
        <v>354</v>
      </c>
      <c r="M54" s="1" t="s">
        <v>353</v>
      </c>
      <c r="N54" s="1">
        <v>60</v>
      </c>
    </row>
    <row r="55" spans="1:14" x14ac:dyDescent="0.3">
      <c r="K55" s="67" t="s">
        <v>87</v>
      </c>
      <c r="L55" s="67">
        <v>6</v>
      </c>
      <c r="M55" s="112">
        <v>0</v>
      </c>
      <c r="N55" s="67">
        <f t="shared" ref="N55:N65" si="9">N54-M55</f>
        <v>60</v>
      </c>
    </row>
    <row r="56" spans="1:14" x14ac:dyDescent="0.3">
      <c r="K56" s="67" t="s">
        <v>209</v>
      </c>
      <c r="L56" s="67">
        <v>10</v>
      </c>
      <c r="M56" s="67">
        <v>4</v>
      </c>
      <c r="N56" s="67">
        <f t="shared" si="9"/>
        <v>56</v>
      </c>
    </row>
    <row r="57" spans="1:14" x14ac:dyDescent="0.3">
      <c r="K57" s="67" t="s">
        <v>210</v>
      </c>
      <c r="L57" s="67">
        <v>10</v>
      </c>
      <c r="M57" s="67">
        <v>4</v>
      </c>
      <c r="N57" s="67">
        <f t="shared" si="9"/>
        <v>52</v>
      </c>
    </row>
    <row r="58" spans="1:14" x14ac:dyDescent="0.3">
      <c r="K58" s="67" t="s">
        <v>76</v>
      </c>
      <c r="L58" s="67">
        <v>10</v>
      </c>
      <c r="M58" s="67">
        <v>5</v>
      </c>
      <c r="N58" s="67">
        <f t="shared" si="9"/>
        <v>47</v>
      </c>
    </row>
    <row r="59" spans="1:14" x14ac:dyDescent="0.3">
      <c r="K59" s="67" t="s">
        <v>79</v>
      </c>
      <c r="L59" s="67">
        <v>5</v>
      </c>
      <c r="M59" s="112">
        <v>0</v>
      </c>
      <c r="N59" s="67">
        <f t="shared" si="9"/>
        <v>47</v>
      </c>
    </row>
    <row r="60" spans="1:14" x14ac:dyDescent="0.3">
      <c r="K60" s="67" t="s">
        <v>80</v>
      </c>
      <c r="L60" s="67">
        <v>10</v>
      </c>
      <c r="M60" s="67">
        <v>5</v>
      </c>
      <c r="N60" s="67">
        <f t="shared" si="9"/>
        <v>42</v>
      </c>
    </row>
    <row r="61" spans="1:14" x14ac:dyDescent="0.3">
      <c r="K61" s="67" t="s">
        <v>81</v>
      </c>
      <c r="L61" s="67">
        <v>10</v>
      </c>
      <c r="M61" s="67">
        <v>5</v>
      </c>
      <c r="N61" s="67">
        <f t="shared" si="9"/>
        <v>37</v>
      </c>
    </row>
    <row r="62" spans="1:14" x14ac:dyDescent="0.3">
      <c r="K62" s="67" t="s">
        <v>82</v>
      </c>
      <c r="L62" s="67">
        <v>5</v>
      </c>
      <c r="M62" s="112">
        <v>0</v>
      </c>
      <c r="N62" s="67">
        <f t="shared" si="9"/>
        <v>37</v>
      </c>
    </row>
    <row r="63" spans="1:14" x14ac:dyDescent="0.3">
      <c r="K63" s="67" t="s">
        <v>83</v>
      </c>
      <c r="L63" s="67">
        <v>10</v>
      </c>
      <c r="M63" s="67">
        <v>6.3</v>
      </c>
      <c r="N63" s="67">
        <f t="shared" si="9"/>
        <v>30.7</v>
      </c>
    </row>
    <row r="64" spans="1:14" x14ac:dyDescent="0.3">
      <c r="K64" s="67" t="s">
        <v>84</v>
      </c>
      <c r="L64" s="67">
        <v>10</v>
      </c>
      <c r="M64" s="67">
        <f>L64-(N63*0.1)</f>
        <v>6.93</v>
      </c>
      <c r="N64" s="67">
        <f t="shared" si="9"/>
        <v>23.77</v>
      </c>
    </row>
    <row r="65" spans="11:14" x14ac:dyDescent="0.3">
      <c r="K65" s="67" t="s">
        <v>188</v>
      </c>
      <c r="L65" s="67">
        <v>2.2999999999999998</v>
      </c>
      <c r="M65" s="67">
        <v>0</v>
      </c>
      <c r="N65" s="67">
        <f t="shared" si="9"/>
        <v>23.77</v>
      </c>
    </row>
    <row r="66" spans="11:14" x14ac:dyDescent="0.3">
      <c r="K66" s="1" t="s">
        <v>189</v>
      </c>
      <c r="L66" s="1" t="s">
        <v>363</v>
      </c>
      <c r="M66" s="1"/>
      <c r="N66" s="1"/>
    </row>
    <row r="69" spans="11:14" x14ac:dyDescent="0.3">
      <c r="K69" s="67" t="s">
        <v>75</v>
      </c>
      <c r="L69" s="67" t="s">
        <v>354</v>
      </c>
      <c r="M69" s="67" t="s">
        <v>353</v>
      </c>
      <c r="N69" s="67">
        <v>20</v>
      </c>
    </row>
    <row r="70" spans="11:14" x14ac:dyDescent="0.3">
      <c r="K70" s="67" t="s">
        <v>189</v>
      </c>
      <c r="L70" s="67" t="s">
        <v>363</v>
      </c>
      <c r="M70" s="67">
        <v>0</v>
      </c>
      <c r="N70" s="67">
        <f t="shared" ref="N70" si="10">N69-M70</f>
        <v>20</v>
      </c>
    </row>
    <row r="71" spans="11:14" x14ac:dyDescent="0.3">
      <c r="K71" s="1"/>
      <c r="L71" s="1"/>
      <c r="M71" s="1"/>
      <c r="N71" s="1"/>
    </row>
    <row r="72" spans="11:14" x14ac:dyDescent="0.3">
      <c r="K72" s="1"/>
      <c r="L72" s="1"/>
      <c r="M72" s="1"/>
      <c r="N72" s="1"/>
    </row>
    <row r="76" spans="11:14" x14ac:dyDescent="0.3">
      <c r="K76" s="124" t="s">
        <v>349</v>
      </c>
      <c r="L76" s="124"/>
      <c r="M76" s="124"/>
      <c r="N76" s="124"/>
    </row>
    <row r="77" spans="11:14" x14ac:dyDescent="0.3">
      <c r="K77" s="1" t="s">
        <v>75</v>
      </c>
      <c r="L77" s="1" t="s">
        <v>77</v>
      </c>
      <c r="M77" s="1" t="s">
        <v>78</v>
      </c>
      <c r="N77" s="1">
        <v>200</v>
      </c>
    </row>
    <row r="78" spans="11:14" x14ac:dyDescent="0.3">
      <c r="K78" s="67" t="s">
        <v>87</v>
      </c>
      <c r="L78" s="67">
        <v>50</v>
      </c>
      <c r="M78" s="67">
        <v>30</v>
      </c>
      <c r="N78" s="67">
        <f t="shared" ref="N78:N85" si="11">N77-M78</f>
        <v>170</v>
      </c>
    </row>
    <row r="79" spans="11:14" x14ac:dyDescent="0.3">
      <c r="K79" s="67" t="s">
        <v>209</v>
      </c>
      <c r="L79" s="67">
        <v>20</v>
      </c>
      <c r="M79" s="67">
        <v>0</v>
      </c>
      <c r="N79" s="67">
        <f t="shared" si="11"/>
        <v>170</v>
      </c>
    </row>
    <row r="80" spans="11:14" x14ac:dyDescent="0.3">
      <c r="K80" s="67" t="s">
        <v>210</v>
      </c>
      <c r="L80" s="67">
        <v>50</v>
      </c>
      <c r="M80" s="67">
        <v>30</v>
      </c>
      <c r="N80" s="67">
        <f t="shared" si="11"/>
        <v>140</v>
      </c>
    </row>
    <row r="81" spans="11:14" x14ac:dyDescent="0.3">
      <c r="K81" s="67" t="s">
        <v>76</v>
      </c>
      <c r="L81" s="67">
        <v>50</v>
      </c>
      <c r="M81" s="67">
        <v>30</v>
      </c>
      <c r="N81" s="67">
        <f t="shared" si="11"/>
        <v>110</v>
      </c>
    </row>
    <row r="82" spans="11:14" x14ac:dyDescent="0.3">
      <c r="K82" s="67" t="s">
        <v>79</v>
      </c>
      <c r="L82" s="67">
        <v>20</v>
      </c>
      <c r="M82" s="67">
        <v>0</v>
      </c>
      <c r="N82" s="67">
        <f t="shared" si="11"/>
        <v>110</v>
      </c>
    </row>
    <row r="83" spans="11:14" x14ac:dyDescent="0.3">
      <c r="K83" s="67" t="s">
        <v>80</v>
      </c>
      <c r="L83" s="67">
        <v>50</v>
      </c>
      <c r="M83" s="67">
        <v>30</v>
      </c>
      <c r="N83" s="67">
        <f t="shared" si="11"/>
        <v>80</v>
      </c>
    </row>
    <row r="84" spans="11:14" x14ac:dyDescent="0.3">
      <c r="K84" s="67" t="s">
        <v>81</v>
      </c>
      <c r="L84" s="67">
        <v>50</v>
      </c>
      <c r="M84" s="67">
        <v>30</v>
      </c>
      <c r="N84" s="67">
        <f t="shared" si="11"/>
        <v>50</v>
      </c>
    </row>
    <row r="85" spans="11:14" x14ac:dyDescent="0.3">
      <c r="K85" s="67" t="s">
        <v>82</v>
      </c>
      <c r="L85" s="67">
        <v>20</v>
      </c>
      <c r="M85" s="67">
        <v>0</v>
      </c>
      <c r="N85" s="67">
        <f t="shared" si="11"/>
        <v>50</v>
      </c>
    </row>
    <row r="86" spans="11:14" x14ac:dyDescent="0.3">
      <c r="K86" s="1" t="s">
        <v>83</v>
      </c>
      <c r="L86" s="1"/>
      <c r="M86" s="1"/>
      <c r="N86" s="1"/>
    </row>
    <row r="87" spans="11:14" x14ac:dyDescent="0.3">
      <c r="K87" s="1" t="s">
        <v>84</v>
      </c>
      <c r="L87" s="1"/>
      <c r="M87" s="1"/>
      <c r="N87" s="1"/>
    </row>
  </sheetData>
  <mergeCells count="6">
    <mergeCell ref="K76:N76"/>
    <mergeCell ref="A23:E23"/>
    <mergeCell ref="A2:E3"/>
    <mergeCell ref="F3:H3"/>
    <mergeCell ref="F11:H11"/>
    <mergeCell ref="F10:H10"/>
  </mergeCells>
  <conditionalFormatting sqref="G12:G42">
    <cfRule type="containsText" dxfId="4" priority="2" operator="containsText" text="domingo">
      <formula>NOT(ISERROR(SEARCH("domingo",G12)))</formula>
    </cfRule>
    <cfRule type="containsText" dxfId="3" priority="3" operator="containsText" text="sábado">
      <formula>NOT(ISERROR(SEARCH("sábado",G12)))</formula>
    </cfRule>
  </conditionalFormatting>
  <conditionalFormatting sqref="G13">
    <cfRule type="cellIs" dxfId="2" priority="4" operator="equal">
      <formula>"sábado"</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387B621A-1FE7-4A8B-A751-1ECD7113E57E}">
            <xm:f>NOT(ISERROR(SEARCH($G$13,F12)))</xm:f>
            <xm:f>$G$13</xm:f>
            <x14:dxf>
              <font>
                <color rgb="FF9C0006"/>
              </font>
              <fill>
                <patternFill>
                  <bgColor rgb="FFFFC7CE"/>
                </patternFill>
              </fill>
            </x14:dxf>
          </x14:cfRule>
          <xm:sqref>F12:F42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53132-EE53-47AD-BFF7-C02FBD0EDAE3}">
  <sheetPr codeName="Hoja5"/>
  <dimension ref="A1:T61"/>
  <sheetViews>
    <sheetView tabSelected="1" workbookViewId="0">
      <selection activeCell="L14" sqref="L14"/>
    </sheetView>
  </sheetViews>
  <sheetFormatPr baseColWidth="10" defaultRowHeight="14.4" x14ac:dyDescent="0.3"/>
  <cols>
    <col min="1" max="1" width="22.44140625" bestFit="1" customWidth="1"/>
    <col min="11" max="11" width="19.77734375" bestFit="1" customWidth="1"/>
    <col min="17" max="17" width="16.5546875" bestFit="1" customWidth="1"/>
    <col min="19" max="19" width="13.5546875" bestFit="1" customWidth="1"/>
  </cols>
  <sheetData>
    <row r="1" spans="1:19" x14ac:dyDescent="0.3">
      <c r="A1" s="5" t="s">
        <v>10</v>
      </c>
      <c r="B1" s="6">
        <f>25637</f>
        <v>25637</v>
      </c>
      <c r="C1" s="34">
        <f>B1/K1</f>
        <v>692.89189189189187</v>
      </c>
      <c r="F1" s="6">
        <f>17973</f>
        <v>17973</v>
      </c>
      <c r="G1">
        <f>160*37</f>
        <v>5920</v>
      </c>
      <c r="H1">
        <v>17973</v>
      </c>
      <c r="J1" s="2" t="s">
        <v>11</v>
      </c>
      <c r="K1" s="2">
        <v>37</v>
      </c>
      <c r="N1" s="129" t="s">
        <v>351</v>
      </c>
      <c r="O1" s="129"/>
      <c r="P1" s="145"/>
      <c r="Q1" s="129" t="s">
        <v>337</v>
      </c>
      <c r="R1" s="129"/>
      <c r="S1" s="106" t="s">
        <v>343</v>
      </c>
    </row>
    <row r="2" spans="1:19" x14ac:dyDescent="0.3">
      <c r="A2" s="133" t="s">
        <v>12</v>
      </c>
      <c r="B2" s="134"/>
      <c r="C2" s="134"/>
      <c r="D2" s="134"/>
      <c r="E2" s="135"/>
      <c r="G2" s="20">
        <f>F1-G1</f>
        <v>12053</v>
      </c>
      <c r="N2" s="107">
        <v>45565</v>
      </c>
      <c r="O2" s="67">
        <v>1500</v>
      </c>
      <c r="P2" s="84">
        <f>$O$12-O2</f>
        <v>13500</v>
      </c>
      <c r="Q2" s="107" t="s">
        <v>339</v>
      </c>
      <c r="R2" s="15">
        <v>200</v>
      </c>
      <c r="S2" s="106">
        <f>SUM(R2:R16)</f>
        <v>2600</v>
      </c>
    </row>
    <row r="3" spans="1:19" x14ac:dyDescent="0.3">
      <c r="A3" s="83"/>
      <c r="B3" s="83"/>
      <c r="C3" s="83"/>
      <c r="D3" s="133"/>
      <c r="E3" s="135"/>
      <c r="F3" s="141"/>
      <c r="G3" s="142"/>
      <c r="K3" s="91">
        <f>D7*36.5</f>
        <v>2438.1999999999998</v>
      </c>
      <c r="N3" s="107">
        <v>45580</v>
      </c>
      <c r="O3" s="67">
        <v>1500</v>
      </c>
      <c r="P3" s="84">
        <f>P2-O3</f>
        <v>12000</v>
      </c>
      <c r="Q3" s="15" t="s">
        <v>338</v>
      </c>
      <c r="R3" s="15">
        <v>200</v>
      </c>
    </row>
    <row r="4" spans="1:19" x14ac:dyDescent="0.3">
      <c r="A4" s="82"/>
      <c r="B4" s="82"/>
      <c r="C4" s="82"/>
      <c r="D4" s="137" t="s">
        <v>296</v>
      </c>
      <c r="E4" s="138"/>
      <c r="F4" s="139" t="s">
        <v>297</v>
      </c>
      <c r="G4" s="140"/>
      <c r="H4" s="136" t="s">
        <v>302</v>
      </c>
      <c r="I4" s="136"/>
      <c r="N4" s="107">
        <v>45595</v>
      </c>
      <c r="O4" s="67">
        <v>1500</v>
      </c>
      <c r="P4" s="84">
        <f t="shared" ref="P4:P11" si="0">P3-O4</f>
        <v>10500</v>
      </c>
      <c r="Q4" s="107" t="s">
        <v>341</v>
      </c>
      <c r="R4" s="15">
        <v>200</v>
      </c>
    </row>
    <row r="5" spans="1:19" x14ac:dyDescent="0.3">
      <c r="A5" s="3" t="s">
        <v>13</v>
      </c>
      <c r="B5" s="3" t="s">
        <v>14</v>
      </c>
      <c r="C5" s="3" t="s">
        <v>15</v>
      </c>
      <c r="D5" s="92" t="s">
        <v>22</v>
      </c>
      <c r="E5" s="92" t="s">
        <v>23</v>
      </c>
      <c r="F5" s="94" t="s">
        <v>22</v>
      </c>
      <c r="G5" s="95" t="s">
        <v>23</v>
      </c>
      <c r="H5" s="3" t="s">
        <v>14</v>
      </c>
      <c r="I5" s="3" t="s">
        <v>15</v>
      </c>
      <c r="K5">
        <v>24</v>
      </c>
      <c r="N5" s="107">
        <v>45611</v>
      </c>
      <c r="O5" s="67">
        <v>1500</v>
      </c>
      <c r="P5" s="84">
        <f t="shared" si="0"/>
        <v>9000</v>
      </c>
      <c r="Q5" s="15" t="s">
        <v>340</v>
      </c>
      <c r="R5" s="15">
        <v>200</v>
      </c>
    </row>
    <row r="6" spans="1:19" x14ac:dyDescent="0.3">
      <c r="A6" s="2" t="s">
        <v>315</v>
      </c>
      <c r="B6" s="85"/>
      <c r="C6" s="85"/>
      <c r="D6" s="93"/>
      <c r="E6" s="93">
        <v>4540</v>
      </c>
      <c r="F6" s="96"/>
      <c r="G6" s="97">
        <v>4540</v>
      </c>
      <c r="H6" s="63"/>
      <c r="I6" s="63">
        <f>E6+G6</f>
        <v>9080</v>
      </c>
      <c r="K6" s="91"/>
      <c r="N6" s="107">
        <v>45626</v>
      </c>
      <c r="O6" s="67">
        <v>1500</v>
      </c>
      <c r="P6" s="84">
        <f t="shared" si="0"/>
        <v>7500</v>
      </c>
      <c r="Q6" s="107" t="s">
        <v>342</v>
      </c>
      <c r="R6" s="15">
        <v>200</v>
      </c>
    </row>
    <row r="7" spans="1:19" x14ac:dyDescent="0.3">
      <c r="A7" s="52" t="s">
        <v>73</v>
      </c>
      <c r="B7" s="85">
        <f>140+100+54+40</f>
        <v>334</v>
      </c>
      <c r="C7" s="85"/>
      <c r="D7" s="93">
        <f>B7*0.2</f>
        <v>66.8</v>
      </c>
      <c r="E7" s="93"/>
      <c r="F7" s="96">
        <v>80</v>
      </c>
      <c r="G7" s="97">
        <v>36</v>
      </c>
      <c r="H7" s="63">
        <f>D7+F7</f>
        <v>146.80000000000001</v>
      </c>
      <c r="I7" s="63">
        <f t="shared" ref="I7:I19" si="1">E7+G7</f>
        <v>36</v>
      </c>
      <c r="K7" s="91"/>
      <c r="N7" s="107">
        <v>45641</v>
      </c>
      <c r="O7" s="67">
        <v>1500</v>
      </c>
      <c r="P7" s="84">
        <f t="shared" si="0"/>
        <v>6000</v>
      </c>
      <c r="Q7" s="15" t="s">
        <v>344</v>
      </c>
      <c r="R7" s="15">
        <v>200</v>
      </c>
    </row>
    <row r="8" spans="1:19" x14ac:dyDescent="0.3">
      <c r="A8" s="52" t="s">
        <v>305</v>
      </c>
      <c r="B8" s="85"/>
      <c r="C8" s="85"/>
      <c r="D8" s="93"/>
      <c r="E8" s="93"/>
      <c r="F8" s="96"/>
      <c r="G8" s="97"/>
      <c r="H8" s="63"/>
      <c r="I8" s="63">
        <f t="shared" si="1"/>
        <v>0</v>
      </c>
      <c r="K8" s="144" t="s">
        <v>380</v>
      </c>
      <c r="L8" s="144"/>
      <c r="M8" s="108"/>
      <c r="N8" s="107">
        <v>45656</v>
      </c>
      <c r="O8" s="67">
        <v>1500</v>
      </c>
      <c r="P8" s="84">
        <f t="shared" si="0"/>
        <v>4500</v>
      </c>
      <c r="Q8" s="107" t="s">
        <v>345</v>
      </c>
      <c r="R8" s="15">
        <v>200</v>
      </c>
    </row>
    <row r="9" spans="1:19" x14ac:dyDescent="0.3">
      <c r="A9" s="52" t="s">
        <v>332</v>
      </c>
      <c r="B9" s="85">
        <f>28+20+20+41+40+20+33.57+100+60+60+60+13.89-196+40+60+80+110-100</f>
        <v>490.46000000000004</v>
      </c>
      <c r="C9" s="85"/>
      <c r="D9" s="93"/>
      <c r="E9" s="93">
        <v>200</v>
      </c>
      <c r="F9" s="96"/>
      <c r="G9" s="97"/>
      <c r="H9" s="63">
        <v>98</v>
      </c>
      <c r="I9" s="63">
        <f t="shared" si="1"/>
        <v>200</v>
      </c>
      <c r="K9" s="2" t="s">
        <v>323</v>
      </c>
      <c r="L9" s="98">
        <v>5000</v>
      </c>
      <c r="M9" s="105"/>
      <c r="N9" s="107">
        <v>45306</v>
      </c>
      <c r="O9" s="67">
        <v>1500</v>
      </c>
      <c r="P9" s="84">
        <f t="shared" si="0"/>
        <v>3000</v>
      </c>
      <c r="Q9" s="15" t="s">
        <v>346</v>
      </c>
      <c r="R9" s="15">
        <v>0</v>
      </c>
    </row>
    <row r="10" spans="1:19" x14ac:dyDescent="0.3">
      <c r="A10" s="52" t="s">
        <v>307</v>
      </c>
      <c r="B10" s="85"/>
      <c r="C10" s="85"/>
      <c r="D10" s="93">
        <f t="shared" ref="D10" si="2">B10*0.2</f>
        <v>0</v>
      </c>
      <c r="E10" s="93">
        <v>2400</v>
      </c>
      <c r="F10" s="96"/>
      <c r="G10" s="97"/>
      <c r="H10" s="63">
        <f t="shared" ref="H10:H18" si="3">D10+F10</f>
        <v>0</v>
      </c>
      <c r="I10" s="63">
        <f t="shared" si="1"/>
        <v>2400</v>
      </c>
      <c r="K10" s="2" t="s">
        <v>375</v>
      </c>
      <c r="L10" s="2">
        <v>4540</v>
      </c>
      <c r="M10" s="105"/>
      <c r="N10" s="103">
        <v>45321</v>
      </c>
      <c r="O10" s="1">
        <v>1500</v>
      </c>
      <c r="P10" s="84">
        <f t="shared" si="0"/>
        <v>1500</v>
      </c>
      <c r="Q10" s="107" t="s">
        <v>357</v>
      </c>
      <c r="R10" s="15">
        <v>200</v>
      </c>
    </row>
    <row r="11" spans="1:19" x14ac:dyDescent="0.3">
      <c r="A11" s="2" t="s">
        <v>18</v>
      </c>
      <c r="B11" s="85">
        <v>400</v>
      </c>
      <c r="C11" s="85"/>
      <c r="D11" s="93"/>
      <c r="E11" s="93"/>
      <c r="F11" s="96">
        <v>80</v>
      </c>
      <c r="G11" s="97">
        <v>700</v>
      </c>
      <c r="H11" s="63">
        <f t="shared" si="3"/>
        <v>80</v>
      </c>
      <c r="I11" s="63">
        <f t="shared" si="1"/>
        <v>700</v>
      </c>
      <c r="K11" s="2" t="s">
        <v>381</v>
      </c>
      <c r="L11" s="2">
        <v>760</v>
      </c>
      <c r="M11" s="105"/>
      <c r="N11" s="103">
        <v>45337</v>
      </c>
      <c r="O11" s="1">
        <v>1500</v>
      </c>
      <c r="P11" s="84">
        <f t="shared" si="0"/>
        <v>0</v>
      </c>
      <c r="Q11" s="15" t="s">
        <v>358</v>
      </c>
      <c r="R11" s="15">
        <v>200</v>
      </c>
    </row>
    <row r="12" spans="1:19" x14ac:dyDescent="0.3">
      <c r="A12" s="2" t="s">
        <v>306</v>
      </c>
      <c r="B12" s="85"/>
      <c r="C12" s="85"/>
      <c r="D12" s="93"/>
      <c r="E12" s="93"/>
      <c r="F12" s="96"/>
      <c r="G12" s="97"/>
      <c r="H12" s="63">
        <f t="shared" si="3"/>
        <v>0</v>
      </c>
      <c r="I12" s="63">
        <f t="shared" si="1"/>
        <v>0</v>
      </c>
      <c r="K12" s="15" t="s">
        <v>376</v>
      </c>
      <c r="L12" s="61">
        <f>SUM(L9:L11)</f>
        <v>10300</v>
      </c>
      <c r="M12" s="105"/>
      <c r="N12" s="1"/>
      <c r="O12" s="2">
        <f>SUM(O2:O11)</f>
        <v>15000</v>
      </c>
      <c r="P12" s="114"/>
      <c r="Q12" s="107" t="s">
        <v>362</v>
      </c>
      <c r="R12" s="15">
        <v>200</v>
      </c>
    </row>
    <row r="13" spans="1:19" x14ac:dyDescent="0.3">
      <c r="A13" s="2" t="s">
        <v>19</v>
      </c>
      <c r="B13" s="85"/>
      <c r="C13" s="85">
        <v>1500</v>
      </c>
      <c r="D13" s="93"/>
      <c r="E13" s="93"/>
      <c r="F13" s="96"/>
      <c r="G13" s="97"/>
      <c r="H13" s="63">
        <f t="shared" si="3"/>
        <v>0</v>
      </c>
      <c r="I13" s="63">
        <f t="shared" si="1"/>
        <v>0</v>
      </c>
      <c r="K13" s="2"/>
      <c r="L13" s="98">
        <f>12000-L12</f>
        <v>1700</v>
      </c>
      <c r="M13" s="109"/>
      <c r="P13" s="91"/>
      <c r="Q13" s="15" t="s">
        <v>364</v>
      </c>
      <c r="R13" s="15">
        <v>200</v>
      </c>
    </row>
    <row r="14" spans="1:19" x14ac:dyDescent="0.3">
      <c r="A14" s="2" t="s">
        <v>20</v>
      </c>
      <c r="B14" s="85"/>
      <c r="C14" s="85"/>
      <c r="D14" s="93"/>
      <c r="E14" s="93"/>
      <c r="F14" s="96"/>
      <c r="G14" s="97"/>
      <c r="H14" s="63">
        <f t="shared" si="3"/>
        <v>0</v>
      </c>
      <c r="I14" s="63">
        <f t="shared" si="1"/>
        <v>0</v>
      </c>
      <c r="K14" s="2"/>
      <c r="L14" s="98"/>
      <c r="M14" s="110"/>
      <c r="N14" s="42"/>
      <c r="O14" s="42"/>
      <c r="P14" s="91"/>
      <c r="Q14" s="117" t="s">
        <v>365</v>
      </c>
      <c r="R14" s="117">
        <v>0</v>
      </c>
      <c r="S14" s="91"/>
    </row>
    <row r="15" spans="1:19" x14ac:dyDescent="0.3">
      <c r="A15" s="2" t="s">
        <v>21</v>
      </c>
      <c r="B15" s="85">
        <v>300</v>
      </c>
      <c r="C15" s="85"/>
      <c r="D15" s="93">
        <v>80</v>
      </c>
      <c r="E15" s="93">
        <v>140</v>
      </c>
      <c r="F15" s="96"/>
      <c r="G15" s="97"/>
      <c r="H15" s="63">
        <f t="shared" si="3"/>
        <v>80</v>
      </c>
      <c r="I15" s="63">
        <f t="shared" si="1"/>
        <v>140</v>
      </c>
      <c r="K15" s="99"/>
      <c r="L15" s="100"/>
      <c r="M15" s="110"/>
      <c r="N15" s="42">
        <f>146-100</f>
        <v>46</v>
      </c>
      <c r="O15" s="42"/>
      <c r="Q15" s="15" t="s">
        <v>366</v>
      </c>
      <c r="R15" s="15">
        <v>200</v>
      </c>
    </row>
    <row r="16" spans="1:19" x14ac:dyDescent="0.3">
      <c r="A16" s="2" t="s">
        <v>291</v>
      </c>
      <c r="B16" s="85">
        <v>124</v>
      </c>
      <c r="C16" s="85"/>
      <c r="D16" s="93"/>
      <c r="E16" s="93"/>
      <c r="F16" s="96"/>
      <c r="G16" s="97"/>
      <c r="H16" s="63">
        <f t="shared" si="3"/>
        <v>0</v>
      </c>
      <c r="I16" s="63">
        <f t="shared" si="1"/>
        <v>0</v>
      </c>
      <c r="M16" s="110"/>
      <c r="N16" s="42"/>
      <c r="O16" s="42"/>
      <c r="P16" s="2"/>
      <c r="Q16" s="15" t="s">
        <v>374</v>
      </c>
      <c r="R16" s="117">
        <v>200</v>
      </c>
    </row>
    <row r="17" spans="1:20" x14ac:dyDescent="0.3">
      <c r="A17" s="2" t="s">
        <v>38</v>
      </c>
      <c r="B17" s="85"/>
      <c r="C17" s="85"/>
      <c r="D17" s="93"/>
      <c r="E17" s="93"/>
      <c r="F17" s="96"/>
      <c r="G17" s="97"/>
      <c r="H17" s="63">
        <f t="shared" si="3"/>
        <v>0</v>
      </c>
      <c r="I17" s="63">
        <f t="shared" si="1"/>
        <v>0</v>
      </c>
      <c r="K17" s="2"/>
      <c r="L17" s="98"/>
      <c r="M17" s="110">
        <v>19</v>
      </c>
      <c r="N17" s="42">
        <v>500</v>
      </c>
      <c r="O17" s="146">
        <f>M17*N17</f>
        <v>9500</v>
      </c>
      <c r="P17" s="2"/>
    </row>
    <row r="18" spans="1:20" x14ac:dyDescent="0.3">
      <c r="A18" s="2" t="s">
        <v>46</v>
      </c>
      <c r="B18" s="85"/>
      <c r="C18" s="85"/>
      <c r="D18" s="93"/>
      <c r="E18" s="93"/>
      <c r="F18" s="96"/>
      <c r="G18" s="97"/>
      <c r="H18" s="63">
        <f t="shared" si="3"/>
        <v>0</v>
      </c>
      <c r="I18" s="63">
        <f t="shared" si="1"/>
        <v>0</v>
      </c>
      <c r="K18" s="99"/>
      <c r="L18" s="100"/>
      <c r="M18" s="110"/>
      <c r="N18" s="42">
        <v>200</v>
      </c>
      <c r="O18" s="42">
        <v>200</v>
      </c>
      <c r="P18" s="2"/>
      <c r="R18" s="91"/>
      <c r="S18" s="91"/>
    </row>
    <row r="19" spans="1:20" x14ac:dyDescent="0.3">
      <c r="A19" s="2" t="s">
        <v>30</v>
      </c>
      <c r="B19" s="85"/>
      <c r="C19" s="85">
        <v>12688</v>
      </c>
      <c r="D19" s="93"/>
      <c r="E19" s="93"/>
      <c r="F19" s="96"/>
      <c r="G19" s="97"/>
      <c r="H19" s="63"/>
      <c r="I19" s="63">
        <f t="shared" si="1"/>
        <v>0</v>
      </c>
      <c r="M19" s="91">
        <v>20</v>
      </c>
      <c r="N19" s="42">
        <v>100</v>
      </c>
      <c r="O19" s="146">
        <f>M19*N19</f>
        <v>2000</v>
      </c>
      <c r="P19" s="2"/>
      <c r="S19" s="91"/>
    </row>
    <row r="20" spans="1:20" x14ac:dyDescent="0.3">
      <c r="A20" s="2" t="s">
        <v>24</v>
      </c>
      <c r="B20" s="63">
        <f t="shared" ref="B20:I20" si="4">SUM(B6:B19)</f>
        <v>1648.46</v>
      </c>
      <c r="C20" s="63">
        <f t="shared" si="4"/>
        <v>14188</v>
      </c>
      <c r="D20" s="93">
        <f t="shared" si="4"/>
        <v>146.80000000000001</v>
      </c>
      <c r="E20" s="93">
        <f t="shared" si="4"/>
        <v>7280</v>
      </c>
      <c r="F20" s="96">
        <f>SUM(F6:F19)</f>
        <v>160</v>
      </c>
      <c r="G20" s="97">
        <f t="shared" si="4"/>
        <v>5276</v>
      </c>
      <c r="H20" s="64">
        <f>SUM(H6:H19)</f>
        <v>404.8</v>
      </c>
      <c r="I20" s="64">
        <f t="shared" si="4"/>
        <v>12556</v>
      </c>
      <c r="K20">
        <f>12000-9300-700</f>
        <v>2000</v>
      </c>
      <c r="N20" s="42"/>
      <c r="O20" s="146">
        <f>SUM(O17:O19)</f>
        <v>11700</v>
      </c>
      <c r="S20" s="91"/>
    </row>
    <row r="21" spans="1:20" x14ac:dyDescent="0.3">
      <c r="A21" s="125" t="s">
        <v>25</v>
      </c>
      <c r="B21" s="126"/>
      <c r="C21" s="126"/>
      <c r="D21" s="126"/>
      <c r="E21" s="126"/>
      <c r="F21" s="126"/>
      <c r="G21" s="126"/>
      <c r="H21" s="126"/>
      <c r="I21" s="127"/>
      <c r="N21" s="42"/>
      <c r="O21" s="42"/>
    </row>
    <row r="22" spans="1:20" x14ac:dyDescent="0.3">
      <c r="A22" s="2"/>
      <c r="B22" s="1"/>
      <c r="C22" s="1"/>
      <c r="D22" s="2" t="s">
        <v>15</v>
      </c>
      <c r="E22" s="1"/>
      <c r="F22" s="2" t="s">
        <v>15</v>
      </c>
      <c r="G22" s="84"/>
      <c r="H22" s="2"/>
      <c r="I22" s="2"/>
      <c r="L22">
        <f>60*36.5</f>
        <v>2190</v>
      </c>
      <c r="N22" s="42"/>
      <c r="O22" s="42"/>
      <c r="P22" s="3"/>
      <c r="Q22" s="3" t="s">
        <v>352</v>
      </c>
      <c r="R22" s="3"/>
      <c r="S22" s="2" t="s">
        <v>361</v>
      </c>
      <c r="T22" s="3" t="s">
        <v>368</v>
      </c>
    </row>
    <row r="23" spans="1:20" x14ac:dyDescent="0.3">
      <c r="A23" s="2" t="s">
        <v>26</v>
      </c>
      <c r="B23" s="85"/>
      <c r="C23" s="85"/>
      <c r="D23" s="90">
        <v>5000</v>
      </c>
      <c r="E23" s="85"/>
      <c r="F23" s="85">
        <v>5000</v>
      </c>
      <c r="G23" s="86"/>
      <c r="H23" s="63">
        <f>D23+F23</f>
        <v>10000</v>
      </c>
      <c r="I23" s="63"/>
      <c r="O23" s="42"/>
      <c r="P23" s="111">
        <v>45681</v>
      </c>
      <c r="Q23" s="2">
        <v>1345</v>
      </c>
      <c r="R23" s="2"/>
      <c r="S23" s="2"/>
      <c r="T23" s="2"/>
    </row>
    <row r="24" spans="1:20" x14ac:dyDescent="0.3">
      <c r="A24" s="2" t="s">
        <v>37</v>
      </c>
      <c r="B24" s="85"/>
      <c r="C24" s="85"/>
      <c r="D24" s="85">
        <v>1000</v>
      </c>
      <c r="E24" s="85"/>
      <c r="F24" s="85">
        <v>1200</v>
      </c>
      <c r="G24" s="86"/>
      <c r="H24" s="63">
        <f t="shared" ref="H24:H32" si="5">D24+F24</f>
        <v>2200</v>
      </c>
      <c r="I24" s="63"/>
      <c r="K24" s="129" t="s">
        <v>358</v>
      </c>
      <c r="L24" s="129"/>
      <c r="M24" s="129"/>
      <c r="N24" s="129"/>
      <c r="P24" s="111">
        <v>45688</v>
      </c>
      <c r="Q24" s="2">
        <v>1550</v>
      </c>
      <c r="R24" s="2"/>
      <c r="S24" s="2">
        <v>476</v>
      </c>
      <c r="T24" s="2"/>
    </row>
    <row r="25" spans="1:20" x14ac:dyDescent="0.3">
      <c r="A25" s="2" t="s">
        <v>27</v>
      </c>
      <c r="B25" s="85"/>
      <c r="C25" s="85"/>
      <c r="D25" s="85">
        <v>850</v>
      </c>
      <c r="E25" s="85"/>
      <c r="F25" s="85"/>
      <c r="G25" s="86"/>
      <c r="H25" s="63">
        <f t="shared" si="5"/>
        <v>850</v>
      </c>
      <c r="I25" s="63"/>
      <c r="K25" s="3"/>
      <c r="L25" s="3" t="s">
        <v>314</v>
      </c>
      <c r="M25" s="3"/>
      <c r="P25" s="111"/>
      <c r="Q25" s="2"/>
      <c r="R25" s="2"/>
      <c r="S25" s="2">
        <v>476</v>
      </c>
      <c r="T25" s="2"/>
    </row>
    <row r="26" spans="1:20" x14ac:dyDescent="0.3">
      <c r="A26" s="2" t="s">
        <v>300</v>
      </c>
      <c r="B26" s="85"/>
      <c r="C26" s="85"/>
      <c r="D26" s="90"/>
      <c r="E26" s="85"/>
      <c r="F26" s="85"/>
      <c r="G26" s="86"/>
      <c r="H26" s="63">
        <f t="shared" si="5"/>
        <v>0</v>
      </c>
      <c r="I26" s="63"/>
      <c r="K26" s="3" t="s">
        <v>309</v>
      </c>
      <c r="L26" s="3">
        <v>5000</v>
      </c>
      <c r="M26" s="3"/>
      <c r="N26" s="3"/>
      <c r="P26" s="111"/>
      <c r="Q26" s="2"/>
      <c r="R26" s="2"/>
      <c r="S26" s="2">
        <v>120</v>
      </c>
      <c r="T26" s="2"/>
    </row>
    <row r="27" spans="1:20" x14ac:dyDescent="0.3">
      <c r="A27" s="2" t="s">
        <v>32</v>
      </c>
      <c r="B27" s="85"/>
      <c r="C27" s="85"/>
      <c r="D27" s="90">
        <v>1493</v>
      </c>
      <c r="E27" s="85"/>
      <c r="F27" s="85"/>
      <c r="G27" s="86"/>
      <c r="H27" s="63">
        <f t="shared" si="5"/>
        <v>1493</v>
      </c>
      <c r="I27" s="63"/>
      <c r="K27" s="3" t="s">
        <v>308</v>
      </c>
      <c r="L27" s="3">
        <v>200</v>
      </c>
      <c r="M27" s="3"/>
      <c r="N27" s="3"/>
      <c r="P27" s="111"/>
      <c r="Q27" s="2"/>
      <c r="R27" s="2"/>
      <c r="S27" s="2"/>
      <c r="T27" s="2"/>
    </row>
    <row r="28" spans="1:20" x14ac:dyDescent="0.3">
      <c r="A28" s="2" t="s">
        <v>28</v>
      </c>
      <c r="B28" s="85"/>
      <c r="C28" s="85"/>
      <c r="D28" s="90">
        <v>260</v>
      </c>
      <c r="E28" s="85"/>
      <c r="F28" s="85"/>
      <c r="G28" s="86"/>
      <c r="H28" s="63"/>
      <c r="I28" s="63"/>
      <c r="K28" s="3" t="s">
        <v>310</v>
      </c>
      <c r="L28" s="3">
        <v>700</v>
      </c>
      <c r="M28" s="3"/>
      <c r="N28" s="3"/>
      <c r="P28" s="111"/>
      <c r="Q28" s="2"/>
      <c r="R28" s="2"/>
      <c r="S28" s="2"/>
      <c r="T28" s="2"/>
    </row>
    <row r="29" spans="1:20" x14ac:dyDescent="0.3">
      <c r="A29" s="2" t="s">
        <v>29</v>
      </c>
      <c r="B29" s="85"/>
      <c r="C29" s="85"/>
      <c r="D29" s="90">
        <v>604.66</v>
      </c>
      <c r="E29" s="85"/>
      <c r="F29" s="85"/>
      <c r="G29" s="86"/>
      <c r="H29" s="63">
        <f t="shared" si="5"/>
        <v>604.66</v>
      </c>
      <c r="I29" s="63"/>
      <c r="K29" s="3"/>
      <c r="L29" s="3"/>
      <c r="M29" s="3"/>
      <c r="N29" s="3"/>
      <c r="P29" s="111"/>
      <c r="Q29" s="2"/>
      <c r="R29" s="2"/>
      <c r="S29" s="2"/>
      <c r="T29" s="2"/>
    </row>
    <row r="30" spans="1:20" x14ac:dyDescent="0.3">
      <c r="A30" s="37" t="s">
        <v>24</v>
      </c>
      <c r="B30" s="87"/>
      <c r="C30" s="87"/>
      <c r="D30" s="64">
        <f>SUM(D23:D29)</f>
        <v>9207.66</v>
      </c>
      <c r="E30" s="87"/>
      <c r="F30" s="64">
        <f>SUM(F23:F29)</f>
        <v>6200</v>
      </c>
      <c r="G30" s="88"/>
      <c r="H30" s="64">
        <f t="shared" si="5"/>
        <v>15407.66</v>
      </c>
      <c r="I30" s="64"/>
      <c r="K30" s="1"/>
      <c r="L30" s="1">
        <f>SUM(L26:L29)</f>
        <v>5900</v>
      </c>
      <c r="M30" s="3"/>
      <c r="N30" s="3"/>
      <c r="P30" s="111"/>
      <c r="Q30" s="113"/>
      <c r="R30" s="2"/>
      <c r="S30" s="2"/>
      <c r="T30" s="2"/>
    </row>
    <row r="31" spans="1:20" x14ac:dyDescent="0.3">
      <c r="A31" s="1"/>
      <c r="B31" s="85"/>
      <c r="C31" s="63"/>
      <c r="D31" s="63">
        <f>D20*K1</f>
        <v>5431.6</v>
      </c>
      <c r="E31" s="85"/>
      <c r="F31" s="63">
        <f>F20*K1</f>
        <v>5920</v>
      </c>
      <c r="G31" s="86"/>
      <c r="H31" s="63">
        <f t="shared" si="5"/>
        <v>11351.6</v>
      </c>
      <c r="I31" s="63"/>
      <c r="K31" s="3"/>
      <c r="L31" s="3"/>
      <c r="M31" s="3"/>
      <c r="N31" s="3"/>
      <c r="P31" s="111"/>
      <c r="Q31" s="2"/>
      <c r="R31" s="2">
        <f>SUM(R23:R30)</f>
        <v>0</v>
      </c>
      <c r="S31" s="2">
        <f>SUM(S23:S30)</f>
        <v>1072</v>
      </c>
      <c r="T31" s="2"/>
    </row>
    <row r="32" spans="1:20" x14ac:dyDescent="0.3">
      <c r="C32" s="2" t="s">
        <v>298</v>
      </c>
      <c r="D32" s="63">
        <f>D31+D30+E20</f>
        <v>21919.260000000002</v>
      </c>
      <c r="E32" s="2" t="s">
        <v>298</v>
      </c>
      <c r="F32" s="63">
        <f>F30+F31+G20</f>
        <v>17396</v>
      </c>
      <c r="G32" s="85"/>
      <c r="H32" s="63">
        <f t="shared" si="5"/>
        <v>39315.26</v>
      </c>
      <c r="I32" s="63"/>
      <c r="L32" s="91">
        <f>15033-L30</f>
        <v>9133</v>
      </c>
      <c r="N32" s="3"/>
    </row>
    <row r="33" spans="1:17" x14ac:dyDescent="0.3">
      <c r="C33" s="2" t="s">
        <v>299</v>
      </c>
      <c r="D33" s="61">
        <f>B1-D32</f>
        <v>3717.739999999998</v>
      </c>
      <c r="E33" s="2" t="s">
        <v>299</v>
      </c>
      <c r="F33" s="61">
        <f>F1-F32</f>
        <v>577</v>
      </c>
      <c r="G33" s="85"/>
      <c r="H33" s="61">
        <f>D33+F33</f>
        <v>4294.739999999998</v>
      </c>
      <c r="I33" s="63">
        <f>H33/K1</f>
        <v>116.074054054054</v>
      </c>
      <c r="Q33" s="2"/>
    </row>
    <row r="34" spans="1:17" x14ac:dyDescent="0.3">
      <c r="F34" s="91"/>
      <c r="K34" s="2" t="s">
        <v>369</v>
      </c>
      <c r="L34" s="2">
        <v>76911</v>
      </c>
      <c r="M34" s="2">
        <f>L34*0.11</f>
        <v>8460.2100000000009</v>
      </c>
    </row>
    <row r="35" spans="1:17" x14ac:dyDescent="0.3">
      <c r="A35" s="72" t="s">
        <v>304</v>
      </c>
      <c r="B35" s="72"/>
      <c r="C35" s="72">
        <v>3500</v>
      </c>
      <c r="D35" s="2">
        <f>C35-C36-C37-C38-C39-C40</f>
        <v>0</v>
      </c>
      <c r="E35" s="91"/>
      <c r="K35" s="2" t="s">
        <v>370</v>
      </c>
      <c r="L35" s="113">
        <f>L34-M34</f>
        <v>68450.789999999994</v>
      </c>
      <c r="M35" s="113"/>
      <c r="N35" s="91"/>
      <c r="O35" s="91"/>
    </row>
    <row r="36" spans="1:17" x14ac:dyDescent="0.3">
      <c r="A36" s="15" t="s">
        <v>316</v>
      </c>
      <c r="B36" s="15"/>
      <c r="C36" s="15">
        <v>700</v>
      </c>
      <c r="D36" s="2"/>
      <c r="H36" s="143" t="s">
        <v>355</v>
      </c>
      <c r="I36" s="143"/>
      <c r="K36" s="113" t="s">
        <v>371</v>
      </c>
      <c r="L36" s="113">
        <v>21364.18</v>
      </c>
      <c r="M36" s="2"/>
      <c r="O36" s="91"/>
      <c r="P36" s="91"/>
      <c r="Q36" s="91"/>
    </row>
    <row r="37" spans="1:17" x14ac:dyDescent="0.3">
      <c r="A37" s="15" t="s">
        <v>317</v>
      </c>
      <c r="B37" s="15"/>
      <c r="C37" s="15">
        <v>700</v>
      </c>
      <c r="D37" s="2"/>
      <c r="F37" s="91"/>
      <c r="H37" s="1" t="s">
        <v>316</v>
      </c>
      <c r="I37" s="1">
        <v>1200</v>
      </c>
      <c r="K37" s="2" t="s">
        <v>372</v>
      </c>
      <c r="L37" s="113">
        <f>L35-L36</f>
        <v>47086.609999999993</v>
      </c>
      <c r="M37" s="2"/>
    </row>
    <row r="38" spans="1:17" x14ac:dyDescent="0.3">
      <c r="A38" s="15" t="s">
        <v>318</v>
      </c>
      <c r="B38" s="15"/>
      <c r="C38" s="15">
        <v>700</v>
      </c>
      <c r="D38" s="2"/>
      <c r="H38" s="1" t="s">
        <v>317</v>
      </c>
      <c r="I38" s="1">
        <v>1200</v>
      </c>
      <c r="K38" s="2" t="s">
        <v>373</v>
      </c>
      <c r="L38" s="113">
        <f>L37/37</f>
        <v>1272.611081081081</v>
      </c>
      <c r="M38" s="2"/>
    </row>
    <row r="39" spans="1:17" x14ac:dyDescent="0.3">
      <c r="A39" s="15" t="s">
        <v>319</v>
      </c>
      <c r="B39" s="15"/>
      <c r="C39" s="15">
        <v>700</v>
      </c>
      <c r="D39" s="2"/>
      <c r="H39" s="1" t="s">
        <v>318</v>
      </c>
      <c r="I39" s="1">
        <v>1200</v>
      </c>
      <c r="N39" s="116"/>
    </row>
    <row r="40" spans="1:17" x14ac:dyDescent="0.3">
      <c r="A40" s="15" t="s">
        <v>320</v>
      </c>
      <c r="B40" s="15"/>
      <c r="C40" s="15">
        <v>700</v>
      </c>
      <c r="D40" s="2"/>
      <c r="H40" s="1" t="s">
        <v>319</v>
      </c>
      <c r="I40" s="1">
        <v>1200</v>
      </c>
      <c r="M40" s="91"/>
    </row>
    <row r="41" spans="1:17" x14ac:dyDescent="0.3">
      <c r="H41" s="1" t="s">
        <v>320</v>
      </c>
      <c r="I41" s="1">
        <v>1200</v>
      </c>
      <c r="P41">
        <f>4500/37</f>
        <v>121.62162162162163</v>
      </c>
    </row>
    <row r="42" spans="1:17" x14ac:dyDescent="0.3">
      <c r="H42" s="1" t="s">
        <v>350</v>
      </c>
      <c r="I42" s="1">
        <v>1200</v>
      </c>
    </row>
    <row r="43" spans="1:17" x14ac:dyDescent="0.3">
      <c r="C43" s="119">
        <v>4200</v>
      </c>
      <c r="H43" s="1" t="s">
        <v>356</v>
      </c>
      <c r="I43" s="1">
        <v>1200</v>
      </c>
      <c r="K43" s="91"/>
      <c r="M43" s="91"/>
    </row>
    <row r="44" spans="1:17" x14ac:dyDescent="0.3">
      <c r="H44" s="1" t="s">
        <v>87</v>
      </c>
      <c r="I44" s="1">
        <v>1200</v>
      </c>
      <c r="P44">
        <f>120*37</f>
        <v>4440</v>
      </c>
    </row>
    <row r="45" spans="1:17" x14ac:dyDescent="0.3">
      <c r="H45" s="1" t="s">
        <v>209</v>
      </c>
      <c r="I45" s="1">
        <v>1200</v>
      </c>
    </row>
    <row r="46" spans="1:17" x14ac:dyDescent="0.3">
      <c r="H46" s="1" t="s">
        <v>210</v>
      </c>
      <c r="I46" s="1">
        <v>1200</v>
      </c>
    </row>
    <row r="47" spans="1:17" x14ac:dyDescent="0.3">
      <c r="H47" s="1" t="s">
        <v>76</v>
      </c>
      <c r="I47" s="1">
        <v>1200</v>
      </c>
    </row>
    <row r="48" spans="1:17" x14ac:dyDescent="0.3">
      <c r="H48" s="1" t="s">
        <v>79</v>
      </c>
      <c r="I48" s="1">
        <v>1200</v>
      </c>
      <c r="P48">
        <f>130*4</f>
        <v>520</v>
      </c>
    </row>
    <row r="49" spans="8:19" x14ac:dyDescent="0.3">
      <c r="H49" s="1" t="s">
        <v>316</v>
      </c>
      <c r="I49" s="1">
        <v>1200</v>
      </c>
    </row>
    <row r="50" spans="8:19" x14ac:dyDescent="0.3">
      <c r="L50" s="91"/>
      <c r="M50" s="91"/>
      <c r="S50">
        <f>231-150</f>
        <v>81</v>
      </c>
    </row>
    <row r="57" spans="8:19" x14ac:dyDescent="0.3">
      <c r="N57" s="129"/>
      <c r="O57" s="129"/>
    </row>
    <row r="58" spans="8:19" x14ac:dyDescent="0.3">
      <c r="N58" s="2"/>
      <c r="O58" s="2"/>
    </row>
    <row r="59" spans="8:19" x14ac:dyDescent="0.3">
      <c r="N59" s="2"/>
      <c r="O59" s="2"/>
    </row>
    <row r="60" spans="8:19" x14ac:dyDescent="0.3">
      <c r="N60" s="2"/>
      <c r="O60" s="2"/>
    </row>
    <row r="61" spans="8:19" x14ac:dyDescent="0.3">
      <c r="N61" s="1"/>
      <c r="O61" s="2"/>
    </row>
  </sheetData>
  <mergeCells count="13">
    <mergeCell ref="N57:O57"/>
    <mergeCell ref="H36:I36"/>
    <mergeCell ref="K24:N24"/>
    <mergeCell ref="Q1:R1"/>
    <mergeCell ref="K8:L8"/>
    <mergeCell ref="N1:P1"/>
    <mergeCell ref="A2:E2"/>
    <mergeCell ref="D3:E3"/>
    <mergeCell ref="A21:I21"/>
    <mergeCell ref="H4:I4"/>
    <mergeCell ref="D4:E4"/>
    <mergeCell ref="F4:G4"/>
    <mergeCell ref="F3:G3"/>
  </mergeCells>
  <conditionalFormatting sqref="H6:I19">
    <cfRule type="cellIs" dxfId="1" priority="1" operator="greaterThan">
      <formula>0</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1FD3-523D-4DD5-B22A-36830AAF0EA0}">
  <sheetPr codeName="Hoja1"/>
  <dimension ref="B3:P27"/>
  <sheetViews>
    <sheetView workbookViewId="0">
      <selection activeCell="T18" sqref="T18"/>
    </sheetView>
  </sheetViews>
  <sheetFormatPr baseColWidth="10" defaultRowHeight="14.4" x14ac:dyDescent="0.3"/>
  <cols>
    <col min="2" max="2" width="15.21875" bestFit="1" customWidth="1"/>
    <col min="12" max="12" width="25.5546875" bestFit="1" customWidth="1"/>
  </cols>
  <sheetData>
    <row r="3" spans="2:12" x14ac:dyDescent="0.3">
      <c r="L3" t="s">
        <v>347</v>
      </c>
    </row>
    <row r="4" spans="2:12" x14ac:dyDescent="0.3">
      <c r="B4" s="2" t="s">
        <v>227</v>
      </c>
      <c r="C4" s="2" t="s">
        <v>77</v>
      </c>
      <c r="D4" s="2" t="s">
        <v>228</v>
      </c>
      <c r="E4" s="66">
        <v>2022</v>
      </c>
      <c r="F4" s="66" t="s">
        <v>229</v>
      </c>
      <c r="G4" s="66">
        <v>2024</v>
      </c>
      <c r="H4" s="66" t="s">
        <v>230</v>
      </c>
      <c r="I4" s="66">
        <v>2025</v>
      </c>
      <c r="J4" s="66" t="s">
        <v>230</v>
      </c>
      <c r="L4" t="s">
        <v>348</v>
      </c>
    </row>
    <row r="5" spans="2:12" ht="23.4" x14ac:dyDescent="0.45">
      <c r="B5" s="2">
        <v>4000</v>
      </c>
      <c r="C5" s="2">
        <f t="shared" ref="C5:C10" si="0">B5*0.1</f>
        <v>400</v>
      </c>
      <c r="D5" s="2">
        <v>73</v>
      </c>
      <c r="E5" s="2" t="s">
        <v>43</v>
      </c>
      <c r="F5" s="61">
        <f>1500</f>
        <v>1500</v>
      </c>
      <c r="G5" s="15" t="s">
        <v>223</v>
      </c>
      <c r="H5" s="61">
        <v>800</v>
      </c>
      <c r="I5" s="2" t="s">
        <v>223</v>
      </c>
      <c r="J5" s="2"/>
      <c r="L5" s="104">
        <v>10023710032292</v>
      </c>
    </row>
    <row r="6" spans="2:12" x14ac:dyDescent="0.3">
      <c r="B6" s="2">
        <v>1000</v>
      </c>
      <c r="C6" s="2">
        <f t="shared" si="0"/>
        <v>100</v>
      </c>
      <c r="D6" s="2">
        <v>73</v>
      </c>
      <c r="E6" s="2" t="s">
        <v>93</v>
      </c>
      <c r="F6" s="62">
        <v>1000</v>
      </c>
      <c r="G6" s="15" t="s">
        <v>131</v>
      </c>
      <c r="H6" s="61">
        <v>800</v>
      </c>
      <c r="I6" s="2" t="s">
        <v>131</v>
      </c>
      <c r="J6" s="2"/>
    </row>
    <row r="7" spans="2:12" x14ac:dyDescent="0.3">
      <c r="B7" s="2">
        <v>6000</v>
      </c>
      <c r="C7" s="2">
        <f t="shared" si="0"/>
        <v>600</v>
      </c>
      <c r="D7" s="2">
        <v>73</v>
      </c>
      <c r="E7" s="2" t="s">
        <v>101</v>
      </c>
      <c r="F7" s="61">
        <v>500</v>
      </c>
      <c r="G7" s="15" t="s">
        <v>43</v>
      </c>
      <c r="H7" s="61">
        <v>800</v>
      </c>
      <c r="I7" s="2" t="s">
        <v>43</v>
      </c>
      <c r="J7" s="2"/>
    </row>
    <row r="8" spans="2:12" x14ac:dyDescent="0.3">
      <c r="B8" s="2">
        <v>500</v>
      </c>
      <c r="C8" s="2">
        <f t="shared" si="0"/>
        <v>50</v>
      </c>
      <c r="D8" s="2">
        <v>73</v>
      </c>
      <c r="E8" s="2" t="s">
        <v>124</v>
      </c>
      <c r="F8" s="61">
        <v>1000</v>
      </c>
      <c r="G8" s="2" t="s">
        <v>93</v>
      </c>
      <c r="H8" s="63">
        <v>0</v>
      </c>
      <c r="I8" s="2" t="s">
        <v>93</v>
      </c>
      <c r="J8" s="2"/>
    </row>
    <row r="9" spans="2:12" x14ac:dyDescent="0.3">
      <c r="B9" s="2">
        <v>2500</v>
      </c>
      <c r="C9" s="2">
        <f t="shared" si="0"/>
        <v>250</v>
      </c>
      <c r="D9" s="2"/>
      <c r="E9" s="2" t="s">
        <v>145</v>
      </c>
      <c r="F9" s="61">
        <v>1000</v>
      </c>
      <c r="G9" s="15" t="s">
        <v>101</v>
      </c>
      <c r="H9" s="61">
        <v>800</v>
      </c>
      <c r="I9" s="2" t="s">
        <v>101</v>
      </c>
      <c r="J9" s="2"/>
    </row>
    <row r="10" spans="2:12" x14ac:dyDescent="0.3">
      <c r="B10" s="2">
        <v>3500</v>
      </c>
      <c r="C10" s="2">
        <f t="shared" si="0"/>
        <v>350</v>
      </c>
      <c r="D10" s="2">
        <v>73</v>
      </c>
      <c r="E10" s="2" t="s">
        <v>169</v>
      </c>
      <c r="F10" s="61">
        <v>600</v>
      </c>
      <c r="G10" s="15" t="s">
        <v>124</v>
      </c>
      <c r="H10" s="61">
        <v>1000</v>
      </c>
      <c r="I10" s="2" t="s">
        <v>124</v>
      </c>
      <c r="J10" s="2"/>
    </row>
    <row r="11" spans="2:12" x14ac:dyDescent="0.3">
      <c r="B11" s="2">
        <v>1000</v>
      </c>
      <c r="C11" s="2">
        <f>B11*0.1</f>
        <v>100</v>
      </c>
      <c r="D11" s="2">
        <v>73</v>
      </c>
      <c r="E11" s="2" t="s">
        <v>186</v>
      </c>
      <c r="F11" s="61">
        <v>1000</v>
      </c>
      <c r="G11" s="15" t="s">
        <v>145</v>
      </c>
      <c r="H11" s="61">
        <v>1000</v>
      </c>
      <c r="I11" s="2" t="s">
        <v>145</v>
      </c>
      <c r="J11" s="2"/>
    </row>
    <row r="12" spans="2:12" x14ac:dyDescent="0.3">
      <c r="B12" s="2"/>
      <c r="C12" s="2"/>
      <c r="D12" s="2"/>
      <c r="E12" s="2" t="s">
        <v>188</v>
      </c>
      <c r="F12" s="61">
        <v>1500</v>
      </c>
      <c r="G12" s="15" t="s">
        <v>169</v>
      </c>
      <c r="H12" s="61">
        <v>1000</v>
      </c>
      <c r="I12" s="2" t="s">
        <v>169</v>
      </c>
      <c r="J12" s="2"/>
    </row>
    <row r="13" spans="2:12" x14ac:dyDescent="0.3">
      <c r="B13" s="2"/>
      <c r="C13" s="2"/>
      <c r="D13" s="2"/>
      <c r="E13" s="2"/>
      <c r="F13" s="63"/>
      <c r="G13" s="15" t="s">
        <v>186</v>
      </c>
      <c r="H13" s="61">
        <v>800</v>
      </c>
      <c r="I13" s="2" t="s">
        <v>186</v>
      </c>
      <c r="J13" s="2"/>
    </row>
    <row r="14" spans="2:12" x14ac:dyDescent="0.3">
      <c r="B14" s="2"/>
      <c r="C14" s="2"/>
      <c r="D14" s="2"/>
      <c r="E14" s="2"/>
      <c r="F14" s="63"/>
      <c r="G14" s="15" t="s">
        <v>187</v>
      </c>
      <c r="H14" s="61">
        <v>1000</v>
      </c>
      <c r="I14" s="2" t="s">
        <v>187</v>
      </c>
      <c r="J14" s="2"/>
    </row>
    <row r="15" spans="2:12" x14ac:dyDescent="0.3">
      <c r="B15" s="2"/>
      <c r="C15" s="2"/>
      <c r="D15" s="2"/>
      <c r="E15" s="2"/>
      <c r="F15" s="63"/>
      <c r="G15" s="15" t="s">
        <v>188</v>
      </c>
      <c r="H15" s="61">
        <v>1000</v>
      </c>
      <c r="I15" s="2" t="s">
        <v>188</v>
      </c>
      <c r="J15" s="2"/>
    </row>
    <row r="16" spans="2:12" x14ac:dyDescent="0.3">
      <c r="B16" s="2"/>
      <c r="C16" s="2"/>
      <c r="D16" s="2"/>
      <c r="E16" s="2"/>
      <c r="F16" s="63"/>
      <c r="G16" s="2" t="s">
        <v>189</v>
      </c>
      <c r="H16" s="63">
        <v>1000</v>
      </c>
      <c r="I16" s="2" t="s">
        <v>189</v>
      </c>
      <c r="J16" s="2"/>
    </row>
    <row r="17" spans="2:16" x14ac:dyDescent="0.3">
      <c r="B17" s="2" t="s">
        <v>231</v>
      </c>
      <c r="C17" s="2">
        <f>SUM(B5:D12)</f>
        <v>20788</v>
      </c>
      <c r="D17" s="2"/>
      <c r="E17" s="37"/>
      <c r="F17" s="64">
        <f>SUM(F5:F13)</f>
        <v>8100</v>
      </c>
      <c r="G17" s="2"/>
      <c r="H17" s="64">
        <f>SUM(H5:H16)</f>
        <v>10000</v>
      </c>
      <c r="I17" s="2"/>
      <c r="J17" s="2">
        <f>SUM(J5:J16)</f>
        <v>0</v>
      </c>
      <c r="P17" t="s">
        <v>377</v>
      </c>
    </row>
    <row r="18" spans="2:16" x14ac:dyDescent="0.3">
      <c r="B18" s="2"/>
      <c r="C18" s="2"/>
      <c r="D18" s="2" t="s">
        <v>232</v>
      </c>
      <c r="E18" s="2"/>
      <c r="F18" s="65">
        <f>C17-F17-H17-J17</f>
        <v>2688</v>
      </c>
      <c r="G18" s="2"/>
      <c r="H18" s="63"/>
      <c r="I18" s="2"/>
      <c r="J18" s="2"/>
      <c r="L18" t="s">
        <v>360</v>
      </c>
      <c r="P18" t="s">
        <v>378</v>
      </c>
    </row>
    <row r="19" spans="2:16" x14ac:dyDescent="0.3">
      <c r="L19">
        <v>107251422</v>
      </c>
      <c r="P19">
        <v>131087092</v>
      </c>
    </row>
    <row r="20" spans="2:16" x14ac:dyDescent="0.3">
      <c r="P20" t="s">
        <v>379</v>
      </c>
    </row>
    <row r="21" spans="2:16" x14ac:dyDescent="0.3">
      <c r="P21">
        <v>75584573</v>
      </c>
    </row>
    <row r="24" spans="2:16" x14ac:dyDescent="0.3">
      <c r="J24" t="s">
        <v>367</v>
      </c>
      <c r="K24">
        <v>200</v>
      </c>
    </row>
    <row r="25" spans="2:16" x14ac:dyDescent="0.3">
      <c r="F25" t="s">
        <v>359</v>
      </c>
      <c r="J25" t="s">
        <v>333</v>
      </c>
      <c r="K25">
        <v>40</v>
      </c>
    </row>
    <row r="26" spans="2:16" x14ac:dyDescent="0.3">
      <c r="F26">
        <v>359132461</v>
      </c>
      <c r="K26">
        <f>K24-K25</f>
        <v>160</v>
      </c>
      <c r="L26">
        <f>K26*36.5</f>
        <v>5840</v>
      </c>
    </row>
    <row r="27" spans="2:16" x14ac:dyDescent="0.3">
      <c r="L27">
        <f>L26-2400</f>
        <v>3440</v>
      </c>
      <c r="O27">
        <f>6*36.5</f>
        <v>219</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C828E-67E3-4A2F-B2A3-B5CE7B12E58C}">
  <sheetPr codeName="Hoja7"/>
  <dimension ref="A1:T40"/>
  <sheetViews>
    <sheetView workbookViewId="0">
      <selection activeCell="B1" sqref="B1"/>
    </sheetView>
  </sheetViews>
  <sheetFormatPr baseColWidth="10" defaultRowHeight="14.4" x14ac:dyDescent="0.3"/>
  <cols>
    <col min="1" max="1" width="22.44140625" bestFit="1" customWidth="1"/>
    <col min="11" max="11" width="18.77734375" bestFit="1" customWidth="1"/>
  </cols>
  <sheetData>
    <row r="1" spans="1:17" x14ac:dyDescent="0.3">
      <c r="A1" s="5"/>
      <c r="B1" s="6">
        <f>25637-4500</f>
        <v>21137</v>
      </c>
      <c r="C1" s="34">
        <f>B1/K1</f>
        <v>571.27027027027032</v>
      </c>
      <c r="F1">
        <f>24137+1500</f>
        <v>25637</v>
      </c>
      <c r="J1" s="2" t="s">
        <v>11</v>
      </c>
      <c r="K1" s="2">
        <v>37</v>
      </c>
    </row>
    <row r="2" spans="1:17" x14ac:dyDescent="0.3">
      <c r="A2" s="133" t="s">
        <v>12</v>
      </c>
      <c r="B2" s="134"/>
      <c r="C2" s="134"/>
      <c r="D2" s="134"/>
      <c r="E2" s="135"/>
    </row>
    <row r="3" spans="1:17" x14ac:dyDescent="0.3">
      <c r="A3" s="83"/>
      <c r="B3" s="83"/>
      <c r="C3" s="83"/>
      <c r="D3" s="133"/>
      <c r="E3" s="135"/>
      <c r="F3" s="141"/>
      <c r="G3" s="142"/>
    </row>
    <row r="4" spans="1:17" x14ac:dyDescent="0.3">
      <c r="A4" s="82"/>
      <c r="B4" s="82"/>
      <c r="C4" s="82"/>
      <c r="D4" s="137" t="s">
        <v>296</v>
      </c>
      <c r="E4" s="138"/>
      <c r="F4" s="139" t="s">
        <v>297</v>
      </c>
      <c r="G4" s="140"/>
      <c r="H4" s="136" t="s">
        <v>302</v>
      </c>
      <c r="I4" s="136"/>
      <c r="N4">
        <v>86307204</v>
      </c>
      <c r="Q4">
        <f>476-98</f>
        <v>378</v>
      </c>
    </row>
    <row r="5" spans="1:17" x14ac:dyDescent="0.3">
      <c r="A5" s="3" t="s">
        <v>13</v>
      </c>
      <c r="B5" s="3" t="s">
        <v>14</v>
      </c>
      <c r="C5" s="3" t="s">
        <v>15</v>
      </c>
      <c r="D5" s="92" t="s">
        <v>22</v>
      </c>
      <c r="E5" s="92" t="s">
        <v>23</v>
      </c>
      <c r="F5" s="94" t="s">
        <v>22</v>
      </c>
      <c r="G5" s="95" t="s">
        <v>23</v>
      </c>
      <c r="H5" s="3" t="s">
        <v>14</v>
      </c>
      <c r="I5" s="3" t="s">
        <v>15</v>
      </c>
    </row>
    <row r="6" spans="1:17" x14ac:dyDescent="0.3">
      <c r="A6" s="2" t="s">
        <v>315</v>
      </c>
      <c r="B6" s="85"/>
      <c r="C6" s="85"/>
      <c r="D6" s="93"/>
      <c r="E6" s="93"/>
      <c r="F6" s="96"/>
      <c r="G6" s="97"/>
      <c r="H6" s="63">
        <f t="shared" ref="H6:H10" si="0">D6+F6</f>
        <v>0</v>
      </c>
      <c r="I6" s="63">
        <f>E6+G6</f>
        <v>0</v>
      </c>
      <c r="K6" s="91"/>
    </row>
    <row r="7" spans="1:17" x14ac:dyDescent="0.3">
      <c r="A7" s="52" t="s">
        <v>73</v>
      </c>
      <c r="B7" s="85">
        <f>240+54+40+150</f>
        <v>484</v>
      </c>
      <c r="C7" s="85"/>
      <c r="D7" s="93">
        <f>B7*0.2</f>
        <v>96.800000000000011</v>
      </c>
      <c r="E7" s="93"/>
      <c r="F7" s="96">
        <f>B7*0.2</f>
        <v>96.800000000000011</v>
      </c>
      <c r="G7" s="97"/>
      <c r="H7" s="63">
        <f t="shared" si="0"/>
        <v>193.60000000000002</v>
      </c>
      <c r="I7" s="63">
        <f t="shared" ref="I7:I19" si="1">E7+G7</f>
        <v>0</v>
      </c>
      <c r="K7" s="91"/>
    </row>
    <row r="8" spans="1:17" x14ac:dyDescent="0.3">
      <c r="A8" s="52" t="s">
        <v>305</v>
      </c>
      <c r="B8" s="85"/>
      <c r="C8" s="85"/>
      <c r="D8" s="93"/>
      <c r="E8" s="93"/>
      <c r="F8" s="96"/>
      <c r="G8" s="97"/>
      <c r="H8" s="63">
        <f t="shared" si="0"/>
        <v>0</v>
      </c>
      <c r="I8" s="63">
        <f t="shared" si="1"/>
        <v>0</v>
      </c>
      <c r="K8" s="144" t="s">
        <v>321</v>
      </c>
      <c r="L8" s="144"/>
    </row>
    <row r="9" spans="1:17" x14ac:dyDescent="0.3">
      <c r="A9" s="52" t="s">
        <v>332</v>
      </c>
      <c r="B9" s="85">
        <f>28+20+20+41+40+20+33.57+100+60+60+60+13.89-196+40+60+80+110-100</f>
        <v>490.46000000000004</v>
      </c>
      <c r="C9" s="85"/>
      <c r="D9" s="93">
        <f>B9*0.1</f>
        <v>49.046000000000006</v>
      </c>
      <c r="E9" s="93">
        <v>200</v>
      </c>
      <c r="F9" s="96">
        <f>B9*0.1</f>
        <v>49.046000000000006</v>
      </c>
      <c r="G9" s="97"/>
      <c r="H9" s="63">
        <f t="shared" si="0"/>
        <v>98.092000000000013</v>
      </c>
      <c r="I9" s="63">
        <f t="shared" si="1"/>
        <v>200</v>
      </c>
      <c r="K9" s="2" t="s">
        <v>322</v>
      </c>
      <c r="L9" s="63">
        <v>880</v>
      </c>
      <c r="O9" s="91"/>
    </row>
    <row r="10" spans="1:17" x14ac:dyDescent="0.3">
      <c r="A10" s="52" t="s">
        <v>307</v>
      </c>
      <c r="B10" s="85"/>
      <c r="C10" s="85"/>
      <c r="D10" s="93">
        <f t="shared" ref="D10" si="2">B10*0.2</f>
        <v>0</v>
      </c>
      <c r="E10" s="93">
        <v>2400</v>
      </c>
      <c r="F10" s="96"/>
      <c r="G10" s="97"/>
      <c r="H10" s="63">
        <f t="shared" si="0"/>
        <v>0</v>
      </c>
      <c r="I10" s="63">
        <f t="shared" si="1"/>
        <v>2400</v>
      </c>
      <c r="K10" s="2" t="s">
        <v>323</v>
      </c>
      <c r="L10" s="63">
        <v>5000</v>
      </c>
      <c r="O10" s="91"/>
      <c r="P10">
        <v>440</v>
      </c>
      <c r="Q10">
        <f>P10*0.2</f>
        <v>88</v>
      </c>
    </row>
    <row r="11" spans="1:17" x14ac:dyDescent="0.3">
      <c r="A11" s="2" t="s">
        <v>18</v>
      </c>
      <c r="B11" s="85">
        <v>400</v>
      </c>
      <c r="C11" s="85"/>
      <c r="D11" s="93"/>
      <c r="E11" s="93"/>
      <c r="F11" s="96">
        <v>80</v>
      </c>
      <c r="G11" s="97"/>
      <c r="H11" s="63">
        <f>D11+F11</f>
        <v>80</v>
      </c>
      <c r="I11" s="63">
        <f t="shared" si="1"/>
        <v>0</v>
      </c>
      <c r="K11" s="2" t="s">
        <v>324</v>
      </c>
      <c r="L11" s="63">
        <v>1000</v>
      </c>
      <c r="M11" s="42"/>
      <c r="N11" s="42"/>
    </row>
    <row r="12" spans="1:17" x14ac:dyDescent="0.3">
      <c r="A12" s="2" t="s">
        <v>306</v>
      </c>
      <c r="B12" s="85"/>
      <c r="C12" s="85"/>
      <c r="D12" s="93"/>
      <c r="E12" s="93"/>
      <c r="F12" s="96"/>
      <c r="G12" s="97"/>
      <c r="H12" s="63">
        <f t="shared" ref="H12:H19" si="3">D12+F12</f>
        <v>0</v>
      </c>
      <c r="I12" s="63">
        <f t="shared" si="1"/>
        <v>0</v>
      </c>
      <c r="K12" s="2" t="s">
        <v>325</v>
      </c>
      <c r="L12" s="63">
        <v>1200</v>
      </c>
    </row>
    <row r="13" spans="1:17" x14ac:dyDescent="0.3">
      <c r="A13" s="2" t="s">
        <v>19</v>
      </c>
      <c r="B13" s="85"/>
      <c r="C13" s="85">
        <v>1500</v>
      </c>
      <c r="D13" s="93"/>
      <c r="E13" s="93"/>
      <c r="F13" s="96"/>
      <c r="G13" s="97"/>
      <c r="H13" s="63"/>
      <c r="I13" s="63">
        <f t="shared" si="1"/>
        <v>0</v>
      </c>
      <c r="K13" s="2" t="s">
        <v>326</v>
      </c>
      <c r="L13" s="63">
        <v>785</v>
      </c>
    </row>
    <row r="14" spans="1:17" x14ac:dyDescent="0.3">
      <c r="A14" s="2" t="s">
        <v>20</v>
      </c>
      <c r="B14" s="85"/>
      <c r="C14" s="85"/>
      <c r="D14" s="93"/>
      <c r="E14" s="93"/>
      <c r="F14" s="96">
        <v>40</v>
      </c>
      <c r="G14" s="97"/>
      <c r="H14" s="63">
        <f t="shared" si="3"/>
        <v>40</v>
      </c>
      <c r="I14" s="63">
        <f t="shared" si="1"/>
        <v>0</v>
      </c>
      <c r="K14" s="2" t="s">
        <v>327</v>
      </c>
      <c r="L14" s="98">
        <v>700</v>
      </c>
      <c r="M14" s="42"/>
      <c r="N14" s="42"/>
    </row>
    <row r="15" spans="1:17" x14ac:dyDescent="0.3">
      <c r="A15" s="2" t="s">
        <v>21</v>
      </c>
      <c r="B15" s="85">
        <v>300</v>
      </c>
      <c r="C15" s="85"/>
      <c r="D15" s="93">
        <v>84</v>
      </c>
      <c r="E15" s="93"/>
      <c r="F15" s="96"/>
      <c r="G15" s="97"/>
      <c r="H15" s="63">
        <f t="shared" si="3"/>
        <v>84</v>
      </c>
      <c r="I15" s="63">
        <f t="shared" si="1"/>
        <v>0</v>
      </c>
      <c r="K15" s="2" t="s">
        <v>328</v>
      </c>
      <c r="L15" s="98">
        <v>200</v>
      </c>
      <c r="M15" s="42"/>
      <c r="N15" s="42"/>
    </row>
    <row r="16" spans="1:17" x14ac:dyDescent="0.3">
      <c r="A16" s="2" t="s">
        <v>291</v>
      </c>
      <c r="B16" s="85">
        <v>124</v>
      </c>
      <c r="C16" s="85"/>
      <c r="D16" s="93"/>
      <c r="E16" s="93"/>
      <c r="F16" s="96"/>
      <c r="G16" s="97"/>
      <c r="H16" s="63">
        <f t="shared" si="3"/>
        <v>0</v>
      </c>
      <c r="I16" s="63">
        <f t="shared" si="1"/>
        <v>0</v>
      </c>
      <c r="K16" s="2" t="s">
        <v>329</v>
      </c>
      <c r="L16" s="98">
        <v>300</v>
      </c>
      <c r="M16" s="42"/>
      <c r="N16" s="42"/>
      <c r="O16" t="s">
        <v>336</v>
      </c>
      <c r="P16">
        <v>260</v>
      </c>
    </row>
    <row r="17" spans="1:20" x14ac:dyDescent="0.3">
      <c r="A17" s="2" t="s">
        <v>38</v>
      </c>
      <c r="B17" s="85"/>
      <c r="C17" s="85"/>
      <c r="D17" s="93"/>
      <c r="E17" s="93"/>
      <c r="F17" s="96">
        <v>165</v>
      </c>
      <c r="G17" s="97"/>
      <c r="H17" s="63">
        <f t="shared" si="3"/>
        <v>165</v>
      </c>
      <c r="I17" s="63">
        <f t="shared" si="1"/>
        <v>0</v>
      </c>
      <c r="K17" s="2" t="s">
        <v>330</v>
      </c>
      <c r="L17" s="98">
        <v>300</v>
      </c>
      <c r="M17" s="42"/>
      <c r="N17" s="42"/>
      <c r="O17" t="s">
        <v>334</v>
      </c>
      <c r="P17">
        <v>260</v>
      </c>
      <c r="S17" s="91">
        <f>B9-0.2</f>
        <v>490.26000000000005</v>
      </c>
    </row>
    <row r="18" spans="1:20" x14ac:dyDescent="0.3">
      <c r="A18" s="2" t="s">
        <v>46</v>
      </c>
      <c r="B18" s="85"/>
      <c r="C18" s="85"/>
      <c r="D18" s="93"/>
      <c r="E18" s="93"/>
      <c r="F18" s="96">
        <v>83</v>
      </c>
      <c r="G18" s="97"/>
      <c r="H18" s="63">
        <f t="shared" si="3"/>
        <v>83</v>
      </c>
      <c r="I18" s="63">
        <f t="shared" si="1"/>
        <v>0</v>
      </c>
      <c r="K18" s="99" t="s">
        <v>308</v>
      </c>
      <c r="L18" s="100">
        <v>200</v>
      </c>
      <c r="M18" s="42"/>
      <c r="N18" s="42"/>
      <c r="O18" t="s">
        <v>333</v>
      </c>
      <c r="P18">
        <v>260</v>
      </c>
    </row>
    <row r="19" spans="1:20" x14ac:dyDescent="0.3">
      <c r="A19" s="2" t="s">
        <v>30</v>
      </c>
      <c r="B19" s="85"/>
      <c r="C19" s="85">
        <v>12688</v>
      </c>
      <c r="D19" s="93"/>
      <c r="E19" s="93"/>
      <c r="F19" s="96"/>
      <c r="G19" s="97"/>
      <c r="H19" s="63">
        <f t="shared" si="3"/>
        <v>0</v>
      </c>
      <c r="I19" s="63">
        <f t="shared" si="1"/>
        <v>0</v>
      </c>
      <c r="K19" s="101" t="s">
        <v>231</v>
      </c>
      <c r="L19" s="102">
        <f>SUM(L9:L18)</f>
        <v>10565</v>
      </c>
      <c r="M19" s="42"/>
      <c r="N19" s="42"/>
      <c r="O19" t="s">
        <v>335</v>
      </c>
      <c r="P19">
        <v>260</v>
      </c>
    </row>
    <row r="20" spans="1:20" x14ac:dyDescent="0.3">
      <c r="A20" s="2" t="s">
        <v>24</v>
      </c>
      <c r="B20" s="63">
        <f t="shared" ref="B20:I20" si="4">SUM(B6:B19)</f>
        <v>1798.46</v>
      </c>
      <c r="C20" s="63">
        <f t="shared" si="4"/>
        <v>14188</v>
      </c>
      <c r="D20" s="93">
        <f t="shared" si="4"/>
        <v>229.846</v>
      </c>
      <c r="E20" s="93">
        <f t="shared" si="4"/>
        <v>2600</v>
      </c>
      <c r="F20" s="96">
        <f t="shared" si="4"/>
        <v>513.846</v>
      </c>
      <c r="G20" s="97">
        <f t="shared" si="4"/>
        <v>0</v>
      </c>
      <c r="H20" s="64">
        <f>SUM(H6:H19)</f>
        <v>743.69200000000001</v>
      </c>
      <c r="I20" s="64">
        <f t="shared" si="4"/>
        <v>2600</v>
      </c>
      <c r="M20" s="42"/>
      <c r="N20" s="42"/>
      <c r="O20" t="s">
        <v>301</v>
      </c>
      <c r="P20">
        <v>260</v>
      </c>
    </row>
    <row r="21" spans="1:20" x14ac:dyDescent="0.3">
      <c r="A21" s="125" t="s">
        <v>25</v>
      </c>
      <c r="B21" s="126"/>
      <c r="C21" s="126"/>
      <c r="D21" s="126"/>
      <c r="E21" s="126"/>
      <c r="F21" s="126"/>
      <c r="G21" s="126"/>
      <c r="H21" s="126"/>
      <c r="I21" s="127"/>
      <c r="M21" s="42"/>
      <c r="N21" s="42"/>
      <c r="P21">
        <f>SUM(P13:P20)</f>
        <v>1300</v>
      </c>
    </row>
    <row r="22" spans="1:20" x14ac:dyDescent="0.3">
      <c r="A22" s="2"/>
      <c r="B22" s="1"/>
      <c r="C22" s="1"/>
      <c r="D22" s="2" t="s">
        <v>15</v>
      </c>
      <c r="E22" s="1"/>
      <c r="F22" s="2" t="s">
        <v>15</v>
      </c>
      <c r="G22" s="84"/>
      <c r="H22" s="2"/>
      <c r="I22" s="2"/>
      <c r="M22" s="42"/>
      <c r="N22" s="42"/>
      <c r="P22">
        <f>100*36.5</f>
        <v>3650</v>
      </c>
    </row>
    <row r="23" spans="1:20" x14ac:dyDescent="0.3">
      <c r="A23" s="2" t="s">
        <v>26</v>
      </c>
      <c r="B23" s="85"/>
      <c r="C23" s="85"/>
      <c r="D23" s="90">
        <v>5000</v>
      </c>
      <c r="E23" s="85"/>
      <c r="F23" s="85">
        <v>5000</v>
      </c>
      <c r="G23" s="86"/>
      <c r="H23" s="63">
        <f>D23+F23</f>
        <v>10000</v>
      </c>
      <c r="I23" s="63"/>
      <c r="N23" s="42"/>
      <c r="P23">
        <f>P22-P21</f>
        <v>2350</v>
      </c>
    </row>
    <row r="24" spans="1:20" x14ac:dyDescent="0.3">
      <c r="A24" s="2" t="s">
        <v>37</v>
      </c>
      <c r="B24" s="85"/>
      <c r="C24" s="85"/>
      <c r="D24" s="85">
        <v>1000</v>
      </c>
      <c r="E24" s="85"/>
      <c r="F24" s="85">
        <v>1000</v>
      </c>
      <c r="G24" s="86"/>
      <c r="H24" s="63">
        <f t="shared" ref="H24:H32" si="5">D24+F24</f>
        <v>2000</v>
      </c>
      <c r="I24" s="63"/>
      <c r="T24" t="s">
        <v>317</v>
      </c>
    </row>
    <row r="25" spans="1:20" x14ac:dyDescent="0.3">
      <c r="A25" s="2" t="s">
        <v>27</v>
      </c>
      <c r="B25" s="85"/>
      <c r="C25" s="85"/>
      <c r="D25" s="85">
        <v>850</v>
      </c>
      <c r="E25" s="85"/>
      <c r="F25" s="85"/>
      <c r="G25" s="86"/>
      <c r="H25" s="63">
        <f t="shared" si="5"/>
        <v>850</v>
      </c>
      <c r="I25" s="63"/>
      <c r="K25" s="3"/>
      <c r="L25" s="3" t="s">
        <v>314</v>
      </c>
      <c r="M25" s="3" t="s">
        <v>313</v>
      </c>
      <c r="T25" t="s">
        <v>318</v>
      </c>
    </row>
    <row r="26" spans="1:20" x14ac:dyDescent="0.3">
      <c r="A26" s="2" t="s">
        <v>300</v>
      </c>
      <c r="B26" s="85"/>
      <c r="C26" s="85"/>
      <c r="D26" s="90"/>
      <c r="E26" s="85"/>
      <c r="F26" s="85"/>
      <c r="G26" s="86"/>
      <c r="H26" s="63">
        <f t="shared" si="5"/>
        <v>0</v>
      </c>
      <c r="I26" s="63"/>
      <c r="K26" s="3" t="s">
        <v>312</v>
      </c>
      <c r="L26" s="3">
        <v>70</v>
      </c>
      <c r="M26" s="3">
        <v>40</v>
      </c>
      <c r="T26" t="s">
        <v>319</v>
      </c>
    </row>
    <row r="27" spans="1:20" x14ac:dyDescent="0.3">
      <c r="A27" s="2" t="s">
        <v>32</v>
      </c>
      <c r="B27" s="85"/>
      <c r="C27" s="85"/>
      <c r="D27" s="90">
        <v>1493</v>
      </c>
      <c r="E27" s="85"/>
      <c r="F27" s="85"/>
      <c r="G27" s="86"/>
      <c r="H27" s="63">
        <f t="shared" si="5"/>
        <v>1493</v>
      </c>
      <c r="I27" s="63"/>
      <c r="K27" s="3" t="s">
        <v>309</v>
      </c>
      <c r="L27" s="3">
        <v>5000</v>
      </c>
      <c r="M27" s="3"/>
      <c r="T27" t="s">
        <v>320</v>
      </c>
    </row>
    <row r="28" spans="1:20" x14ac:dyDescent="0.3">
      <c r="A28" s="2" t="s">
        <v>28</v>
      </c>
      <c r="B28" s="85"/>
      <c r="C28" s="85"/>
      <c r="D28" s="90">
        <v>115</v>
      </c>
      <c r="E28" s="85"/>
      <c r="F28" s="85"/>
      <c r="G28" s="86"/>
      <c r="H28" s="63"/>
      <c r="I28" s="63"/>
      <c r="K28" s="3" t="s">
        <v>308</v>
      </c>
      <c r="L28" s="3">
        <v>200</v>
      </c>
      <c r="M28" s="3"/>
      <c r="T28" t="s">
        <v>350</v>
      </c>
    </row>
    <row r="29" spans="1:20" x14ac:dyDescent="0.3">
      <c r="A29" s="2" t="s">
        <v>29</v>
      </c>
      <c r="B29" s="85"/>
      <c r="C29" s="85"/>
      <c r="D29" s="90">
        <v>700</v>
      </c>
      <c r="E29" s="85"/>
      <c r="F29" s="85"/>
      <c r="G29" s="86"/>
      <c r="H29" s="63">
        <f t="shared" si="5"/>
        <v>700</v>
      </c>
      <c r="I29" s="63"/>
      <c r="K29" s="3" t="s">
        <v>310</v>
      </c>
      <c r="L29" s="3">
        <v>700</v>
      </c>
      <c r="M29" s="3"/>
    </row>
    <row r="30" spans="1:20" x14ac:dyDescent="0.3">
      <c r="A30" s="37" t="s">
        <v>24</v>
      </c>
      <c r="B30" s="87"/>
      <c r="C30" s="87"/>
      <c r="D30" s="64">
        <f>SUM(D23:D29)</f>
        <v>9158</v>
      </c>
      <c r="E30" s="87"/>
      <c r="F30" s="64">
        <f>SUM(F23:F29)</f>
        <v>6000</v>
      </c>
      <c r="G30" s="88"/>
      <c r="H30" s="64">
        <f t="shared" si="5"/>
        <v>15158</v>
      </c>
      <c r="I30" s="64"/>
      <c r="K30" s="3" t="s">
        <v>311</v>
      </c>
      <c r="L30" s="3">
        <v>2683</v>
      </c>
      <c r="M30" s="3"/>
    </row>
    <row r="31" spans="1:20" x14ac:dyDescent="0.3">
      <c r="A31" s="1"/>
      <c r="B31" s="85"/>
      <c r="C31" s="63"/>
      <c r="D31" s="63">
        <f>D20*K1</f>
        <v>8504.3019999999997</v>
      </c>
      <c r="E31" s="85"/>
      <c r="F31" s="63">
        <f>F20*K1</f>
        <v>19012.302</v>
      </c>
      <c r="G31" s="86"/>
      <c r="H31" s="63">
        <f t="shared" si="5"/>
        <v>27516.603999999999</v>
      </c>
      <c r="I31" s="63"/>
      <c r="K31" s="3"/>
      <c r="L31" s="3">
        <f>SUM(L26:L30)</f>
        <v>8653</v>
      </c>
      <c r="M31" s="3"/>
    </row>
    <row r="32" spans="1:20" x14ac:dyDescent="0.3">
      <c r="C32" s="2" t="s">
        <v>298</v>
      </c>
      <c r="D32" s="63">
        <f>D31+D30+E20</f>
        <v>20262.302</v>
      </c>
      <c r="E32" s="2" t="s">
        <v>298</v>
      </c>
      <c r="F32" s="63">
        <f>F30+F31+G20</f>
        <v>25012.302</v>
      </c>
      <c r="G32" s="85"/>
      <c r="H32" s="63">
        <f t="shared" si="5"/>
        <v>45274.603999999999</v>
      </c>
      <c r="I32" s="63"/>
      <c r="M32" s="3"/>
      <c r="P32">
        <f>30*37</f>
        <v>1110</v>
      </c>
      <c r="Q32">
        <f>35*37</f>
        <v>1295</v>
      </c>
    </row>
    <row r="33" spans="1:9" x14ac:dyDescent="0.3">
      <c r="C33" s="2" t="s">
        <v>299</v>
      </c>
      <c r="D33" s="61">
        <f>B1-D32</f>
        <v>874.69800000000032</v>
      </c>
      <c r="E33" s="2" t="s">
        <v>299</v>
      </c>
      <c r="F33" s="61">
        <f>F1-F32</f>
        <v>624.69800000000032</v>
      </c>
      <c r="G33" s="85"/>
      <c r="H33" s="61">
        <f>D33+F33</f>
        <v>1499.3960000000006</v>
      </c>
      <c r="I33" s="63">
        <f>H33/K1</f>
        <v>40.524216216216232</v>
      </c>
    </row>
    <row r="35" spans="1:9" x14ac:dyDescent="0.3">
      <c r="A35" s="72" t="s">
        <v>304</v>
      </c>
      <c r="B35" s="72"/>
      <c r="C35" s="72">
        <v>3500</v>
      </c>
      <c r="D35" s="2">
        <f>C35-C36-C37-C38-C39-C40</f>
        <v>1400</v>
      </c>
    </row>
    <row r="36" spans="1:9" x14ac:dyDescent="0.3">
      <c r="A36" s="15" t="s">
        <v>316</v>
      </c>
      <c r="B36" s="15"/>
      <c r="C36" s="15">
        <v>700</v>
      </c>
      <c r="D36" s="2"/>
    </row>
    <row r="37" spans="1:9" x14ac:dyDescent="0.3">
      <c r="A37" s="15" t="s">
        <v>317</v>
      </c>
      <c r="B37" s="15"/>
      <c r="C37" s="15">
        <v>700</v>
      </c>
      <c r="D37" s="2"/>
      <c r="F37" s="91">
        <f>D33/37</f>
        <v>23.640486486486495</v>
      </c>
    </row>
    <row r="38" spans="1:9" x14ac:dyDescent="0.3">
      <c r="A38" s="15" t="s">
        <v>318</v>
      </c>
      <c r="B38" s="15"/>
      <c r="C38" s="15">
        <v>700</v>
      </c>
      <c r="D38" s="2"/>
    </row>
    <row r="39" spans="1:9" x14ac:dyDescent="0.3">
      <c r="A39" s="2" t="s">
        <v>319</v>
      </c>
      <c r="B39" s="2"/>
      <c r="C39" s="2"/>
      <c r="D39" s="2"/>
    </row>
    <row r="40" spans="1:9" x14ac:dyDescent="0.3">
      <c r="A40" s="2" t="s">
        <v>320</v>
      </c>
      <c r="B40" s="2"/>
      <c r="C40" s="2"/>
      <c r="D40" s="2"/>
    </row>
  </sheetData>
  <mergeCells count="8">
    <mergeCell ref="K8:L8"/>
    <mergeCell ref="A21:I21"/>
    <mergeCell ref="A2:E2"/>
    <mergeCell ref="D3:E3"/>
    <mergeCell ref="F3:G3"/>
    <mergeCell ref="D4:E4"/>
    <mergeCell ref="F4:G4"/>
    <mergeCell ref="H4:I4"/>
  </mergeCells>
  <conditionalFormatting sqref="H6:I19">
    <cfRule type="cellIs" dxfId="0" priority="1" operator="greaterThan">
      <formula>0</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SASS pendientes o rechazadas</vt:lpstr>
      <vt:lpstr>SASS 2023</vt:lpstr>
      <vt:lpstr>SASS 2024</vt:lpstr>
      <vt:lpstr>GASTOS</vt:lpstr>
      <vt:lpstr>NUEVO PAGO</vt:lpstr>
      <vt:lpstr>Prestamo Eduardo</vt:lpstr>
      <vt:lpstr>NUEVO PAGO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Oscar Vilchez</cp:lastModifiedBy>
  <dcterms:created xsi:type="dcterms:W3CDTF">2023-01-20T15:48:33Z</dcterms:created>
  <dcterms:modified xsi:type="dcterms:W3CDTF">2025-03-29T23:40:41Z</dcterms:modified>
</cp:coreProperties>
</file>