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9645" yWindow="-30" windowWidth="7455" windowHeight="11985" tabRatio="500"/>
  </bookViews>
  <sheets>
    <sheet name="Main" sheetId="1" r:id="rId1"/>
    <sheet name="Burned" sheetId="5" r:id="rId2"/>
    <sheet name="Planks" sheetId="4" r:id="rId3"/>
    <sheet name="Tack mass" sheetId="2" r:id="rId4"/>
  </sheets>
  <definedNames>
    <definedName name="_xlnm._FilterDatabase" localSheetId="0" hidden="1">Main!$A$1:$Z$186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9" i="1" l="1"/>
  <c r="U72" i="5" l="1"/>
  <c r="U41" i="5"/>
  <c r="K41" i="5" s="1"/>
  <c r="U71" i="5"/>
  <c r="N71" i="5" s="1"/>
  <c r="U40" i="5"/>
  <c r="I40" i="5" s="1"/>
  <c r="U15" i="5"/>
  <c r="U70" i="5"/>
  <c r="N70" i="5" s="1"/>
  <c r="U69" i="5"/>
  <c r="U39" i="5"/>
  <c r="K39" i="5"/>
  <c r="U68" i="5"/>
  <c r="K68" i="5" s="1"/>
  <c r="U38" i="5"/>
  <c r="K38" i="5" s="1"/>
  <c r="V38" i="5" s="1"/>
  <c r="U14" i="5"/>
  <c r="I14" i="5" s="1"/>
  <c r="K14" i="5"/>
  <c r="V14" i="5" s="1"/>
  <c r="U67" i="5"/>
  <c r="K67" i="5" s="1"/>
  <c r="O67" i="5"/>
  <c r="U16" i="5"/>
  <c r="K16" i="5" s="1"/>
  <c r="U66" i="5"/>
  <c r="K66" i="5" s="1"/>
  <c r="U37" i="5"/>
  <c r="K37" i="5" s="1"/>
  <c r="U65" i="5"/>
  <c r="I65" i="5" s="1"/>
  <c r="U36" i="5"/>
  <c r="K36" i="5" s="1"/>
  <c r="U13" i="5"/>
  <c r="K13" i="5" s="1"/>
  <c r="U64" i="5"/>
  <c r="I64" i="5" s="1"/>
  <c r="U35" i="5"/>
  <c r="K35" i="5" s="1"/>
  <c r="V35" i="5" s="1"/>
  <c r="U12" i="5"/>
  <c r="K12" i="5" s="1"/>
  <c r="U63" i="5"/>
  <c r="K63" i="5" s="1"/>
  <c r="U34" i="5"/>
  <c r="N34" i="5" s="1"/>
  <c r="U11" i="5"/>
  <c r="I11" i="5" s="1"/>
  <c r="K11" i="5"/>
  <c r="V11" i="5" s="1"/>
  <c r="U62" i="5"/>
  <c r="K62" i="5" s="1"/>
  <c r="U61" i="5"/>
  <c r="U33" i="5"/>
  <c r="K33" i="5"/>
  <c r="U60" i="5"/>
  <c r="K60" i="5" s="1"/>
  <c r="O60" i="5"/>
  <c r="U59" i="5"/>
  <c r="K59" i="5" s="1"/>
  <c r="N59" i="5"/>
  <c r="U32" i="5"/>
  <c r="K32" i="5" s="1"/>
  <c r="U58" i="5"/>
  <c r="K58" i="5" s="1"/>
  <c r="O58" i="5"/>
  <c r="I58" i="5"/>
  <c r="U57" i="5"/>
  <c r="K57" i="5" s="1"/>
  <c r="O57" i="5"/>
  <c r="U31" i="5"/>
  <c r="K31" i="5" s="1"/>
  <c r="N31" i="5"/>
  <c r="V31" i="5" s="1"/>
  <c r="U56" i="5"/>
  <c r="I56" i="5" s="1"/>
  <c r="U30" i="5"/>
  <c r="K30" i="5" s="1"/>
  <c r="U17" i="5"/>
  <c r="K17" i="5" s="1"/>
  <c r="U10" i="5"/>
  <c r="K10" i="5" s="1"/>
  <c r="U55" i="5"/>
  <c r="N55" i="5" s="1"/>
  <c r="O55" i="5"/>
  <c r="I55" i="5"/>
  <c r="U54" i="5"/>
  <c r="K54" i="5" s="1"/>
  <c r="V54" i="5" s="1"/>
  <c r="U29" i="5"/>
  <c r="K29" i="5" s="1"/>
  <c r="N29" i="5"/>
  <c r="U53" i="5"/>
  <c r="K53" i="5" s="1"/>
  <c r="U28" i="5"/>
  <c r="I28" i="5" s="1"/>
  <c r="U9" i="5"/>
  <c r="N9" i="5" s="1"/>
  <c r="O9" i="5"/>
  <c r="U52" i="5"/>
  <c r="K52" i="5" s="1"/>
  <c r="U27" i="5"/>
  <c r="K27" i="5" s="1"/>
  <c r="U51" i="5"/>
  <c r="K51" i="5" s="1"/>
  <c r="V51" i="5" s="1"/>
  <c r="U26" i="5"/>
  <c r="K26" i="5" s="1"/>
  <c r="U8" i="5"/>
  <c r="K8" i="5" s="1"/>
  <c r="V8" i="5" s="1"/>
  <c r="I8" i="5"/>
  <c r="U50" i="5"/>
  <c r="K50" i="5"/>
  <c r="U25" i="5"/>
  <c r="K25" i="5" s="1"/>
  <c r="U7" i="5"/>
  <c r="K7" i="5" s="1"/>
  <c r="V7" i="5" s="1"/>
  <c r="U49" i="5"/>
  <c r="K49" i="5" s="1"/>
  <c r="L49" i="5"/>
  <c r="U48" i="5"/>
  <c r="K48" i="5"/>
  <c r="U24" i="5"/>
  <c r="K24" i="5" s="1"/>
  <c r="V24" i="5" s="1"/>
  <c r="U47" i="5"/>
  <c r="K47" i="5" s="1"/>
  <c r="V47" i="5" s="1"/>
  <c r="U23" i="5"/>
  <c r="U6" i="5"/>
  <c r="K6" i="5" s="1"/>
  <c r="V6" i="5" s="1"/>
  <c r="U46" i="5"/>
  <c r="K46" i="5" s="1"/>
  <c r="I46" i="5"/>
  <c r="U22" i="5"/>
  <c r="K22" i="5" s="1"/>
  <c r="U5" i="5"/>
  <c r="I5" i="5" s="1"/>
  <c r="L5" i="5"/>
  <c r="U45" i="5"/>
  <c r="K45" i="5" s="1"/>
  <c r="U21" i="5"/>
  <c r="U4" i="5"/>
  <c r="K4" i="5" s="1"/>
  <c r="V4" i="5" s="1"/>
  <c r="U44" i="5"/>
  <c r="I44" i="5" s="1"/>
  <c r="U20" i="5"/>
  <c r="I20" i="5" s="1"/>
  <c r="U3" i="5"/>
  <c r="K3" i="5" s="1"/>
  <c r="U43" i="5"/>
  <c r="K43" i="5" s="1"/>
  <c r="V43" i="5" s="1"/>
  <c r="U19" i="5"/>
  <c r="K19" i="5" s="1"/>
  <c r="U42" i="5"/>
  <c r="K42" i="5" s="1"/>
  <c r="V42" i="5" s="1"/>
  <c r="U18" i="5"/>
  <c r="U2" i="5"/>
  <c r="K2" i="5" s="1"/>
  <c r="V2" i="5" s="1"/>
  <c r="I42" i="5" l="1"/>
  <c r="I2" i="5"/>
  <c r="N53" i="5"/>
  <c r="V53" i="5" s="1"/>
  <c r="I10" i="5"/>
  <c r="K56" i="5"/>
  <c r="V56" i="5" s="1"/>
  <c r="N46" i="5"/>
  <c r="V46" i="5" s="1"/>
  <c r="W46" i="5" s="1"/>
  <c r="I49" i="5"/>
  <c r="K55" i="5"/>
  <c r="V55" i="5" s="1"/>
  <c r="W55" i="5" s="1"/>
  <c r="N19" i="5"/>
  <c r="V19" i="5" s="1"/>
  <c r="K20" i="5"/>
  <c r="V20" i="5" s="1"/>
  <c r="V22" i="5"/>
  <c r="N32" i="5"/>
  <c r="V32" i="5" s="1"/>
  <c r="K44" i="5"/>
  <c r="I47" i="5"/>
  <c r="K65" i="5"/>
  <c r="I22" i="5"/>
  <c r="I6" i="5"/>
  <c r="V26" i="5"/>
  <c r="K28" i="5"/>
  <c r="V28" i="5" s="1"/>
  <c r="N58" i="5"/>
  <c r="V58" i="5" s="1"/>
  <c r="W58" i="5" s="1"/>
  <c r="V36" i="5"/>
  <c r="N66" i="5"/>
  <c r="V66" i="5" s="1"/>
  <c r="K70" i="5"/>
  <c r="V70" i="5" s="1"/>
  <c r="I4" i="5"/>
  <c r="N49" i="5"/>
  <c r="V49" i="5" s="1"/>
  <c r="N10" i="5"/>
  <c r="V10" i="5" s="1"/>
  <c r="N12" i="5"/>
  <c r="V12" i="5" s="1"/>
  <c r="N13" i="5"/>
  <c r="V13" i="5" s="1"/>
  <c r="N37" i="5"/>
  <c r="V37" i="5" s="1"/>
  <c r="W37" i="5" s="1"/>
  <c r="V59" i="5"/>
  <c r="K5" i="5"/>
  <c r="I34" i="5"/>
  <c r="I72" i="5"/>
  <c r="I9" i="5"/>
  <c r="I29" i="5"/>
  <c r="I57" i="5"/>
  <c r="I59" i="5"/>
  <c r="I60" i="5"/>
  <c r="K34" i="5"/>
  <c r="V34" i="5" s="1"/>
  <c r="I63" i="5"/>
  <c r="I12" i="5"/>
  <c r="I13" i="5"/>
  <c r="I66" i="5"/>
  <c r="I16" i="5"/>
  <c r="N67" i="5"/>
  <c r="V67" i="5" s="1"/>
  <c r="K71" i="5"/>
  <c r="V71" i="5" s="1"/>
  <c r="I41" i="5"/>
  <c r="K72" i="5"/>
  <c r="V72" i="5" s="1"/>
  <c r="V29" i="5"/>
  <c r="V65" i="5"/>
  <c r="I67" i="5"/>
  <c r="I71" i="5"/>
  <c r="I19" i="5"/>
  <c r="W19" i="5" s="1"/>
  <c r="I26" i="5"/>
  <c r="K9" i="5"/>
  <c r="V9" i="5" s="1"/>
  <c r="I53" i="5"/>
  <c r="W53" i="5" s="1"/>
  <c r="I31" i="5"/>
  <c r="W31" i="5" s="1"/>
  <c r="N57" i="5"/>
  <c r="V57" i="5" s="1"/>
  <c r="I32" i="5"/>
  <c r="N60" i="5"/>
  <c r="V60" i="5" s="1"/>
  <c r="N63" i="5"/>
  <c r="V63" i="5" s="1"/>
  <c r="W63" i="5" s="1"/>
  <c r="K64" i="5"/>
  <c r="V64" i="5" s="1"/>
  <c r="I36" i="5"/>
  <c r="I37" i="5"/>
  <c r="N16" i="5"/>
  <c r="V16" i="5" s="1"/>
  <c r="W16" i="5" s="1"/>
  <c r="K40" i="5"/>
  <c r="V40" i="5" s="1"/>
  <c r="V41" i="5"/>
  <c r="N18" i="5"/>
  <c r="I18" i="5"/>
  <c r="N61" i="5"/>
  <c r="I61" i="5"/>
  <c r="I69" i="5"/>
  <c r="N69" i="5"/>
  <c r="K69" i="5"/>
  <c r="I15" i="5"/>
  <c r="N15" i="5"/>
  <c r="K15" i="5"/>
  <c r="V50" i="5"/>
  <c r="I50" i="5"/>
  <c r="N30" i="5"/>
  <c r="V30" i="5" s="1"/>
  <c r="I30" i="5"/>
  <c r="I33" i="5"/>
  <c r="N33" i="5"/>
  <c r="V33" i="5" s="1"/>
  <c r="I43" i="5"/>
  <c r="I3" i="5"/>
  <c r="N3" i="5"/>
  <c r="V3" i="5" s="1"/>
  <c r="I24" i="5"/>
  <c r="N48" i="5"/>
  <c r="V48" i="5" s="1"/>
  <c r="I48" i="5"/>
  <c r="I7" i="5"/>
  <c r="I25" i="5"/>
  <c r="N25" i="5"/>
  <c r="V25" i="5" s="1"/>
  <c r="N52" i="5"/>
  <c r="V52" i="5" s="1"/>
  <c r="I52" i="5"/>
  <c r="I17" i="5"/>
  <c r="N17" i="5"/>
  <c r="V17" i="5" s="1"/>
  <c r="I35" i="5"/>
  <c r="N39" i="5"/>
  <c r="V39" i="5" s="1"/>
  <c r="I39" i="5"/>
  <c r="I21" i="5"/>
  <c r="I23" i="5"/>
  <c r="K18" i="5"/>
  <c r="K21" i="5"/>
  <c r="I45" i="5"/>
  <c r="V45" i="5"/>
  <c r="K23" i="5"/>
  <c r="I51" i="5"/>
  <c r="I27" i="5"/>
  <c r="N27" i="5"/>
  <c r="V27" i="5" s="1"/>
  <c r="W27" i="5" s="1"/>
  <c r="I54" i="5"/>
  <c r="K61" i="5"/>
  <c r="I62" i="5"/>
  <c r="V62" i="5"/>
  <c r="I38" i="5"/>
  <c r="I68" i="5"/>
  <c r="V68" i="5"/>
  <c r="I70" i="5"/>
  <c r="V2" i="1"/>
  <c r="J2" i="1" s="1"/>
  <c r="M118" i="1"/>
  <c r="M126" i="1"/>
  <c r="H126" i="1"/>
  <c r="V12" i="1"/>
  <c r="J12" i="1" s="1"/>
  <c r="V15" i="1"/>
  <c r="L15" i="1" s="1"/>
  <c r="V18" i="1"/>
  <c r="J18" i="1" s="1"/>
  <c r="V20" i="1"/>
  <c r="L20" i="1" s="1"/>
  <c r="V22" i="1"/>
  <c r="O22" i="1" s="1"/>
  <c r="V27" i="1"/>
  <c r="L27" i="1" s="1"/>
  <c r="V30" i="1"/>
  <c r="J30" i="1" s="1"/>
  <c r="V3" i="1"/>
  <c r="J3" i="1" s="1"/>
  <c r="V4" i="1"/>
  <c r="J4" i="1" s="1"/>
  <c r="V5" i="1"/>
  <c r="L5" i="1" s="1"/>
  <c r="V6" i="1"/>
  <c r="L6" i="1" s="1"/>
  <c r="V7" i="1"/>
  <c r="J7" i="1" s="1"/>
  <c r="V9" i="1"/>
  <c r="J9" i="1" s="1"/>
  <c r="V10" i="1"/>
  <c r="L10" i="1" s="1"/>
  <c r="V11" i="1"/>
  <c r="L11" i="1" s="1"/>
  <c r="V13" i="1"/>
  <c r="J13" i="1" s="1"/>
  <c r="V14" i="1"/>
  <c r="L14" i="1" s="1"/>
  <c r="V16" i="1"/>
  <c r="L16" i="1" s="1"/>
  <c r="V17" i="1"/>
  <c r="L17" i="1" s="1"/>
  <c r="V19" i="1"/>
  <c r="J19" i="1" s="1"/>
  <c r="V21" i="1"/>
  <c r="L21" i="1" s="1"/>
  <c r="V23" i="1"/>
  <c r="L23" i="1" s="1"/>
  <c r="V24" i="1"/>
  <c r="L24" i="1" s="1"/>
  <c r="V25" i="1"/>
  <c r="J25" i="1" s="1"/>
  <c r="V26" i="1"/>
  <c r="J26" i="1" s="1"/>
  <c r="V28" i="1"/>
  <c r="L28" i="1" s="1"/>
  <c r="V29" i="1"/>
  <c r="L29" i="1" s="1"/>
  <c r="V31" i="1"/>
  <c r="J31" i="1" s="1"/>
  <c r="V32" i="1"/>
  <c r="J32" i="1" s="1"/>
  <c r="V33" i="1"/>
  <c r="L33" i="1" s="1"/>
  <c r="V83" i="1"/>
  <c r="L83" i="1" s="1"/>
  <c r="V84" i="1"/>
  <c r="J84" i="1" s="1"/>
  <c r="V85" i="1"/>
  <c r="L85" i="1" s="1"/>
  <c r="V86" i="1"/>
  <c r="L86" i="1" s="1"/>
  <c r="V87" i="1"/>
  <c r="L87" i="1" s="1"/>
  <c r="V88" i="1"/>
  <c r="J88" i="1" s="1"/>
  <c r="V89" i="1"/>
  <c r="J89" i="1" s="1"/>
  <c r="V91" i="1"/>
  <c r="L91" i="1" s="1"/>
  <c r="V92" i="1"/>
  <c r="L92" i="1" s="1"/>
  <c r="V93" i="1"/>
  <c r="J93" i="1" s="1"/>
  <c r="V95" i="1"/>
  <c r="J95" i="1" s="1"/>
  <c r="V96" i="1"/>
  <c r="L96" i="1" s="1"/>
  <c r="V98" i="1"/>
  <c r="J98" i="1" s="1"/>
  <c r="V100" i="1"/>
  <c r="J100" i="1" s="1"/>
  <c r="V102" i="1"/>
  <c r="L102" i="1" s="1"/>
  <c r="V104" i="1"/>
  <c r="L104" i="1" s="1"/>
  <c r="V105" i="1"/>
  <c r="J105" i="1" s="1"/>
  <c r="V106" i="1"/>
  <c r="L106" i="1" s="1"/>
  <c r="V107" i="1"/>
  <c r="L107" i="1" s="1"/>
  <c r="V109" i="1"/>
  <c r="L109" i="1" s="1"/>
  <c r="V110" i="1"/>
  <c r="J110" i="1" s="1"/>
  <c r="V112" i="1"/>
  <c r="J112" i="1" s="1"/>
  <c r="V113" i="1"/>
  <c r="L113" i="1" s="1"/>
  <c r="V90" i="1"/>
  <c r="L90" i="1" s="1"/>
  <c r="V94" i="1"/>
  <c r="J94" i="1" s="1"/>
  <c r="V97" i="1"/>
  <c r="O97" i="1" s="1"/>
  <c r="V99" i="1"/>
  <c r="L99" i="1" s="1"/>
  <c r="V101" i="1"/>
  <c r="L101" i="1" s="1"/>
  <c r="V103" i="1"/>
  <c r="J103" i="1" s="1"/>
  <c r="V108" i="1"/>
  <c r="O108" i="1" s="1"/>
  <c r="V111" i="1"/>
  <c r="L111" i="1" s="1"/>
  <c r="V58" i="1"/>
  <c r="L58" i="1" s="1"/>
  <c r="V59" i="1"/>
  <c r="J59" i="1" s="1"/>
  <c r="V62" i="1"/>
  <c r="L62" i="1" s="1"/>
  <c r="V63" i="1"/>
  <c r="L63" i="1" s="1"/>
  <c r="V65" i="1"/>
  <c r="L65" i="1" s="1"/>
  <c r="V66" i="1"/>
  <c r="J66" i="1" s="1"/>
  <c r="V68" i="1"/>
  <c r="J68" i="1" s="1"/>
  <c r="V69" i="1"/>
  <c r="L69" i="1" s="1"/>
  <c r="V70" i="1"/>
  <c r="L70" i="1" s="1"/>
  <c r="V71" i="1"/>
  <c r="J71" i="1" s="1"/>
  <c r="V72" i="1"/>
  <c r="J72" i="1" s="1"/>
  <c r="V73" i="1"/>
  <c r="L73" i="1" s="1"/>
  <c r="V77" i="1"/>
  <c r="L77" i="1" s="1"/>
  <c r="V79" i="1"/>
  <c r="J79" i="1" s="1"/>
  <c r="V80" i="1"/>
  <c r="L80" i="1" s="1"/>
  <c r="V52" i="1"/>
  <c r="L52" i="1" s="1"/>
  <c r="V53" i="1"/>
  <c r="J53" i="1" s="1"/>
  <c r="V54" i="1"/>
  <c r="L54" i="1" s="1"/>
  <c r="V55" i="1"/>
  <c r="L55" i="1" s="1"/>
  <c r="V56" i="1"/>
  <c r="L56" i="1" s="1"/>
  <c r="V57" i="1"/>
  <c r="J57" i="1" s="1"/>
  <c r="V60" i="1"/>
  <c r="L60" i="1" s="1"/>
  <c r="V61" i="1"/>
  <c r="L61" i="1" s="1"/>
  <c r="V64" i="1"/>
  <c r="L64" i="1" s="1"/>
  <c r="V67" i="1"/>
  <c r="J67" i="1" s="1"/>
  <c r="V74" i="1"/>
  <c r="L74" i="1" s="1"/>
  <c r="V75" i="1"/>
  <c r="L75" i="1" s="1"/>
  <c r="V76" i="1"/>
  <c r="L76" i="1" s="1"/>
  <c r="V78" i="1"/>
  <c r="J78" i="1" s="1"/>
  <c r="V81" i="1"/>
  <c r="O81" i="1" s="1"/>
  <c r="V82" i="1"/>
  <c r="L82" i="1" s="1"/>
  <c r="V114" i="1"/>
  <c r="L114" i="1" s="1"/>
  <c r="V115" i="1"/>
  <c r="J115" i="1" s="1"/>
  <c r="V116" i="1"/>
  <c r="L116" i="1" s="1"/>
  <c r="V117" i="1"/>
  <c r="L117" i="1" s="1"/>
  <c r="V118" i="1"/>
  <c r="L118" i="1" s="1"/>
  <c r="V119" i="1"/>
  <c r="J119" i="1" s="1"/>
  <c r="V120" i="1"/>
  <c r="J120" i="1" s="1"/>
  <c r="V121" i="1"/>
  <c r="L121" i="1" s="1"/>
  <c r="V34" i="1"/>
  <c r="J34" i="1" s="1"/>
  <c r="V51" i="1"/>
  <c r="J51" i="1" s="1"/>
  <c r="V186" i="1"/>
  <c r="J186" i="1" s="1"/>
  <c r="V35" i="1"/>
  <c r="L35" i="1" s="1"/>
  <c r="V36" i="1"/>
  <c r="J36" i="1" s="1"/>
  <c r="V37" i="1"/>
  <c r="L37" i="1" s="1"/>
  <c r="V38" i="1"/>
  <c r="L38" i="1" s="1"/>
  <c r="V39" i="1"/>
  <c r="L39" i="1" s="1"/>
  <c r="V40" i="1"/>
  <c r="J40" i="1" s="1"/>
  <c r="V41" i="1"/>
  <c r="L41" i="1" s="1"/>
  <c r="V42" i="1"/>
  <c r="J42" i="1" s="1"/>
  <c r="V43" i="1"/>
  <c r="L43" i="1" s="1"/>
  <c r="V44" i="1"/>
  <c r="J44" i="1" s="1"/>
  <c r="V45" i="1"/>
  <c r="L45" i="1" s="1"/>
  <c r="V46" i="1"/>
  <c r="J46" i="1" s="1"/>
  <c r="V47" i="1"/>
  <c r="L47" i="1" s="1"/>
  <c r="V48" i="1"/>
  <c r="J48" i="1" s="1"/>
  <c r="V49" i="1"/>
  <c r="L49" i="1" s="1"/>
  <c r="V50" i="1"/>
  <c r="L50" i="1" s="1"/>
  <c r="V129" i="1"/>
  <c r="L129" i="1" s="1"/>
  <c r="V133" i="1"/>
  <c r="J133" i="1" s="1"/>
  <c r="V136" i="1"/>
  <c r="L136" i="1" s="1"/>
  <c r="V139" i="1"/>
  <c r="O139" i="1" s="1"/>
  <c r="V141" i="1"/>
  <c r="L141" i="1" s="1"/>
  <c r="V143" i="1"/>
  <c r="J143" i="1" s="1"/>
  <c r="V148" i="1"/>
  <c r="L148" i="1" s="1"/>
  <c r="V151" i="1"/>
  <c r="J151" i="1" s="1"/>
  <c r="V122" i="1"/>
  <c r="L122" i="1" s="1"/>
  <c r="V123" i="1"/>
  <c r="J123" i="1" s="1"/>
  <c r="V124" i="1"/>
  <c r="L124" i="1" s="1"/>
  <c r="V125" i="1"/>
  <c r="J125" i="1" s="1"/>
  <c r="V126" i="1"/>
  <c r="L126" i="1" s="1"/>
  <c r="V127" i="1"/>
  <c r="J127" i="1" s="1"/>
  <c r="V128" i="1"/>
  <c r="L128" i="1" s="1"/>
  <c r="V130" i="1"/>
  <c r="J130" i="1" s="1"/>
  <c r="V131" i="1"/>
  <c r="L131" i="1" s="1"/>
  <c r="V132" i="1"/>
  <c r="J132" i="1" s="1"/>
  <c r="V134" i="1"/>
  <c r="L134" i="1" s="1"/>
  <c r="V135" i="1"/>
  <c r="L135" i="1" s="1"/>
  <c r="V137" i="1"/>
  <c r="L137" i="1" s="1"/>
  <c r="V138" i="1"/>
  <c r="J138" i="1" s="1"/>
  <c r="V140" i="1"/>
  <c r="L140" i="1" s="1"/>
  <c r="V142" i="1"/>
  <c r="J142" i="1" s="1"/>
  <c r="V144" i="1"/>
  <c r="L144" i="1" s="1"/>
  <c r="V145" i="1"/>
  <c r="J145" i="1" s="1"/>
  <c r="V146" i="1"/>
  <c r="L146" i="1" s="1"/>
  <c r="V147" i="1"/>
  <c r="O147" i="1" s="1"/>
  <c r="V149" i="1"/>
  <c r="L149" i="1" s="1"/>
  <c r="V150" i="1"/>
  <c r="J150" i="1" s="1"/>
  <c r="V152" i="1"/>
  <c r="L152" i="1" s="1"/>
  <c r="V153" i="1"/>
  <c r="J153" i="1" s="1"/>
  <c r="V154" i="1"/>
  <c r="L154" i="1" s="1"/>
  <c r="V155" i="1"/>
  <c r="J155" i="1" s="1"/>
  <c r="V156" i="1"/>
  <c r="L156" i="1" s="1"/>
  <c r="V157" i="1"/>
  <c r="O157" i="1" s="1"/>
  <c r="V158" i="1"/>
  <c r="L158" i="1" s="1"/>
  <c r="V159" i="1"/>
  <c r="J159" i="1" s="1"/>
  <c r="V160" i="1"/>
  <c r="L160" i="1" s="1"/>
  <c r="V161" i="1"/>
  <c r="J161" i="1" s="1"/>
  <c r="V162" i="1"/>
  <c r="L162" i="1" s="1"/>
  <c r="V163" i="1"/>
  <c r="J163" i="1" s="1"/>
  <c r="V164" i="1"/>
  <c r="L164" i="1" s="1"/>
  <c r="V165" i="1"/>
  <c r="L165" i="1" s="1"/>
  <c r="V166" i="1"/>
  <c r="L166" i="1" s="1"/>
  <c r="V167" i="1"/>
  <c r="J167" i="1" s="1"/>
  <c r="V168" i="1"/>
  <c r="L168" i="1" s="1"/>
  <c r="V169" i="1"/>
  <c r="J169" i="1" s="1"/>
  <c r="V170" i="1"/>
  <c r="L170" i="1" s="1"/>
  <c r="V171" i="1"/>
  <c r="J171" i="1" s="1"/>
  <c r="V172" i="1"/>
  <c r="L172" i="1" s="1"/>
  <c r="V173" i="1"/>
  <c r="O173" i="1" s="1"/>
  <c r="V174" i="1"/>
  <c r="L174" i="1" s="1"/>
  <c r="V175" i="1"/>
  <c r="J175" i="1" s="1"/>
  <c r="V176" i="1"/>
  <c r="L176" i="1" s="1"/>
  <c r="V177" i="1"/>
  <c r="J177" i="1" s="1"/>
  <c r="V178" i="1"/>
  <c r="L178" i="1" s="1"/>
  <c r="V179" i="1"/>
  <c r="J179" i="1" s="1"/>
  <c r="V180" i="1"/>
  <c r="L180" i="1" s="1"/>
  <c r="V181" i="1"/>
  <c r="O181" i="1" s="1"/>
  <c r="V182" i="1"/>
  <c r="L182" i="1" s="1"/>
  <c r="V183" i="1"/>
  <c r="J183" i="1" s="1"/>
  <c r="V184" i="1"/>
  <c r="L184" i="1" s="1"/>
  <c r="V185" i="1"/>
  <c r="L185" i="1" s="1"/>
  <c r="V8" i="1"/>
  <c r="L8" i="1" s="1"/>
  <c r="O132" i="1"/>
  <c r="A27" i="2"/>
  <c r="P135" i="1"/>
  <c r="P164" i="1"/>
  <c r="P152" i="1"/>
  <c r="P168" i="1"/>
  <c r="P170" i="1"/>
  <c r="P161" i="1"/>
  <c r="P145" i="1"/>
  <c r="P130" i="1"/>
  <c r="P177" i="1"/>
  <c r="P154" i="1"/>
  <c r="P162" i="1"/>
  <c r="P173" i="1"/>
  <c r="P174" i="1"/>
  <c r="P171" i="1"/>
  <c r="P172" i="1"/>
  <c r="P165" i="1"/>
  <c r="P183" i="1"/>
  <c r="P175" i="1"/>
  <c r="P182" i="1"/>
  <c r="P144" i="1"/>
  <c r="P184" i="1"/>
  <c r="P180" i="1"/>
  <c r="P169" i="1"/>
  <c r="P158" i="1"/>
  <c r="S3" i="1"/>
  <c r="S4" i="1"/>
  <c r="S5" i="1"/>
  <c r="S6" i="1"/>
  <c r="S7" i="1"/>
  <c r="S8" i="1"/>
  <c r="S10" i="1"/>
  <c r="S11" i="1"/>
  <c r="S12" i="1"/>
  <c r="S14" i="1"/>
  <c r="S15" i="1"/>
  <c r="S17" i="1"/>
  <c r="S18" i="1"/>
  <c r="S20" i="1"/>
  <c r="S22" i="1"/>
  <c r="S24" i="1"/>
  <c r="S25" i="1"/>
  <c r="S26" i="1"/>
  <c r="S27" i="1"/>
  <c r="S29" i="1"/>
  <c r="S30" i="1"/>
  <c r="S32" i="1"/>
  <c r="S33" i="1"/>
  <c r="S9" i="1"/>
  <c r="S13" i="1"/>
  <c r="S16" i="1"/>
  <c r="S19" i="1"/>
  <c r="S21" i="1"/>
  <c r="S23" i="1"/>
  <c r="S28" i="1"/>
  <c r="S31" i="1"/>
  <c r="S2" i="1"/>
  <c r="P186" i="1"/>
  <c r="P34" i="1"/>
  <c r="P44" i="1"/>
  <c r="P42" i="1"/>
  <c r="P39" i="1"/>
  <c r="P43" i="1"/>
  <c r="P51" i="1"/>
  <c r="P35" i="1"/>
  <c r="P38" i="1"/>
  <c r="P37" i="1"/>
  <c r="P46" i="1"/>
  <c r="P45" i="1"/>
  <c r="P41" i="1"/>
  <c r="P40" i="1"/>
  <c r="P47" i="1"/>
  <c r="P48" i="1"/>
  <c r="P36" i="1"/>
  <c r="P50" i="1"/>
  <c r="P141" i="1"/>
  <c r="P151" i="1"/>
  <c r="P136" i="1"/>
  <c r="P139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83" i="1"/>
  <c r="W32" i="5" l="1"/>
  <c r="W9" i="5"/>
  <c r="W3" i="5"/>
  <c r="W57" i="5"/>
  <c r="W13" i="5"/>
  <c r="W10" i="5"/>
  <c r="W118" i="1"/>
  <c r="Y118" i="1"/>
  <c r="W64" i="1"/>
  <c r="Y64" i="1"/>
  <c r="W52" i="1"/>
  <c r="Y52" i="1"/>
  <c r="W69" i="1"/>
  <c r="Y69" i="1"/>
  <c r="W111" i="1"/>
  <c r="Y111" i="1"/>
  <c r="W113" i="1"/>
  <c r="Y113" i="1"/>
  <c r="W102" i="1"/>
  <c r="Y102" i="1"/>
  <c r="W21" i="1"/>
  <c r="Y21" i="1"/>
  <c r="W8" i="1"/>
  <c r="Y8" i="1"/>
  <c r="W178" i="1"/>
  <c r="Y178" i="1"/>
  <c r="W170" i="1"/>
  <c r="Y170" i="1"/>
  <c r="W162" i="1"/>
  <c r="Y162" i="1"/>
  <c r="W154" i="1"/>
  <c r="Y154" i="1"/>
  <c r="W144" i="1"/>
  <c r="Y144" i="1"/>
  <c r="W126" i="1"/>
  <c r="Y126" i="1"/>
  <c r="W141" i="1"/>
  <c r="Y141" i="1"/>
  <c r="W47" i="1"/>
  <c r="Y47" i="1"/>
  <c r="W39" i="1"/>
  <c r="Y39" i="1"/>
  <c r="W121" i="1"/>
  <c r="Y121" i="1"/>
  <c r="W82" i="1"/>
  <c r="Y82" i="1"/>
  <c r="W61" i="1"/>
  <c r="Y61" i="1"/>
  <c r="W55" i="1"/>
  <c r="Y55" i="1"/>
  <c r="W62" i="1"/>
  <c r="Y62" i="1"/>
  <c r="W106" i="1"/>
  <c r="Y106" i="1"/>
  <c r="W20" i="1"/>
  <c r="Y20" i="1"/>
  <c r="W185" i="1"/>
  <c r="Y185" i="1"/>
  <c r="W165" i="1"/>
  <c r="Y165" i="1"/>
  <c r="W135" i="1"/>
  <c r="Y135" i="1"/>
  <c r="W50" i="1"/>
  <c r="Y50" i="1"/>
  <c r="W38" i="1"/>
  <c r="Y38" i="1"/>
  <c r="W116" i="1"/>
  <c r="Y116" i="1"/>
  <c r="W74" i="1"/>
  <c r="Y74" i="1"/>
  <c r="W60" i="1"/>
  <c r="Y60" i="1"/>
  <c r="W54" i="1"/>
  <c r="Y54" i="1"/>
  <c r="W92" i="1"/>
  <c r="Y92" i="1"/>
  <c r="W87" i="1"/>
  <c r="Y87" i="1"/>
  <c r="W83" i="1"/>
  <c r="Y83" i="1"/>
  <c r="W29" i="1"/>
  <c r="Y29" i="1"/>
  <c r="W24" i="1"/>
  <c r="Y24" i="1"/>
  <c r="W17" i="1"/>
  <c r="Y17" i="1"/>
  <c r="W11" i="1"/>
  <c r="Y11" i="1"/>
  <c r="W6" i="1"/>
  <c r="Y6" i="1"/>
  <c r="W114" i="1"/>
  <c r="Y114" i="1"/>
  <c r="W76" i="1"/>
  <c r="Y76" i="1"/>
  <c r="W56" i="1"/>
  <c r="Y56" i="1"/>
  <c r="W73" i="1"/>
  <c r="Y73" i="1"/>
  <c r="W63" i="1"/>
  <c r="Y63" i="1"/>
  <c r="W99" i="1"/>
  <c r="Y99" i="1"/>
  <c r="W107" i="1"/>
  <c r="Y107" i="1"/>
  <c r="W85" i="1"/>
  <c r="Y85" i="1"/>
  <c r="W14" i="1"/>
  <c r="Y14" i="1"/>
  <c r="W182" i="1"/>
  <c r="Y182" i="1"/>
  <c r="W174" i="1"/>
  <c r="Y174" i="1"/>
  <c r="W166" i="1"/>
  <c r="Y166" i="1"/>
  <c r="W158" i="1"/>
  <c r="Y158" i="1"/>
  <c r="W149" i="1"/>
  <c r="Y149" i="1"/>
  <c r="W137" i="1"/>
  <c r="Y137" i="1"/>
  <c r="W131" i="1"/>
  <c r="Y131" i="1"/>
  <c r="W122" i="1"/>
  <c r="Y122" i="1"/>
  <c r="W129" i="1"/>
  <c r="Y129" i="1"/>
  <c r="W43" i="1"/>
  <c r="Y43" i="1"/>
  <c r="W35" i="1"/>
  <c r="Y35" i="1"/>
  <c r="W117" i="1"/>
  <c r="Y117" i="1"/>
  <c r="W75" i="1"/>
  <c r="Y75" i="1"/>
  <c r="W80" i="1"/>
  <c r="Y80" i="1"/>
  <c r="W184" i="1"/>
  <c r="Y184" i="1"/>
  <c r="W180" i="1"/>
  <c r="Y180" i="1"/>
  <c r="W176" i="1"/>
  <c r="Y176" i="1"/>
  <c r="W172" i="1"/>
  <c r="Y172" i="1"/>
  <c r="W168" i="1"/>
  <c r="Y168" i="1"/>
  <c r="W164" i="1"/>
  <c r="Y164" i="1"/>
  <c r="W160" i="1"/>
  <c r="Y160" i="1"/>
  <c r="W156" i="1"/>
  <c r="Y156" i="1"/>
  <c r="W152" i="1"/>
  <c r="Y152" i="1"/>
  <c r="W146" i="1"/>
  <c r="Y146" i="1"/>
  <c r="W140" i="1"/>
  <c r="Y140" i="1"/>
  <c r="W134" i="1"/>
  <c r="Y134" i="1"/>
  <c r="W128" i="1"/>
  <c r="Y128" i="1"/>
  <c r="W124" i="1"/>
  <c r="Y124" i="1"/>
  <c r="W148" i="1"/>
  <c r="Y148" i="1"/>
  <c r="W136" i="1"/>
  <c r="Y136" i="1"/>
  <c r="W49" i="1"/>
  <c r="Y49" i="1"/>
  <c r="W45" i="1"/>
  <c r="Y45" i="1"/>
  <c r="W41" i="1"/>
  <c r="Y41" i="1"/>
  <c r="W37" i="1"/>
  <c r="Y37" i="1"/>
  <c r="W77" i="1"/>
  <c r="Y77" i="1"/>
  <c r="W70" i="1"/>
  <c r="Y70" i="1"/>
  <c r="W65" i="1"/>
  <c r="Y65" i="1"/>
  <c r="W58" i="1"/>
  <c r="Y58" i="1"/>
  <c r="W101" i="1"/>
  <c r="Y101" i="1"/>
  <c r="W90" i="1"/>
  <c r="Y90" i="1"/>
  <c r="W109" i="1"/>
  <c r="Y109" i="1"/>
  <c r="W104" i="1"/>
  <c r="Y104" i="1"/>
  <c r="W96" i="1"/>
  <c r="Y96" i="1"/>
  <c r="W91" i="1"/>
  <c r="Y91" i="1"/>
  <c r="W86" i="1"/>
  <c r="Y86" i="1"/>
  <c r="W33" i="1"/>
  <c r="Y33" i="1"/>
  <c r="W28" i="1"/>
  <c r="Y28" i="1"/>
  <c r="W23" i="1"/>
  <c r="Y23" i="1"/>
  <c r="W16" i="1"/>
  <c r="Y16" i="1"/>
  <c r="W10" i="1"/>
  <c r="Y10" i="1"/>
  <c r="W5" i="1"/>
  <c r="Y5" i="1"/>
  <c r="W27" i="1"/>
  <c r="Y27" i="1"/>
  <c r="W15" i="1"/>
  <c r="Y15" i="1"/>
  <c r="W49" i="5"/>
  <c r="W66" i="5"/>
  <c r="V18" i="5"/>
  <c r="W18" i="5" s="1"/>
  <c r="W67" i="5"/>
  <c r="W34" i="5"/>
  <c r="W29" i="5"/>
  <c r="W71" i="5"/>
  <c r="V5" i="5"/>
  <c r="V44" i="5"/>
  <c r="W39" i="5"/>
  <c r="V21" i="5"/>
  <c r="W60" i="5"/>
  <c r="W59" i="5"/>
  <c r="W12" i="5"/>
  <c r="V69" i="5"/>
  <c r="W69" i="5" s="1"/>
  <c r="O89" i="1"/>
  <c r="W70" i="5"/>
  <c r="W17" i="5"/>
  <c r="W25" i="5"/>
  <c r="W48" i="5"/>
  <c r="W30" i="5"/>
  <c r="V15" i="5"/>
  <c r="W15" i="5" s="1"/>
  <c r="V61" i="5"/>
  <c r="W61" i="5" s="1"/>
  <c r="W52" i="5"/>
  <c r="O13" i="1"/>
  <c r="V23" i="5"/>
  <c r="W33" i="5"/>
  <c r="O67" i="1"/>
  <c r="O32" i="1"/>
  <c r="L108" i="1"/>
  <c r="O12" i="1"/>
  <c r="O78" i="1"/>
  <c r="L66" i="1"/>
  <c r="L32" i="1"/>
  <c r="L4" i="1"/>
  <c r="J108" i="1"/>
  <c r="L57" i="1"/>
  <c r="O26" i="1"/>
  <c r="O145" i="1"/>
  <c r="L67" i="1"/>
  <c r="L112" i="1"/>
  <c r="L26" i="1"/>
  <c r="O4" i="1"/>
  <c r="O123" i="1"/>
  <c r="O155" i="1"/>
  <c r="O133" i="1"/>
  <c r="L98" i="1"/>
  <c r="L31" i="1"/>
  <c r="L72" i="1"/>
  <c r="L103" i="1"/>
  <c r="O98" i="1"/>
  <c r="O84" i="1"/>
  <c r="O169" i="1"/>
  <c r="L105" i="1"/>
  <c r="L93" i="1"/>
  <c r="O125" i="1"/>
  <c r="O105" i="1"/>
  <c r="O93" i="1"/>
  <c r="L25" i="1"/>
  <c r="O30" i="1"/>
  <c r="O153" i="1"/>
  <c r="L157" i="1"/>
  <c r="O46" i="1"/>
  <c r="O79" i="1"/>
  <c r="O179" i="1"/>
  <c r="L151" i="1"/>
  <c r="O171" i="1"/>
  <c r="L153" i="1"/>
  <c r="L125" i="1"/>
  <c r="L139" i="1"/>
  <c r="J165" i="1"/>
  <c r="O7" i="1"/>
  <c r="O115" i="1"/>
  <c r="L181" i="1"/>
  <c r="O42" i="1"/>
  <c r="L53" i="1"/>
  <c r="O68" i="1"/>
  <c r="L110" i="1"/>
  <c r="L88" i="1"/>
  <c r="O25" i="1"/>
  <c r="O44" i="1"/>
  <c r="O18" i="1"/>
  <c r="O60" i="1"/>
  <c r="L71" i="1"/>
  <c r="L97" i="1"/>
  <c r="L161" i="1"/>
  <c r="O142" i="1"/>
  <c r="L46" i="1"/>
  <c r="J60" i="1"/>
  <c r="J181" i="1"/>
  <c r="O71" i="1"/>
  <c r="O159" i="1"/>
  <c r="O72" i="1"/>
  <c r="O103" i="1"/>
  <c r="O3" i="1"/>
  <c r="L142" i="1"/>
  <c r="L42" i="1"/>
  <c r="O177" i="1"/>
  <c r="O143" i="1"/>
  <c r="J147" i="1"/>
  <c r="J81" i="1"/>
  <c r="J97" i="1"/>
  <c r="J21" i="1"/>
  <c r="L81" i="1"/>
  <c r="O112" i="1"/>
  <c r="O31" i="1"/>
  <c r="L13" i="1"/>
  <c r="L177" i="1"/>
  <c r="O186" i="1"/>
  <c r="J185" i="1"/>
  <c r="J50" i="1"/>
  <c r="L78" i="1"/>
  <c r="L22" i="1"/>
  <c r="O95" i="1"/>
  <c r="L119" i="1"/>
  <c r="O59" i="1"/>
  <c r="O94" i="1"/>
  <c r="L95" i="1"/>
  <c r="O21" i="1"/>
  <c r="L3" i="1"/>
  <c r="O163" i="1"/>
  <c r="L147" i="1"/>
  <c r="O48" i="1"/>
  <c r="O185" i="1"/>
  <c r="J74" i="1"/>
  <c r="O120" i="1"/>
  <c r="O74" i="1"/>
  <c r="L94" i="1"/>
  <c r="O165" i="1"/>
  <c r="O150" i="1"/>
  <c r="O50" i="1"/>
  <c r="L7" i="1"/>
  <c r="L51" i="1"/>
  <c r="L19" i="1"/>
  <c r="O53" i="1"/>
  <c r="O183" i="1"/>
  <c r="O130" i="1"/>
  <c r="O36" i="1"/>
  <c r="O100" i="1"/>
  <c r="O9" i="1"/>
  <c r="L169" i="1"/>
  <c r="L130" i="1"/>
  <c r="J173" i="1"/>
  <c r="J135" i="1"/>
  <c r="J38" i="1"/>
  <c r="J54" i="1"/>
  <c r="J106" i="1"/>
  <c r="J14" i="1"/>
  <c r="L120" i="1"/>
  <c r="L79" i="1"/>
  <c r="L68" i="1"/>
  <c r="L100" i="1"/>
  <c r="L89" i="1"/>
  <c r="L9" i="1"/>
  <c r="O2" i="1"/>
  <c r="O161" i="1"/>
  <c r="O151" i="1"/>
  <c r="O51" i="1"/>
  <c r="J22" i="1"/>
  <c r="L59" i="1"/>
  <c r="O116" i="1"/>
  <c r="O54" i="1"/>
  <c r="O62" i="1"/>
  <c r="O106" i="1"/>
  <c r="O85" i="1"/>
  <c r="O14" i="1"/>
  <c r="L12" i="1"/>
  <c r="O175" i="1"/>
  <c r="O138" i="1"/>
  <c r="O40" i="1"/>
  <c r="J157" i="1"/>
  <c r="J139" i="1"/>
  <c r="J116" i="1"/>
  <c r="J62" i="1"/>
  <c r="J85" i="1"/>
  <c r="L84" i="1"/>
  <c r="L173" i="1"/>
  <c r="L2" i="1"/>
  <c r="O135" i="1"/>
  <c r="O38" i="1"/>
  <c r="L115" i="1"/>
  <c r="O34" i="1"/>
  <c r="O119" i="1"/>
  <c r="O57" i="1"/>
  <c r="O66" i="1"/>
  <c r="O110" i="1"/>
  <c r="O88" i="1"/>
  <c r="O19" i="1"/>
  <c r="O167" i="1"/>
  <c r="O127" i="1"/>
  <c r="O121" i="1"/>
  <c r="O117" i="1"/>
  <c r="O82" i="1"/>
  <c r="O75" i="1"/>
  <c r="O61" i="1"/>
  <c r="O55" i="1"/>
  <c r="O80" i="1"/>
  <c r="O73" i="1"/>
  <c r="O69" i="1"/>
  <c r="O63" i="1"/>
  <c r="O111" i="1"/>
  <c r="O99" i="1"/>
  <c r="O113" i="1"/>
  <c r="O107" i="1"/>
  <c r="O102" i="1"/>
  <c r="O96" i="1"/>
  <c r="O91" i="1"/>
  <c r="O86" i="1"/>
  <c r="O33" i="1"/>
  <c r="O28" i="1"/>
  <c r="O23" i="1"/>
  <c r="O16" i="1"/>
  <c r="O10" i="1"/>
  <c r="O5" i="1"/>
  <c r="J8" i="1"/>
  <c r="J182" i="1"/>
  <c r="J178" i="1"/>
  <c r="J174" i="1"/>
  <c r="J170" i="1"/>
  <c r="J166" i="1"/>
  <c r="J162" i="1"/>
  <c r="J158" i="1"/>
  <c r="J154" i="1"/>
  <c r="J149" i="1"/>
  <c r="J144" i="1"/>
  <c r="J137" i="1"/>
  <c r="J131" i="1"/>
  <c r="J126" i="1"/>
  <c r="J122" i="1"/>
  <c r="J141" i="1"/>
  <c r="J129" i="1"/>
  <c r="J47" i="1"/>
  <c r="J43" i="1"/>
  <c r="J39" i="1"/>
  <c r="J35" i="1"/>
  <c r="J121" i="1"/>
  <c r="J117" i="1"/>
  <c r="J82" i="1"/>
  <c r="J75" i="1"/>
  <c r="J61" i="1"/>
  <c r="J55" i="1"/>
  <c r="J80" i="1"/>
  <c r="J73" i="1"/>
  <c r="J69" i="1"/>
  <c r="J63" i="1"/>
  <c r="J111" i="1"/>
  <c r="J99" i="1"/>
  <c r="J113" i="1"/>
  <c r="J107" i="1"/>
  <c r="J102" i="1"/>
  <c r="J96" i="1"/>
  <c r="J91" i="1"/>
  <c r="J86" i="1"/>
  <c r="J33" i="1"/>
  <c r="J28" i="1"/>
  <c r="J23" i="1"/>
  <c r="J16" i="1"/>
  <c r="J10" i="1"/>
  <c r="J5" i="1"/>
  <c r="J27" i="1"/>
  <c r="J15" i="1"/>
  <c r="L30" i="1"/>
  <c r="L18" i="1"/>
  <c r="L183" i="1"/>
  <c r="L179" i="1"/>
  <c r="L175" i="1"/>
  <c r="L171" i="1"/>
  <c r="L167" i="1"/>
  <c r="L163" i="1"/>
  <c r="L159" i="1"/>
  <c r="L155" i="1"/>
  <c r="L150" i="1"/>
  <c r="L145" i="1"/>
  <c r="L138" i="1"/>
  <c r="L132" i="1"/>
  <c r="Y132" i="1" s="1"/>
  <c r="L127" i="1"/>
  <c r="L123" i="1"/>
  <c r="L143" i="1"/>
  <c r="L133" i="1"/>
  <c r="L48" i="1"/>
  <c r="L44" i="1"/>
  <c r="L40" i="1"/>
  <c r="L36" i="1"/>
  <c r="L186" i="1"/>
  <c r="L34" i="1"/>
  <c r="J118" i="1"/>
  <c r="J114" i="1"/>
  <c r="J76" i="1"/>
  <c r="J64" i="1"/>
  <c r="J56" i="1"/>
  <c r="J52" i="1"/>
  <c r="J77" i="1"/>
  <c r="J70" i="1"/>
  <c r="J65" i="1"/>
  <c r="J58" i="1"/>
  <c r="J101" i="1"/>
  <c r="J90" i="1"/>
  <c r="J109" i="1"/>
  <c r="J104" i="1"/>
  <c r="J92" i="1"/>
  <c r="J87" i="1"/>
  <c r="J83" i="1"/>
  <c r="J29" i="1"/>
  <c r="J24" i="1"/>
  <c r="J17" i="1"/>
  <c r="J11" i="1"/>
  <c r="J6" i="1"/>
  <c r="O8" i="1"/>
  <c r="O118" i="1"/>
  <c r="O114" i="1"/>
  <c r="O76" i="1"/>
  <c r="O64" i="1"/>
  <c r="O56" i="1"/>
  <c r="O52" i="1"/>
  <c r="O77" i="1"/>
  <c r="O70" i="1"/>
  <c r="O65" i="1"/>
  <c r="O58" i="1"/>
  <c r="O101" i="1"/>
  <c r="O90" i="1"/>
  <c r="O109" i="1"/>
  <c r="O104" i="1"/>
  <c r="O92" i="1"/>
  <c r="O87" i="1"/>
  <c r="O83" i="1"/>
  <c r="O29" i="1"/>
  <c r="O24" i="1"/>
  <c r="O17" i="1"/>
  <c r="O11" i="1"/>
  <c r="O6" i="1"/>
  <c r="J184" i="1"/>
  <c r="J180" i="1"/>
  <c r="J176" i="1"/>
  <c r="J172" i="1"/>
  <c r="J168" i="1"/>
  <c r="J164" i="1"/>
  <c r="J160" i="1"/>
  <c r="J156" i="1"/>
  <c r="J152" i="1"/>
  <c r="J146" i="1"/>
  <c r="J140" i="1"/>
  <c r="J134" i="1"/>
  <c r="J128" i="1"/>
  <c r="J124" i="1"/>
  <c r="J148" i="1"/>
  <c r="J136" i="1"/>
  <c r="J49" i="1"/>
  <c r="J45" i="1"/>
  <c r="J41" i="1"/>
  <c r="J37" i="1"/>
  <c r="J20" i="1"/>
  <c r="O27" i="1"/>
  <c r="O20" i="1"/>
  <c r="O15" i="1"/>
  <c r="O184" i="1"/>
  <c r="O182" i="1"/>
  <c r="O180" i="1"/>
  <c r="O178" i="1"/>
  <c r="O176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49" i="1"/>
  <c r="O146" i="1"/>
  <c r="O144" i="1"/>
  <c r="O140" i="1"/>
  <c r="O137" i="1"/>
  <c r="O134" i="1"/>
  <c r="O131" i="1"/>
  <c r="O128" i="1"/>
  <c r="O126" i="1"/>
  <c r="O124" i="1"/>
  <c r="O122" i="1"/>
  <c r="O148" i="1"/>
  <c r="O141" i="1"/>
  <c r="O136" i="1"/>
  <c r="O129" i="1"/>
  <c r="O49" i="1"/>
  <c r="O47" i="1"/>
  <c r="O45" i="1"/>
  <c r="O43" i="1"/>
  <c r="O41" i="1"/>
  <c r="O39" i="1"/>
  <c r="O37" i="1"/>
  <c r="O35" i="1"/>
  <c r="X149" i="1" l="1"/>
  <c r="X182" i="1"/>
  <c r="W34" i="1"/>
  <c r="X34" i="1" s="1"/>
  <c r="Y34" i="1"/>
  <c r="W123" i="1"/>
  <c r="X123" i="1" s="1"/>
  <c r="Y123" i="1"/>
  <c r="W163" i="1"/>
  <c r="Y163" i="1"/>
  <c r="W115" i="1"/>
  <c r="Y115" i="1"/>
  <c r="W120" i="1"/>
  <c r="Y120" i="1"/>
  <c r="W42" i="1"/>
  <c r="X42" i="1" s="1"/>
  <c r="Y42" i="1"/>
  <c r="W57" i="1"/>
  <c r="X57" i="1" s="1"/>
  <c r="Y57" i="1"/>
  <c r="X47" i="1"/>
  <c r="W48" i="1"/>
  <c r="X48" i="1" s="1"/>
  <c r="Y48" i="1"/>
  <c r="W167" i="1"/>
  <c r="Y167" i="1"/>
  <c r="W59" i="1"/>
  <c r="X59" i="1" s="1"/>
  <c r="Y59" i="1"/>
  <c r="W7" i="1"/>
  <c r="Y7" i="1"/>
  <c r="W3" i="1"/>
  <c r="Y3" i="1"/>
  <c r="W78" i="1"/>
  <c r="X78" i="1" s="1"/>
  <c r="Y78" i="1"/>
  <c r="W71" i="1"/>
  <c r="Y71" i="1"/>
  <c r="W53" i="1"/>
  <c r="Y53" i="1"/>
  <c r="W31" i="1"/>
  <c r="Y31" i="1"/>
  <c r="W119" i="1"/>
  <c r="X119" i="1" s="1"/>
  <c r="Y119" i="1"/>
  <c r="W13" i="1"/>
  <c r="Y13" i="1"/>
  <c r="W88" i="1"/>
  <c r="X88" i="1" s="1"/>
  <c r="Y88" i="1"/>
  <c r="W25" i="1"/>
  <c r="Y25" i="1"/>
  <c r="W93" i="1"/>
  <c r="Y93" i="1"/>
  <c r="W98" i="1"/>
  <c r="Y98" i="1"/>
  <c r="W4" i="1"/>
  <c r="X4" i="1" s="1"/>
  <c r="Y4" i="1"/>
  <c r="W44" i="1"/>
  <c r="Y44" i="1"/>
  <c r="W145" i="1"/>
  <c r="Y145" i="1"/>
  <c r="W179" i="1"/>
  <c r="X179" i="1" s="1"/>
  <c r="Y179" i="1"/>
  <c r="W173" i="1"/>
  <c r="X173" i="1" s="1"/>
  <c r="Y173" i="1"/>
  <c r="W89" i="1"/>
  <c r="X89" i="1" s="1"/>
  <c r="Y89" i="1"/>
  <c r="W169" i="1"/>
  <c r="Y169" i="1"/>
  <c r="W51" i="1"/>
  <c r="Y51" i="1"/>
  <c r="W22" i="1"/>
  <c r="X22" i="1" s="1"/>
  <c r="Y22" i="1"/>
  <c r="W97" i="1"/>
  <c r="X97" i="1" s="1"/>
  <c r="Y97" i="1"/>
  <c r="W125" i="1"/>
  <c r="X125" i="1" s="1"/>
  <c r="Y125" i="1"/>
  <c r="W72" i="1"/>
  <c r="Y72" i="1"/>
  <c r="W112" i="1"/>
  <c r="Y112" i="1"/>
  <c r="W66" i="1"/>
  <c r="Y66" i="1"/>
  <c r="W186" i="1"/>
  <c r="Y186" i="1"/>
  <c r="W127" i="1"/>
  <c r="Y127" i="1"/>
  <c r="W150" i="1"/>
  <c r="X150" i="1" s="1"/>
  <c r="Y150" i="1"/>
  <c r="W183" i="1"/>
  <c r="X183" i="1" s="1"/>
  <c r="Y183" i="1"/>
  <c r="W84" i="1"/>
  <c r="Y84" i="1"/>
  <c r="W100" i="1"/>
  <c r="Y100" i="1"/>
  <c r="W94" i="1"/>
  <c r="X94" i="1" s="1"/>
  <c r="Y94" i="1"/>
  <c r="W177" i="1"/>
  <c r="Y177" i="1"/>
  <c r="W81" i="1"/>
  <c r="Y81" i="1"/>
  <c r="W142" i="1"/>
  <c r="Y142" i="1"/>
  <c r="W46" i="1"/>
  <c r="X46" i="1" s="1"/>
  <c r="Y46" i="1"/>
  <c r="W153" i="1"/>
  <c r="Y153" i="1"/>
  <c r="W67" i="1"/>
  <c r="Y67" i="1"/>
  <c r="W36" i="1"/>
  <c r="X36" i="1" s="1"/>
  <c r="Y36" i="1"/>
  <c r="W133" i="1"/>
  <c r="Y133" i="1"/>
  <c r="W155" i="1"/>
  <c r="Y155" i="1"/>
  <c r="W171" i="1"/>
  <c r="X171" i="1" s="1"/>
  <c r="Y171" i="1"/>
  <c r="W18" i="1"/>
  <c r="X18" i="1" s="1"/>
  <c r="Y18" i="1"/>
  <c r="W12" i="1"/>
  <c r="Y12" i="1"/>
  <c r="W68" i="1"/>
  <c r="Y68" i="1"/>
  <c r="W40" i="1"/>
  <c r="X40" i="1" s="1"/>
  <c r="Y40" i="1"/>
  <c r="W143" i="1"/>
  <c r="Y143" i="1"/>
  <c r="W138" i="1"/>
  <c r="X138" i="1" s="1"/>
  <c r="Y138" i="1"/>
  <c r="W159" i="1"/>
  <c r="X159" i="1" s="1"/>
  <c r="Y159" i="1"/>
  <c r="W175" i="1"/>
  <c r="X175" i="1" s="1"/>
  <c r="Y175" i="1"/>
  <c r="W30" i="1"/>
  <c r="X30" i="1" s="1"/>
  <c r="Y30" i="1"/>
  <c r="W9" i="1"/>
  <c r="Y9" i="1"/>
  <c r="W79" i="1"/>
  <c r="Y79" i="1"/>
  <c r="W130" i="1"/>
  <c r="X130" i="1" s="1"/>
  <c r="Y130" i="1"/>
  <c r="X19" i="1"/>
  <c r="Y19" i="1"/>
  <c r="W147" i="1"/>
  <c r="Y147" i="1"/>
  <c r="W95" i="1"/>
  <c r="X95" i="1" s="1"/>
  <c r="Y95" i="1"/>
  <c r="W161" i="1"/>
  <c r="Y161" i="1"/>
  <c r="W110" i="1"/>
  <c r="Y110" i="1"/>
  <c r="W181" i="1"/>
  <c r="X181" i="1" s="1"/>
  <c r="Y181" i="1"/>
  <c r="W139" i="1"/>
  <c r="X139" i="1" s="1"/>
  <c r="Y139" i="1"/>
  <c r="W151" i="1"/>
  <c r="X151" i="1" s="1"/>
  <c r="Y151" i="1"/>
  <c r="W157" i="1"/>
  <c r="Y157" i="1"/>
  <c r="W105" i="1"/>
  <c r="X105" i="1" s="1"/>
  <c r="Y105" i="1"/>
  <c r="W103" i="1"/>
  <c r="X103" i="1" s="1"/>
  <c r="Y103" i="1"/>
  <c r="W26" i="1"/>
  <c r="X26" i="1" s="1"/>
  <c r="Y26" i="1"/>
  <c r="W32" i="1"/>
  <c r="X32" i="1" s="1"/>
  <c r="Y32" i="1"/>
  <c r="W108" i="1"/>
  <c r="Y108" i="1"/>
  <c r="W2" i="1"/>
  <c r="X2" i="1" s="1"/>
  <c r="Y2" i="1"/>
  <c r="W132" i="1"/>
  <c r="X132" i="1" s="1"/>
  <c r="X11" i="1"/>
  <c r="X83" i="1"/>
  <c r="X109" i="1"/>
  <c r="X65" i="1"/>
  <c r="X56" i="1"/>
  <c r="X118" i="1"/>
  <c r="X87" i="1"/>
  <c r="X70" i="1"/>
  <c r="X17" i="1"/>
  <c r="X90" i="1"/>
  <c r="X64" i="1"/>
  <c r="X24" i="1"/>
  <c r="X92" i="1"/>
  <c r="X101" i="1"/>
  <c r="X77" i="1"/>
  <c r="X76" i="1"/>
  <c r="X13" i="1"/>
  <c r="X15" i="1"/>
  <c r="X6" i="1"/>
  <c r="X29" i="1"/>
  <c r="X104" i="1"/>
  <c r="X58" i="1"/>
  <c r="X52" i="1"/>
  <c r="X114" i="1"/>
  <c r="X124" i="1"/>
  <c r="X164" i="1"/>
  <c r="X93" i="1"/>
  <c r="X66" i="1"/>
  <c r="X98" i="1"/>
  <c r="X67" i="1"/>
  <c r="X12" i="1"/>
  <c r="X71" i="1"/>
  <c r="X108" i="1"/>
  <c r="X133" i="1"/>
  <c r="X155" i="1"/>
  <c r="X25" i="1"/>
  <c r="X145" i="1"/>
  <c r="X112" i="1"/>
  <c r="X60" i="1"/>
  <c r="X157" i="1"/>
  <c r="X74" i="1"/>
  <c r="X84" i="1"/>
  <c r="X50" i="1"/>
  <c r="X153" i="1"/>
  <c r="X147" i="1"/>
  <c r="X31" i="1"/>
  <c r="X128" i="1"/>
  <c r="X14" i="1"/>
  <c r="X72" i="1"/>
  <c r="X54" i="1"/>
  <c r="X120" i="1"/>
  <c r="X169" i="1"/>
  <c r="X68" i="1"/>
  <c r="X131" i="1"/>
  <c r="X170" i="1"/>
  <c r="X161" i="1"/>
  <c r="X165" i="1"/>
  <c r="X35" i="1"/>
  <c r="X79" i="1"/>
  <c r="X186" i="1"/>
  <c r="X44" i="1"/>
  <c r="X163" i="1"/>
  <c r="X81" i="1"/>
  <c r="X7" i="1"/>
  <c r="X3" i="1"/>
  <c r="X185" i="1"/>
  <c r="X38" i="1"/>
  <c r="X53" i="1"/>
  <c r="X39" i="1"/>
  <c r="X137" i="1"/>
  <c r="X174" i="1"/>
  <c r="X115" i="1"/>
  <c r="X37" i="1"/>
  <c r="X136" i="1"/>
  <c r="X134" i="1"/>
  <c r="X156" i="1"/>
  <c r="X172" i="1"/>
  <c r="X20" i="1"/>
  <c r="X10" i="1"/>
  <c r="X102" i="1"/>
  <c r="X80" i="1"/>
  <c r="X110" i="1"/>
  <c r="X143" i="1"/>
  <c r="X142" i="1"/>
  <c r="X106" i="1"/>
  <c r="X177" i="1"/>
  <c r="X41" i="1"/>
  <c r="X140" i="1"/>
  <c r="X176" i="1"/>
  <c r="X51" i="1"/>
  <c r="X141" i="1"/>
  <c r="X158" i="1"/>
  <c r="X27" i="1"/>
  <c r="X8" i="1"/>
  <c r="X127" i="1"/>
  <c r="X167" i="1"/>
  <c r="X16" i="1"/>
  <c r="X107" i="1"/>
  <c r="X55" i="1"/>
  <c r="X116" i="1"/>
  <c r="X21" i="1"/>
  <c r="X129" i="1"/>
  <c r="X154" i="1"/>
  <c r="X85" i="1"/>
  <c r="X135" i="1"/>
  <c r="X100" i="1"/>
  <c r="X45" i="1"/>
  <c r="X146" i="1"/>
  <c r="X180" i="1"/>
  <c r="X33" i="1"/>
  <c r="X82" i="1"/>
  <c r="X122" i="1"/>
  <c r="X162" i="1"/>
  <c r="X28" i="1"/>
  <c r="X99" i="1"/>
  <c r="X75" i="1"/>
  <c r="X111" i="1"/>
  <c r="X62" i="1"/>
  <c r="X9" i="1"/>
  <c r="X144" i="1"/>
  <c r="X178" i="1"/>
  <c r="X148" i="1"/>
  <c r="X160" i="1"/>
  <c r="X23" i="1"/>
  <c r="X113" i="1"/>
  <c r="X61" i="1"/>
  <c r="X5" i="1"/>
  <c r="X96" i="1"/>
  <c r="X73" i="1"/>
  <c r="X43" i="1"/>
  <c r="X49" i="1"/>
  <c r="X152" i="1"/>
  <c r="X168" i="1"/>
  <c r="X184" i="1"/>
  <c r="X91" i="1"/>
  <c r="X69" i="1"/>
  <c r="X121" i="1"/>
  <c r="X126" i="1"/>
  <c r="X166" i="1"/>
  <c r="X86" i="1"/>
  <c r="X63" i="1"/>
  <c r="X117" i="1"/>
</calcChain>
</file>

<file path=xl/comments1.xml><?xml version="1.0" encoding="utf-8"?>
<comments xmlns="http://schemas.openxmlformats.org/spreadsheetml/2006/main">
  <authors>
    <author>Zanne, Amy</author>
  </authors>
  <commentList>
    <comment ref="F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NA = no fruiting bodies present
UNK = fruiting bodies present but not identified</t>
        </r>
      </text>
    </comment>
  </commentList>
</comments>
</file>

<file path=xl/comments2.xml><?xml version="1.0" encoding="utf-8"?>
<comments xmlns="http://schemas.openxmlformats.org/spreadsheetml/2006/main">
  <authors>
    <author>Zanne, Amy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CODE-b indicates bagged material</t>
        </r>
      </text>
    </comment>
  </commentList>
</comments>
</file>

<file path=xl/sharedStrings.xml><?xml version="1.0" encoding="utf-8"?>
<sst xmlns="http://schemas.openxmlformats.org/spreadsheetml/2006/main" count="2031" uniqueCount="750">
  <si>
    <t>Species</t>
  </si>
  <si>
    <t>Symbol</t>
  </si>
  <si>
    <t>Plot</t>
  </si>
  <si>
    <t>Pull date</t>
  </si>
  <si>
    <t>Picture ID</t>
  </si>
  <si>
    <t>Fruiting bodies (y/n)</t>
  </si>
  <si>
    <t>Fungal ID</t>
  </si>
  <si>
    <t>Notes</t>
  </si>
  <si>
    <t>ACRU</t>
  </si>
  <si>
    <t>1-L</t>
  </si>
  <si>
    <t>AEGL</t>
  </si>
  <si>
    <t>1-L</t>
  </si>
  <si>
    <t>AMAR</t>
  </si>
  <si>
    <t>1-L</t>
  </si>
  <si>
    <t>ASTR</t>
  </si>
  <si>
    <t>1-L</t>
  </si>
  <si>
    <t>CATO</t>
  </si>
  <si>
    <t>1-L</t>
  </si>
  <si>
    <t>CEOC</t>
  </si>
  <si>
    <t>1-L</t>
  </si>
  <si>
    <t>CEOC2</t>
  </si>
  <si>
    <t>1-L</t>
  </si>
  <si>
    <t>COFL</t>
  </si>
  <si>
    <t>1-L</t>
  </si>
  <si>
    <t>DIVI</t>
  </si>
  <si>
    <t>1-L</t>
  </si>
  <si>
    <t>FRAM</t>
  </si>
  <si>
    <t>1-L</t>
  </si>
  <si>
    <t>GLTR</t>
  </si>
  <si>
    <t>1-L</t>
  </si>
  <si>
    <t>JUNI</t>
  </si>
  <si>
    <t>1-L</t>
  </si>
  <si>
    <t>JUVI</t>
  </si>
  <si>
    <t>1-L</t>
  </si>
  <si>
    <t>JUVI2</t>
  </si>
  <si>
    <t>1-L</t>
  </si>
  <si>
    <t>LOMA</t>
  </si>
  <si>
    <t>1-L</t>
  </si>
  <si>
    <t>PIEC</t>
  </si>
  <si>
    <t>1-L</t>
  </si>
  <si>
    <t>PIST</t>
  </si>
  <si>
    <t>1-L</t>
  </si>
  <si>
    <t>PLOC</t>
  </si>
  <si>
    <t>1-L</t>
  </si>
  <si>
    <t>1-L</t>
  </si>
  <si>
    <t>QUAL</t>
  </si>
  <si>
    <t>1-L</t>
  </si>
  <si>
    <t>QUVE</t>
  </si>
  <si>
    <t>1-L</t>
  </si>
  <si>
    <t>QUVE2</t>
  </si>
  <si>
    <t>1-L</t>
  </si>
  <si>
    <t>ULRU</t>
  </si>
  <si>
    <t>1-L</t>
  </si>
  <si>
    <t>VIVU</t>
  </si>
  <si>
    <t>1-L</t>
  </si>
  <si>
    <t>CEDA</t>
  </si>
  <si>
    <t>1-L</t>
  </si>
  <si>
    <t>CHRY</t>
  </si>
  <si>
    <t>1-L</t>
  </si>
  <si>
    <t>HDMP</t>
  </si>
  <si>
    <t>1-L</t>
  </si>
  <si>
    <t>HICK</t>
  </si>
  <si>
    <t>1-L</t>
  </si>
  <si>
    <t>PINE</t>
  </si>
  <si>
    <t>1-L</t>
  </si>
  <si>
    <t>ROAK</t>
  </si>
  <si>
    <t>1-L</t>
  </si>
  <si>
    <t>ROSE</t>
  </si>
  <si>
    <t>1-L</t>
  </si>
  <si>
    <t>ZEBRA</t>
  </si>
  <si>
    <t>1-L</t>
  </si>
  <si>
    <t>ACRU</t>
  </si>
  <si>
    <t>1-H</t>
  </si>
  <si>
    <t>AEGL</t>
  </si>
  <si>
    <t>1-H</t>
  </si>
  <si>
    <t>AMAR</t>
  </si>
  <si>
    <t>1-H</t>
  </si>
  <si>
    <t>ASTR</t>
  </si>
  <si>
    <t>1-H</t>
  </si>
  <si>
    <t>CATO</t>
  </si>
  <si>
    <t>1-H</t>
  </si>
  <si>
    <t>CEOC</t>
  </si>
  <si>
    <t>1-H</t>
  </si>
  <si>
    <t>CEOC2</t>
  </si>
  <si>
    <t>1-H</t>
  </si>
  <si>
    <t>COFL</t>
  </si>
  <si>
    <t>1-H</t>
  </si>
  <si>
    <t>DIVI</t>
  </si>
  <si>
    <t>1-H</t>
  </si>
  <si>
    <t>FRAM</t>
  </si>
  <si>
    <t>1-H</t>
  </si>
  <si>
    <t>GLTR</t>
  </si>
  <si>
    <t>1-H</t>
  </si>
  <si>
    <t>JUNI</t>
  </si>
  <si>
    <t>1-H</t>
  </si>
  <si>
    <t>JUVI</t>
  </si>
  <si>
    <t>1-H</t>
  </si>
  <si>
    <t>JUVI2</t>
  </si>
  <si>
    <t>1-H</t>
  </si>
  <si>
    <t>LOMA</t>
  </si>
  <si>
    <t>1-H</t>
  </si>
  <si>
    <t>PIEC</t>
  </si>
  <si>
    <t>1-H</t>
  </si>
  <si>
    <t>PIST</t>
  </si>
  <si>
    <t>1-H</t>
  </si>
  <si>
    <t>PLOC</t>
  </si>
  <si>
    <t>1-H</t>
  </si>
  <si>
    <t>1-H</t>
  </si>
  <si>
    <t>QUAL</t>
  </si>
  <si>
    <t>1-H</t>
  </si>
  <si>
    <t>QUVE</t>
  </si>
  <si>
    <t>1-H</t>
  </si>
  <si>
    <t>QUVE2</t>
  </si>
  <si>
    <t>1-H</t>
  </si>
  <si>
    <t>ULRU</t>
  </si>
  <si>
    <t>1-H</t>
  </si>
  <si>
    <t>VIVU</t>
  </si>
  <si>
    <t>1-H</t>
  </si>
  <si>
    <t>CEDA</t>
  </si>
  <si>
    <t>1-H</t>
  </si>
  <si>
    <t>CHRY</t>
  </si>
  <si>
    <t>1-H</t>
  </si>
  <si>
    <t>HDMP</t>
  </si>
  <si>
    <t>1-H</t>
  </si>
  <si>
    <t>HICK</t>
  </si>
  <si>
    <t>1-H</t>
  </si>
  <si>
    <t>PINE</t>
  </si>
  <si>
    <t>1-H</t>
  </si>
  <si>
    <t>ROAK</t>
  </si>
  <si>
    <t>1-H</t>
  </si>
  <si>
    <t>ROSE</t>
  </si>
  <si>
    <t>1-H</t>
  </si>
  <si>
    <t>ZEBRA</t>
  </si>
  <si>
    <t>1-H</t>
  </si>
  <si>
    <t>ACRU</t>
  </si>
  <si>
    <t>2-L</t>
  </si>
  <si>
    <t>AEGL</t>
  </si>
  <si>
    <t>2-L</t>
  </si>
  <si>
    <t>AMAR</t>
  </si>
  <si>
    <t>2-L</t>
  </si>
  <si>
    <t>ASTR</t>
  </si>
  <si>
    <t>2-L</t>
  </si>
  <si>
    <t>CATO</t>
  </si>
  <si>
    <t>2-L</t>
  </si>
  <si>
    <t>CEOC</t>
  </si>
  <si>
    <t>2-L</t>
  </si>
  <si>
    <t>CEOC2</t>
  </si>
  <si>
    <t>2-L</t>
  </si>
  <si>
    <t>COFL</t>
  </si>
  <si>
    <t>2-L</t>
  </si>
  <si>
    <t>DIVI</t>
  </si>
  <si>
    <t>2-L</t>
  </si>
  <si>
    <t>FRAM</t>
  </si>
  <si>
    <t>2-L</t>
  </si>
  <si>
    <t>GLTR</t>
  </si>
  <si>
    <t>2-L</t>
  </si>
  <si>
    <t>JUNI</t>
  </si>
  <si>
    <t>2-L</t>
  </si>
  <si>
    <t>JUVI</t>
  </si>
  <si>
    <t>2-L</t>
  </si>
  <si>
    <t>JUVI2</t>
  </si>
  <si>
    <t>2-L</t>
  </si>
  <si>
    <t>LOMA</t>
  </si>
  <si>
    <t>2-L</t>
  </si>
  <si>
    <t>PIEC</t>
  </si>
  <si>
    <t>2-L</t>
  </si>
  <si>
    <t>PIST</t>
  </si>
  <si>
    <t>2-L</t>
  </si>
  <si>
    <t>PLOC</t>
  </si>
  <si>
    <t>2-L</t>
  </si>
  <si>
    <t>2-L</t>
  </si>
  <si>
    <t>QUAL</t>
  </si>
  <si>
    <t>2-L</t>
  </si>
  <si>
    <t>QUVE</t>
  </si>
  <si>
    <t>2-L</t>
  </si>
  <si>
    <t>QUVE2</t>
  </si>
  <si>
    <t>2-L</t>
  </si>
  <si>
    <t>ULRU</t>
  </si>
  <si>
    <t>2-L</t>
  </si>
  <si>
    <t>VIVU</t>
  </si>
  <si>
    <t>2-L</t>
  </si>
  <si>
    <t>CEDA</t>
  </si>
  <si>
    <t>2-L</t>
  </si>
  <si>
    <t>CHRY</t>
  </si>
  <si>
    <t>2-L</t>
  </si>
  <si>
    <t>HDMP</t>
  </si>
  <si>
    <t>2-L</t>
  </si>
  <si>
    <t>HICK</t>
  </si>
  <si>
    <t>2-L</t>
  </si>
  <si>
    <t>PINE</t>
  </si>
  <si>
    <t>2-L</t>
  </si>
  <si>
    <t>ROAK</t>
  </si>
  <si>
    <t>2-L</t>
  </si>
  <si>
    <t>ROSE</t>
  </si>
  <si>
    <t>2-L</t>
  </si>
  <si>
    <t>ZEBRA</t>
  </si>
  <si>
    <t>2-L</t>
  </si>
  <si>
    <t>ACRU</t>
  </si>
  <si>
    <t>2-H</t>
  </si>
  <si>
    <t>AEGL</t>
  </si>
  <si>
    <t>2-H</t>
  </si>
  <si>
    <t>AMAR</t>
  </si>
  <si>
    <t>2-H</t>
  </si>
  <si>
    <t>ASTR</t>
  </si>
  <si>
    <t>2-H</t>
  </si>
  <si>
    <t>CATO</t>
  </si>
  <si>
    <t>2-H</t>
  </si>
  <si>
    <t>CEOC</t>
  </si>
  <si>
    <t>2-H</t>
  </si>
  <si>
    <t>CEOC2</t>
  </si>
  <si>
    <t>2-H</t>
  </si>
  <si>
    <t>COFL</t>
  </si>
  <si>
    <t>2-H</t>
  </si>
  <si>
    <t>DIVI</t>
  </si>
  <si>
    <t>2-H</t>
  </si>
  <si>
    <t>FRAM</t>
  </si>
  <si>
    <t>2-H</t>
  </si>
  <si>
    <t>GLTR</t>
  </si>
  <si>
    <t>2-H</t>
  </si>
  <si>
    <t>JUNI</t>
  </si>
  <si>
    <t>2-H</t>
  </si>
  <si>
    <t>JUVI</t>
  </si>
  <si>
    <t>2-H</t>
  </si>
  <si>
    <t>JUVI2</t>
  </si>
  <si>
    <t>2-H</t>
  </si>
  <si>
    <t>LOMA</t>
  </si>
  <si>
    <t>2-H</t>
  </si>
  <si>
    <t>PIEC</t>
  </si>
  <si>
    <t>2-H</t>
  </si>
  <si>
    <t>PIST</t>
  </si>
  <si>
    <t>2-H</t>
  </si>
  <si>
    <t>PLOC</t>
  </si>
  <si>
    <t>2-H</t>
  </si>
  <si>
    <t>2-H</t>
  </si>
  <si>
    <t>QUAL</t>
  </si>
  <si>
    <t>2-H</t>
  </si>
  <si>
    <t>QUVE</t>
  </si>
  <si>
    <t>2-H</t>
  </si>
  <si>
    <t>QUVE2</t>
  </si>
  <si>
    <t>2-H</t>
  </si>
  <si>
    <t>ULRU</t>
  </si>
  <si>
    <t>2-H</t>
  </si>
  <si>
    <t>VIVU</t>
  </si>
  <si>
    <t>2-H</t>
  </si>
  <si>
    <t>CEDA</t>
  </si>
  <si>
    <t>2-H</t>
  </si>
  <si>
    <t>CHRY</t>
  </si>
  <si>
    <t>2-H</t>
  </si>
  <si>
    <t>HDMP</t>
  </si>
  <si>
    <t>2-H</t>
  </si>
  <si>
    <t>HICK</t>
  </si>
  <si>
    <t>2-H</t>
  </si>
  <si>
    <t>PINE</t>
  </si>
  <si>
    <t>2-H</t>
  </si>
  <si>
    <t>ROAK</t>
  </si>
  <si>
    <t>2-H</t>
  </si>
  <si>
    <t>ROSE</t>
  </si>
  <si>
    <t>2-H</t>
  </si>
  <si>
    <t>ZEBRA</t>
  </si>
  <si>
    <t>2-H</t>
  </si>
  <si>
    <t>ACRU</t>
  </si>
  <si>
    <t>3-L</t>
  </si>
  <si>
    <t>AEGL</t>
  </si>
  <si>
    <t>3-L</t>
  </si>
  <si>
    <t>AMAR</t>
  </si>
  <si>
    <t>3-L</t>
  </si>
  <si>
    <t>ASTR</t>
  </si>
  <si>
    <t>3-L</t>
  </si>
  <si>
    <t>CATO</t>
  </si>
  <si>
    <t>3-L</t>
  </si>
  <si>
    <t>CEOC</t>
  </si>
  <si>
    <t>3-L</t>
  </si>
  <si>
    <t>CEOC2</t>
  </si>
  <si>
    <t>3-L</t>
  </si>
  <si>
    <t>COFL</t>
  </si>
  <si>
    <t>3-L</t>
  </si>
  <si>
    <t>DIVI</t>
  </si>
  <si>
    <t>3-L</t>
  </si>
  <si>
    <t>FRAM</t>
  </si>
  <si>
    <t>3-L</t>
  </si>
  <si>
    <t>GLTR</t>
  </si>
  <si>
    <t>3-L</t>
  </si>
  <si>
    <t>JUNI</t>
  </si>
  <si>
    <t>3-L</t>
  </si>
  <si>
    <t>JUVI</t>
  </si>
  <si>
    <t>3-L</t>
  </si>
  <si>
    <t>JUVI2</t>
  </si>
  <si>
    <t>3-L</t>
  </si>
  <si>
    <t>LOMA</t>
  </si>
  <si>
    <t>3-L</t>
  </si>
  <si>
    <t>PIEC</t>
  </si>
  <si>
    <t>3-L</t>
  </si>
  <si>
    <t>PIST</t>
  </si>
  <si>
    <t>3-L</t>
  </si>
  <si>
    <t>PLOC</t>
  </si>
  <si>
    <t>3-L</t>
  </si>
  <si>
    <t>3-L</t>
  </si>
  <si>
    <t>QUAL</t>
  </si>
  <si>
    <t>3-L</t>
  </si>
  <si>
    <t>QUVE</t>
  </si>
  <si>
    <t>3-L</t>
  </si>
  <si>
    <t>QUVE2</t>
  </si>
  <si>
    <t>3-L</t>
  </si>
  <si>
    <t>ULRU</t>
  </si>
  <si>
    <t>3-L</t>
  </si>
  <si>
    <t>VIVU</t>
  </si>
  <si>
    <t>3-L</t>
  </si>
  <si>
    <t>CEDA</t>
  </si>
  <si>
    <t>3-L</t>
  </si>
  <si>
    <t>CHRY</t>
  </si>
  <si>
    <t>3-L</t>
  </si>
  <si>
    <t>HDMP</t>
  </si>
  <si>
    <t>3-L</t>
  </si>
  <si>
    <t>HICK</t>
  </si>
  <si>
    <t>3-L</t>
  </si>
  <si>
    <t>ROAK</t>
  </si>
  <si>
    <t>3-L</t>
  </si>
  <si>
    <t>ROSE</t>
  </si>
  <si>
    <t>3-L</t>
  </si>
  <si>
    <t>ZEBRA</t>
  </si>
  <si>
    <t>3-L</t>
  </si>
  <si>
    <t>ACRU</t>
  </si>
  <si>
    <t>3-H</t>
  </si>
  <si>
    <t>AEGL</t>
  </si>
  <si>
    <t>3-H</t>
  </si>
  <si>
    <t>AMAR</t>
  </si>
  <si>
    <t>3-H</t>
  </si>
  <si>
    <t>ASTR</t>
  </si>
  <si>
    <t>3-H</t>
  </si>
  <si>
    <t>CATO</t>
  </si>
  <si>
    <t>3-H</t>
  </si>
  <si>
    <t>CEOC</t>
  </si>
  <si>
    <t>3-H</t>
  </si>
  <si>
    <t>CEOC2</t>
  </si>
  <si>
    <t>3-H</t>
  </si>
  <si>
    <t>COFL</t>
  </si>
  <si>
    <t>3-H</t>
  </si>
  <si>
    <t>DIVI</t>
  </si>
  <si>
    <t>3-H</t>
  </si>
  <si>
    <t>FRAM</t>
  </si>
  <si>
    <t>3-H</t>
  </si>
  <si>
    <t>GLTR</t>
  </si>
  <si>
    <t>3-H</t>
  </si>
  <si>
    <t>JUNI</t>
  </si>
  <si>
    <t>3-H</t>
  </si>
  <si>
    <t>JUVI</t>
  </si>
  <si>
    <t>3-H</t>
  </si>
  <si>
    <t>JUVI2</t>
  </si>
  <si>
    <t>3-H</t>
  </si>
  <si>
    <t>LOMA</t>
  </si>
  <si>
    <t>3-H</t>
  </si>
  <si>
    <t>PIEC</t>
  </si>
  <si>
    <t>3-H</t>
  </si>
  <si>
    <t>PIST</t>
  </si>
  <si>
    <t>3-H</t>
  </si>
  <si>
    <t>PLOC</t>
  </si>
  <si>
    <t>3-H</t>
  </si>
  <si>
    <t>3-H</t>
  </si>
  <si>
    <t>QUAL</t>
  </si>
  <si>
    <t>3-H</t>
  </si>
  <si>
    <t>QUVE</t>
  </si>
  <si>
    <t>3-H</t>
  </si>
  <si>
    <t>QUVE2</t>
  </si>
  <si>
    <t>3-H</t>
  </si>
  <si>
    <t>ULRU</t>
  </si>
  <si>
    <t>3-H</t>
  </si>
  <si>
    <t>VIVU</t>
  </si>
  <si>
    <t>3-H</t>
  </si>
  <si>
    <t>CEDA</t>
  </si>
  <si>
    <t>3-H</t>
  </si>
  <si>
    <t>CHRY</t>
  </si>
  <si>
    <t>3-H</t>
  </si>
  <si>
    <t>HDMP</t>
  </si>
  <si>
    <t>3-H</t>
  </si>
  <si>
    <t>HICK</t>
  </si>
  <si>
    <t>3-H</t>
  </si>
  <si>
    <t>PINE</t>
  </si>
  <si>
    <t>3-H</t>
  </si>
  <si>
    <t>ROAK</t>
  </si>
  <si>
    <t>3-H</t>
  </si>
  <si>
    <t>ROSE</t>
  </si>
  <si>
    <t>3-H</t>
  </si>
  <si>
    <t>ZEBRA</t>
  </si>
  <si>
    <t>3-H</t>
  </si>
  <si>
    <t>ACRU</t>
  </si>
  <si>
    <t>4-L</t>
  </si>
  <si>
    <t>AEGL</t>
  </si>
  <si>
    <t>4-L</t>
  </si>
  <si>
    <t>AMAR</t>
  </si>
  <si>
    <t>4-L</t>
  </si>
  <si>
    <t>ASTR</t>
  </si>
  <si>
    <t>4-L</t>
  </si>
  <si>
    <t>CATO</t>
  </si>
  <si>
    <t>4-L</t>
  </si>
  <si>
    <t>CEOC</t>
  </si>
  <si>
    <t>4-L</t>
  </si>
  <si>
    <t>CEOC2</t>
  </si>
  <si>
    <t>4-L</t>
  </si>
  <si>
    <t>COFL</t>
  </si>
  <si>
    <t>4-L</t>
  </si>
  <si>
    <t>DIVI</t>
  </si>
  <si>
    <t>4-L</t>
  </si>
  <si>
    <t>FRAM</t>
  </si>
  <si>
    <t>4-L</t>
  </si>
  <si>
    <t>GLTR</t>
  </si>
  <si>
    <t>4-L</t>
  </si>
  <si>
    <t>JUNI</t>
  </si>
  <si>
    <t>4-L</t>
  </si>
  <si>
    <t>JUVI</t>
  </si>
  <si>
    <t>4-L</t>
  </si>
  <si>
    <t>JUVI2</t>
  </si>
  <si>
    <t>4-L</t>
  </si>
  <si>
    <t>LOMA</t>
  </si>
  <si>
    <t>4-L</t>
  </si>
  <si>
    <t>PIEC</t>
  </si>
  <si>
    <t>4-L</t>
  </si>
  <si>
    <t>PIST</t>
  </si>
  <si>
    <t>4-L</t>
  </si>
  <si>
    <t>PLOC</t>
  </si>
  <si>
    <t>4-L</t>
  </si>
  <si>
    <t>4-L</t>
  </si>
  <si>
    <t>QUAL</t>
  </si>
  <si>
    <t>4-L</t>
  </si>
  <si>
    <t>QUVE</t>
  </si>
  <si>
    <t>4-L</t>
  </si>
  <si>
    <t>QUVE2</t>
  </si>
  <si>
    <t>4-L</t>
  </si>
  <si>
    <t>ULRU</t>
  </si>
  <si>
    <t>4-L</t>
  </si>
  <si>
    <t>VIVU</t>
  </si>
  <si>
    <t>4-L</t>
  </si>
  <si>
    <t>CEDA</t>
  </si>
  <si>
    <t>4-L</t>
  </si>
  <si>
    <t>CHRY</t>
  </si>
  <si>
    <t>4-L</t>
  </si>
  <si>
    <t>HDMP</t>
  </si>
  <si>
    <t>4-L</t>
  </si>
  <si>
    <t>HICK</t>
  </si>
  <si>
    <t>4-L</t>
  </si>
  <si>
    <t>PINE</t>
  </si>
  <si>
    <t>4-L</t>
  </si>
  <si>
    <t>ROAK</t>
  </si>
  <si>
    <t>4-L</t>
  </si>
  <si>
    <t>ROSE</t>
  </si>
  <si>
    <t>4-L</t>
  </si>
  <si>
    <t>ZEBRA</t>
  </si>
  <si>
    <t>4-L</t>
  </si>
  <si>
    <t>ACRU</t>
  </si>
  <si>
    <t>4-H</t>
  </si>
  <si>
    <t>AEGL</t>
  </si>
  <si>
    <t>4-H</t>
  </si>
  <si>
    <t>AMAR</t>
  </si>
  <si>
    <t>4-H</t>
  </si>
  <si>
    <t>ASTR</t>
  </si>
  <si>
    <t>4-H</t>
  </si>
  <si>
    <t>CATO</t>
  </si>
  <si>
    <t>4-H</t>
  </si>
  <si>
    <t>CEOC</t>
  </si>
  <si>
    <t>4-H</t>
  </si>
  <si>
    <t>CEOC2</t>
  </si>
  <si>
    <t>4-H</t>
  </si>
  <si>
    <t>COFL</t>
  </si>
  <si>
    <t>4-H</t>
  </si>
  <si>
    <t>DIVI</t>
  </si>
  <si>
    <t>4-H</t>
  </si>
  <si>
    <t>FRAM</t>
  </si>
  <si>
    <t>4-H</t>
  </si>
  <si>
    <t>GLTR</t>
  </si>
  <si>
    <t>4-H</t>
  </si>
  <si>
    <t>JUNI</t>
  </si>
  <si>
    <t>4-H</t>
  </si>
  <si>
    <t>JUVI</t>
  </si>
  <si>
    <t>4-H</t>
  </si>
  <si>
    <t>JUVI2</t>
  </si>
  <si>
    <t>4-H</t>
  </si>
  <si>
    <t>LOMA</t>
  </si>
  <si>
    <t>4-H</t>
  </si>
  <si>
    <t>PIEC</t>
  </si>
  <si>
    <t>4-H</t>
  </si>
  <si>
    <t>PIST</t>
  </si>
  <si>
    <t>4-H</t>
  </si>
  <si>
    <t>PLOC</t>
  </si>
  <si>
    <t>4-H</t>
  </si>
  <si>
    <t>4-H</t>
  </si>
  <si>
    <t>QUAL</t>
  </si>
  <si>
    <t>4-H</t>
  </si>
  <si>
    <t>QUVE</t>
  </si>
  <si>
    <t>4-H</t>
  </si>
  <si>
    <t>QUVE2</t>
  </si>
  <si>
    <t>4-H</t>
  </si>
  <si>
    <t>ULRU</t>
  </si>
  <si>
    <t>4-H</t>
  </si>
  <si>
    <t>VIVU</t>
  </si>
  <si>
    <t>4-H</t>
  </si>
  <si>
    <t>CEDA</t>
  </si>
  <si>
    <t>4-H</t>
  </si>
  <si>
    <t>CHRY</t>
  </si>
  <si>
    <t>4-H</t>
  </si>
  <si>
    <t>HDMP</t>
  </si>
  <si>
    <t>4-H</t>
  </si>
  <si>
    <t>HICK</t>
  </si>
  <si>
    <t>4-H</t>
  </si>
  <si>
    <t>PINE</t>
  </si>
  <si>
    <t>4-H</t>
  </si>
  <si>
    <t>ROAK</t>
  </si>
  <si>
    <t>4-H</t>
  </si>
  <si>
    <t>ROSE</t>
  </si>
  <si>
    <t>4-H</t>
  </si>
  <si>
    <t>ZEBRA</t>
  </si>
  <si>
    <t>4-H</t>
  </si>
  <si>
    <t>1-K</t>
  </si>
  <si>
    <t>3-O</t>
  </si>
  <si>
    <t>2-A</t>
  </si>
  <si>
    <t>4-C</t>
  </si>
  <si>
    <t>n</t>
  </si>
  <si>
    <t>NA</t>
  </si>
  <si>
    <t>y</t>
  </si>
  <si>
    <t>T. versicolor</t>
  </si>
  <si>
    <t>Stereum</t>
  </si>
  <si>
    <t>1-G</t>
  </si>
  <si>
    <t>4-G</t>
  </si>
  <si>
    <t>1-C</t>
  </si>
  <si>
    <t>UNK</t>
  </si>
  <si>
    <t>G1</t>
  </si>
  <si>
    <t>J1</t>
  </si>
  <si>
    <t>L1</t>
  </si>
  <si>
    <t>N1</t>
  </si>
  <si>
    <t>O1</t>
  </si>
  <si>
    <t>P1</t>
  </si>
  <si>
    <t>T1</t>
  </si>
  <si>
    <t>V1</t>
  </si>
  <si>
    <t>2-B</t>
  </si>
  <si>
    <t>F1</t>
  </si>
  <si>
    <t>4-K</t>
  </si>
  <si>
    <t>A1</t>
  </si>
  <si>
    <t>B1</t>
  </si>
  <si>
    <t>C1</t>
  </si>
  <si>
    <t>D1</t>
  </si>
  <si>
    <t>E1</t>
  </si>
  <si>
    <t>H1</t>
  </si>
  <si>
    <t>I1</t>
  </si>
  <si>
    <t>K1</t>
  </si>
  <si>
    <t>M1</t>
  </si>
  <si>
    <t>Q1</t>
  </si>
  <si>
    <t>R1</t>
  </si>
  <si>
    <t>S1</t>
  </si>
  <si>
    <t>U1</t>
  </si>
  <si>
    <t>W1</t>
  </si>
  <si>
    <t>X1</t>
  </si>
  <si>
    <t>Irpex?</t>
  </si>
  <si>
    <t>3-B</t>
  </si>
  <si>
    <t>2-D</t>
  </si>
  <si>
    <t>3-D</t>
  </si>
  <si>
    <t>3-1-H</t>
  </si>
  <si>
    <t>1-D</t>
  </si>
  <si>
    <t>2-G</t>
  </si>
  <si>
    <t>6-D</t>
  </si>
  <si>
    <t>JUNI-b</t>
  </si>
  <si>
    <t>1-Q</t>
  </si>
  <si>
    <t>QUVE2-b</t>
  </si>
  <si>
    <t>PIEC-b</t>
  </si>
  <si>
    <t>LOMA-b</t>
  </si>
  <si>
    <t>6-C</t>
  </si>
  <si>
    <t>QUAL-b</t>
  </si>
  <si>
    <t>1-A</t>
  </si>
  <si>
    <t>JUVI2-b</t>
  </si>
  <si>
    <t>4-B</t>
  </si>
  <si>
    <t>FRAM-b</t>
  </si>
  <si>
    <t>3-C</t>
  </si>
  <si>
    <t>CEOC2-b</t>
  </si>
  <si>
    <t>2-N</t>
  </si>
  <si>
    <t>3-F</t>
  </si>
  <si>
    <t>3-I</t>
  </si>
  <si>
    <t>2-J</t>
  </si>
  <si>
    <t>1-B</t>
  </si>
  <si>
    <t>1-F</t>
  </si>
  <si>
    <t>5-G</t>
  </si>
  <si>
    <t>9-B</t>
  </si>
  <si>
    <t>2-I</t>
  </si>
  <si>
    <t>1-E</t>
  </si>
  <si>
    <t>3-1-B</t>
  </si>
  <si>
    <t>5-N</t>
  </si>
  <si>
    <t>2-2-E</t>
  </si>
  <si>
    <t>5-I</t>
  </si>
  <si>
    <t>7-C</t>
  </si>
  <si>
    <t>10-C</t>
  </si>
  <si>
    <t>3-Z</t>
  </si>
  <si>
    <t>1-1-Q</t>
  </si>
  <si>
    <t>3-K</t>
  </si>
  <si>
    <t>2-F</t>
  </si>
  <si>
    <t>2-K</t>
  </si>
  <si>
    <t>1-O</t>
  </si>
  <si>
    <t>3-1-A</t>
  </si>
  <si>
    <t>3-1-G</t>
  </si>
  <si>
    <t>5-H</t>
  </si>
  <si>
    <t>6-B</t>
  </si>
  <si>
    <t>3-N</t>
  </si>
  <si>
    <t>5-D</t>
  </si>
  <si>
    <t>3-J</t>
  </si>
  <si>
    <t>3-A</t>
  </si>
  <si>
    <t>3-Y</t>
  </si>
  <si>
    <t>7-H</t>
  </si>
  <si>
    <t>5-B</t>
  </si>
  <si>
    <t>1-1-N</t>
  </si>
  <si>
    <t>1-J</t>
  </si>
  <si>
    <t>2-M</t>
  </si>
  <si>
    <t>3-E</t>
  </si>
  <si>
    <t>3-G</t>
  </si>
  <si>
    <t>4-F</t>
  </si>
  <si>
    <t>6-A</t>
  </si>
  <si>
    <t>7-B</t>
  </si>
  <si>
    <t>2-C</t>
  </si>
  <si>
    <t>1-1-E</t>
  </si>
  <si>
    <t>1-I</t>
  </si>
  <si>
    <t>6-M</t>
  </si>
  <si>
    <t>5-A</t>
  </si>
  <si>
    <t>2-E</t>
  </si>
  <si>
    <t>1-1-B</t>
  </si>
  <si>
    <t>1-P</t>
  </si>
  <si>
    <t>7-G</t>
  </si>
  <si>
    <t>2-2-F</t>
  </si>
  <si>
    <t>3-1-F</t>
  </si>
  <si>
    <t>2-Q</t>
  </si>
  <si>
    <t>4-D</t>
  </si>
  <si>
    <t>1-1-D</t>
  </si>
  <si>
    <t>1-M</t>
  </si>
  <si>
    <t>4-I</t>
  </si>
  <si>
    <t>4-E</t>
  </si>
  <si>
    <t>5-C</t>
  </si>
  <si>
    <t>3-2-E</t>
  </si>
  <si>
    <t>2-1-C</t>
  </si>
  <si>
    <t>9-C</t>
  </si>
  <si>
    <t>3-X</t>
  </si>
  <si>
    <t>1-N</t>
  </si>
  <si>
    <t>1-XY</t>
  </si>
  <si>
    <t>2-1-H</t>
  </si>
  <si>
    <t>3-1-E</t>
  </si>
  <si>
    <t>2-2-C</t>
  </si>
  <si>
    <t>3-M</t>
  </si>
  <si>
    <t>5-J</t>
  </si>
  <si>
    <t>9-A</t>
  </si>
  <si>
    <t>2-R</t>
  </si>
  <si>
    <t>6-E</t>
  </si>
  <si>
    <t>3-1-C</t>
  </si>
  <si>
    <t>2-2-I</t>
  </si>
  <si>
    <t>7-D</t>
  </si>
  <si>
    <t>Volume (kg)</t>
  </si>
  <si>
    <t>Absorption (- kg)</t>
  </si>
  <si>
    <t>Schizophyllum commune</t>
  </si>
  <si>
    <t>Stereum + reddish white shelf, sample taken</t>
  </si>
  <si>
    <t>Stereum ostrea</t>
  </si>
  <si>
    <t>UNK - old</t>
  </si>
  <si>
    <t>UNK - fresh yellow crust w/teeth</t>
  </si>
  <si>
    <t>Trametes versicolor</t>
  </si>
  <si>
    <t>old Stereum</t>
  </si>
  <si>
    <t>UNK - old polypore</t>
  </si>
  <si>
    <t>Armillaria rhizomorphs</t>
  </si>
  <si>
    <t>ant nest</t>
  </si>
  <si>
    <t>UNK jelly</t>
  </si>
  <si>
    <t>no tag</t>
  </si>
  <si>
    <t>termite nest</t>
  </si>
  <si>
    <t>red, puffs spores when touched, slime mold?</t>
  </si>
  <si>
    <t>UNK white polypore</t>
  </si>
  <si>
    <t>giant grub inside with lots of frass</t>
  </si>
  <si>
    <t>cockroach</t>
  </si>
  <si>
    <t>UNK crust</t>
  </si>
  <si>
    <t>UNK crusts</t>
  </si>
  <si>
    <t>small UNK polypore</t>
  </si>
  <si>
    <t>termites + spider web/nest</t>
  </si>
  <si>
    <t>UNK old yellow tooth, collected</t>
  </si>
  <si>
    <t>grub w/frass</t>
  </si>
  <si>
    <t>ants</t>
  </si>
  <si>
    <t xml:space="preserve">termites  </t>
  </si>
  <si>
    <t>Ductifera pululahuana</t>
  </si>
  <si>
    <t>UNK old crust</t>
  </si>
  <si>
    <t>UNK resupinate tooth - collected</t>
  </si>
  <si>
    <t>UNK resupinate polypore - too small</t>
  </si>
  <si>
    <t>UNK crusts, slime molds</t>
  </si>
  <si>
    <t>UNK small gilled w/stipe, growing from cut edge, collected</t>
  </si>
  <si>
    <t>UNK small crust</t>
  </si>
  <si>
    <t>UNK small gilled w/stipe, collected</t>
  </si>
  <si>
    <t>Irpex? Not collected - small</t>
  </si>
  <si>
    <t>UNK crust, slime mold</t>
  </si>
  <si>
    <t>UNK tiny white gills on bark only, collected</t>
  </si>
  <si>
    <t>UNK white gilled, smashed, not collected</t>
  </si>
  <si>
    <t>UNK tiny white gills, collected</t>
  </si>
  <si>
    <t>UNK tiny white gills, crusts</t>
  </si>
  <si>
    <t>UNK small white gills, collected</t>
  </si>
  <si>
    <t>Stereum, collected</t>
  </si>
  <si>
    <t>UNK medium-size brown gilled with stipe</t>
  </si>
  <si>
    <t>UNK jelly fungi</t>
  </si>
  <si>
    <t>UNK small crusts</t>
  </si>
  <si>
    <t xml:space="preserve">UNK crusts </t>
  </si>
  <si>
    <t>Stereum (complicatum?)</t>
  </si>
  <si>
    <t>UNK resupinate polypore</t>
  </si>
  <si>
    <t>UNK old, maybe S. complicatum</t>
  </si>
  <si>
    <t>Stereum sp.</t>
  </si>
  <si>
    <t>tiny, S. commune?</t>
  </si>
  <si>
    <t>Xylariaceae &amp; UNK small crusts</t>
  </si>
  <si>
    <t xml:space="preserve">NA, termite nest </t>
  </si>
  <si>
    <t>UNK small crusts, termite nest</t>
  </si>
  <si>
    <t>giant grub</t>
  </si>
  <si>
    <t>S. commune</t>
  </si>
  <si>
    <t>UNK emerging orange things</t>
  </si>
  <si>
    <t>emerging S. commune</t>
  </si>
  <si>
    <t>caterpillar with frass in its gut</t>
  </si>
  <si>
    <t>2-2-D</t>
  </si>
  <si>
    <t>UNK LBM, collected</t>
  </si>
  <si>
    <t>UNK crust, collected</t>
  </si>
  <si>
    <t>UNK jellies (Tremella?)</t>
  </si>
  <si>
    <t>UNK slime mold (blackberries)</t>
  </si>
  <si>
    <t>UNK pink shelf</t>
  </si>
  <si>
    <t>UNK yellow ball w/slime inside</t>
  </si>
  <si>
    <t>large insect galleries w/frass</t>
  </si>
  <si>
    <t>log pulled from plot 6/17 &amp; put in fridge overnight, processed 6/18</t>
  </si>
  <si>
    <t>Tacks</t>
  </si>
  <si>
    <t>in drying oven w fire</t>
  </si>
  <si>
    <t>Date in oven</t>
  </si>
  <si>
    <t>Date out oven</t>
  </si>
  <si>
    <t>UNK white tooth</t>
  </si>
  <si>
    <t>Trametes sp. (elegans?)</t>
  </si>
  <si>
    <t>UNK small jellies</t>
  </si>
  <si>
    <t>log pulled from plot 6/17 &amp; put in fridge overnight, processed 6/18; ant nest</t>
  </si>
  <si>
    <t>thrown away</t>
  </si>
  <si>
    <t>Ant nest, thrown away</t>
  </si>
  <si>
    <t>?</t>
  </si>
  <si>
    <t>Tack mass (g)</t>
  </si>
  <si>
    <t>average mass of one tack</t>
  </si>
  <si>
    <t>DWWW Ratio</t>
  </si>
  <si>
    <t>DM(105)</t>
  </si>
  <si>
    <t>Wet weight excess (g)</t>
  </si>
  <si>
    <t>Post-drill WW w/tacks (g)</t>
  </si>
  <si>
    <t>Dry weight (g)</t>
  </si>
  <si>
    <t>Dry weight for volume (g)</t>
  </si>
  <si>
    <t>WWTotal (g)</t>
  </si>
  <si>
    <t>Wet Weight log (g)</t>
  </si>
  <si>
    <t>Post-drill Wet Weight (g)</t>
  </si>
  <si>
    <t>Dry weight excess (g)</t>
  </si>
  <si>
    <t>Dry weight log (g)</t>
  </si>
  <si>
    <t>tack found in dry excess; subtracted mass of one tack from wet weight excess and dry weight excess</t>
  </si>
  <si>
    <t>tag found in dry excess bag</t>
  </si>
  <si>
    <t>1-Z</t>
  </si>
  <si>
    <t>ant and termite nests</t>
  </si>
  <si>
    <t>termites</t>
  </si>
  <si>
    <t>worm inside large cavity</t>
  </si>
  <si>
    <t>ant nest, some excess was separated but collected into a different bag, measured, and added to the total excess DW; but this added excess was not ID'd as anything but "CATO"</t>
  </si>
  <si>
    <t>Dry weight complete log</t>
  </si>
  <si>
    <t>It was noted as from plot 1H in the bag label</t>
  </si>
  <si>
    <t>PRSE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</si>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</sst>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4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14" fontId="0" fillId="0" borderId="0" xfId="0" applyNumberFormat="1"/>
    <xf numFmtId="0" fontId="1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4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0" xfId="0" applyFill="1"/>
    <xf numFmtId="0" fontId="0" fillId="2" borderId="0" xfId="0" applyFill="1"/>
    <xf numFmtId="0" fontId="1" fillId="2" borderId="3" xfId="0" applyNumberFormat="1" applyFont="1" applyFill="1" applyBorder="1" applyAlignment="1"/>
    <xf numFmtId="0" fontId="0" fillId="0" borderId="0" xfId="0" applyNumberFormat="1"/>
    <xf numFmtId="0" fontId="4" fillId="0" borderId="0" xfId="0" applyNumberFormat="1" applyFont="1"/>
    <xf numFmtId="0" fontId="0" fillId="0" borderId="0" xfId="0" applyNumberFormat="1" applyFont="1"/>
    <xf numFmtId="0" fontId="4" fillId="0" borderId="4" xfId="0" applyFont="1" applyFill="1" applyBorder="1" applyAlignment="1"/>
    <xf numFmtId="0" fontId="4" fillId="0" borderId="0" xfId="0" applyFont="1" applyFill="1"/>
    <xf numFmtId="14" fontId="0" fillId="0" borderId="0" xfId="0" applyNumberFormat="1" applyFill="1"/>
    <xf numFmtId="0" fontId="0" fillId="0" borderId="0" xfId="0" applyNumberFormat="1" applyFill="1"/>
    <xf numFmtId="0" fontId="4" fillId="0" borderId="0" xfId="0" applyNumberFormat="1" applyFont="1" applyFill="1"/>
    <xf numFmtId="0" fontId="4" fillId="2" borderId="0" xfId="0" applyFont="1" applyFill="1"/>
    <xf numFmtId="0" fontId="4" fillId="2" borderId="0" xfId="0" applyNumberFormat="1" applyFont="1" applyFill="1"/>
    <xf numFmtId="0" fontId="3" fillId="0" borderId="3" xfId="0" applyFont="1" applyFill="1" applyBorder="1" applyAlignment="1"/>
    <xf numFmtId="14" fontId="4" fillId="0" borderId="0" xfId="0" applyNumberFormat="1" applyFont="1"/>
    <xf numFmtId="0" fontId="1" fillId="2" borderId="4" xfId="0" applyNumberFormat="1" applyFont="1" applyFill="1" applyBorder="1" applyAlignment="1"/>
    <xf numFmtId="0" fontId="0" fillId="2" borderId="0" xfId="0" applyNumberFormat="1" applyFill="1"/>
    <xf numFmtId="0" fontId="1" fillId="2" borderId="1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4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tabSelected="1" zoomScale="80" zoomScaleNormal="80" workbookViewId="0">
      <pane ySplit="1" topLeftCell="A149" activePane="bottomLeft" state="frozen"/>
      <selection pane="bottomLeft" activeCell="W151" sqref="W151"/>
    </sheetView>
  </sheetViews>
  <sheetFormatPr defaultColWidth="14.42578125" defaultRowHeight="15.75" customHeight="1" x14ac:dyDescent="0.2"/>
  <cols>
    <col min="1" max="1" width="11" style="10" bestFit="1" customWidth="1"/>
    <col min="2" max="2" width="7.85546875" customWidth="1"/>
    <col min="3" max="3" width="4.28515625" customWidth="1"/>
    <col min="4" max="4" width="9.85546875" hidden="1" customWidth="1"/>
    <col min="5" max="5" width="5.140625" hidden="1" customWidth="1"/>
    <col min="6" max="6" width="21.28515625" hidden="1" customWidth="1"/>
    <col min="7" max="7" width="24.140625" hidden="1" customWidth="1"/>
    <col min="8" max="8" width="23.7109375" hidden="1" customWidth="1"/>
    <col min="9" max="9" width="19.42578125" hidden="1" customWidth="1"/>
    <col min="10" max="10" width="12.85546875" hidden="1" customWidth="1"/>
    <col min="11" max="11" width="26.28515625" hidden="1" customWidth="1"/>
    <col min="12" max="12" width="25.5703125" hidden="1" customWidth="1"/>
    <col min="13" max="13" width="23.42578125" hidden="1" customWidth="1"/>
    <col min="14" max="14" width="18.85546875" hidden="1" customWidth="1"/>
    <col min="15" max="15" width="15.140625" hidden="1" customWidth="1"/>
    <col min="16" max="16" width="25.5703125" hidden="1" customWidth="1"/>
    <col min="17" max="17" width="13.42578125" hidden="1" customWidth="1"/>
    <col min="18" max="18" width="18.140625" hidden="1" customWidth="1"/>
    <col min="19" max="19" width="13.140625" hidden="1" customWidth="1"/>
    <col min="20" max="20" width="14.85546875" hidden="1" customWidth="1"/>
    <col min="21" max="21" width="7.140625" style="15" hidden="1" customWidth="1"/>
    <col min="22" max="22" width="15.28515625" style="15" hidden="1" customWidth="1"/>
    <col min="23" max="25" width="15.28515625" style="15" customWidth="1"/>
    <col min="26" max="26" width="64.5703125" style="12" bestFit="1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7" t="s">
        <v>730</v>
      </c>
      <c r="I1" s="7" t="s">
        <v>735</v>
      </c>
      <c r="J1" s="7" t="s">
        <v>734</v>
      </c>
      <c r="K1" s="7" t="s">
        <v>731</v>
      </c>
      <c r="L1" s="7" t="s">
        <v>736</v>
      </c>
      <c r="M1" s="7" t="s">
        <v>737</v>
      </c>
      <c r="N1" s="7" t="s">
        <v>738</v>
      </c>
      <c r="O1" s="7" t="s">
        <v>732</v>
      </c>
      <c r="P1" s="7" t="s">
        <v>733</v>
      </c>
      <c r="Q1" s="7" t="s">
        <v>646</v>
      </c>
      <c r="R1" s="7" t="s">
        <v>647</v>
      </c>
      <c r="S1" s="7" t="s">
        <v>717</v>
      </c>
      <c r="T1" s="7" t="s">
        <v>718</v>
      </c>
      <c r="U1" s="14" t="s">
        <v>715</v>
      </c>
      <c r="V1" s="14" t="s">
        <v>726</v>
      </c>
      <c r="W1" s="14" t="s">
        <v>728</v>
      </c>
      <c r="X1" s="14" t="s">
        <v>729</v>
      </c>
      <c r="Y1" s="14" t="s">
        <v>749</v>
      </c>
      <c r="Z1" s="25" t="s">
        <v>7</v>
      </c>
    </row>
    <row r="2" spans="1:26" ht="15.75" customHeight="1" x14ac:dyDescent="0.2">
      <c r="A2" s="4" t="s">
        <v>8</v>
      </c>
      <c r="B2" t="s">
        <v>520</v>
      </c>
      <c r="C2" s="5" t="s">
        <v>9</v>
      </c>
      <c r="D2" s="6">
        <v>41793</v>
      </c>
      <c r="E2" t="s">
        <v>534</v>
      </c>
      <c r="F2" t="s">
        <v>516</v>
      </c>
      <c r="G2" t="s">
        <v>549</v>
      </c>
      <c r="H2">
        <v>2.6</v>
      </c>
      <c r="I2">
        <v>617.13</v>
      </c>
      <c r="J2">
        <f t="shared" ref="J2:J33" si="0">(H2+I2)-V2</f>
        <v>619.73</v>
      </c>
      <c r="K2">
        <v>605.92999999999995</v>
      </c>
      <c r="L2" s="10">
        <f t="shared" ref="L2:L33" si="1">K2-V2</f>
        <v>605.92999999999995</v>
      </c>
      <c r="M2" s="10">
        <v>0</v>
      </c>
      <c r="N2">
        <v>255.81</v>
      </c>
      <c r="O2">
        <f t="shared" ref="O2:O33" si="2">(M2+N2)-V2</f>
        <v>255.81</v>
      </c>
      <c r="P2">
        <v>252.67</v>
      </c>
      <c r="Q2">
        <v>0.97499999999999998</v>
      </c>
      <c r="R2">
        <v>5.8500000000000003E-2</v>
      </c>
      <c r="S2" s="6">
        <f t="shared" ref="S2:S33" si="3">D2</f>
        <v>41793</v>
      </c>
      <c r="T2" s="6">
        <v>41796</v>
      </c>
      <c r="U2" s="16"/>
      <c r="V2" s="17">
        <f t="shared" ref="V2:V33" si="4">U2*0.424</f>
        <v>0</v>
      </c>
      <c r="W2" s="17">
        <f t="shared" ref="W2:W33" si="5">N2/L2</f>
        <v>0.42217747924677773</v>
      </c>
      <c r="X2" s="17">
        <f t="shared" ref="X2:X33" si="6">W2*J2</f>
        <v>261.63604921360559</v>
      </c>
      <c r="Y2" s="17">
        <f t="shared" ref="Y2:Y33" si="7">(L2-N2)/L2*100</f>
        <v>57.782252075322226</v>
      </c>
    </row>
    <row r="3" spans="1:26" ht="15.75" customHeight="1" x14ac:dyDescent="0.2">
      <c r="A3" s="4" t="s">
        <v>10</v>
      </c>
      <c r="B3" t="s">
        <v>552</v>
      </c>
      <c r="C3" s="5" t="s">
        <v>11</v>
      </c>
      <c r="D3" s="6">
        <v>41793</v>
      </c>
      <c r="E3" t="s">
        <v>535</v>
      </c>
      <c r="F3" t="s">
        <v>514</v>
      </c>
      <c r="G3" t="s">
        <v>515</v>
      </c>
      <c r="H3">
        <v>6.31</v>
      </c>
      <c r="I3">
        <v>231.25</v>
      </c>
      <c r="J3">
        <f t="shared" si="0"/>
        <v>237.56</v>
      </c>
      <c r="K3">
        <v>225.86</v>
      </c>
      <c r="L3" s="10">
        <f t="shared" si="1"/>
        <v>225.86</v>
      </c>
      <c r="M3" s="10">
        <v>0</v>
      </c>
      <c r="N3">
        <v>78.06</v>
      </c>
      <c r="O3">
        <f t="shared" si="2"/>
        <v>78.06</v>
      </c>
      <c r="P3">
        <v>72.22</v>
      </c>
      <c r="Q3">
        <v>0.312</v>
      </c>
      <c r="R3">
        <v>1.4E-2</v>
      </c>
      <c r="S3" s="6">
        <f t="shared" si="3"/>
        <v>41793</v>
      </c>
      <c r="T3" s="6">
        <v>41796</v>
      </c>
      <c r="U3" s="16"/>
      <c r="V3" s="17">
        <f t="shared" si="4"/>
        <v>0</v>
      </c>
      <c r="W3" s="17">
        <f t="shared" si="5"/>
        <v>0.34561232621978216</v>
      </c>
      <c r="X3" s="17">
        <f t="shared" si="6"/>
        <v>82.103664216771449</v>
      </c>
      <c r="Y3" s="17">
        <f t="shared" si="7"/>
        <v>65.438767378021794</v>
      </c>
    </row>
    <row r="4" spans="1:26" ht="15.75" customHeight="1" x14ac:dyDescent="0.2">
      <c r="A4" s="4" t="s">
        <v>12</v>
      </c>
      <c r="B4" t="s">
        <v>555</v>
      </c>
      <c r="C4" s="5" t="s">
        <v>13</v>
      </c>
      <c r="D4" s="6">
        <v>41793</v>
      </c>
      <c r="E4" t="s">
        <v>536</v>
      </c>
      <c r="F4" t="s">
        <v>514</v>
      </c>
      <c r="G4" t="s">
        <v>515</v>
      </c>
      <c r="H4">
        <v>13.88</v>
      </c>
      <c r="I4">
        <v>274.27999999999997</v>
      </c>
      <c r="J4">
        <f t="shared" si="0"/>
        <v>288.15999999999997</v>
      </c>
      <c r="K4">
        <v>249.91</v>
      </c>
      <c r="L4" s="10">
        <f t="shared" si="1"/>
        <v>249.91</v>
      </c>
      <c r="M4" s="10">
        <v>0</v>
      </c>
      <c r="N4">
        <v>122</v>
      </c>
      <c r="O4">
        <f t="shared" si="2"/>
        <v>122</v>
      </c>
      <c r="P4">
        <v>4.33</v>
      </c>
      <c r="Q4">
        <v>0.1</v>
      </c>
      <c r="R4">
        <v>4.4999999999999997E-3</v>
      </c>
      <c r="S4" s="6">
        <f t="shared" si="3"/>
        <v>41793</v>
      </c>
      <c r="T4" s="6">
        <v>41796</v>
      </c>
      <c r="U4" s="16"/>
      <c r="V4" s="17">
        <f t="shared" si="4"/>
        <v>0</v>
      </c>
      <c r="W4" s="17">
        <f t="shared" si="5"/>
        <v>0.48817574326757635</v>
      </c>
      <c r="X4" s="17">
        <f t="shared" si="6"/>
        <v>140.67272217998479</v>
      </c>
      <c r="Y4" s="17">
        <f t="shared" si="7"/>
        <v>51.182425673242371</v>
      </c>
    </row>
    <row r="5" spans="1:26" ht="15.75" customHeight="1" x14ac:dyDescent="0.2">
      <c r="A5" s="4" t="s">
        <v>14</v>
      </c>
      <c r="B5" t="s">
        <v>551</v>
      </c>
      <c r="C5" s="5" t="s">
        <v>15</v>
      </c>
      <c r="D5" s="6">
        <v>41793</v>
      </c>
      <c r="E5" t="s">
        <v>537</v>
      </c>
      <c r="F5" t="s">
        <v>514</v>
      </c>
      <c r="G5" t="s">
        <v>515</v>
      </c>
      <c r="H5">
        <v>0</v>
      </c>
      <c r="I5">
        <v>142.34</v>
      </c>
      <c r="J5">
        <f t="shared" si="0"/>
        <v>142.34</v>
      </c>
      <c r="K5">
        <v>137.53</v>
      </c>
      <c r="L5" s="10">
        <f t="shared" si="1"/>
        <v>137.53</v>
      </c>
      <c r="M5" s="10">
        <v>0</v>
      </c>
      <c r="N5">
        <v>88.15</v>
      </c>
      <c r="O5">
        <f t="shared" si="2"/>
        <v>88.15</v>
      </c>
      <c r="P5">
        <v>87.8</v>
      </c>
      <c r="Q5">
        <v>0.26100000000000001</v>
      </c>
      <c r="R5">
        <v>0.01</v>
      </c>
      <c r="S5" s="6">
        <f t="shared" si="3"/>
        <v>41793</v>
      </c>
      <c r="T5" s="6">
        <v>41796</v>
      </c>
      <c r="U5" s="16"/>
      <c r="V5" s="17">
        <f t="shared" si="4"/>
        <v>0</v>
      </c>
      <c r="W5" s="17">
        <f t="shared" si="5"/>
        <v>0.64095106522213341</v>
      </c>
      <c r="X5" s="17">
        <f t="shared" si="6"/>
        <v>91.232974623718476</v>
      </c>
      <c r="Y5" s="17">
        <f t="shared" si="7"/>
        <v>35.904893477786658</v>
      </c>
    </row>
    <row r="6" spans="1:26" ht="15.75" customHeight="1" x14ac:dyDescent="0.2">
      <c r="A6" s="4" t="s">
        <v>16</v>
      </c>
      <c r="B6" t="s">
        <v>531</v>
      </c>
      <c r="C6" s="5" t="s">
        <v>17</v>
      </c>
      <c r="D6" s="6">
        <v>41793</v>
      </c>
      <c r="E6" t="s">
        <v>538</v>
      </c>
      <c r="F6" t="s">
        <v>516</v>
      </c>
      <c r="G6" t="s">
        <v>522</v>
      </c>
      <c r="H6">
        <v>5.82</v>
      </c>
      <c r="I6">
        <v>337.72</v>
      </c>
      <c r="J6">
        <f t="shared" si="0"/>
        <v>343.54</v>
      </c>
      <c r="K6">
        <v>324.33</v>
      </c>
      <c r="L6" s="10">
        <f t="shared" si="1"/>
        <v>324.33</v>
      </c>
      <c r="M6" s="10">
        <v>0</v>
      </c>
      <c r="N6">
        <v>154.52000000000001</v>
      </c>
      <c r="O6">
        <f t="shared" si="2"/>
        <v>154.52000000000001</v>
      </c>
      <c r="P6">
        <v>144.69999999999999</v>
      </c>
      <c r="Q6">
        <v>0.3725</v>
      </c>
      <c r="R6">
        <v>0.10199999999999999</v>
      </c>
      <c r="S6" s="6">
        <f t="shared" si="3"/>
        <v>41793</v>
      </c>
      <c r="T6" s="6">
        <v>41796</v>
      </c>
      <c r="U6" s="16"/>
      <c r="V6" s="17">
        <f t="shared" si="4"/>
        <v>0</v>
      </c>
      <c r="W6" s="17">
        <f t="shared" si="5"/>
        <v>0.47642832917090622</v>
      </c>
      <c r="X6" s="17">
        <f t="shared" si="6"/>
        <v>163.67218820337314</v>
      </c>
      <c r="Y6" s="17">
        <f t="shared" si="7"/>
        <v>52.35716708290937</v>
      </c>
    </row>
    <row r="7" spans="1:26" ht="15.75" customHeight="1" x14ac:dyDescent="0.2">
      <c r="A7" s="4" t="s">
        <v>18</v>
      </c>
      <c r="B7" t="s">
        <v>531</v>
      </c>
      <c r="C7" s="5" t="s">
        <v>19</v>
      </c>
      <c r="D7" s="6">
        <v>41793</v>
      </c>
      <c r="E7" t="s">
        <v>532</v>
      </c>
      <c r="F7" t="s">
        <v>514</v>
      </c>
      <c r="G7" t="s">
        <v>515</v>
      </c>
      <c r="H7">
        <v>6.45</v>
      </c>
      <c r="I7">
        <v>360.74</v>
      </c>
      <c r="J7">
        <f t="shared" si="0"/>
        <v>367.19</v>
      </c>
      <c r="K7">
        <v>342.88</v>
      </c>
      <c r="L7" s="10">
        <f t="shared" si="1"/>
        <v>342.88</v>
      </c>
      <c r="M7" s="10">
        <v>0</v>
      </c>
      <c r="N7">
        <v>78.7</v>
      </c>
      <c r="O7">
        <f t="shared" si="2"/>
        <v>78.7</v>
      </c>
      <c r="P7">
        <v>75.64</v>
      </c>
      <c r="Q7">
        <v>0.28499999999999998</v>
      </c>
      <c r="R7">
        <v>0.10100000000000001</v>
      </c>
      <c r="S7" s="6">
        <f t="shared" si="3"/>
        <v>41793</v>
      </c>
      <c r="T7" s="6">
        <v>41796</v>
      </c>
      <c r="U7" s="17"/>
      <c r="V7" s="17">
        <f t="shared" si="4"/>
        <v>0</v>
      </c>
      <c r="W7" s="17">
        <f t="shared" si="5"/>
        <v>0.22952636490900608</v>
      </c>
      <c r="X7" s="17">
        <f t="shared" si="6"/>
        <v>84.279785930937933</v>
      </c>
      <c r="Y7" s="17">
        <f t="shared" si="7"/>
        <v>77.047363509099398</v>
      </c>
    </row>
    <row r="8" spans="1:26" ht="15.75" customHeight="1" x14ac:dyDescent="0.2">
      <c r="A8" s="4" t="s">
        <v>20</v>
      </c>
      <c r="B8" t="s">
        <v>511</v>
      </c>
      <c r="C8" s="5" t="s">
        <v>21</v>
      </c>
      <c r="D8" s="6">
        <v>41792</v>
      </c>
      <c r="E8" t="s">
        <v>523</v>
      </c>
      <c r="F8" t="s">
        <v>514</v>
      </c>
      <c r="G8" t="s">
        <v>515</v>
      </c>
      <c r="H8">
        <v>1.26</v>
      </c>
      <c r="I8">
        <v>293.39999999999998</v>
      </c>
      <c r="J8">
        <f t="shared" si="0"/>
        <v>294.65999999999997</v>
      </c>
      <c r="K8" s="10">
        <v>287.36</v>
      </c>
      <c r="L8" s="10">
        <f t="shared" si="1"/>
        <v>287.36</v>
      </c>
      <c r="M8" s="10">
        <v>0</v>
      </c>
      <c r="N8">
        <v>137.09</v>
      </c>
      <c r="O8">
        <f t="shared" si="2"/>
        <v>137.09</v>
      </c>
      <c r="P8">
        <v>137.09</v>
      </c>
      <c r="Q8">
        <v>0.39500000000000002</v>
      </c>
      <c r="R8">
        <v>3.2000000000000001E-2</v>
      </c>
      <c r="S8" s="6">
        <f t="shared" si="3"/>
        <v>41792</v>
      </c>
      <c r="T8" s="6">
        <v>41795</v>
      </c>
      <c r="U8" s="17"/>
      <c r="V8" s="17">
        <f t="shared" si="4"/>
        <v>0</v>
      </c>
      <c r="W8" s="17">
        <f t="shared" si="5"/>
        <v>0.47706709354120264</v>
      </c>
      <c r="X8" s="17">
        <f t="shared" si="6"/>
        <v>140.57258978285074</v>
      </c>
      <c r="Y8" s="17">
        <f t="shared" si="7"/>
        <v>52.293290645879729</v>
      </c>
    </row>
    <row r="9" spans="1:26" ht="15.75" customHeight="1" x14ac:dyDescent="0.2">
      <c r="A9" s="4" t="s">
        <v>569</v>
      </c>
      <c r="B9" t="s">
        <v>570</v>
      </c>
      <c r="C9" s="9" t="s">
        <v>9</v>
      </c>
      <c r="D9" s="6">
        <v>41793</v>
      </c>
      <c r="F9" t="s">
        <v>514</v>
      </c>
      <c r="G9" t="s">
        <v>515</v>
      </c>
      <c r="H9">
        <v>20.97</v>
      </c>
      <c r="I9">
        <v>342.34</v>
      </c>
      <c r="J9">
        <f t="shared" si="0"/>
        <v>363.30999999999995</v>
      </c>
      <c r="K9">
        <v>332.71</v>
      </c>
      <c r="L9" s="10">
        <f t="shared" si="1"/>
        <v>332.71</v>
      </c>
      <c r="M9" s="10">
        <v>0</v>
      </c>
      <c r="N9">
        <v>119.39</v>
      </c>
      <c r="O9">
        <f t="shared" si="2"/>
        <v>119.39</v>
      </c>
      <c r="P9">
        <v>106.67</v>
      </c>
      <c r="Q9">
        <v>0.36</v>
      </c>
      <c r="R9">
        <v>4.1000000000000002E-2</v>
      </c>
      <c r="S9" s="6">
        <f t="shared" si="3"/>
        <v>41793</v>
      </c>
      <c r="T9" s="6">
        <v>41796</v>
      </c>
      <c r="U9" s="17"/>
      <c r="V9" s="17">
        <f t="shared" si="4"/>
        <v>0</v>
      </c>
      <c r="W9" s="17">
        <f t="shared" si="5"/>
        <v>0.35884103273120738</v>
      </c>
      <c r="X9" s="17">
        <f t="shared" si="6"/>
        <v>130.37053560157494</v>
      </c>
      <c r="Y9" s="17">
        <f t="shared" si="7"/>
        <v>64.115896726879257</v>
      </c>
    </row>
    <row r="10" spans="1:26" ht="15.75" customHeight="1" x14ac:dyDescent="0.2">
      <c r="A10" s="4" t="s">
        <v>22</v>
      </c>
      <c r="B10" t="s">
        <v>552</v>
      </c>
      <c r="C10" s="5" t="s">
        <v>23</v>
      </c>
      <c r="D10" s="6">
        <v>41793</v>
      </c>
      <c r="E10" t="s">
        <v>539</v>
      </c>
      <c r="F10" t="s">
        <v>514</v>
      </c>
      <c r="G10" t="s">
        <v>515</v>
      </c>
      <c r="H10">
        <v>0</v>
      </c>
      <c r="I10">
        <v>672.6</v>
      </c>
      <c r="J10">
        <f t="shared" si="0"/>
        <v>672.6</v>
      </c>
      <c r="K10">
        <v>663.01</v>
      </c>
      <c r="L10" s="10">
        <f t="shared" si="1"/>
        <v>663.01</v>
      </c>
      <c r="M10" s="10">
        <v>0</v>
      </c>
      <c r="N10">
        <v>376.04</v>
      </c>
      <c r="O10">
        <f t="shared" si="2"/>
        <v>376.04</v>
      </c>
      <c r="P10">
        <v>376.04</v>
      </c>
      <c r="Q10">
        <v>0.82</v>
      </c>
      <c r="R10">
        <v>4.7E-2</v>
      </c>
      <c r="S10" s="6">
        <f t="shared" si="3"/>
        <v>41793</v>
      </c>
      <c r="T10" s="6">
        <v>41796</v>
      </c>
      <c r="U10" s="17"/>
      <c r="V10" s="17">
        <f t="shared" si="4"/>
        <v>0</v>
      </c>
      <c r="W10" s="17">
        <f t="shared" si="5"/>
        <v>0.56717093256511975</v>
      </c>
      <c r="X10" s="17">
        <f t="shared" si="6"/>
        <v>381.47916924329957</v>
      </c>
      <c r="Y10" s="17">
        <f t="shared" si="7"/>
        <v>43.282906743488027</v>
      </c>
    </row>
    <row r="11" spans="1:26" ht="15.75" customHeight="1" x14ac:dyDescent="0.2">
      <c r="A11" s="4" t="s">
        <v>24</v>
      </c>
      <c r="B11" t="s">
        <v>198</v>
      </c>
      <c r="C11" s="5" t="s">
        <v>25</v>
      </c>
      <c r="D11" s="6">
        <v>41793</v>
      </c>
      <c r="E11" t="s">
        <v>540</v>
      </c>
      <c r="F11" t="s">
        <v>514</v>
      </c>
      <c r="G11" t="s">
        <v>515</v>
      </c>
      <c r="H11">
        <v>0</v>
      </c>
      <c r="I11">
        <v>21.45</v>
      </c>
      <c r="J11">
        <f t="shared" si="0"/>
        <v>21.45</v>
      </c>
      <c r="K11">
        <v>16.940000000000001</v>
      </c>
      <c r="L11" s="10">
        <f t="shared" si="1"/>
        <v>16.940000000000001</v>
      </c>
      <c r="M11" s="10">
        <v>0</v>
      </c>
      <c r="N11">
        <v>5.46</v>
      </c>
      <c r="O11">
        <f t="shared" si="2"/>
        <v>5.46</v>
      </c>
      <c r="P11">
        <v>1.98</v>
      </c>
      <c r="Q11">
        <v>7.4999999999999997E-3</v>
      </c>
      <c r="R11">
        <v>1.5E-3</v>
      </c>
      <c r="S11" s="6">
        <f t="shared" si="3"/>
        <v>41793</v>
      </c>
      <c r="T11" s="6">
        <v>41796</v>
      </c>
      <c r="U11" s="17"/>
      <c r="V11" s="17">
        <f t="shared" si="4"/>
        <v>0</v>
      </c>
      <c r="W11" s="17">
        <f t="shared" si="5"/>
        <v>0.32231404958677684</v>
      </c>
      <c r="X11" s="17">
        <f t="shared" si="6"/>
        <v>6.9136363636363631</v>
      </c>
      <c r="Y11" s="17">
        <f t="shared" si="7"/>
        <v>67.768595041322314</v>
      </c>
    </row>
    <row r="12" spans="1:26" ht="15.75" customHeight="1" x14ac:dyDescent="0.2">
      <c r="A12" s="4" t="s">
        <v>26</v>
      </c>
      <c r="B12" t="s">
        <v>519</v>
      </c>
      <c r="C12" s="5" t="s">
        <v>27</v>
      </c>
      <c r="D12" s="6">
        <v>41792</v>
      </c>
      <c r="E12" t="s">
        <v>524</v>
      </c>
      <c r="F12" t="s">
        <v>514</v>
      </c>
      <c r="G12" t="s">
        <v>515</v>
      </c>
      <c r="H12">
        <v>0</v>
      </c>
      <c r="I12">
        <v>576.29</v>
      </c>
      <c r="J12">
        <f t="shared" si="0"/>
        <v>576.29</v>
      </c>
      <c r="K12">
        <v>570.26</v>
      </c>
      <c r="L12" s="10">
        <f t="shared" si="1"/>
        <v>570.26</v>
      </c>
      <c r="M12" s="10">
        <v>0</v>
      </c>
      <c r="N12">
        <v>393.71</v>
      </c>
      <c r="O12">
        <f t="shared" si="2"/>
        <v>393.71</v>
      </c>
      <c r="P12">
        <v>393.24</v>
      </c>
      <c r="Q12">
        <v>0.68700000000000006</v>
      </c>
      <c r="R12">
        <v>2.35E-2</v>
      </c>
      <c r="S12" s="6">
        <f t="shared" si="3"/>
        <v>41792</v>
      </c>
      <c r="T12" s="6">
        <v>41795</v>
      </c>
      <c r="U12" s="17"/>
      <c r="V12" s="17">
        <f t="shared" si="4"/>
        <v>0</v>
      </c>
      <c r="W12" s="17">
        <f t="shared" si="5"/>
        <v>0.69040437695086454</v>
      </c>
      <c r="X12" s="17">
        <f t="shared" si="6"/>
        <v>397.87313839301368</v>
      </c>
      <c r="Y12" s="17">
        <f t="shared" si="7"/>
        <v>30.95956230491355</v>
      </c>
    </row>
    <row r="13" spans="1:26" ht="15.75" customHeight="1" x14ac:dyDescent="0.2">
      <c r="A13" s="4" t="s">
        <v>567</v>
      </c>
      <c r="B13" t="s">
        <v>568</v>
      </c>
      <c r="C13" s="9" t="s">
        <v>9</v>
      </c>
      <c r="D13" s="6">
        <v>41793</v>
      </c>
      <c r="F13" t="s">
        <v>514</v>
      </c>
      <c r="G13" t="s">
        <v>515</v>
      </c>
      <c r="H13">
        <v>0</v>
      </c>
      <c r="I13">
        <v>618.77</v>
      </c>
      <c r="J13">
        <f t="shared" si="0"/>
        <v>618.77</v>
      </c>
      <c r="K13">
        <v>611.92999999999995</v>
      </c>
      <c r="L13" s="10">
        <f t="shared" si="1"/>
        <v>611.92999999999995</v>
      </c>
      <c r="M13" s="10">
        <v>0</v>
      </c>
      <c r="N13">
        <v>448.21</v>
      </c>
      <c r="O13">
        <f t="shared" si="2"/>
        <v>448.21</v>
      </c>
      <c r="P13">
        <v>448.21</v>
      </c>
      <c r="Q13">
        <v>0.73099999999999998</v>
      </c>
      <c r="R13">
        <v>2.35E-2</v>
      </c>
      <c r="S13" s="6">
        <f t="shared" si="3"/>
        <v>41793</v>
      </c>
      <c r="T13" s="6">
        <v>41796</v>
      </c>
      <c r="U13" s="17"/>
      <c r="V13" s="17">
        <f t="shared" si="4"/>
        <v>0</v>
      </c>
      <c r="W13" s="17">
        <f t="shared" si="5"/>
        <v>0.732453058356348</v>
      </c>
      <c r="X13" s="17">
        <f t="shared" si="6"/>
        <v>453.21997891915743</v>
      </c>
      <c r="Y13" s="17">
        <f t="shared" si="7"/>
        <v>26.754694164365201</v>
      </c>
    </row>
    <row r="14" spans="1:26" ht="15.75" customHeight="1" x14ac:dyDescent="0.2">
      <c r="A14" s="4" t="s">
        <v>28</v>
      </c>
      <c r="B14" t="s">
        <v>533</v>
      </c>
      <c r="C14" s="5" t="s">
        <v>29</v>
      </c>
      <c r="D14" s="6">
        <v>41793</v>
      </c>
      <c r="E14" t="s">
        <v>541</v>
      </c>
      <c r="F14" t="s">
        <v>514</v>
      </c>
      <c r="G14" t="s">
        <v>515</v>
      </c>
      <c r="H14">
        <v>1.83</v>
      </c>
      <c r="I14">
        <v>243.11</v>
      </c>
      <c r="J14">
        <f t="shared" si="0"/>
        <v>244.94000000000003</v>
      </c>
      <c r="K14">
        <v>235.13</v>
      </c>
      <c r="L14" s="10">
        <f t="shared" si="1"/>
        <v>235.13</v>
      </c>
      <c r="M14" s="10">
        <v>0</v>
      </c>
      <c r="N14">
        <v>75.73</v>
      </c>
      <c r="O14">
        <f t="shared" si="2"/>
        <v>75.73</v>
      </c>
      <c r="P14">
        <v>74.290000000000006</v>
      </c>
      <c r="Q14">
        <v>0.30499999999999999</v>
      </c>
      <c r="R14">
        <v>4.0500000000000001E-2</v>
      </c>
      <c r="S14" s="6">
        <f t="shared" si="3"/>
        <v>41793</v>
      </c>
      <c r="T14" s="6">
        <v>41796</v>
      </c>
      <c r="U14" s="17"/>
      <c r="V14" s="17">
        <f t="shared" si="4"/>
        <v>0</v>
      </c>
      <c r="W14" s="17">
        <f t="shared" si="5"/>
        <v>0.3220771488112959</v>
      </c>
      <c r="X14" s="17">
        <f t="shared" si="6"/>
        <v>78.88957682983883</v>
      </c>
      <c r="Y14" s="17">
        <f t="shared" si="7"/>
        <v>67.792285118870396</v>
      </c>
    </row>
    <row r="15" spans="1:26" ht="15.75" customHeight="1" x14ac:dyDescent="0.2">
      <c r="A15" s="4" t="s">
        <v>30</v>
      </c>
      <c r="B15" t="s">
        <v>578</v>
      </c>
      <c r="C15" s="5" t="s">
        <v>31</v>
      </c>
      <c r="D15" s="6">
        <v>41792</v>
      </c>
      <c r="E15" t="s">
        <v>525</v>
      </c>
      <c r="F15" t="s">
        <v>516</v>
      </c>
      <c r="G15" t="s">
        <v>517</v>
      </c>
      <c r="H15">
        <v>0</v>
      </c>
      <c r="I15">
        <v>538.85</v>
      </c>
      <c r="J15">
        <f t="shared" si="0"/>
        <v>538.85</v>
      </c>
      <c r="K15">
        <v>531.69000000000005</v>
      </c>
      <c r="L15" s="10">
        <f t="shared" si="1"/>
        <v>531.69000000000005</v>
      </c>
      <c r="M15" s="10">
        <v>0</v>
      </c>
      <c r="N15">
        <v>177.2</v>
      </c>
      <c r="O15">
        <f t="shared" si="2"/>
        <v>177.2</v>
      </c>
      <c r="P15">
        <v>177.2</v>
      </c>
      <c r="Q15">
        <v>0.59599999999999997</v>
      </c>
      <c r="R15">
        <v>4.8500000000000001E-2</v>
      </c>
      <c r="S15" s="6">
        <f t="shared" si="3"/>
        <v>41792</v>
      </c>
      <c r="T15" s="6">
        <v>41795</v>
      </c>
      <c r="U15" s="16"/>
      <c r="V15" s="17">
        <f t="shared" si="4"/>
        <v>0</v>
      </c>
      <c r="W15" s="17">
        <f t="shared" si="5"/>
        <v>0.33327690947732697</v>
      </c>
      <c r="X15" s="17">
        <f t="shared" si="6"/>
        <v>179.58626267185764</v>
      </c>
      <c r="Y15" s="17">
        <f t="shared" si="7"/>
        <v>66.672309052267309</v>
      </c>
    </row>
    <row r="16" spans="1:26" ht="15.75" customHeight="1" x14ac:dyDescent="0.2">
      <c r="A16" s="4" t="s">
        <v>557</v>
      </c>
      <c r="B16" t="s">
        <v>558</v>
      </c>
      <c r="C16" s="9" t="s">
        <v>9</v>
      </c>
      <c r="D16" s="6">
        <v>41793</v>
      </c>
      <c r="F16" t="s">
        <v>514</v>
      </c>
      <c r="G16" t="s">
        <v>515</v>
      </c>
      <c r="H16">
        <v>0</v>
      </c>
      <c r="I16">
        <v>232.08</v>
      </c>
      <c r="J16">
        <f t="shared" si="0"/>
        <v>232.08</v>
      </c>
      <c r="K16">
        <v>228.13</v>
      </c>
      <c r="L16" s="10">
        <f t="shared" si="1"/>
        <v>228.13</v>
      </c>
      <c r="M16" s="10">
        <v>0</v>
      </c>
      <c r="N16">
        <v>139.93</v>
      </c>
      <c r="O16">
        <f t="shared" si="2"/>
        <v>139.93</v>
      </c>
      <c r="P16">
        <v>139.93</v>
      </c>
      <c r="Q16">
        <v>0.32900000000000001</v>
      </c>
      <c r="R16">
        <v>2.2499999999999999E-2</v>
      </c>
      <c r="S16" s="6">
        <f t="shared" si="3"/>
        <v>41793</v>
      </c>
      <c r="T16" s="6">
        <v>41796</v>
      </c>
      <c r="U16" s="16"/>
      <c r="V16" s="17">
        <f t="shared" si="4"/>
        <v>0</v>
      </c>
      <c r="W16" s="17">
        <f t="shared" si="5"/>
        <v>0.61337833691316357</v>
      </c>
      <c r="X16" s="17">
        <f t="shared" si="6"/>
        <v>142.35284443080701</v>
      </c>
      <c r="Y16" s="17">
        <f t="shared" si="7"/>
        <v>38.662166308683645</v>
      </c>
    </row>
    <row r="17" spans="1:26" ht="15.75" customHeight="1" x14ac:dyDescent="0.2">
      <c r="A17" s="4" t="s">
        <v>32</v>
      </c>
      <c r="B17" t="s">
        <v>520</v>
      </c>
      <c r="C17" s="5" t="s">
        <v>33</v>
      </c>
      <c r="D17" s="6">
        <v>41793</v>
      </c>
      <c r="E17" t="s">
        <v>542</v>
      </c>
      <c r="F17" t="s">
        <v>514</v>
      </c>
      <c r="G17" t="s">
        <v>515</v>
      </c>
      <c r="H17">
        <v>0</v>
      </c>
      <c r="I17">
        <v>299.17</v>
      </c>
      <c r="J17">
        <f t="shared" si="0"/>
        <v>299.17</v>
      </c>
      <c r="K17">
        <v>294.64999999999998</v>
      </c>
      <c r="L17" s="10">
        <f t="shared" si="1"/>
        <v>294.64999999999998</v>
      </c>
      <c r="M17" s="10">
        <v>0</v>
      </c>
      <c r="N17">
        <v>233.05</v>
      </c>
      <c r="O17">
        <f t="shared" si="2"/>
        <v>233.05</v>
      </c>
      <c r="P17">
        <v>233.05</v>
      </c>
      <c r="Q17">
        <v>0.43</v>
      </c>
      <c r="R17">
        <v>1.95E-2</v>
      </c>
      <c r="S17" s="6">
        <f t="shared" si="3"/>
        <v>41793</v>
      </c>
      <c r="T17" s="6">
        <v>41796</v>
      </c>
      <c r="U17" s="16"/>
      <c r="V17" s="17">
        <f t="shared" si="4"/>
        <v>0</v>
      </c>
      <c r="W17" s="17">
        <f t="shared" si="5"/>
        <v>0.79093840149329719</v>
      </c>
      <c r="X17" s="17">
        <f t="shared" si="6"/>
        <v>236.62504157474973</v>
      </c>
      <c r="Y17" s="17">
        <f t="shared" si="7"/>
        <v>20.906159850670278</v>
      </c>
    </row>
    <row r="18" spans="1:26" ht="15.75" customHeight="1" x14ac:dyDescent="0.2">
      <c r="A18" s="4" t="s">
        <v>34</v>
      </c>
      <c r="B18" t="s">
        <v>520</v>
      </c>
      <c r="C18" s="5" t="s">
        <v>35</v>
      </c>
      <c r="D18" s="6">
        <v>41792</v>
      </c>
      <c r="E18" t="s">
        <v>526</v>
      </c>
      <c r="F18" t="s">
        <v>514</v>
      </c>
      <c r="G18" t="s">
        <v>515</v>
      </c>
      <c r="H18">
        <v>0.13</v>
      </c>
      <c r="I18">
        <v>434.53</v>
      </c>
      <c r="J18">
        <f t="shared" si="0"/>
        <v>434.65999999999997</v>
      </c>
      <c r="K18">
        <v>430.68</v>
      </c>
      <c r="L18" s="10">
        <f t="shared" si="1"/>
        <v>430.68</v>
      </c>
      <c r="M18" s="10">
        <v>0</v>
      </c>
      <c r="N18">
        <v>354.1</v>
      </c>
      <c r="O18">
        <f t="shared" si="2"/>
        <v>354.1</v>
      </c>
      <c r="P18">
        <v>354.1</v>
      </c>
      <c r="Q18">
        <v>0.63700000000000001</v>
      </c>
      <c r="R18">
        <v>2.1999999999999999E-2</v>
      </c>
      <c r="S18" s="6">
        <f t="shared" si="3"/>
        <v>41792</v>
      </c>
      <c r="T18" s="6">
        <v>41795</v>
      </c>
      <c r="U18" s="16"/>
      <c r="V18" s="17">
        <f t="shared" si="4"/>
        <v>0</v>
      </c>
      <c r="W18" s="17">
        <f t="shared" si="5"/>
        <v>0.82218816754899238</v>
      </c>
      <c r="X18" s="17">
        <f t="shared" si="6"/>
        <v>357.37230890684498</v>
      </c>
      <c r="Y18" s="17">
        <f t="shared" si="7"/>
        <v>17.781183245100767</v>
      </c>
    </row>
    <row r="19" spans="1:26" ht="15.75" customHeight="1" x14ac:dyDescent="0.2">
      <c r="A19" s="4" t="s">
        <v>565</v>
      </c>
      <c r="B19" t="s">
        <v>566</v>
      </c>
      <c r="C19" s="9" t="s">
        <v>9</v>
      </c>
      <c r="D19" s="6">
        <v>41793</v>
      </c>
      <c r="F19" t="s">
        <v>514</v>
      </c>
      <c r="G19" t="s">
        <v>515</v>
      </c>
      <c r="H19">
        <v>0</v>
      </c>
      <c r="I19">
        <v>612.77</v>
      </c>
      <c r="J19">
        <f t="shared" si="0"/>
        <v>612.77</v>
      </c>
      <c r="K19">
        <v>606.83000000000004</v>
      </c>
      <c r="L19" s="10">
        <f t="shared" si="1"/>
        <v>606.83000000000004</v>
      </c>
      <c r="M19" s="10">
        <v>0</v>
      </c>
      <c r="N19">
        <v>485.54</v>
      </c>
      <c r="O19">
        <f t="shared" si="2"/>
        <v>485.54</v>
      </c>
      <c r="P19">
        <v>485.54</v>
      </c>
      <c r="Q19">
        <v>0.83899999999999997</v>
      </c>
      <c r="R19">
        <v>3.4000000000000002E-2</v>
      </c>
      <c r="S19" s="6">
        <f t="shared" si="3"/>
        <v>41793</v>
      </c>
      <c r="T19" s="6">
        <v>41796</v>
      </c>
      <c r="U19" s="16"/>
      <c r="V19" s="17">
        <f t="shared" si="4"/>
        <v>0</v>
      </c>
      <c r="W19" s="17">
        <f t="shared" si="5"/>
        <v>0.80012524100654214</v>
      </c>
      <c r="X19" s="17">
        <f t="shared" si="6"/>
        <v>490.2927439315788</v>
      </c>
      <c r="Y19" s="17">
        <f t="shared" si="7"/>
        <v>19.987475899345782</v>
      </c>
    </row>
    <row r="20" spans="1:26" ht="15.75" customHeight="1" x14ac:dyDescent="0.2">
      <c r="A20" s="4" t="s">
        <v>36</v>
      </c>
      <c r="B20" t="s">
        <v>513</v>
      </c>
      <c r="C20" s="5" t="s">
        <v>37</v>
      </c>
      <c r="D20" s="6">
        <v>41792</v>
      </c>
      <c r="E20" t="s">
        <v>527</v>
      </c>
      <c r="F20" t="s">
        <v>514</v>
      </c>
      <c r="G20" t="s">
        <v>515</v>
      </c>
      <c r="H20">
        <v>1.34</v>
      </c>
      <c r="I20">
        <v>389.69</v>
      </c>
      <c r="J20">
        <f t="shared" si="0"/>
        <v>391.03</v>
      </c>
      <c r="K20">
        <v>384.06</v>
      </c>
      <c r="L20" s="10">
        <f t="shared" si="1"/>
        <v>384.06</v>
      </c>
      <c r="M20" s="10">
        <v>0</v>
      </c>
      <c r="N20">
        <v>280.61</v>
      </c>
      <c r="O20">
        <f t="shared" si="2"/>
        <v>280.61</v>
      </c>
      <c r="P20">
        <v>280.61</v>
      </c>
      <c r="Q20">
        <v>0.42899999999999999</v>
      </c>
      <c r="R20">
        <v>2.8000000000000001E-2</v>
      </c>
      <c r="S20" s="6">
        <f t="shared" si="3"/>
        <v>41792</v>
      </c>
      <c r="T20" s="6">
        <v>41795</v>
      </c>
      <c r="U20" s="16"/>
      <c r="V20" s="17">
        <f t="shared" si="4"/>
        <v>0</v>
      </c>
      <c r="W20" s="17">
        <f t="shared" si="5"/>
        <v>0.73064104566994748</v>
      </c>
      <c r="X20" s="17">
        <f t="shared" si="6"/>
        <v>285.70256808831954</v>
      </c>
      <c r="Y20" s="17">
        <f t="shared" si="7"/>
        <v>26.935895433005257</v>
      </c>
    </row>
    <row r="21" spans="1:26" ht="15.75" customHeight="1" x14ac:dyDescent="0.2">
      <c r="A21" s="4" t="s">
        <v>561</v>
      </c>
      <c r="B21" t="s">
        <v>562</v>
      </c>
      <c r="C21" s="9" t="s">
        <v>9</v>
      </c>
      <c r="D21" s="6">
        <v>41793</v>
      </c>
      <c r="F21" t="s">
        <v>514</v>
      </c>
      <c r="G21" t="s">
        <v>515</v>
      </c>
      <c r="H21">
        <v>0</v>
      </c>
      <c r="I21">
        <v>316.24</v>
      </c>
      <c r="J21">
        <f t="shared" si="0"/>
        <v>316.24</v>
      </c>
      <c r="K21">
        <v>312.02999999999997</v>
      </c>
      <c r="L21" s="10">
        <f t="shared" si="1"/>
        <v>312.02999999999997</v>
      </c>
      <c r="M21" s="10">
        <v>0</v>
      </c>
      <c r="N21">
        <v>185.33</v>
      </c>
      <c r="O21">
        <f t="shared" si="2"/>
        <v>185.33</v>
      </c>
      <c r="P21">
        <v>185.33</v>
      </c>
      <c r="Q21">
        <v>0.371</v>
      </c>
      <c r="R21">
        <v>1.6500000000000001E-2</v>
      </c>
      <c r="S21" s="6">
        <f t="shared" si="3"/>
        <v>41793</v>
      </c>
      <c r="T21" s="6">
        <v>41796</v>
      </c>
      <c r="U21" s="16"/>
      <c r="V21" s="17">
        <f t="shared" si="4"/>
        <v>0</v>
      </c>
      <c r="W21" s="17">
        <f t="shared" si="5"/>
        <v>0.59394929974681931</v>
      </c>
      <c r="X21" s="17">
        <f t="shared" si="6"/>
        <v>187.83052655193416</v>
      </c>
      <c r="Y21" s="17">
        <f t="shared" si="7"/>
        <v>40.605070025318071</v>
      </c>
    </row>
    <row r="22" spans="1:26" ht="15.75" customHeight="1" x14ac:dyDescent="0.2">
      <c r="A22" s="4" t="s">
        <v>38</v>
      </c>
      <c r="B22" t="s">
        <v>521</v>
      </c>
      <c r="C22" s="5" t="s">
        <v>39</v>
      </c>
      <c r="D22" s="6">
        <v>41792</v>
      </c>
      <c r="E22" t="s">
        <v>528</v>
      </c>
      <c r="F22" t="s">
        <v>514</v>
      </c>
      <c r="G22" t="s">
        <v>515</v>
      </c>
      <c r="H22">
        <v>0.61</v>
      </c>
      <c r="I22">
        <v>765.01</v>
      </c>
      <c r="J22">
        <f t="shared" si="0"/>
        <v>765.62</v>
      </c>
      <c r="K22">
        <v>759.13</v>
      </c>
      <c r="L22" s="10">
        <f t="shared" si="1"/>
        <v>759.13</v>
      </c>
      <c r="M22" s="10">
        <v>0</v>
      </c>
      <c r="N22">
        <v>363.73</v>
      </c>
      <c r="O22">
        <f t="shared" si="2"/>
        <v>363.73</v>
      </c>
      <c r="P22">
        <v>363.73</v>
      </c>
      <c r="Q22">
        <v>0.68</v>
      </c>
      <c r="R22">
        <v>2.4E-2</v>
      </c>
      <c r="S22" s="6">
        <f t="shared" si="3"/>
        <v>41792</v>
      </c>
      <c r="T22" s="6">
        <v>41795</v>
      </c>
      <c r="U22" s="16"/>
      <c r="V22" s="17">
        <f t="shared" si="4"/>
        <v>0</v>
      </c>
      <c r="W22" s="17">
        <f t="shared" si="5"/>
        <v>0.47914059515498009</v>
      </c>
      <c r="X22" s="17">
        <f t="shared" si="6"/>
        <v>366.83962246255584</v>
      </c>
      <c r="Y22" s="17">
        <f t="shared" si="7"/>
        <v>52.08594048450199</v>
      </c>
    </row>
    <row r="23" spans="1:26" ht="15.75" customHeight="1" x14ac:dyDescent="0.2">
      <c r="A23" s="4" t="s">
        <v>560</v>
      </c>
      <c r="B23" t="s">
        <v>135</v>
      </c>
      <c r="C23" s="9" t="s">
        <v>9</v>
      </c>
      <c r="D23" s="6">
        <v>41793</v>
      </c>
      <c r="F23" t="s">
        <v>516</v>
      </c>
      <c r="G23" t="s">
        <v>522</v>
      </c>
      <c r="H23">
        <v>1.91</v>
      </c>
      <c r="I23">
        <v>248.89</v>
      </c>
      <c r="J23">
        <f t="shared" si="0"/>
        <v>250.79999999999998</v>
      </c>
      <c r="K23">
        <v>242.49</v>
      </c>
      <c r="L23" s="10">
        <f t="shared" si="1"/>
        <v>242.49</v>
      </c>
      <c r="M23" s="10">
        <v>0</v>
      </c>
      <c r="N23">
        <v>110.3</v>
      </c>
      <c r="O23">
        <f t="shared" si="2"/>
        <v>110.3</v>
      </c>
      <c r="P23">
        <v>107.5</v>
      </c>
      <c r="Q23">
        <v>0.307</v>
      </c>
      <c r="R23">
        <v>4.65E-2</v>
      </c>
      <c r="S23" s="6">
        <f t="shared" si="3"/>
        <v>41793</v>
      </c>
      <c r="T23" s="6">
        <v>41796</v>
      </c>
      <c r="U23" s="16"/>
      <c r="V23" s="17">
        <f t="shared" si="4"/>
        <v>0</v>
      </c>
      <c r="W23" s="17">
        <f t="shared" si="5"/>
        <v>0.45486411810796318</v>
      </c>
      <c r="X23" s="17">
        <f t="shared" si="6"/>
        <v>114.07992082147716</v>
      </c>
      <c r="Y23" s="17">
        <f t="shared" si="7"/>
        <v>54.513588189203674</v>
      </c>
    </row>
    <row r="24" spans="1:26" ht="15.75" customHeight="1" x14ac:dyDescent="0.2">
      <c r="A24" s="4" t="s">
        <v>40</v>
      </c>
      <c r="B24" t="s">
        <v>72</v>
      </c>
      <c r="C24" s="5" t="s">
        <v>41</v>
      </c>
      <c r="D24" s="6">
        <v>41793</v>
      </c>
      <c r="E24" t="s">
        <v>543</v>
      </c>
      <c r="F24" t="s">
        <v>514</v>
      </c>
      <c r="G24" t="s">
        <v>515</v>
      </c>
      <c r="H24">
        <v>0</v>
      </c>
      <c r="I24">
        <v>360.33</v>
      </c>
      <c r="J24">
        <f t="shared" si="0"/>
        <v>360.33</v>
      </c>
      <c r="K24">
        <v>355.52</v>
      </c>
      <c r="L24" s="10">
        <f t="shared" si="1"/>
        <v>355.52</v>
      </c>
      <c r="M24" s="10">
        <v>0</v>
      </c>
      <c r="N24">
        <v>156.81</v>
      </c>
      <c r="O24">
        <f t="shared" si="2"/>
        <v>156.81</v>
      </c>
      <c r="P24">
        <v>156.81</v>
      </c>
      <c r="Q24">
        <v>0.40150000000000002</v>
      </c>
      <c r="R24">
        <v>8.8499999999999995E-2</v>
      </c>
      <c r="S24" s="6">
        <f t="shared" si="3"/>
        <v>41793</v>
      </c>
      <c r="T24" s="6">
        <v>41796</v>
      </c>
      <c r="U24" s="16"/>
      <c r="V24" s="17">
        <f t="shared" si="4"/>
        <v>0</v>
      </c>
      <c r="W24" s="17">
        <f t="shared" si="5"/>
        <v>0.44107223222322234</v>
      </c>
      <c r="X24" s="17">
        <f t="shared" si="6"/>
        <v>158.9315574369937</v>
      </c>
      <c r="Y24" s="17">
        <f t="shared" si="7"/>
        <v>55.892776777677767</v>
      </c>
    </row>
    <row r="25" spans="1:26" ht="15.75" customHeight="1" x14ac:dyDescent="0.2">
      <c r="A25" s="4" t="s">
        <v>42</v>
      </c>
      <c r="B25" t="s">
        <v>553</v>
      </c>
      <c r="C25" s="5" t="s">
        <v>43</v>
      </c>
      <c r="D25" s="6">
        <v>41793</v>
      </c>
      <c r="E25" t="s">
        <v>544</v>
      </c>
      <c r="F25" t="s">
        <v>514</v>
      </c>
      <c r="G25" t="s">
        <v>515</v>
      </c>
      <c r="H25">
        <v>40.229999999999997</v>
      </c>
      <c r="I25">
        <v>153.93</v>
      </c>
      <c r="J25">
        <f t="shared" si="0"/>
        <v>194.16</v>
      </c>
      <c r="K25">
        <v>145.41999999999999</v>
      </c>
      <c r="L25" s="10">
        <f t="shared" si="1"/>
        <v>145.41999999999999</v>
      </c>
      <c r="M25" s="10">
        <v>0</v>
      </c>
      <c r="N25">
        <v>26.27</v>
      </c>
      <c r="O25">
        <f t="shared" si="2"/>
        <v>26.27</v>
      </c>
      <c r="P25">
        <v>12.94</v>
      </c>
      <c r="Q25">
        <v>7.4999999999999997E-2</v>
      </c>
      <c r="R25">
        <v>6.3E-2</v>
      </c>
      <c r="S25" s="6">
        <f t="shared" si="3"/>
        <v>41793</v>
      </c>
      <c r="T25" s="6">
        <v>41796</v>
      </c>
      <c r="U25" s="16"/>
      <c r="V25" s="17">
        <f t="shared" si="4"/>
        <v>0</v>
      </c>
      <c r="W25" s="17">
        <f t="shared" si="5"/>
        <v>0.18064915417411637</v>
      </c>
      <c r="X25" s="17">
        <f t="shared" si="6"/>
        <v>35.074839774446431</v>
      </c>
      <c r="Y25" s="17">
        <f t="shared" si="7"/>
        <v>81.935084582588374</v>
      </c>
    </row>
    <row r="26" spans="1:26" ht="15.75" customHeight="1" x14ac:dyDescent="0.2">
      <c r="A26" s="4" t="s">
        <v>748</v>
      </c>
      <c r="B26" t="s">
        <v>554</v>
      </c>
      <c r="C26" s="5" t="s">
        <v>44</v>
      </c>
      <c r="D26" s="6">
        <v>41793</v>
      </c>
      <c r="E26" t="s">
        <v>545</v>
      </c>
      <c r="F26" t="s">
        <v>514</v>
      </c>
      <c r="G26" t="s">
        <v>515</v>
      </c>
      <c r="H26">
        <v>49.06</v>
      </c>
      <c r="I26">
        <v>541.49</v>
      </c>
      <c r="J26">
        <f t="shared" si="0"/>
        <v>590.54999999999995</v>
      </c>
      <c r="K26">
        <v>529.6</v>
      </c>
      <c r="L26" s="10">
        <f t="shared" si="1"/>
        <v>529.6</v>
      </c>
      <c r="M26" s="10">
        <v>0</v>
      </c>
      <c r="N26">
        <v>297.38</v>
      </c>
      <c r="O26">
        <f t="shared" si="2"/>
        <v>297.38</v>
      </c>
      <c r="P26">
        <v>262.49</v>
      </c>
      <c r="Q26">
        <v>0.53</v>
      </c>
      <c r="R26">
        <v>0.13650000000000001</v>
      </c>
      <c r="S26" s="6">
        <f t="shared" si="3"/>
        <v>41793</v>
      </c>
      <c r="T26" s="6">
        <v>41796</v>
      </c>
      <c r="U26" s="16"/>
      <c r="V26" s="17">
        <f t="shared" si="4"/>
        <v>0</v>
      </c>
      <c r="W26" s="17">
        <f t="shared" si="5"/>
        <v>0.56151812688821745</v>
      </c>
      <c r="X26" s="17">
        <f t="shared" si="6"/>
        <v>331.60452983383681</v>
      </c>
      <c r="Y26" s="17">
        <f t="shared" si="7"/>
        <v>43.848187311178251</v>
      </c>
    </row>
    <row r="27" spans="1:26" ht="15.75" customHeight="1" x14ac:dyDescent="0.2">
      <c r="A27" s="4" t="s">
        <v>45</v>
      </c>
      <c r="B27" t="s">
        <v>512</v>
      </c>
      <c r="C27" s="5" t="s">
        <v>46</v>
      </c>
      <c r="D27" s="6">
        <v>41792</v>
      </c>
      <c r="E27" t="s">
        <v>529</v>
      </c>
      <c r="F27" t="s">
        <v>516</v>
      </c>
      <c r="G27" t="s">
        <v>518</v>
      </c>
      <c r="H27">
        <v>17.77</v>
      </c>
      <c r="I27">
        <v>602.53</v>
      </c>
      <c r="J27">
        <f t="shared" si="0"/>
        <v>620.29999999999995</v>
      </c>
      <c r="K27">
        <v>596.86</v>
      </c>
      <c r="L27" s="10">
        <f t="shared" si="1"/>
        <v>596.86</v>
      </c>
      <c r="M27" s="10">
        <v>0</v>
      </c>
      <c r="N27">
        <v>373.17</v>
      </c>
      <c r="O27">
        <f t="shared" si="2"/>
        <v>373.17</v>
      </c>
      <c r="P27">
        <v>368.18</v>
      </c>
      <c r="Q27">
        <v>0.84599999999999997</v>
      </c>
      <c r="R27">
        <v>4.4499999999999998E-2</v>
      </c>
      <c r="S27" s="6">
        <f t="shared" si="3"/>
        <v>41792</v>
      </c>
      <c r="T27" s="6">
        <v>41795</v>
      </c>
      <c r="U27" s="16"/>
      <c r="V27" s="17">
        <f t="shared" si="4"/>
        <v>0</v>
      </c>
      <c r="W27" s="17">
        <f t="shared" si="5"/>
        <v>0.62522199510773047</v>
      </c>
      <c r="X27" s="17">
        <f t="shared" si="6"/>
        <v>387.82520356532518</v>
      </c>
      <c r="Y27" s="17">
        <f t="shared" si="7"/>
        <v>37.477800489226951</v>
      </c>
    </row>
    <row r="28" spans="1:26" ht="15.75" customHeight="1" x14ac:dyDescent="0.2">
      <c r="A28" s="4" t="s">
        <v>563</v>
      </c>
      <c r="B28" t="s">
        <v>564</v>
      </c>
      <c r="C28" s="9" t="s">
        <v>9</v>
      </c>
      <c r="D28" s="6">
        <v>41793</v>
      </c>
      <c r="F28" t="s">
        <v>516</v>
      </c>
      <c r="G28" t="s">
        <v>522</v>
      </c>
      <c r="H28">
        <v>0</v>
      </c>
      <c r="I28">
        <v>680.61</v>
      </c>
      <c r="J28">
        <f t="shared" si="0"/>
        <v>680.61</v>
      </c>
      <c r="K28">
        <v>666.97</v>
      </c>
      <c r="L28" s="10">
        <f t="shared" si="1"/>
        <v>666.97</v>
      </c>
      <c r="M28" s="10">
        <v>0</v>
      </c>
      <c r="N28">
        <v>397.64</v>
      </c>
      <c r="O28">
        <f t="shared" si="2"/>
        <v>397.64</v>
      </c>
      <c r="P28">
        <v>397.64</v>
      </c>
      <c r="Q28">
        <v>0.79500000000000004</v>
      </c>
      <c r="R28">
        <v>6.25E-2</v>
      </c>
      <c r="S28" s="6">
        <f t="shared" si="3"/>
        <v>41793</v>
      </c>
      <c r="T28" s="6">
        <v>41796</v>
      </c>
      <c r="U28" s="16"/>
      <c r="V28" s="17">
        <f t="shared" si="4"/>
        <v>0</v>
      </c>
      <c r="W28" s="17">
        <f t="shared" si="5"/>
        <v>0.59618873412597262</v>
      </c>
      <c r="X28" s="17">
        <f t="shared" si="6"/>
        <v>405.77201433347824</v>
      </c>
      <c r="Y28" s="17">
        <f t="shared" si="7"/>
        <v>40.38112658740274</v>
      </c>
    </row>
    <row r="29" spans="1:26" ht="15.75" customHeight="1" x14ac:dyDescent="0.2">
      <c r="A29" s="4" t="s">
        <v>47</v>
      </c>
      <c r="B29" t="s">
        <v>513</v>
      </c>
      <c r="C29" s="5" t="s">
        <v>48</v>
      </c>
      <c r="D29" s="6">
        <v>41793</v>
      </c>
      <c r="E29" t="s">
        <v>546</v>
      </c>
      <c r="F29" t="s">
        <v>514</v>
      </c>
      <c r="G29" t="s">
        <v>515</v>
      </c>
      <c r="H29">
        <v>0</v>
      </c>
      <c r="I29">
        <v>186.08</v>
      </c>
      <c r="J29">
        <f t="shared" si="0"/>
        <v>186.08</v>
      </c>
      <c r="K29">
        <v>178.44</v>
      </c>
      <c r="L29" s="10">
        <f t="shared" si="1"/>
        <v>178.44</v>
      </c>
      <c r="M29" s="10">
        <v>0</v>
      </c>
      <c r="N29">
        <v>109.57</v>
      </c>
      <c r="O29">
        <f t="shared" si="2"/>
        <v>109.57</v>
      </c>
      <c r="P29">
        <v>99.48</v>
      </c>
      <c r="Q29">
        <v>0.25600000000000001</v>
      </c>
      <c r="R29">
        <v>8.0000000000000002E-3</v>
      </c>
      <c r="S29" s="6">
        <f t="shared" si="3"/>
        <v>41793</v>
      </c>
      <c r="T29" s="6">
        <v>41796</v>
      </c>
      <c r="U29" s="16"/>
      <c r="V29" s="17">
        <f t="shared" si="4"/>
        <v>0</v>
      </c>
      <c r="W29" s="17">
        <f t="shared" si="5"/>
        <v>0.61404393633714416</v>
      </c>
      <c r="X29" s="17">
        <f t="shared" si="6"/>
        <v>114.26129567361579</v>
      </c>
      <c r="Y29" s="17">
        <f t="shared" si="7"/>
        <v>38.595606366285587</v>
      </c>
    </row>
    <row r="30" spans="1:26" ht="15.75" customHeight="1" x14ac:dyDescent="0.2">
      <c r="A30" s="4" t="s">
        <v>49</v>
      </c>
      <c r="B30" t="s">
        <v>510</v>
      </c>
      <c r="C30" s="5" t="s">
        <v>50</v>
      </c>
      <c r="D30" s="6">
        <v>41792</v>
      </c>
      <c r="E30" t="s">
        <v>530</v>
      </c>
      <c r="F30" t="s">
        <v>516</v>
      </c>
      <c r="G30" t="s">
        <v>522</v>
      </c>
      <c r="H30">
        <v>0.2</v>
      </c>
      <c r="I30">
        <v>525.38</v>
      </c>
      <c r="J30">
        <f t="shared" si="0"/>
        <v>525.58000000000004</v>
      </c>
      <c r="K30">
        <v>514.64</v>
      </c>
      <c r="L30" s="10">
        <f t="shared" si="1"/>
        <v>514.64</v>
      </c>
      <c r="M30" s="10">
        <v>0</v>
      </c>
      <c r="N30">
        <v>202.84</v>
      </c>
      <c r="O30">
        <f t="shared" si="2"/>
        <v>202.84</v>
      </c>
      <c r="P30">
        <v>176.65</v>
      </c>
      <c r="Q30">
        <v>0.39200000000000002</v>
      </c>
      <c r="R30">
        <v>2.5999999999999999E-2</v>
      </c>
      <c r="S30" s="6">
        <f t="shared" si="3"/>
        <v>41792</v>
      </c>
      <c r="T30" s="6">
        <v>41795</v>
      </c>
      <c r="U30" s="16"/>
      <c r="V30" s="17">
        <f t="shared" si="4"/>
        <v>0</v>
      </c>
      <c r="W30" s="17">
        <f t="shared" si="5"/>
        <v>0.3941395927250117</v>
      </c>
      <c r="X30" s="17">
        <f t="shared" si="6"/>
        <v>207.15188714441166</v>
      </c>
      <c r="Y30" s="17">
        <f t="shared" si="7"/>
        <v>60.586040727498826</v>
      </c>
      <c r="Z30" s="12" t="s">
        <v>661</v>
      </c>
    </row>
    <row r="31" spans="1:26" ht="15.75" customHeight="1" x14ac:dyDescent="0.2">
      <c r="A31" s="4" t="s">
        <v>559</v>
      </c>
      <c r="B31" t="s">
        <v>556</v>
      </c>
      <c r="C31" s="9" t="s">
        <v>9</v>
      </c>
      <c r="D31" s="6">
        <v>41793</v>
      </c>
      <c r="F31" t="s">
        <v>516</v>
      </c>
      <c r="G31" t="s">
        <v>522</v>
      </c>
      <c r="H31">
        <v>0.97</v>
      </c>
      <c r="I31">
        <v>499.41</v>
      </c>
      <c r="J31">
        <f t="shared" si="0"/>
        <v>500.38000000000005</v>
      </c>
      <c r="K31">
        <v>489.12</v>
      </c>
      <c r="L31" s="10">
        <f t="shared" si="1"/>
        <v>489.12</v>
      </c>
      <c r="M31" s="10">
        <v>0</v>
      </c>
      <c r="N31">
        <v>305.14</v>
      </c>
      <c r="O31">
        <f t="shared" si="2"/>
        <v>305.14</v>
      </c>
      <c r="P31">
        <v>303.77</v>
      </c>
      <c r="Q31">
        <v>0.55500000000000005</v>
      </c>
      <c r="R31">
        <v>7.6499999999999999E-2</v>
      </c>
      <c r="S31" s="6">
        <f t="shared" si="3"/>
        <v>41793</v>
      </c>
      <c r="T31" s="6">
        <v>41796</v>
      </c>
      <c r="U31" s="16"/>
      <c r="V31" s="17">
        <f t="shared" si="4"/>
        <v>0</v>
      </c>
      <c r="W31" s="17">
        <f t="shared" si="5"/>
        <v>0.62385508668629375</v>
      </c>
      <c r="X31" s="17">
        <f t="shared" si="6"/>
        <v>312.16460827608768</v>
      </c>
      <c r="Y31" s="17">
        <f t="shared" si="7"/>
        <v>37.61449133137063</v>
      </c>
    </row>
    <row r="32" spans="1:26" ht="15.75" customHeight="1" x14ac:dyDescent="0.2">
      <c r="A32" s="4" t="s">
        <v>51</v>
      </c>
      <c r="B32" t="s">
        <v>550</v>
      </c>
      <c r="C32" s="5" t="s">
        <v>52</v>
      </c>
      <c r="D32" s="6">
        <v>41793</v>
      </c>
      <c r="E32" t="s">
        <v>547</v>
      </c>
      <c r="F32" t="s">
        <v>514</v>
      </c>
      <c r="G32" t="s">
        <v>515</v>
      </c>
      <c r="H32">
        <v>0</v>
      </c>
      <c r="I32">
        <v>546.09</v>
      </c>
      <c r="J32">
        <f t="shared" si="0"/>
        <v>546.09</v>
      </c>
      <c r="K32">
        <v>538</v>
      </c>
      <c r="L32" s="10">
        <f t="shared" si="1"/>
        <v>538</v>
      </c>
      <c r="M32" s="10">
        <v>0</v>
      </c>
      <c r="N32">
        <v>251.24</v>
      </c>
      <c r="O32">
        <f t="shared" si="2"/>
        <v>251.24</v>
      </c>
      <c r="P32">
        <v>251.24</v>
      </c>
      <c r="Q32">
        <v>0.61799999999999999</v>
      </c>
      <c r="R32">
        <v>2.75E-2</v>
      </c>
      <c r="S32" s="6">
        <f t="shared" si="3"/>
        <v>41793</v>
      </c>
      <c r="T32" s="6">
        <v>41796</v>
      </c>
      <c r="U32" s="16"/>
      <c r="V32" s="17">
        <f t="shared" si="4"/>
        <v>0</v>
      </c>
      <c r="W32" s="17">
        <f t="shared" si="5"/>
        <v>0.46698884758364312</v>
      </c>
      <c r="X32" s="17">
        <f t="shared" si="6"/>
        <v>255.01793977695169</v>
      </c>
      <c r="Y32" s="17">
        <f t="shared" si="7"/>
        <v>53.301115241635685</v>
      </c>
    </row>
    <row r="33" spans="1:25" ht="15.75" customHeight="1" x14ac:dyDescent="0.2">
      <c r="A33" s="4" t="s">
        <v>53</v>
      </c>
      <c r="B33" t="s">
        <v>198</v>
      </c>
      <c r="C33" s="5" t="s">
        <v>54</v>
      </c>
      <c r="D33" s="6">
        <v>41793</v>
      </c>
      <c r="E33" t="s">
        <v>548</v>
      </c>
      <c r="F33" t="s">
        <v>516</v>
      </c>
      <c r="G33" t="s">
        <v>549</v>
      </c>
      <c r="H33">
        <v>3.52</v>
      </c>
      <c r="I33">
        <v>125.22</v>
      </c>
      <c r="J33">
        <f t="shared" si="0"/>
        <v>128.74</v>
      </c>
      <c r="K33">
        <v>121.04</v>
      </c>
      <c r="L33" s="10">
        <f t="shared" si="1"/>
        <v>121.04</v>
      </c>
      <c r="M33" s="10">
        <v>0</v>
      </c>
      <c r="N33">
        <v>54.86</v>
      </c>
      <c r="O33">
        <f t="shared" si="2"/>
        <v>54.86</v>
      </c>
      <c r="P33">
        <v>42.44</v>
      </c>
      <c r="Q33">
        <v>9.9000000000000005E-2</v>
      </c>
      <c r="R33">
        <v>1.4999999999999999E-2</v>
      </c>
      <c r="S33" s="6">
        <f t="shared" si="3"/>
        <v>41793</v>
      </c>
      <c r="T33" s="6">
        <v>41796</v>
      </c>
      <c r="U33" s="16"/>
      <c r="V33" s="17">
        <f t="shared" si="4"/>
        <v>0</v>
      </c>
      <c r="W33" s="17">
        <f t="shared" si="5"/>
        <v>0.45323859881031059</v>
      </c>
      <c r="X33" s="17">
        <f t="shared" si="6"/>
        <v>58.349937210839393</v>
      </c>
      <c r="Y33" s="17">
        <f t="shared" si="7"/>
        <v>54.676140118968938</v>
      </c>
    </row>
    <row r="34" spans="1:25" ht="15.75" customHeight="1" x14ac:dyDescent="0.2">
      <c r="A34" s="4" t="s">
        <v>73</v>
      </c>
      <c r="B34" s="10" t="s">
        <v>554</v>
      </c>
      <c r="C34" s="5" t="s">
        <v>74</v>
      </c>
      <c r="D34" s="6">
        <v>41801</v>
      </c>
      <c r="F34" t="s">
        <v>516</v>
      </c>
      <c r="G34" t="s">
        <v>677</v>
      </c>
      <c r="H34">
        <v>24.05</v>
      </c>
      <c r="I34">
        <v>315.33</v>
      </c>
      <c r="J34">
        <f t="shared" ref="J34:J65" si="8">(H34+I34)-V34</f>
        <v>338.95600000000002</v>
      </c>
      <c r="K34">
        <v>300.32</v>
      </c>
      <c r="L34" s="10">
        <f t="shared" ref="L34:L65" si="9">K34-V34</f>
        <v>299.89600000000002</v>
      </c>
      <c r="M34" s="10">
        <v>14.04</v>
      </c>
      <c r="N34">
        <v>76.72</v>
      </c>
      <c r="O34">
        <f t="shared" ref="O34:O65" si="10">(M34+N34)-V34</f>
        <v>90.335999999999984</v>
      </c>
      <c r="P34">
        <f>N34-2.37</f>
        <v>74.349999999999994</v>
      </c>
      <c r="Q34">
        <v>0.41399999999999998</v>
      </c>
      <c r="R34">
        <v>5.9499999999999997E-2</v>
      </c>
      <c r="S34" s="6">
        <v>41806</v>
      </c>
      <c r="T34" s="6">
        <v>41809</v>
      </c>
      <c r="U34" s="15">
        <v>1</v>
      </c>
      <c r="V34" s="17">
        <f t="shared" ref="V34:V65" si="11">U34*0.424</f>
        <v>0.42399999999999999</v>
      </c>
      <c r="W34" s="17">
        <f t="shared" ref="W34:W65" si="12">N34/L34</f>
        <v>0.25582201829967721</v>
      </c>
      <c r="X34" s="17">
        <f t="shared" ref="X34:X65" si="13">W34*J34</f>
        <v>86.712408034785398</v>
      </c>
      <c r="Y34" s="17">
        <f t="shared" ref="Y34:Y65" si="14">(L34-N34)/L34*100</f>
        <v>74.417798170032285</v>
      </c>
    </row>
    <row r="35" spans="1:25" ht="15.75" customHeight="1" x14ac:dyDescent="0.2">
      <c r="A35" s="4" t="s">
        <v>83</v>
      </c>
      <c r="B35" s="10" t="s">
        <v>589</v>
      </c>
      <c r="C35" s="5" t="s">
        <v>84</v>
      </c>
      <c r="D35" s="6">
        <v>41803</v>
      </c>
      <c r="F35" t="s">
        <v>516</v>
      </c>
      <c r="G35" t="s">
        <v>692</v>
      </c>
      <c r="H35">
        <v>52.56</v>
      </c>
      <c r="I35">
        <v>459.48</v>
      </c>
      <c r="J35">
        <f t="shared" si="8"/>
        <v>511.19199999999995</v>
      </c>
      <c r="K35">
        <v>452.22</v>
      </c>
      <c r="L35" s="10">
        <f t="shared" si="9"/>
        <v>451.37200000000001</v>
      </c>
      <c r="M35" s="10">
        <v>27.14</v>
      </c>
      <c r="N35">
        <v>263.77</v>
      </c>
      <c r="O35">
        <f t="shared" si="10"/>
        <v>290.06199999999995</v>
      </c>
      <c r="P35">
        <f>N35-0.2</f>
        <v>263.57</v>
      </c>
      <c r="Q35">
        <v>0.65400000000000003</v>
      </c>
      <c r="R35">
        <v>1.95E-2</v>
      </c>
      <c r="S35" s="6">
        <v>41806</v>
      </c>
      <c r="T35" s="6">
        <v>41809</v>
      </c>
      <c r="U35" s="15">
        <v>2</v>
      </c>
      <c r="V35" s="17">
        <f t="shared" si="11"/>
        <v>0.84799999999999998</v>
      </c>
      <c r="W35" s="17">
        <f t="shared" si="12"/>
        <v>0.58437386457290208</v>
      </c>
      <c r="X35" s="17">
        <f t="shared" si="13"/>
        <v>298.72724457875091</v>
      </c>
      <c r="Y35" s="17">
        <f t="shared" si="14"/>
        <v>41.562613542709784</v>
      </c>
    </row>
    <row r="36" spans="1:25" ht="15.75" customHeight="1" x14ac:dyDescent="0.2">
      <c r="A36" s="4" t="s">
        <v>569</v>
      </c>
      <c r="B36" s="11" t="s">
        <v>597</v>
      </c>
      <c r="C36" s="5" t="s">
        <v>72</v>
      </c>
      <c r="D36" s="6">
        <v>41803</v>
      </c>
      <c r="F36" t="s">
        <v>514</v>
      </c>
      <c r="G36" t="s">
        <v>515</v>
      </c>
      <c r="H36">
        <v>0</v>
      </c>
      <c r="I36">
        <v>373.57</v>
      </c>
      <c r="J36">
        <f t="shared" si="8"/>
        <v>372.72199999999998</v>
      </c>
      <c r="K36">
        <v>366.46</v>
      </c>
      <c r="L36" s="10">
        <f t="shared" si="9"/>
        <v>365.61199999999997</v>
      </c>
      <c r="M36" s="10">
        <v>0</v>
      </c>
      <c r="N36">
        <v>250.63</v>
      </c>
      <c r="O36">
        <f t="shared" si="10"/>
        <v>249.78199999999998</v>
      </c>
      <c r="P36">
        <f>N36-0.44</f>
        <v>250.19</v>
      </c>
      <c r="Q36">
        <v>0.501</v>
      </c>
      <c r="R36">
        <v>1.8499999999999999E-2</v>
      </c>
      <c r="S36" s="6">
        <v>41806</v>
      </c>
      <c r="T36" s="6">
        <v>41809</v>
      </c>
      <c r="U36" s="15">
        <v>2</v>
      </c>
      <c r="V36" s="17">
        <f t="shared" si="11"/>
        <v>0.84799999999999998</v>
      </c>
      <c r="W36" s="17">
        <f t="shared" si="12"/>
        <v>0.68550813430631385</v>
      </c>
      <c r="X36" s="17">
        <f t="shared" si="13"/>
        <v>255.5039628349179</v>
      </c>
      <c r="Y36" s="17">
        <f t="shared" si="14"/>
        <v>31.449186569368614</v>
      </c>
    </row>
    <row r="37" spans="1:25" ht="15.75" customHeight="1" x14ac:dyDescent="0.2">
      <c r="A37" s="4" t="s">
        <v>89</v>
      </c>
      <c r="B37" s="10" t="s">
        <v>564</v>
      </c>
      <c r="C37" s="5" t="s">
        <v>90</v>
      </c>
      <c r="D37" s="6">
        <v>41803</v>
      </c>
      <c r="F37" t="s">
        <v>514</v>
      </c>
      <c r="G37" t="s">
        <v>515</v>
      </c>
      <c r="H37">
        <v>0</v>
      </c>
      <c r="I37">
        <v>924.91</v>
      </c>
      <c r="J37">
        <f t="shared" si="8"/>
        <v>924.06200000000001</v>
      </c>
      <c r="K37">
        <v>915.05</v>
      </c>
      <c r="L37" s="10">
        <f t="shared" si="9"/>
        <v>914.202</v>
      </c>
      <c r="M37" s="10">
        <v>0</v>
      </c>
      <c r="N37">
        <v>657.22</v>
      </c>
      <c r="O37">
        <f t="shared" si="10"/>
        <v>656.37200000000007</v>
      </c>
      <c r="P37">
        <f>N37-0.21</f>
        <v>657.01</v>
      </c>
      <c r="Q37">
        <v>0.95550000000000002</v>
      </c>
      <c r="R37">
        <v>2.1499999999999998E-2</v>
      </c>
      <c r="S37" s="6">
        <v>41806</v>
      </c>
      <c r="T37" s="6">
        <v>41809</v>
      </c>
      <c r="U37" s="15">
        <v>2</v>
      </c>
      <c r="V37" s="17">
        <f t="shared" si="11"/>
        <v>0.84799999999999998</v>
      </c>
      <c r="W37" s="17">
        <f t="shared" si="12"/>
        <v>0.71890019929949844</v>
      </c>
      <c r="X37" s="17">
        <f t="shared" si="13"/>
        <v>664.30835596509314</v>
      </c>
      <c r="Y37" s="17">
        <f t="shared" si="14"/>
        <v>28.10998007005016</v>
      </c>
    </row>
    <row r="38" spans="1:25" ht="15.75" customHeight="1" x14ac:dyDescent="0.2">
      <c r="A38" s="4" t="s">
        <v>567</v>
      </c>
      <c r="B38" s="11" t="s">
        <v>598</v>
      </c>
      <c r="C38" s="5" t="s">
        <v>72</v>
      </c>
      <c r="D38" s="6">
        <v>41803</v>
      </c>
      <c r="F38" t="s">
        <v>514</v>
      </c>
      <c r="G38" t="s">
        <v>515</v>
      </c>
      <c r="H38">
        <v>0</v>
      </c>
      <c r="I38">
        <v>396.18</v>
      </c>
      <c r="J38">
        <f t="shared" si="8"/>
        <v>395.33199999999999</v>
      </c>
      <c r="K38">
        <v>390.72</v>
      </c>
      <c r="L38" s="10">
        <f t="shared" si="9"/>
        <v>389.87200000000001</v>
      </c>
      <c r="M38" s="10">
        <v>0</v>
      </c>
      <c r="N38">
        <v>288.41000000000003</v>
      </c>
      <c r="O38">
        <f t="shared" si="10"/>
        <v>287.56200000000001</v>
      </c>
      <c r="P38">
        <f>N38-0.13</f>
        <v>288.28000000000003</v>
      </c>
      <c r="Q38">
        <v>0.48149999999999998</v>
      </c>
      <c r="R38">
        <v>1.5599999999999999E-2</v>
      </c>
      <c r="S38" s="6">
        <v>41806</v>
      </c>
      <c r="T38" s="6">
        <v>41809</v>
      </c>
      <c r="U38" s="15">
        <v>2</v>
      </c>
      <c r="V38" s="17">
        <f t="shared" si="11"/>
        <v>0.84799999999999998</v>
      </c>
      <c r="W38" s="17">
        <f t="shared" si="12"/>
        <v>0.73975561209832974</v>
      </c>
      <c r="X38" s="17">
        <f t="shared" si="13"/>
        <v>292.44906564205689</v>
      </c>
      <c r="Y38" s="17">
        <f t="shared" si="14"/>
        <v>26.024438790167025</v>
      </c>
    </row>
    <row r="39" spans="1:25" ht="15.75" customHeight="1" x14ac:dyDescent="0.2">
      <c r="A39" s="4" t="s">
        <v>93</v>
      </c>
      <c r="B39" s="10" t="s">
        <v>591</v>
      </c>
      <c r="C39" s="5" t="s">
        <v>94</v>
      </c>
      <c r="D39" s="6">
        <v>41803</v>
      </c>
      <c r="F39" t="s">
        <v>516</v>
      </c>
      <c r="G39" t="s">
        <v>691</v>
      </c>
      <c r="H39">
        <v>0</v>
      </c>
      <c r="I39">
        <v>285.95999999999998</v>
      </c>
      <c r="J39">
        <f t="shared" si="8"/>
        <v>285.11199999999997</v>
      </c>
      <c r="K39">
        <v>280.98</v>
      </c>
      <c r="L39" s="10">
        <f t="shared" si="9"/>
        <v>280.13200000000001</v>
      </c>
      <c r="N39">
        <v>173.45</v>
      </c>
      <c r="O39">
        <f t="shared" si="10"/>
        <v>172.60199999999998</v>
      </c>
      <c r="P39">
        <f>N39-0.11</f>
        <v>173.33999999999997</v>
      </c>
      <c r="Q39">
        <v>0.38100000000000001</v>
      </c>
      <c r="R39">
        <v>2.1999999999999999E-2</v>
      </c>
      <c r="S39" s="6">
        <v>41806</v>
      </c>
      <c r="T39" s="6">
        <v>41809</v>
      </c>
      <c r="U39" s="15">
        <v>2</v>
      </c>
      <c r="V39" s="17">
        <f t="shared" si="11"/>
        <v>0.84799999999999998</v>
      </c>
      <c r="W39" s="17">
        <f t="shared" si="12"/>
        <v>0.619172390158925</v>
      </c>
      <c r="X39" s="17">
        <f t="shared" si="13"/>
        <v>176.53347850299141</v>
      </c>
      <c r="Y39" s="17">
        <f t="shared" si="14"/>
        <v>38.082760984107502</v>
      </c>
    </row>
    <row r="40" spans="1:25" ht="15.75" customHeight="1" x14ac:dyDescent="0.2">
      <c r="A40" s="4" t="s">
        <v>557</v>
      </c>
      <c r="B40" s="11" t="s">
        <v>599</v>
      </c>
      <c r="C40" s="5" t="s">
        <v>72</v>
      </c>
      <c r="D40" s="6">
        <v>41803</v>
      </c>
      <c r="F40" t="s">
        <v>516</v>
      </c>
      <c r="G40" t="s">
        <v>689</v>
      </c>
      <c r="H40">
        <v>0</v>
      </c>
      <c r="I40">
        <v>697.58</v>
      </c>
      <c r="J40">
        <f t="shared" si="8"/>
        <v>696.73200000000008</v>
      </c>
      <c r="K40">
        <v>686.77</v>
      </c>
      <c r="L40" s="10">
        <f t="shared" si="9"/>
        <v>685.92200000000003</v>
      </c>
      <c r="M40" s="10">
        <v>0</v>
      </c>
      <c r="N40">
        <v>397.17</v>
      </c>
      <c r="O40">
        <f t="shared" si="10"/>
        <v>396.322</v>
      </c>
      <c r="P40">
        <f>N40-0.32</f>
        <v>396.85</v>
      </c>
      <c r="Q40">
        <v>0.92249999999999999</v>
      </c>
      <c r="R40">
        <v>7.1499999999999994E-2</v>
      </c>
      <c r="S40" s="6">
        <v>41806</v>
      </c>
      <c r="T40" s="6">
        <v>41809</v>
      </c>
      <c r="U40" s="15">
        <v>2</v>
      </c>
      <c r="V40" s="17">
        <f t="shared" si="11"/>
        <v>0.84799999999999998</v>
      </c>
      <c r="W40" s="17">
        <f t="shared" si="12"/>
        <v>0.57903085190444392</v>
      </c>
      <c r="X40" s="17">
        <f t="shared" si="13"/>
        <v>403.42932350908706</v>
      </c>
      <c r="Y40" s="17">
        <f t="shared" si="14"/>
        <v>42.096914809555606</v>
      </c>
    </row>
    <row r="41" spans="1:25" ht="15.75" customHeight="1" x14ac:dyDescent="0.2">
      <c r="A41" s="4" t="s">
        <v>97</v>
      </c>
      <c r="B41" s="10" t="s">
        <v>556</v>
      </c>
      <c r="C41" s="5" t="s">
        <v>98</v>
      </c>
      <c r="D41" s="6">
        <v>41803</v>
      </c>
      <c r="F41" t="s">
        <v>514</v>
      </c>
      <c r="G41" t="s">
        <v>515</v>
      </c>
      <c r="H41">
        <v>25.09</v>
      </c>
      <c r="I41">
        <v>581.49</v>
      </c>
      <c r="J41">
        <f t="shared" si="8"/>
        <v>605.73200000000008</v>
      </c>
      <c r="K41">
        <v>575.09</v>
      </c>
      <c r="L41" s="10">
        <f t="shared" si="9"/>
        <v>574.24200000000008</v>
      </c>
      <c r="M41" s="10">
        <v>10.59</v>
      </c>
      <c r="N41">
        <v>436.35</v>
      </c>
      <c r="O41">
        <f t="shared" si="10"/>
        <v>446.09199999999998</v>
      </c>
      <c r="P41">
        <f>N41-0.11</f>
        <v>436.24</v>
      </c>
      <c r="Q41">
        <v>0.78849999999999998</v>
      </c>
      <c r="R41">
        <v>1.95E-2</v>
      </c>
      <c r="S41" s="6">
        <v>41806</v>
      </c>
      <c r="T41" s="6">
        <v>41809</v>
      </c>
      <c r="U41" s="15">
        <v>2</v>
      </c>
      <c r="V41" s="17">
        <f t="shared" si="11"/>
        <v>0.84799999999999998</v>
      </c>
      <c r="W41" s="17">
        <f t="shared" si="12"/>
        <v>0.7598712737835267</v>
      </c>
      <c r="X41" s="17">
        <f t="shared" si="13"/>
        <v>460.27834641144324</v>
      </c>
      <c r="Y41" s="17">
        <f t="shared" si="14"/>
        <v>24.012872621647325</v>
      </c>
    </row>
    <row r="42" spans="1:25" ht="15.75" customHeight="1" x14ac:dyDescent="0.2">
      <c r="A42" s="4" t="s">
        <v>565</v>
      </c>
      <c r="B42" s="11" t="s">
        <v>602</v>
      </c>
      <c r="C42" s="5" t="s">
        <v>72</v>
      </c>
      <c r="D42" s="6">
        <v>41803</v>
      </c>
      <c r="F42" t="s">
        <v>516</v>
      </c>
      <c r="G42" t="s">
        <v>689</v>
      </c>
      <c r="H42">
        <v>4.0199999999999996</v>
      </c>
      <c r="I42">
        <v>545.80999999999995</v>
      </c>
      <c r="J42">
        <f t="shared" si="8"/>
        <v>548.98199999999997</v>
      </c>
      <c r="K42">
        <v>537.48</v>
      </c>
      <c r="L42" s="10">
        <f t="shared" si="9"/>
        <v>536.63200000000006</v>
      </c>
      <c r="M42" s="10">
        <v>2.2799999999999998</v>
      </c>
      <c r="N42">
        <v>412.69</v>
      </c>
      <c r="O42">
        <f t="shared" si="10"/>
        <v>414.12199999999996</v>
      </c>
      <c r="P42">
        <f>N42-0.15</f>
        <v>412.54</v>
      </c>
      <c r="Q42">
        <v>0.755</v>
      </c>
      <c r="R42">
        <v>2.9000000000000001E-2</v>
      </c>
      <c r="S42" s="6">
        <v>41806</v>
      </c>
      <c r="T42" s="6">
        <v>41809</v>
      </c>
      <c r="U42" s="15">
        <v>2</v>
      </c>
      <c r="V42" s="17">
        <f t="shared" si="11"/>
        <v>0.84799999999999998</v>
      </c>
      <c r="W42" s="17">
        <f t="shared" si="12"/>
        <v>0.76903725458042005</v>
      </c>
      <c r="X42" s="17">
        <f t="shared" si="13"/>
        <v>422.18761009406813</v>
      </c>
      <c r="Y42" s="17">
        <f t="shared" si="14"/>
        <v>23.096274541958</v>
      </c>
    </row>
    <row r="43" spans="1:25" ht="15.75" customHeight="1" x14ac:dyDescent="0.2">
      <c r="A43" s="4" t="s">
        <v>99</v>
      </c>
      <c r="B43" s="10" t="s">
        <v>554</v>
      </c>
      <c r="C43" s="5" t="s">
        <v>100</v>
      </c>
      <c r="D43" s="6">
        <v>41803</v>
      </c>
      <c r="F43" t="s">
        <v>516</v>
      </c>
      <c r="G43" t="s">
        <v>690</v>
      </c>
      <c r="H43">
        <v>0.3</v>
      </c>
      <c r="I43">
        <v>283.39</v>
      </c>
      <c r="J43">
        <f t="shared" si="8"/>
        <v>282.84199999999998</v>
      </c>
      <c r="K43">
        <v>277.33</v>
      </c>
      <c r="L43" s="10">
        <f t="shared" si="9"/>
        <v>276.48199999999997</v>
      </c>
      <c r="M43" s="10">
        <v>0.31</v>
      </c>
      <c r="N43">
        <v>175.21</v>
      </c>
      <c r="O43">
        <f t="shared" si="10"/>
        <v>174.672</v>
      </c>
      <c r="P43">
        <f>N43-0.13</f>
        <v>175.08</v>
      </c>
      <c r="Q43">
        <v>0.29599999999999999</v>
      </c>
      <c r="R43">
        <v>1.95E-2</v>
      </c>
      <c r="S43" s="6">
        <v>41806</v>
      </c>
      <c r="T43" s="6">
        <v>41809</v>
      </c>
      <c r="U43" s="15">
        <v>2</v>
      </c>
      <c r="V43" s="17">
        <f t="shared" si="11"/>
        <v>0.84799999999999998</v>
      </c>
      <c r="W43" s="17">
        <f t="shared" si="12"/>
        <v>0.63371214039250301</v>
      </c>
      <c r="X43" s="17">
        <f t="shared" si="13"/>
        <v>179.24040921289634</v>
      </c>
      <c r="Y43" s="17">
        <f t="shared" si="14"/>
        <v>36.628785960749696</v>
      </c>
    </row>
    <row r="44" spans="1:25" ht="15.75" customHeight="1" x14ac:dyDescent="0.2">
      <c r="A44" s="4" t="s">
        <v>561</v>
      </c>
      <c r="B44" s="11" t="s">
        <v>601</v>
      </c>
      <c r="C44" s="5" t="s">
        <v>72</v>
      </c>
      <c r="D44" s="6">
        <v>41803</v>
      </c>
      <c r="F44" t="s">
        <v>514</v>
      </c>
      <c r="G44" t="s">
        <v>515</v>
      </c>
      <c r="H44">
        <v>0</v>
      </c>
      <c r="I44">
        <v>316.83</v>
      </c>
      <c r="J44">
        <f t="shared" si="8"/>
        <v>315.98199999999997</v>
      </c>
      <c r="K44">
        <v>312.32</v>
      </c>
      <c r="L44" s="10">
        <f t="shared" si="9"/>
        <v>311.47199999999998</v>
      </c>
      <c r="M44" s="10">
        <v>0</v>
      </c>
      <c r="N44">
        <v>227.09</v>
      </c>
      <c r="O44">
        <f t="shared" si="10"/>
        <v>226.24199999999999</v>
      </c>
      <c r="P44">
        <f>N44-0.11</f>
        <v>226.98</v>
      </c>
      <c r="Q44">
        <v>0.36799999999999999</v>
      </c>
      <c r="R44">
        <v>1.2999999999999999E-2</v>
      </c>
      <c r="S44" s="6">
        <v>41806</v>
      </c>
      <c r="T44" s="6">
        <v>41809</v>
      </c>
      <c r="U44" s="15">
        <v>2</v>
      </c>
      <c r="V44" s="17">
        <f t="shared" si="11"/>
        <v>0.84799999999999998</v>
      </c>
      <c r="W44" s="17">
        <f t="shared" si="12"/>
        <v>0.72908640263009206</v>
      </c>
      <c r="X44" s="17">
        <f t="shared" si="13"/>
        <v>230.37817967586173</v>
      </c>
      <c r="Y44" s="17">
        <f t="shared" si="14"/>
        <v>27.0913597369908</v>
      </c>
    </row>
    <row r="45" spans="1:25" ht="15.75" customHeight="1" x14ac:dyDescent="0.2">
      <c r="A45" s="4" t="s">
        <v>101</v>
      </c>
      <c r="B45" s="10" t="s">
        <v>322</v>
      </c>
      <c r="C45" s="5" t="s">
        <v>102</v>
      </c>
      <c r="D45" s="6">
        <v>41803</v>
      </c>
      <c r="F45" t="s">
        <v>516</v>
      </c>
      <c r="G45" t="s">
        <v>690</v>
      </c>
      <c r="H45">
        <v>0.75</v>
      </c>
      <c r="I45">
        <v>231.81</v>
      </c>
      <c r="J45">
        <f t="shared" si="8"/>
        <v>231.71199999999999</v>
      </c>
      <c r="K45">
        <v>226.42</v>
      </c>
      <c r="L45" s="10">
        <f t="shared" si="9"/>
        <v>225.57199999999997</v>
      </c>
      <c r="M45" s="10">
        <v>0.56999999999999995</v>
      </c>
      <c r="N45">
        <v>131.55000000000001</v>
      </c>
      <c r="O45">
        <f t="shared" si="10"/>
        <v>131.27199999999999</v>
      </c>
      <c r="P45">
        <f>N45-0.66</f>
        <v>130.89000000000001</v>
      </c>
      <c r="Q45">
        <v>0.34499999999999997</v>
      </c>
      <c r="R45">
        <v>2.1999999999999999E-2</v>
      </c>
      <c r="S45" s="6">
        <v>41806</v>
      </c>
      <c r="T45" s="6">
        <v>41809</v>
      </c>
      <c r="U45" s="15">
        <v>2</v>
      </c>
      <c r="V45" s="17">
        <f t="shared" si="11"/>
        <v>0.84799999999999998</v>
      </c>
      <c r="W45" s="17">
        <f t="shared" si="12"/>
        <v>0.5831840831308851</v>
      </c>
      <c r="X45" s="17">
        <f t="shared" si="13"/>
        <v>135.13075027042365</v>
      </c>
      <c r="Y45" s="17">
        <f t="shared" si="14"/>
        <v>41.681591686911482</v>
      </c>
    </row>
    <row r="46" spans="1:25" ht="15.75" customHeight="1" x14ac:dyDescent="0.2">
      <c r="A46" s="4" t="s">
        <v>560</v>
      </c>
      <c r="B46" s="11" t="s">
        <v>9</v>
      </c>
      <c r="C46" s="5" t="s">
        <v>72</v>
      </c>
      <c r="D46" s="6">
        <v>41803</v>
      </c>
      <c r="F46" t="s">
        <v>516</v>
      </c>
      <c r="G46" t="s">
        <v>694</v>
      </c>
      <c r="H46">
        <v>0</v>
      </c>
      <c r="I46">
        <v>173.52</v>
      </c>
      <c r="J46">
        <f t="shared" si="8"/>
        <v>172.672</v>
      </c>
      <c r="K46">
        <v>166.14</v>
      </c>
      <c r="L46" s="10">
        <f t="shared" si="9"/>
        <v>165.29199999999997</v>
      </c>
      <c r="M46" s="10">
        <v>0</v>
      </c>
      <c r="N46">
        <v>107.29</v>
      </c>
      <c r="O46">
        <f t="shared" si="10"/>
        <v>106.44200000000001</v>
      </c>
      <c r="P46">
        <f>N46-2</f>
        <v>105.29</v>
      </c>
      <c r="Q46">
        <v>0.27500000000000002</v>
      </c>
      <c r="R46">
        <v>1.6500000000000001E-2</v>
      </c>
      <c r="S46" s="6">
        <v>41806</v>
      </c>
      <c r="T46" s="6">
        <v>41809</v>
      </c>
      <c r="U46" s="15">
        <v>2</v>
      </c>
      <c r="V46" s="17">
        <f t="shared" si="11"/>
        <v>0.84799999999999998</v>
      </c>
      <c r="W46" s="17">
        <f t="shared" si="12"/>
        <v>0.6490937250441644</v>
      </c>
      <c r="X46" s="17">
        <f t="shared" si="13"/>
        <v>112.08031169082595</v>
      </c>
      <c r="Y46" s="17">
        <f t="shared" si="14"/>
        <v>35.090627495583561</v>
      </c>
    </row>
    <row r="47" spans="1:25" ht="15.75" customHeight="1" x14ac:dyDescent="0.2">
      <c r="A47" s="4" t="s">
        <v>108</v>
      </c>
      <c r="B47" s="10" t="s">
        <v>135</v>
      </c>
      <c r="C47" s="5" t="s">
        <v>109</v>
      </c>
      <c r="D47" s="6">
        <v>41803</v>
      </c>
      <c r="F47" t="s">
        <v>516</v>
      </c>
      <c r="G47" t="s">
        <v>688</v>
      </c>
      <c r="H47">
        <v>30.31</v>
      </c>
      <c r="I47">
        <v>584.17999999999995</v>
      </c>
      <c r="J47">
        <f t="shared" si="8"/>
        <v>613.64199999999994</v>
      </c>
      <c r="K47">
        <v>572.85</v>
      </c>
      <c r="L47" s="10">
        <f t="shared" si="9"/>
        <v>572.00200000000007</v>
      </c>
      <c r="M47" s="10">
        <v>15.29</v>
      </c>
      <c r="N47">
        <v>262.77</v>
      </c>
      <c r="O47">
        <f t="shared" si="10"/>
        <v>277.21199999999999</v>
      </c>
      <c r="P47">
        <f>N47-0.49</f>
        <v>262.27999999999997</v>
      </c>
      <c r="Q47">
        <v>0.60899999999999999</v>
      </c>
      <c r="R47">
        <v>7.4999999999999997E-2</v>
      </c>
      <c r="S47" s="6">
        <v>41806</v>
      </c>
      <c r="T47" s="6">
        <v>41809</v>
      </c>
      <c r="U47" s="15">
        <v>2</v>
      </c>
      <c r="V47" s="17">
        <f t="shared" si="11"/>
        <v>0.84799999999999998</v>
      </c>
      <c r="W47" s="17">
        <f t="shared" si="12"/>
        <v>0.45938650564158856</v>
      </c>
      <c r="X47" s="17">
        <f t="shared" si="13"/>
        <v>281.89885409491563</v>
      </c>
      <c r="Y47" s="17">
        <f t="shared" si="14"/>
        <v>54.061349435841144</v>
      </c>
    </row>
    <row r="48" spans="1:25" ht="15.75" customHeight="1" x14ac:dyDescent="0.2">
      <c r="A48" s="4" t="s">
        <v>563</v>
      </c>
      <c r="B48" s="11" t="s">
        <v>519</v>
      </c>
      <c r="C48" s="5" t="s">
        <v>72</v>
      </c>
      <c r="D48" s="6">
        <v>41803</v>
      </c>
      <c r="F48" t="s">
        <v>516</v>
      </c>
      <c r="G48" t="s">
        <v>693</v>
      </c>
      <c r="H48">
        <v>0</v>
      </c>
      <c r="I48">
        <v>302.72000000000003</v>
      </c>
      <c r="J48">
        <f t="shared" si="8"/>
        <v>301.87200000000001</v>
      </c>
      <c r="K48">
        <v>293.83</v>
      </c>
      <c r="L48" s="10">
        <f t="shared" si="9"/>
        <v>292.98199999999997</v>
      </c>
      <c r="M48" s="10">
        <v>0</v>
      </c>
      <c r="N48">
        <v>203.93</v>
      </c>
      <c r="O48">
        <f t="shared" si="10"/>
        <v>203.08199999999999</v>
      </c>
      <c r="P48">
        <f>N48-0.2</f>
        <v>203.73000000000002</v>
      </c>
      <c r="Q48">
        <v>0.39500000000000002</v>
      </c>
      <c r="R48">
        <v>2.4E-2</v>
      </c>
      <c r="S48" s="6">
        <v>41806</v>
      </c>
      <c r="T48" s="6">
        <v>41809</v>
      </c>
      <c r="U48" s="15">
        <v>2</v>
      </c>
      <c r="V48" s="17">
        <f t="shared" si="11"/>
        <v>0.84799999999999998</v>
      </c>
      <c r="W48" s="17">
        <f t="shared" si="12"/>
        <v>0.69604958666402728</v>
      </c>
      <c r="X48" s="17">
        <f t="shared" si="13"/>
        <v>210.11788082544325</v>
      </c>
      <c r="Y48" s="17">
        <f t="shared" si="14"/>
        <v>30.395041333597277</v>
      </c>
    </row>
    <row r="49" spans="1:26" ht="15.75" customHeight="1" x14ac:dyDescent="0.2">
      <c r="A49" s="4" t="s">
        <v>112</v>
      </c>
      <c r="B49" s="10" t="s">
        <v>595</v>
      </c>
      <c r="C49" s="5" t="s">
        <v>113</v>
      </c>
      <c r="D49" s="6">
        <v>41803</v>
      </c>
      <c r="F49" t="s">
        <v>516</v>
      </c>
      <c r="G49" t="s">
        <v>692</v>
      </c>
      <c r="H49">
        <v>0</v>
      </c>
      <c r="I49">
        <v>728.78</v>
      </c>
      <c r="J49">
        <f t="shared" si="8"/>
        <v>727.93200000000002</v>
      </c>
      <c r="K49">
        <v>714.18</v>
      </c>
      <c r="L49" s="10">
        <f t="shared" si="9"/>
        <v>713.33199999999999</v>
      </c>
      <c r="M49" s="10">
        <v>0</v>
      </c>
      <c r="N49">
        <v>442.09</v>
      </c>
      <c r="O49">
        <f t="shared" si="10"/>
        <v>441.24199999999996</v>
      </c>
      <c r="P49">
        <v>442.09</v>
      </c>
      <c r="Q49">
        <v>0.73599999999999999</v>
      </c>
      <c r="R49">
        <v>4.9000000000000002E-2</v>
      </c>
      <c r="S49" s="6">
        <v>41806</v>
      </c>
      <c r="T49" s="6">
        <v>41809</v>
      </c>
      <c r="U49" s="15">
        <v>2</v>
      </c>
      <c r="V49" s="17">
        <f t="shared" si="11"/>
        <v>0.84799999999999998</v>
      </c>
      <c r="W49" s="17">
        <f t="shared" si="12"/>
        <v>0.61975349486634557</v>
      </c>
      <c r="X49" s="17">
        <f t="shared" si="13"/>
        <v>451.13840102504867</v>
      </c>
      <c r="Y49" s="17">
        <f t="shared" si="14"/>
        <v>38.024650513365451</v>
      </c>
    </row>
    <row r="50" spans="1:26" ht="15.75" customHeight="1" x14ac:dyDescent="0.2">
      <c r="A50" s="4" t="s">
        <v>559</v>
      </c>
      <c r="B50" s="11" t="s">
        <v>600</v>
      </c>
      <c r="C50" s="5" t="s">
        <v>72</v>
      </c>
      <c r="D50" s="6">
        <v>41803</v>
      </c>
      <c r="F50" t="s">
        <v>516</v>
      </c>
      <c r="G50" t="s">
        <v>695</v>
      </c>
      <c r="H50">
        <v>0</v>
      </c>
      <c r="I50">
        <v>458.99</v>
      </c>
      <c r="J50">
        <f t="shared" si="8"/>
        <v>458.142</v>
      </c>
      <c r="K50">
        <v>448.71</v>
      </c>
      <c r="L50" s="10">
        <f t="shared" si="9"/>
        <v>447.86199999999997</v>
      </c>
      <c r="M50" s="10">
        <v>0</v>
      </c>
      <c r="N50">
        <v>280.07</v>
      </c>
      <c r="O50">
        <f t="shared" si="10"/>
        <v>279.22199999999998</v>
      </c>
      <c r="P50">
        <f>N50-0.53</f>
        <v>279.54000000000002</v>
      </c>
      <c r="Q50">
        <v>0.57150000000000001</v>
      </c>
      <c r="R50">
        <v>0.03</v>
      </c>
      <c r="S50" s="6">
        <v>41806</v>
      </c>
      <c r="T50" s="6">
        <v>41809</v>
      </c>
      <c r="U50" s="15">
        <v>2</v>
      </c>
      <c r="V50" s="17">
        <f t="shared" si="11"/>
        <v>0.84799999999999998</v>
      </c>
      <c r="W50" s="17">
        <f t="shared" si="12"/>
        <v>0.62534887978886355</v>
      </c>
      <c r="X50" s="17">
        <f t="shared" si="13"/>
        <v>286.49858648422952</v>
      </c>
      <c r="Y50" s="17">
        <f t="shared" si="14"/>
        <v>37.465112021113647</v>
      </c>
    </row>
    <row r="51" spans="1:26" ht="15.75" customHeight="1" x14ac:dyDescent="0.2">
      <c r="A51" s="4" t="s">
        <v>116</v>
      </c>
      <c r="B51" s="10" t="s">
        <v>575</v>
      </c>
      <c r="C51" s="5" t="s">
        <v>117</v>
      </c>
      <c r="D51" s="6">
        <v>41801</v>
      </c>
      <c r="F51" t="s">
        <v>516</v>
      </c>
      <c r="G51" t="s">
        <v>675</v>
      </c>
      <c r="H51">
        <v>26.03</v>
      </c>
      <c r="I51">
        <v>128.36000000000001</v>
      </c>
      <c r="J51">
        <f t="shared" si="8"/>
        <v>153.542</v>
      </c>
      <c r="K51">
        <v>124.19</v>
      </c>
      <c r="L51" s="10">
        <f t="shared" si="9"/>
        <v>123.342</v>
      </c>
      <c r="M51" s="10">
        <v>8.61</v>
      </c>
      <c r="N51">
        <v>50.99</v>
      </c>
      <c r="O51">
        <f t="shared" si="10"/>
        <v>58.752000000000002</v>
      </c>
      <c r="P51">
        <f>N51-0.96</f>
        <v>50.03</v>
      </c>
      <c r="Q51">
        <v>0.16500000000000001</v>
      </c>
      <c r="R51">
        <v>1.15E-2</v>
      </c>
      <c r="S51" s="6">
        <v>41806</v>
      </c>
      <c r="T51" s="6">
        <v>41809</v>
      </c>
      <c r="U51" s="15">
        <v>2</v>
      </c>
      <c r="V51" s="17">
        <f t="shared" si="11"/>
        <v>0.84799999999999998</v>
      </c>
      <c r="W51" s="17">
        <f t="shared" si="12"/>
        <v>0.41340338246501601</v>
      </c>
      <c r="X51" s="17">
        <f t="shared" si="13"/>
        <v>63.474782150443488</v>
      </c>
      <c r="Y51" s="17">
        <f t="shared" si="14"/>
        <v>58.659661753498405</v>
      </c>
    </row>
    <row r="52" spans="1:26" ht="15.75" customHeight="1" x14ac:dyDescent="0.2">
      <c r="A52" s="4" t="s">
        <v>134</v>
      </c>
      <c r="B52" s="10" t="s">
        <v>603</v>
      </c>
      <c r="C52" s="4" t="s">
        <v>135</v>
      </c>
      <c r="D52" s="6">
        <v>41796</v>
      </c>
      <c r="F52" t="s">
        <v>514</v>
      </c>
      <c r="G52" s="12" t="s">
        <v>515</v>
      </c>
      <c r="H52">
        <v>72.25</v>
      </c>
      <c r="I52">
        <v>499.25</v>
      </c>
      <c r="J52">
        <f t="shared" si="8"/>
        <v>571.5</v>
      </c>
      <c r="K52">
        <v>479.01</v>
      </c>
      <c r="L52" s="10">
        <f t="shared" si="9"/>
        <v>479.01</v>
      </c>
      <c r="M52" s="10">
        <v>20.14</v>
      </c>
      <c r="N52">
        <v>59.67</v>
      </c>
      <c r="O52">
        <f t="shared" si="10"/>
        <v>79.81</v>
      </c>
      <c r="P52">
        <v>16.73</v>
      </c>
      <c r="Q52">
        <v>5.3999999999999999E-2</v>
      </c>
      <c r="R52">
        <v>8.5500000000000007E-2</v>
      </c>
      <c r="S52" s="10" t="s">
        <v>725</v>
      </c>
      <c r="T52" s="10" t="s">
        <v>725</v>
      </c>
      <c r="U52" s="16"/>
      <c r="V52" s="17">
        <f t="shared" si="11"/>
        <v>0</v>
      </c>
      <c r="W52" s="17">
        <f t="shared" si="12"/>
        <v>0.12456942443790318</v>
      </c>
      <c r="X52" s="17">
        <f t="shared" si="13"/>
        <v>71.19142606626167</v>
      </c>
      <c r="Y52" s="17">
        <f t="shared" si="14"/>
        <v>87.543057556209675</v>
      </c>
    </row>
    <row r="53" spans="1:26" ht="15.75" customHeight="1" x14ac:dyDescent="0.2">
      <c r="A53" s="4" t="s">
        <v>136</v>
      </c>
      <c r="B53" s="10" t="s">
        <v>510</v>
      </c>
      <c r="C53" s="4" t="s">
        <v>137</v>
      </c>
      <c r="D53" s="6">
        <v>41796</v>
      </c>
      <c r="F53" t="s">
        <v>514</v>
      </c>
      <c r="G53" s="12" t="s">
        <v>515</v>
      </c>
      <c r="H53">
        <v>13.95</v>
      </c>
      <c r="I53">
        <v>366.45</v>
      </c>
      <c r="J53">
        <f t="shared" si="8"/>
        <v>380.4</v>
      </c>
      <c r="K53">
        <v>350.81</v>
      </c>
      <c r="L53" s="10">
        <f t="shared" si="9"/>
        <v>350.81</v>
      </c>
      <c r="M53" s="10">
        <v>6.85</v>
      </c>
      <c r="N53">
        <v>38.049999999999997</v>
      </c>
      <c r="O53">
        <f t="shared" si="10"/>
        <v>44.9</v>
      </c>
      <c r="P53">
        <v>34.53</v>
      </c>
      <c r="Q53">
        <v>0.26250000000000001</v>
      </c>
      <c r="R53">
        <v>1.7500000000000002E-2</v>
      </c>
      <c r="S53" s="10" t="s">
        <v>725</v>
      </c>
      <c r="T53" s="10" t="s">
        <v>725</v>
      </c>
      <c r="U53" s="16"/>
      <c r="V53" s="17">
        <f t="shared" si="11"/>
        <v>0</v>
      </c>
      <c r="W53" s="17">
        <f t="shared" si="12"/>
        <v>0.10846327071634217</v>
      </c>
      <c r="X53" s="17">
        <f t="shared" si="13"/>
        <v>41.259428180496556</v>
      </c>
      <c r="Y53" s="17">
        <f t="shared" si="14"/>
        <v>89.153672928365779</v>
      </c>
    </row>
    <row r="54" spans="1:26" ht="15.75" customHeight="1" x14ac:dyDescent="0.2">
      <c r="A54" s="4" t="s">
        <v>138</v>
      </c>
      <c r="B54" s="10" t="s">
        <v>604</v>
      </c>
      <c r="C54" s="4" t="s">
        <v>139</v>
      </c>
      <c r="D54" s="6">
        <v>41796</v>
      </c>
      <c r="F54" t="s">
        <v>516</v>
      </c>
      <c r="G54" t="s">
        <v>655</v>
      </c>
      <c r="H54">
        <v>0</v>
      </c>
      <c r="I54">
        <v>657.06</v>
      </c>
      <c r="J54">
        <f t="shared" si="8"/>
        <v>657.06</v>
      </c>
      <c r="K54">
        <v>653.23</v>
      </c>
      <c r="L54" s="10">
        <f t="shared" si="9"/>
        <v>653.23</v>
      </c>
      <c r="M54" s="10">
        <v>0</v>
      </c>
      <c r="N54">
        <v>460.06</v>
      </c>
      <c r="O54">
        <f t="shared" si="10"/>
        <v>460.06</v>
      </c>
      <c r="P54">
        <v>460.06</v>
      </c>
      <c r="Q54">
        <v>0.88500000000000001</v>
      </c>
      <c r="R54">
        <v>1.0999999999999999E-2</v>
      </c>
      <c r="S54" s="10" t="s">
        <v>725</v>
      </c>
      <c r="T54" s="10" t="s">
        <v>725</v>
      </c>
      <c r="U54" s="16"/>
      <c r="V54" s="17">
        <f t="shared" si="11"/>
        <v>0</v>
      </c>
      <c r="W54" s="17">
        <f t="shared" si="12"/>
        <v>0.70428486138113677</v>
      </c>
      <c r="X54" s="17">
        <f t="shared" si="13"/>
        <v>462.75741101908972</v>
      </c>
      <c r="Y54" s="17">
        <f t="shared" si="14"/>
        <v>29.571513861886324</v>
      </c>
    </row>
    <row r="55" spans="1:26" ht="15.75" customHeight="1" x14ac:dyDescent="0.2">
      <c r="A55" s="4" t="s">
        <v>140</v>
      </c>
      <c r="B55" s="10" t="s">
        <v>448</v>
      </c>
      <c r="C55" s="4" t="s">
        <v>141</v>
      </c>
      <c r="D55" s="6">
        <v>41796</v>
      </c>
      <c r="F55" t="s">
        <v>514</v>
      </c>
      <c r="G55" t="s">
        <v>515</v>
      </c>
      <c r="H55">
        <v>6.4</v>
      </c>
      <c r="I55">
        <v>607.05999999999995</v>
      </c>
      <c r="J55">
        <f t="shared" si="8"/>
        <v>613.45999999999992</v>
      </c>
      <c r="K55">
        <v>599.94000000000005</v>
      </c>
      <c r="L55" s="10">
        <f t="shared" si="9"/>
        <v>599.94000000000005</v>
      </c>
      <c r="M55" s="10">
        <v>2.4500000000000002</v>
      </c>
      <c r="N55">
        <v>291.51</v>
      </c>
      <c r="O55">
        <f t="shared" si="10"/>
        <v>293.95999999999998</v>
      </c>
      <c r="P55">
        <v>291.51</v>
      </c>
      <c r="Q55">
        <v>0.73099999999999998</v>
      </c>
      <c r="R55">
        <v>4.1000000000000002E-2</v>
      </c>
      <c r="S55" s="10" t="s">
        <v>725</v>
      </c>
      <c r="T55" s="10" t="s">
        <v>725</v>
      </c>
      <c r="U55" s="16"/>
      <c r="V55" s="17">
        <f t="shared" si="11"/>
        <v>0</v>
      </c>
      <c r="W55" s="17">
        <f t="shared" si="12"/>
        <v>0.48589858985898582</v>
      </c>
      <c r="X55" s="17">
        <f t="shared" si="13"/>
        <v>298.0793489348934</v>
      </c>
      <c r="Y55" s="17">
        <f t="shared" si="14"/>
        <v>51.41014101410142</v>
      </c>
    </row>
    <row r="56" spans="1:26" ht="15.75" customHeight="1" x14ac:dyDescent="0.2">
      <c r="A56" s="4" t="s">
        <v>142</v>
      </c>
      <c r="B56" s="10" t="s">
        <v>599</v>
      </c>
      <c r="C56" s="4" t="s">
        <v>143</v>
      </c>
      <c r="D56" s="6">
        <v>41796</v>
      </c>
      <c r="F56" t="s">
        <v>514</v>
      </c>
      <c r="G56" t="s">
        <v>515</v>
      </c>
      <c r="H56">
        <v>192.6</v>
      </c>
      <c r="I56">
        <v>481.74</v>
      </c>
      <c r="J56">
        <f t="shared" si="8"/>
        <v>674.34</v>
      </c>
      <c r="K56">
        <v>476.45</v>
      </c>
      <c r="L56" s="10">
        <f t="shared" si="9"/>
        <v>476.45</v>
      </c>
      <c r="M56" s="10">
        <v>115.73</v>
      </c>
      <c r="N56">
        <v>225.79</v>
      </c>
      <c r="O56">
        <f t="shared" si="10"/>
        <v>341.52</v>
      </c>
      <c r="P56">
        <v>221.79</v>
      </c>
      <c r="Q56">
        <v>0.68500000000000005</v>
      </c>
      <c r="R56">
        <v>1.95E-2</v>
      </c>
      <c r="S56" s="10" t="s">
        <v>725</v>
      </c>
      <c r="T56" s="10" t="s">
        <v>725</v>
      </c>
      <c r="U56" s="16"/>
      <c r="V56" s="17">
        <f t="shared" si="11"/>
        <v>0</v>
      </c>
      <c r="W56" s="17">
        <f t="shared" si="12"/>
        <v>0.47390072410536255</v>
      </c>
      <c r="X56" s="17">
        <f t="shared" si="13"/>
        <v>319.5702142932102</v>
      </c>
      <c r="Y56" s="17">
        <f t="shared" si="14"/>
        <v>52.609927589463744</v>
      </c>
      <c r="Z56" s="12" t="s">
        <v>657</v>
      </c>
    </row>
    <row r="57" spans="1:26" ht="15.75" customHeight="1" x14ac:dyDescent="0.2">
      <c r="A57" s="4" t="s">
        <v>144</v>
      </c>
      <c r="B57" s="10" t="s">
        <v>568</v>
      </c>
      <c r="C57" s="4" t="s">
        <v>145</v>
      </c>
      <c r="D57" s="6">
        <v>41796</v>
      </c>
      <c r="F57" t="s">
        <v>514</v>
      </c>
      <c r="G57" t="s">
        <v>515</v>
      </c>
      <c r="H57">
        <v>13.53</v>
      </c>
      <c r="I57">
        <v>353.55</v>
      </c>
      <c r="J57">
        <f t="shared" si="8"/>
        <v>367.08</v>
      </c>
      <c r="K57">
        <v>347.35</v>
      </c>
      <c r="L57" s="10">
        <f t="shared" si="9"/>
        <v>347.35</v>
      </c>
      <c r="M57" s="10">
        <v>6.77</v>
      </c>
      <c r="N57">
        <v>121.41</v>
      </c>
      <c r="O57">
        <f t="shared" si="10"/>
        <v>128.18</v>
      </c>
      <c r="P57">
        <v>121.41</v>
      </c>
      <c r="Q57">
        <v>0.54400000000000004</v>
      </c>
      <c r="R57">
        <v>3.2500000000000001E-2</v>
      </c>
      <c r="S57" s="10" t="s">
        <v>725</v>
      </c>
      <c r="T57" s="10" t="s">
        <v>725</v>
      </c>
      <c r="U57" s="16"/>
      <c r="V57" s="17">
        <f t="shared" si="11"/>
        <v>0</v>
      </c>
      <c r="W57" s="17">
        <f t="shared" si="12"/>
        <v>0.34953217216064486</v>
      </c>
      <c r="X57" s="17">
        <f t="shared" si="13"/>
        <v>128.30626975672951</v>
      </c>
      <c r="Y57" s="17">
        <f t="shared" si="14"/>
        <v>65.046782783935527</v>
      </c>
      <c r="Z57" s="12" t="s">
        <v>657</v>
      </c>
    </row>
    <row r="58" spans="1:26" ht="15.75" customHeight="1" x14ac:dyDescent="0.2">
      <c r="A58" s="4" t="s">
        <v>146</v>
      </c>
      <c r="B58" s="10" t="s">
        <v>605</v>
      </c>
      <c r="C58" s="4" t="s">
        <v>147</v>
      </c>
      <c r="D58" s="6">
        <v>41795</v>
      </c>
      <c r="F58" t="s">
        <v>514</v>
      </c>
      <c r="G58" t="s">
        <v>515</v>
      </c>
      <c r="H58">
        <v>20.21</v>
      </c>
      <c r="I58">
        <v>211.7</v>
      </c>
      <c r="J58">
        <f t="shared" si="8"/>
        <v>231.91</v>
      </c>
      <c r="K58">
        <v>207.05</v>
      </c>
      <c r="L58" s="10">
        <f t="shared" si="9"/>
        <v>207.05</v>
      </c>
      <c r="M58" s="10">
        <v>13.36</v>
      </c>
      <c r="N58">
        <v>148.74</v>
      </c>
      <c r="O58">
        <f t="shared" si="10"/>
        <v>162.10000000000002</v>
      </c>
      <c r="P58">
        <v>148.74</v>
      </c>
      <c r="Q58">
        <v>0.38300000000000001</v>
      </c>
      <c r="R58">
        <v>7.4999999999999997E-3</v>
      </c>
      <c r="S58" s="10" t="s">
        <v>725</v>
      </c>
      <c r="T58" s="10" t="s">
        <v>725</v>
      </c>
      <c r="U58" s="16"/>
      <c r="V58" s="17">
        <f t="shared" si="11"/>
        <v>0</v>
      </c>
      <c r="W58" s="17">
        <f t="shared" si="12"/>
        <v>0.71837720357401591</v>
      </c>
      <c r="X58" s="17">
        <f t="shared" si="13"/>
        <v>166.59885728085004</v>
      </c>
      <c r="Y58" s="17">
        <f t="shared" si="14"/>
        <v>28.162279642598403</v>
      </c>
    </row>
    <row r="59" spans="1:26" ht="15.75" customHeight="1" x14ac:dyDescent="0.2">
      <c r="A59" s="4" t="s">
        <v>569</v>
      </c>
      <c r="B59" s="11" t="s">
        <v>615</v>
      </c>
      <c r="C59" s="4" t="s">
        <v>135</v>
      </c>
      <c r="D59" s="6">
        <v>41795</v>
      </c>
      <c r="F59" t="s">
        <v>516</v>
      </c>
      <c r="G59" t="s">
        <v>652</v>
      </c>
      <c r="H59">
        <v>80.02</v>
      </c>
      <c r="I59">
        <v>488.99</v>
      </c>
      <c r="J59">
        <f t="shared" si="8"/>
        <v>569.01</v>
      </c>
      <c r="K59">
        <v>480.95</v>
      </c>
      <c r="L59" s="10">
        <f t="shared" si="9"/>
        <v>480.95</v>
      </c>
      <c r="M59" s="10">
        <v>40.090000000000003</v>
      </c>
      <c r="N59">
        <v>168.55</v>
      </c>
      <c r="O59">
        <f t="shared" si="10"/>
        <v>208.64000000000001</v>
      </c>
      <c r="P59">
        <v>168.55</v>
      </c>
      <c r="Q59">
        <v>0.59150000000000003</v>
      </c>
      <c r="R59">
        <v>1.2500000000000001E-2</v>
      </c>
      <c r="S59" s="10" t="s">
        <v>725</v>
      </c>
      <c r="T59" s="10" t="s">
        <v>725</v>
      </c>
      <c r="U59" s="16"/>
      <c r="V59" s="17">
        <f t="shared" si="11"/>
        <v>0</v>
      </c>
      <c r="W59" s="17">
        <f t="shared" si="12"/>
        <v>0.35045222996153452</v>
      </c>
      <c r="X59" s="17">
        <f t="shared" si="13"/>
        <v>199.41082337041274</v>
      </c>
      <c r="Y59" s="17">
        <f t="shared" si="14"/>
        <v>64.954777003846559</v>
      </c>
    </row>
    <row r="60" spans="1:26" ht="15.75" customHeight="1" x14ac:dyDescent="0.2">
      <c r="A60" s="4" t="s">
        <v>148</v>
      </c>
      <c r="B60" s="10" t="s">
        <v>606</v>
      </c>
      <c r="C60" s="4" t="s">
        <v>149</v>
      </c>
      <c r="D60" s="6">
        <v>41796</v>
      </c>
      <c r="F60" t="s">
        <v>514</v>
      </c>
      <c r="G60" t="s">
        <v>515</v>
      </c>
      <c r="H60">
        <v>1.08</v>
      </c>
      <c r="I60">
        <v>373.54</v>
      </c>
      <c r="J60">
        <f t="shared" si="8"/>
        <v>374.62</v>
      </c>
      <c r="K60">
        <v>360.01</v>
      </c>
      <c r="L60" s="10">
        <f t="shared" si="9"/>
        <v>360.01</v>
      </c>
      <c r="M60" s="10">
        <v>0.14000000000000001</v>
      </c>
      <c r="N60">
        <v>75.290000000000006</v>
      </c>
      <c r="O60">
        <f t="shared" si="10"/>
        <v>75.430000000000007</v>
      </c>
      <c r="P60">
        <v>73.849999999999994</v>
      </c>
      <c r="Q60">
        <v>0.3085</v>
      </c>
      <c r="R60">
        <v>2.6499999999999999E-2</v>
      </c>
      <c r="S60" s="10" t="s">
        <v>725</v>
      </c>
      <c r="T60" s="10" t="s">
        <v>725</v>
      </c>
      <c r="U60" s="16"/>
      <c r="V60" s="17">
        <f t="shared" si="11"/>
        <v>0</v>
      </c>
      <c r="W60" s="17">
        <f t="shared" si="12"/>
        <v>0.20913307963667679</v>
      </c>
      <c r="X60" s="17">
        <f t="shared" si="13"/>
        <v>78.345434293491863</v>
      </c>
      <c r="Y60" s="17">
        <f t="shared" si="14"/>
        <v>79.086692036332323</v>
      </c>
    </row>
    <row r="61" spans="1:26" ht="15.75" customHeight="1" x14ac:dyDescent="0.2">
      <c r="A61" s="4" t="s">
        <v>150</v>
      </c>
      <c r="B61" s="10" t="s">
        <v>607</v>
      </c>
      <c r="C61" s="4" t="s">
        <v>151</v>
      </c>
      <c r="D61" s="6">
        <v>41796</v>
      </c>
      <c r="F61" t="s">
        <v>514</v>
      </c>
      <c r="G61" t="s">
        <v>515</v>
      </c>
      <c r="H61">
        <v>45.81</v>
      </c>
      <c r="I61">
        <v>80.989999999999995</v>
      </c>
      <c r="J61">
        <f t="shared" si="8"/>
        <v>126.8</v>
      </c>
      <c r="K61">
        <v>71.540000000000006</v>
      </c>
      <c r="L61" s="10">
        <f t="shared" si="9"/>
        <v>71.540000000000006</v>
      </c>
      <c r="M61" s="10">
        <v>9.0399999999999991</v>
      </c>
      <c r="N61">
        <v>8.31</v>
      </c>
      <c r="O61">
        <f t="shared" si="10"/>
        <v>17.350000000000001</v>
      </c>
      <c r="P61">
        <v>7.88</v>
      </c>
      <c r="Q61">
        <v>6.8000000000000005E-2</v>
      </c>
      <c r="R61">
        <v>5.4999999999999997E-3</v>
      </c>
      <c r="S61" s="10" t="s">
        <v>725</v>
      </c>
      <c r="T61" s="10" t="s">
        <v>725</v>
      </c>
      <c r="U61" s="16"/>
      <c r="V61" s="17">
        <f t="shared" si="11"/>
        <v>0</v>
      </c>
      <c r="W61" s="17">
        <f t="shared" si="12"/>
        <v>0.1161587922840369</v>
      </c>
      <c r="X61" s="17">
        <f t="shared" si="13"/>
        <v>14.728934861615878</v>
      </c>
      <c r="Y61" s="17">
        <f t="shared" si="14"/>
        <v>88.384120771596315</v>
      </c>
      <c r="Z61" s="12" t="s">
        <v>657</v>
      </c>
    </row>
    <row r="62" spans="1:26" ht="15.75" customHeight="1" x14ac:dyDescent="0.2">
      <c r="A62" s="4" t="s">
        <v>152</v>
      </c>
      <c r="B62" s="10" t="s">
        <v>261</v>
      </c>
      <c r="C62" s="4" t="s">
        <v>153</v>
      </c>
      <c r="D62" s="6">
        <v>41795</v>
      </c>
      <c r="F62" t="s">
        <v>514</v>
      </c>
      <c r="G62" t="s">
        <v>515</v>
      </c>
      <c r="H62">
        <v>0</v>
      </c>
      <c r="I62">
        <v>395.56</v>
      </c>
      <c r="J62">
        <f t="shared" si="8"/>
        <v>395.56</v>
      </c>
      <c r="K62">
        <v>388.6</v>
      </c>
      <c r="L62" s="10">
        <f t="shared" si="9"/>
        <v>388.6</v>
      </c>
      <c r="M62" s="10">
        <v>0</v>
      </c>
      <c r="N62">
        <v>235.22</v>
      </c>
      <c r="O62">
        <f t="shared" si="10"/>
        <v>235.22</v>
      </c>
      <c r="P62">
        <v>235.22</v>
      </c>
      <c r="Q62">
        <v>0.46800000000000003</v>
      </c>
      <c r="R62">
        <v>1.2500000000000001E-2</v>
      </c>
      <c r="S62" s="10" t="s">
        <v>725</v>
      </c>
      <c r="T62" s="10" t="s">
        <v>725</v>
      </c>
      <c r="U62" s="16"/>
      <c r="V62" s="17">
        <f t="shared" si="11"/>
        <v>0</v>
      </c>
      <c r="W62" s="17">
        <f t="shared" si="12"/>
        <v>0.60530108080288214</v>
      </c>
      <c r="X62" s="17">
        <f t="shared" si="13"/>
        <v>239.43289552238807</v>
      </c>
      <c r="Y62" s="17">
        <f t="shared" si="14"/>
        <v>39.469891919711792</v>
      </c>
    </row>
    <row r="63" spans="1:26" ht="15.75" customHeight="1" x14ac:dyDescent="0.2">
      <c r="A63" s="4" t="s">
        <v>567</v>
      </c>
      <c r="B63" s="11" t="s">
        <v>607</v>
      </c>
      <c r="C63" s="4" t="s">
        <v>135</v>
      </c>
      <c r="D63" s="6">
        <v>41795</v>
      </c>
      <c r="F63" t="s">
        <v>514</v>
      </c>
      <c r="G63" t="s">
        <v>515</v>
      </c>
      <c r="H63">
        <v>0</v>
      </c>
      <c r="I63">
        <v>577.87</v>
      </c>
      <c r="J63">
        <f t="shared" si="8"/>
        <v>577.87</v>
      </c>
      <c r="K63">
        <v>571.04</v>
      </c>
      <c r="L63" s="10">
        <f t="shared" si="9"/>
        <v>571.04</v>
      </c>
      <c r="M63" s="10">
        <v>0</v>
      </c>
      <c r="N63">
        <v>293.64</v>
      </c>
      <c r="O63">
        <f t="shared" si="10"/>
        <v>293.64</v>
      </c>
      <c r="P63">
        <v>293.64</v>
      </c>
      <c r="Q63">
        <v>0.623</v>
      </c>
      <c r="R63">
        <v>1.4500000000000001E-2</v>
      </c>
      <c r="S63" s="10" t="s">
        <v>725</v>
      </c>
      <c r="T63" s="10" t="s">
        <v>725</v>
      </c>
      <c r="U63" s="16"/>
      <c r="V63" s="17">
        <f t="shared" si="11"/>
        <v>0</v>
      </c>
      <c r="W63" s="17">
        <f t="shared" si="12"/>
        <v>0.51421966937517516</v>
      </c>
      <c r="X63" s="17">
        <f t="shared" si="13"/>
        <v>297.15212034183247</v>
      </c>
      <c r="Y63" s="17">
        <f t="shared" si="14"/>
        <v>48.57803306248249</v>
      </c>
    </row>
    <row r="64" spans="1:26" ht="15.75" customHeight="1" x14ac:dyDescent="0.2">
      <c r="A64" s="4" t="s">
        <v>154</v>
      </c>
      <c r="B64" s="10" t="s">
        <v>608</v>
      </c>
      <c r="C64" s="4" t="s">
        <v>155</v>
      </c>
      <c r="D64" s="6">
        <v>41796</v>
      </c>
      <c r="F64" t="s">
        <v>514</v>
      </c>
      <c r="G64" t="s">
        <v>515</v>
      </c>
      <c r="H64">
        <v>49.79</v>
      </c>
      <c r="I64">
        <v>364.07</v>
      </c>
      <c r="J64">
        <f t="shared" si="8"/>
        <v>413.86</v>
      </c>
      <c r="K64">
        <v>346.33</v>
      </c>
      <c r="L64" s="10">
        <f t="shared" si="9"/>
        <v>346.33</v>
      </c>
      <c r="M64" s="10">
        <v>8.4499999999999993</v>
      </c>
      <c r="N64">
        <v>94</v>
      </c>
      <c r="O64">
        <f t="shared" si="10"/>
        <v>102.45</v>
      </c>
      <c r="P64">
        <v>89.95</v>
      </c>
      <c r="Q64">
        <v>0.27500000000000002</v>
      </c>
      <c r="R64">
        <v>3.4500000000000003E-2</v>
      </c>
      <c r="S64" s="10" t="s">
        <v>725</v>
      </c>
      <c r="T64" s="10" t="s">
        <v>725</v>
      </c>
      <c r="U64" s="16"/>
      <c r="V64" s="17">
        <f t="shared" si="11"/>
        <v>0</v>
      </c>
      <c r="W64" s="17">
        <f t="shared" si="12"/>
        <v>0.27141743423902059</v>
      </c>
      <c r="X64" s="17">
        <f t="shared" si="13"/>
        <v>112.32881933416107</v>
      </c>
      <c r="Y64" s="17">
        <f t="shared" si="14"/>
        <v>72.858256576097929</v>
      </c>
    </row>
    <row r="65" spans="1:26" ht="15.75" customHeight="1" x14ac:dyDescent="0.2">
      <c r="A65" s="4" t="s">
        <v>156</v>
      </c>
      <c r="B65" s="10" t="s">
        <v>606</v>
      </c>
      <c r="C65" s="4" t="s">
        <v>157</v>
      </c>
      <c r="D65" s="6">
        <v>41795</v>
      </c>
      <c r="F65" t="s">
        <v>516</v>
      </c>
      <c r="G65" t="s">
        <v>522</v>
      </c>
      <c r="H65">
        <v>136.88</v>
      </c>
      <c r="I65">
        <v>469.39</v>
      </c>
      <c r="J65">
        <f t="shared" si="8"/>
        <v>606.27</v>
      </c>
      <c r="K65">
        <v>459.05</v>
      </c>
      <c r="L65" s="10">
        <f t="shared" si="9"/>
        <v>459.05</v>
      </c>
      <c r="M65" s="10">
        <v>58.12</v>
      </c>
      <c r="N65">
        <v>129.79</v>
      </c>
      <c r="O65">
        <f t="shared" si="10"/>
        <v>187.91</v>
      </c>
      <c r="P65">
        <v>129.79</v>
      </c>
      <c r="Q65">
        <v>0.439</v>
      </c>
      <c r="R65">
        <v>8.5000000000000006E-3</v>
      </c>
      <c r="S65" s="10" t="s">
        <v>725</v>
      </c>
      <c r="T65" s="10" t="s">
        <v>725</v>
      </c>
      <c r="U65" s="16"/>
      <c r="V65" s="17">
        <f t="shared" si="11"/>
        <v>0</v>
      </c>
      <c r="W65" s="17">
        <f t="shared" si="12"/>
        <v>0.28273608539374795</v>
      </c>
      <c r="X65" s="17">
        <f t="shared" si="13"/>
        <v>171.41440649166756</v>
      </c>
      <c r="Y65" s="17">
        <f t="shared" si="14"/>
        <v>71.726391460625209</v>
      </c>
    </row>
    <row r="66" spans="1:26" ht="15.75" customHeight="1" x14ac:dyDescent="0.2">
      <c r="A66" s="4" t="s">
        <v>557</v>
      </c>
      <c r="B66" s="11" t="s">
        <v>573</v>
      </c>
      <c r="C66" s="4" t="s">
        <v>135</v>
      </c>
      <c r="D66" s="6">
        <v>41795</v>
      </c>
      <c r="F66" t="s">
        <v>514</v>
      </c>
      <c r="G66" t="s">
        <v>515</v>
      </c>
      <c r="H66">
        <v>0</v>
      </c>
      <c r="I66">
        <v>438.04</v>
      </c>
      <c r="J66">
        <f t="shared" ref="J66:J97" si="15">(H66+I66)-V66</f>
        <v>438.04</v>
      </c>
      <c r="K66">
        <v>432.45</v>
      </c>
      <c r="L66" s="10">
        <f t="shared" ref="L66:L97" si="16">K66-V66</f>
        <v>432.45</v>
      </c>
      <c r="M66" s="10">
        <v>0</v>
      </c>
      <c r="N66">
        <v>276.26</v>
      </c>
      <c r="O66">
        <f t="shared" ref="O66:O97" si="17">(M66+N66)-V66</f>
        <v>276.26</v>
      </c>
      <c r="P66">
        <v>276.26</v>
      </c>
      <c r="Q66">
        <v>0.67400000000000004</v>
      </c>
      <c r="R66">
        <v>1.8499999999999999E-2</v>
      </c>
      <c r="S66" s="10" t="s">
        <v>725</v>
      </c>
      <c r="T66" s="10" t="s">
        <v>725</v>
      </c>
      <c r="U66" s="16"/>
      <c r="V66" s="17">
        <f t="shared" ref="V66:V97" si="18">U66*0.424</f>
        <v>0</v>
      </c>
      <c r="W66" s="17">
        <f t="shared" ref="W66:W97" si="19">N66/L66</f>
        <v>0.63882529772228003</v>
      </c>
      <c r="X66" s="17">
        <f t="shared" ref="X66:X97" si="20">W66*J66</f>
        <v>279.83103341426755</v>
      </c>
      <c r="Y66" s="17">
        <f t="shared" ref="Y66:Y97" si="21">(L66-N66)/L66*100</f>
        <v>36.117470227771996</v>
      </c>
    </row>
    <row r="67" spans="1:26" ht="15.75" customHeight="1" x14ac:dyDescent="0.2">
      <c r="A67" s="4" t="s">
        <v>158</v>
      </c>
      <c r="B67" s="10" t="s">
        <v>198</v>
      </c>
      <c r="C67" s="4" t="s">
        <v>159</v>
      </c>
      <c r="D67" s="6">
        <v>41796</v>
      </c>
      <c r="F67" t="s">
        <v>514</v>
      </c>
      <c r="G67" t="s">
        <v>515</v>
      </c>
      <c r="H67">
        <v>0</v>
      </c>
      <c r="I67">
        <v>490.09</v>
      </c>
      <c r="J67">
        <f t="shared" si="15"/>
        <v>490.09</v>
      </c>
      <c r="K67">
        <v>486.16</v>
      </c>
      <c r="L67" s="10">
        <f t="shared" si="16"/>
        <v>486.16</v>
      </c>
      <c r="M67" s="10">
        <v>0</v>
      </c>
      <c r="N67">
        <v>368.58</v>
      </c>
      <c r="O67">
        <f t="shared" si="17"/>
        <v>368.58</v>
      </c>
      <c r="P67">
        <v>368.58</v>
      </c>
      <c r="Q67">
        <v>0.78249999999999997</v>
      </c>
      <c r="R67">
        <v>1.0999999999999999E-2</v>
      </c>
      <c r="S67" s="10" t="s">
        <v>725</v>
      </c>
      <c r="T67" s="10" t="s">
        <v>725</v>
      </c>
      <c r="U67" s="16"/>
      <c r="V67" s="17">
        <f t="shared" si="18"/>
        <v>0</v>
      </c>
      <c r="W67" s="17">
        <f t="shared" si="19"/>
        <v>0.75814546651308201</v>
      </c>
      <c r="X67" s="17">
        <f t="shared" si="20"/>
        <v>371.55951168339635</v>
      </c>
      <c r="Y67" s="17">
        <f t="shared" si="21"/>
        <v>24.185453348691794</v>
      </c>
    </row>
    <row r="68" spans="1:26" ht="15.75" customHeight="1" x14ac:dyDescent="0.2">
      <c r="A68" s="4" t="s">
        <v>160</v>
      </c>
      <c r="B68" s="10" t="s">
        <v>609</v>
      </c>
      <c r="C68" s="4" t="s">
        <v>161</v>
      </c>
      <c r="D68" s="6">
        <v>41795</v>
      </c>
      <c r="F68" t="s">
        <v>514</v>
      </c>
      <c r="G68" t="s">
        <v>515</v>
      </c>
      <c r="H68">
        <v>1.99</v>
      </c>
      <c r="I68">
        <v>634.69000000000005</v>
      </c>
      <c r="J68">
        <f t="shared" si="15"/>
        <v>636.68000000000006</v>
      </c>
      <c r="K68">
        <v>631.21</v>
      </c>
      <c r="L68" s="10">
        <f t="shared" si="16"/>
        <v>631.21</v>
      </c>
      <c r="M68" s="10">
        <v>1.57</v>
      </c>
      <c r="N68">
        <v>468.96</v>
      </c>
      <c r="O68">
        <f t="shared" si="17"/>
        <v>470.53</v>
      </c>
      <c r="P68">
        <v>468.96</v>
      </c>
      <c r="Q68">
        <v>0.89</v>
      </c>
      <c r="R68">
        <v>1.4E-2</v>
      </c>
      <c r="S68" s="10" t="s">
        <v>725</v>
      </c>
      <c r="T68" s="10" t="s">
        <v>725</v>
      </c>
      <c r="U68" s="16"/>
      <c r="V68" s="17">
        <f t="shared" si="18"/>
        <v>0</v>
      </c>
      <c r="W68" s="17">
        <f t="shared" si="19"/>
        <v>0.74295400896690478</v>
      </c>
      <c r="X68" s="17">
        <f t="shared" si="20"/>
        <v>473.023958429049</v>
      </c>
      <c r="Y68" s="17">
        <f t="shared" si="21"/>
        <v>25.704599103309523</v>
      </c>
    </row>
    <row r="69" spans="1:26" ht="15.75" customHeight="1" x14ac:dyDescent="0.2">
      <c r="A69" s="4" t="s">
        <v>565</v>
      </c>
      <c r="B69" s="11" t="s">
        <v>616</v>
      </c>
      <c r="C69" s="4" t="s">
        <v>135</v>
      </c>
      <c r="D69" s="6">
        <v>41795</v>
      </c>
      <c r="F69" t="s">
        <v>514</v>
      </c>
      <c r="G69" t="s">
        <v>515</v>
      </c>
      <c r="H69">
        <v>0</v>
      </c>
      <c r="I69">
        <v>470.78</v>
      </c>
      <c r="J69">
        <f t="shared" si="15"/>
        <v>470.78</v>
      </c>
      <c r="K69">
        <v>465.97</v>
      </c>
      <c r="L69" s="10">
        <f t="shared" si="16"/>
        <v>465.97</v>
      </c>
      <c r="M69" s="10">
        <v>0</v>
      </c>
      <c r="N69">
        <v>328.42</v>
      </c>
      <c r="O69">
        <f t="shared" si="17"/>
        <v>328.42</v>
      </c>
      <c r="P69">
        <v>328.42</v>
      </c>
      <c r="Q69">
        <v>0.77700000000000002</v>
      </c>
      <c r="R69">
        <v>7.4999999999999997E-3</v>
      </c>
      <c r="S69" s="10" t="s">
        <v>725</v>
      </c>
      <c r="T69" s="10" t="s">
        <v>725</v>
      </c>
      <c r="U69" s="16"/>
      <c r="V69" s="17">
        <f t="shared" si="18"/>
        <v>0</v>
      </c>
      <c r="W69" s="17">
        <f t="shared" si="19"/>
        <v>0.7048093224885722</v>
      </c>
      <c r="X69" s="17">
        <f t="shared" si="20"/>
        <v>331.81013284117</v>
      </c>
      <c r="Y69" s="17">
        <f t="shared" si="21"/>
        <v>29.519067751142781</v>
      </c>
    </row>
    <row r="70" spans="1:26" ht="15.75" customHeight="1" x14ac:dyDescent="0.2">
      <c r="A70" s="4" t="s">
        <v>162</v>
      </c>
      <c r="B70" s="10" t="s">
        <v>610</v>
      </c>
      <c r="C70" s="4" t="s">
        <v>163</v>
      </c>
      <c r="D70" s="6">
        <v>41795</v>
      </c>
      <c r="F70" t="s">
        <v>514</v>
      </c>
      <c r="G70" t="s">
        <v>515</v>
      </c>
      <c r="H70">
        <v>1.36</v>
      </c>
      <c r="I70">
        <v>614.15</v>
      </c>
      <c r="J70">
        <f t="shared" si="15"/>
        <v>615.51</v>
      </c>
      <c r="K70">
        <v>606.49</v>
      </c>
      <c r="L70" s="10">
        <f t="shared" si="16"/>
        <v>606.49</v>
      </c>
      <c r="M70" s="10">
        <v>0.78</v>
      </c>
      <c r="N70">
        <v>350.56</v>
      </c>
      <c r="O70">
        <f t="shared" si="17"/>
        <v>351.34</v>
      </c>
      <c r="P70">
        <v>350.56</v>
      </c>
      <c r="Q70">
        <v>0.55300000000000005</v>
      </c>
      <c r="R70">
        <v>2.1000000000000001E-2</v>
      </c>
      <c r="S70" s="10" t="s">
        <v>725</v>
      </c>
      <c r="T70" s="10" t="s">
        <v>725</v>
      </c>
      <c r="U70" s="16"/>
      <c r="V70" s="17">
        <f t="shared" si="18"/>
        <v>0</v>
      </c>
      <c r="W70" s="17">
        <f t="shared" si="19"/>
        <v>0.57801447674322737</v>
      </c>
      <c r="X70" s="17">
        <f t="shared" si="20"/>
        <v>355.7736905802239</v>
      </c>
      <c r="Y70" s="17">
        <f t="shared" si="21"/>
        <v>42.198552325677255</v>
      </c>
    </row>
    <row r="71" spans="1:26" ht="15.75" customHeight="1" x14ac:dyDescent="0.2">
      <c r="A71" s="4" t="s">
        <v>561</v>
      </c>
      <c r="B71" s="11" t="s">
        <v>521</v>
      </c>
      <c r="C71" s="4" t="s">
        <v>135</v>
      </c>
      <c r="D71" s="6">
        <v>41795</v>
      </c>
      <c r="F71" t="s">
        <v>516</v>
      </c>
      <c r="G71" t="s">
        <v>653</v>
      </c>
      <c r="H71">
        <v>1.1399999999999999</v>
      </c>
      <c r="I71">
        <v>339.96</v>
      </c>
      <c r="J71">
        <f t="shared" si="15"/>
        <v>341.09999999999997</v>
      </c>
      <c r="K71">
        <v>329.91</v>
      </c>
      <c r="L71" s="10">
        <f t="shared" si="16"/>
        <v>329.91</v>
      </c>
      <c r="M71" s="10">
        <v>0.56000000000000005</v>
      </c>
      <c r="N71">
        <v>81.5</v>
      </c>
      <c r="O71">
        <f t="shared" si="17"/>
        <v>82.06</v>
      </c>
      <c r="P71">
        <v>81.27</v>
      </c>
      <c r="Q71">
        <v>0.308</v>
      </c>
      <c r="R71">
        <v>7.0000000000000001E-3</v>
      </c>
      <c r="S71" s="10" t="s">
        <v>725</v>
      </c>
      <c r="T71" s="10" t="s">
        <v>725</v>
      </c>
      <c r="U71" s="16"/>
      <c r="V71" s="17">
        <f t="shared" si="18"/>
        <v>0</v>
      </c>
      <c r="W71" s="17">
        <f t="shared" si="19"/>
        <v>0.24703707071625594</v>
      </c>
      <c r="X71" s="17">
        <f t="shared" si="20"/>
        <v>84.264344821314893</v>
      </c>
      <c r="Y71" s="17">
        <f t="shared" si="21"/>
        <v>75.296292928374413</v>
      </c>
    </row>
    <row r="72" spans="1:26" ht="15.75" customHeight="1" x14ac:dyDescent="0.2">
      <c r="A72" s="4" t="s">
        <v>164</v>
      </c>
      <c r="B72" s="10" t="s">
        <v>611</v>
      </c>
      <c r="C72" s="4" t="s">
        <v>165</v>
      </c>
      <c r="D72" s="6">
        <v>41795</v>
      </c>
      <c r="F72" t="s">
        <v>514</v>
      </c>
      <c r="G72" t="s">
        <v>515</v>
      </c>
      <c r="H72">
        <v>97.86</v>
      </c>
      <c r="I72">
        <v>389.17</v>
      </c>
      <c r="J72">
        <f t="shared" si="15"/>
        <v>487.03000000000003</v>
      </c>
      <c r="K72">
        <v>382.09</v>
      </c>
      <c r="L72" s="10">
        <f t="shared" si="16"/>
        <v>382.09</v>
      </c>
      <c r="M72" s="10">
        <v>64.760000000000005</v>
      </c>
      <c r="N72">
        <v>199.36</v>
      </c>
      <c r="O72">
        <f t="shared" si="17"/>
        <v>264.12</v>
      </c>
      <c r="P72">
        <v>119.02</v>
      </c>
      <c r="Q72">
        <v>0.30499999999999999</v>
      </c>
      <c r="R72">
        <v>1.15E-2</v>
      </c>
      <c r="S72" s="10" t="s">
        <v>725</v>
      </c>
      <c r="T72" s="10" t="s">
        <v>725</v>
      </c>
      <c r="U72" s="16"/>
      <c r="V72" s="17">
        <f t="shared" si="18"/>
        <v>0</v>
      </c>
      <c r="W72" s="17">
        <f t="shared" si="19"/>
        <v>0.52176188856028693</v>
      </c>
      <c r="X72" s="17">
        <f t="shared" si="20"/>
        <v>254.11369258551656</v>
      </c>
      <c r="Y72" s="17">
        <f t="shared" si="21"/>
        <v>47.823811143971305</v>
      </c>
    </row>
    <row r="73" spans="1:26" ht="15.75" customHeight="1" x14ac:dyDescent="0.2">
      <c r="A73" s="4" t="s">
        <v>560</v>
      </c>
      <c r="B73" s="11" t="s">
        <v>198</v>
      </c>
      <c r="C73" s="4" t="s">
        <v>135</v>
      </c>
      <c r="D73" s="6">
        <v>41795</v>
      </c>
      <c r="F73" t="s">
        <v>514</v>
      </c>
      <c r="G73" t="s">
        <v>515</v>
      </c>
      <c r="H73">
        <v>13.87</v>
      </c>
      <c r="I73">
        <v>783.97</v>
      </c>
      <c r="J73">
        <f t="shared" si="15"/>
        <v>797.84</v>
      </c>
      <c r="K73">
        <v>772.11</v>
      </c>
      <c r="L73" s="10">
        <f t="shared" si="16"/>
        <v>772.11</v>
      </c>
      <c r="M73" s="10">
        <v>5.87</v>
      </c>
      <c r="N73">
        <v>258.45</v>
      </c>
      <c r="O73">
        <f t="shared" si="17"/>
        <v>264.32</v>
      </c>
      <c r="P73">
        <v>257.19</v>
      </c>
      <c r="Q73">
        <v>0.67449999999999999</v>
      </c>
      <c r="R73">
        <v>2.1499999999999998E-2</v>
      </c>
      <c r="S73" s="10" t="s">
        <v>725</v>
      </c>
      <c r="T73" s="10" t="s">
        <v>725</v>
      </c>
      <c r="U73" s="16"/>
      <c r="V73" s="17">
        <f t="shared" si="18"/>
        <v>0</v>
      </c>
      <c r="W73" s="17">
        <f t="shared" si="19"/>
        <v>0.33473209775809143</v>
      </c>
      <c r="X73" s="17">
        <f t="shared" si="20"/>
        <v>267.06265687531567</v>
      </c>
      <c r="Y73" s="17">
        <f t="shared" si="21"/>
        <v>66.526790224190862</v>
      </c>
    </row>
    <row r="74" spans="1:26" ht="15.75" customHeight="1" x14ac:dyDescent="0.2">
      <c r="A74" s="4" t="s">
        <v>166</v>
      </c>
      <c r="B74" s="10" t="s">
        <v>521</v>
      </c>
      <c r="C74" s="4" t="s">
        <v>167</v>
      </c>
      <c r="D74" s="6">
        <v>41796</v>
      </c>
      <c r="F74" t="s">
        <v>514</v>
      </c>
      <c r="G74" t="s">
        <v>515</v>
      </c>
      <c r="H74">
        <v>6.28</v>
      </c>
      <c r="I74">
        <v>382.94</v>
      </c>
      <c r="J74">
        <f t="shared" si="15"/>
        <v>389.21999999999997</v>
      </c>
      <c r="K74">
        <v>373.73</v>
      </c>
      <c r="L74" s="10">
        <f t="shared" si="16"/>
        <v>373.73</v>
      </c>
      <c r="M74" s="10">
        <v>3.02</v>
      </c>
      <c r="N74">
        <v>132.04</v>
      </c>
      <c r="O74">
        <f t="shared" si="17"/>
        <v>135.06</v>
      </c>
      <c r="P74">
        <v>132.04</v>
      </c>
      <c r="Q74">
        <v>0.34</v>
      </c>
      <c r="R74">
        <v>5.1999999999999998E-2</v>
      </c>
      <c r="S74" s="10" t="s">
        <v>725</v>
      </c>
      <c r="T74" s="10" t="s">
        <v>725</v>
      </c>
      <c r="U74" s="16"/>
      <c r="V74" s="17">
        <f t="shared" si="18"/>
        <v>0</v>
      </c>
      <c r="W74" s="17">
        <f t="shared" si="19"/>
        <v>0.35330318679260425</v>
      </c>
      <c r="X74" s="17">
        <f t="shared" si="20"/>
        <v>137.51266636341742</v>
      </c>
      <c r="Y74" s="17">
        <f t="shared" si="21"/>
        <v>64.669681320739585</v>
      </c>
      <c r="Z74" s="12" t="s">
        <v>656</v>
      </c>
    </row>
    <row r="75" spans="1:26" ht="15.75" customHeight="1" x14ac:dyDescent="0.2">
      <c r="A75" s="4" t="s">
        <v>168</v>
      </c>
      <c r="B75" s="10" t="s">
        <v>612</v>
      </c>
      <c r="C75" s="4" t="s">
        <v>169</v>
      </c>
      <c r="D75" s="6">
        <v>41796</v>
      </c>
      <c r="F75" t="s">
        <v>514</v>
      </c>
      <c r="G75" t="s">
        <v>515</v>
      </c>
      <c r="H75">
        <v>39.67</v>
      </c>
      <c r="I75">
        <v>456.62</v>
      </c>
      <c r="J75">
        <f t="shared" si="15"/>
        <v>496.29</v>
      </c>
      <c r="K75">
        <v>445.52</v>
      </c>
      <c r="L75" s="10">
        <f t="shared" si="16"/>
        <v>445.52</v>
      </c>
      <c r="M75" s="10">
        <v>9.15</v>
      </c>
      <c r="N75">
        <v>108.14</v>
      </c>
      <c r="O75">
        <f t="shared" si="17"/>
        <v>117.29</v>
      </c>
      <c r="P75">
        <v>103.77</v>
      </c>
      <c r="Q75">
        <v>0.35649999999999998</v>
      </c>
      <c r="R75">
        <v>4.2000000000000003E-2</v>
      </c>
      <c r="S75" s="10" t="s">
        <v>725</v>
      </c>
      <c r="T75" s="10" t="s">
        <v>725</v>
      </c>
      <c r="U75" s="16"/>
      <c r="V75" s="17">
        <f t="shared" si="18"/>
        <v>0</v>
      </c>
      <c r="W75" s="17">
        <f t="shared" si="19"/>
        <v>0.24272759920991202</v>
      </c>
      <c r="X75" s="17">
        <f t="shared" si="20"/>
        <v>120.46328021188724</v>
      </c>
      <c r="Y75" s="17">
        <f t="shared" si="21"/>
        <v>75.727240079008808</v>
      </c>
    </row>
    <row r="76" spans="1:26" ht="15.75" customHeight="1" x14ac:dyDescent="0.2">
      <c r="A76" s="4" t="s">
        <v>748</v>
      </c>
      <c r="B76" s="10" t="s">
        <v>613</v>
      </c>
      <c r="C76" s="4" t="s">
        <v>170</v>
      </c>
      <c r="D76" s="6">
        <v>41796</v>
      </c>
      <c r="F76" t="s">
        <v>514</v>
      </c>
      <c r="G76" t="s">
        <v>515</v>
      </c>
      <c r="H76">
        <v>57.98</v>
      </c>
      <c r="I76">
        <v>688.44</v>
      </c>
      <c r="J76">
        <f t="shared" si="15"/>
        <v>746.42000000000007</v>
      </c>
      <c r="K76">
        <v>671.8</v>
      </c>
      <c r="L76" s="10">
        <f t="shared" si="16"/>
        <v>671.8</v>
      </c>
      <c r="M76" s="10">
        <v>31.6</v>
      </c>
      <c r="N76">
        <v>125.44</v>
      </c>
      <c r="O76">
        <f t="shared" si="17"/>
        <v>157.04</v>
      </c>
      <c r="P76">
        <v>125.44</v>
      </c>
      <c r="Q76">
        <v>0.49299999999999999</v>
      </c>
      <c r="R76">
        <v>0.17349999999999999</v>
      </c>
      <c r="S76" s="10" t="s">
        <v>725</v>
      </c>
      <c r="T76" s="10" t="s">
        <v>725</v>
      </c>
      <c r="U76" s="16"/>
      <c r="V76" s="17">
        <f t="shared" si="18"/>
        <v>0</v>
      </c>
      <c r="W76" s="17">
        <f t="shared" si="19"/>
        <v>0.18672223876153618</v>
      </c>
      <c r="X76" s="17">
        <f t="shared" si="20"/>
        <v>139.37321345638586</v>
      </c>
      <c r="Y76" s="17">
        <f t="shared" si="21"/>
        <v>81.327776123846377</v>
      </c>
      <c r="Z76" s="12" t="s">
        <v>657</v>
      </c>
    </row>
    <row r="77" spans="1:26" ht="15.75" customHeight="1" x14ac:dyDescent="0.2">
      <c r="A77" s="4" t="s">
        <v>171</v>
      </c>
      <c r="B77" s="10" t="s">
        <v>614</v>
      </c>
      <c r="C77" s="4" t="s">
        <v>172</v>
      </c>
      <c r="D77" s="6">
        <v>41795</v>
      </c>
      <c r="F77" t="s">
        <v>516</v>
      </c>
      <c r="G77" t="s">
        <v>650</v>
      </c>
      <c r="H77">
        <v>1.57</v>
      </c>
      <c r="I77">
        <v>353.39</v>
      </c>
      <c r="J77">
        <f t="shared" si="15"/>
        <v>354.96</v>
      </c>
      <c r="K77">
        <v>347.28</v>
      </c>
      <c r="L77" s="10">
        <f t="shared" si="16"/>
        <v>347.28</v>
      </c>
      <c r="M77" s="10">
        <v>0.98</v>
      </c>
      <c r="N77">
        <v>218.34</v>
      </c>
      <c r="O77">
        <f t="shared" si="17"/>
        <v>219.32</v>
      </c>
      <c r="P77">
        <v>218.34</v>
      </c>
      <c r="Q77">
        <v>0.55200000000000005</v>
      </c>
      <c r="R77">
        <v>1.15E-2</v>
      </c>
      <c r="S77" s="10" t="s">
        <v>725</v>
      </c>
      <c r="T77" s="10" t="s">
        <v>725</v>
      </c>
      <c r="U77" s="16"/>
      <c r="V77" s="17">
        <f t="shared" si="18"/>
        <v>0</v>
      </c>
      <c r="W77" s="17">
        <f t="shared" si="19"/>
        <v>0.62871458189357299</v>
      </c>
      <c r="X77" s="17">
        <f t="shared" si="20"/>
        <v>223.16852798894266</v>
      </c>
      <c r="Y77" s="17">
        <f t="shared" si="21"/>
        <v>37.128541810642702</v>
      </c>
    </row>
    <row r="78" spans="1:26" ht="15.75" customHeight="1" x14ac:dyDescent="0.2">
      <c r="A78" s="4" t="s">
        <v>173</v>
      </c>
      <c r="B78" s="10" t="s">
        <v>576</v>
      </c>
      <c r="C78" s="4" t="s">
        <v>174</v>
      </c>
      <c r="D78" s="6">
        <v>41796</v>
      </c>
      <c r="F78" t="s">
        <v>514</v>
      </c>
      <c r="G78" t="s">
        <v>515</v>
      </c>
      <c r="H78">
        <v>49.84</v>
      </c>
      <c r="I78">
        <v>332.67</v>
      </c>
      <c r="J78">
        <f t="shared" si="15"/>
        <v>382.51</v>
      </c>
      <c r="K78">
        <v>319.49</v>
      </c>
      <c r="L78" s="10">
        <f t="shared" si="16"/>
        <v>319.49</v>
      </c>
      <c r="M78" s="10">
        <v>21.24</v>
      </c>
      <c r="N78">
        <v>100.77</v>
      </c>
      <c r="O78">
        <f t="shared" si="17"/>
        <v>122.00999999999999</v>
      </c>
      <c r="P78">
        <v>98.28</v>
      </c>
      <c r="Q78">
        <v>0.28399999999999997</v>
      </c>
      <c r="R78">
        <v>1.0999999999999999E-2</v>
      </c>
      <c r="S78" s="10" t="s">
        <v>725</v>
      </c>
      <c r="T78" s="10" t="s">
        <v>725</v>
      </c>
      <c r="U78" s="16"/>
      <c r="V78" s="17">
        <f t="shared" si="18"/>
        <v>0</v>
      </c>
      <c r="W78" s="17">
        <f t="shared" si="19"/>
        <v>0.31540893298694794</v>
      </c>
      <c r="X78" s="17">
        <f t="shared" si="20"/>
        <v>120.64707095683745</v>
      </c>
      <c r="Y78" s="17">
        <f t="shared" si="21"/>
        <v>68.459106701305217</v>
      </c>
    </row>
    <row r="79" spans="1:26" ht="15.75" customHeight="1" x14ac:dyDescent="0.2">
      <c r="A79" s="4" t="s">
        <v>175</v>
      </c>
      <c r="B79" s="10" t="s">
        <v>609</v>
      </c>
      <c r="C79" s="4" t="s">
        <v>176</v>
      </c>
      <c r="D79" s="6">
        <v>41795</v>
      </c>
      <c r="F79" t="s">
        <v>516</v>
      </c>
      <c r="G79" t="s">
        <v>649</v>
      </c>
      <c r="H79">
        <v>249.69</v>
      </c>
      <c r="I79">
        <v>742.27</v>
      </c>
      <c r="J79">
        <f t="shared" si="15"/>
        <v>991.96</v>
      </c>
      <c r="K79">
        <v>734.47</v>
      </c>
      <c r="L79" s="10">
        <f t="shared" si="16"/>
        <v>734.47</v>
      </c>
      <c r="M79" s="10">
        <v>116.21</v>
      </c>
      <c r="N79">
        <v>323.52</v>
      </c>
      <c r="O79">
        <f t="shared" si="17"/>
        <v>439.72999999999996</v>
      </c>
      <c r="P79">
        <v>323.52</v>
      </c>
      <c r="Q79">
        <v>0.69799999999999995</v>
      </c>
      <c r="R79">
        <v>2.2499999999999999E-2</v>
      </c>
      <c r="S79" s="10" t="s">
        <v>725</v>
      </c>
      <c r="T79" s="10" t="s">
        <v>725</v>
      </c>
      <c r="U79" s="16"/>
      <c r="V79" s="17">
        <f t="shared" si="18"/>
        <v>0</v>
      </c>
      <c r="W79" s="17">
        <f t="shared" si="19"/>
        <v>0.44048089098261328</v>
      </c>
      <c r="X79" s="17">
        <f t="shared" si="20"/>
        <v>436.93942461911308</v>
      </c>
      <c r="Y79" s="17">
        <f t="shared" si="21"/>
        <v>55.951910901738678</v>
      </c>
    </row>
    <row r="80" spans="1:26" ht="15.75" customHeight="1" x14ac:dyDescent="0.2">
      <c r="A80" s="4" t="s">
        <v>559</v>
      </c>
      <c r="B80" s="11" t="s">
        <v>562</v>
      </c>
      <c r="C80" s="4" t="s">
        <v>135</v>
      </c>
      <c r="D80" s="6">
        <v>41795</v>
      </c>
      <c r="F80" t="s">
        <v>516</v>
      </c>
      <c r="G80" t="s">
        <v>654</v>
      </c>
      <c r="H80">
        <v>0</v>
      </c>
      <c r="I80">
        <v>518.46</v>
      </c>
      <c r="J80">
        <f t="shared" si="15"/>
        <v>518.46</v>
      </c>
      <c r="K80">
        <v>511.49</v>
      </c>
      <c r="L80" s="10">
        <f t="shared" si="16"/>
        <v>511.49</v>
      </c>
      <c r="M80" s="10">
        <v>0</v>
      </c>
      <c r="N80">
        <v>367.17</v>
      </c>
      <c r="O80">
        <f t="shared" si="17"/>
        <v>367.17</v>
      </c>
      <c r="P80">
        <v>367.17</v>
      </c>
      <c r="Q80">
        <v>0.68100000000000005</v>
      </c>
      <c r="R80">
        <v>2.1499999999999998E-2</v>
      </c>
      <c r="S80" s="10" t="s">
        <v>725</v>
      </c>
      <c r="T80" s="10" t="s">
        <v>725</v>
      </c>
      <c r="U80" s="16"/>
      <c r="V80" s="17">
        <f t="shared" si="18"/>
        <v>0</v>
      </c>
      <c r="W80" s="17">
        <f t="shared" si="19"/>
        <v>0.71784394611820368</v>
      </c>
      <c r="X80" s="17">
        <f t="shared" si="20"/>
        <v>372.17337230444389</v>
      </c>
      <c r="Y80" s="17">
        <f t="shared" si="21"/>
        <v>28.215605388179632</v>
      </c>
    </row>
    <row r="81" spans="1:26" ht="15.75" customHeight="1" x14ac:dyDescent="0.2">
      <c r="A81" s="4" t="s">
        <v>177</v>
      </c>
      <c r="B81" s="10" t="s">
        <v>72</v>
      </c>
      <c r="C81" s="4" t="s">
        <v>178</v>
      </c>
      <c r="D81" s="6">
        <v>41796</v>
      </c>
      <c r="F81" t="s">
        <v>516</v>
      </c>
      <c r="G81" t="s">
        <v>673</v>
      </c>
      <c r="H81">
        <v>68.16</v>
      </c>
      <c r="I81">
        <v>520.62</v>
      </c>
      <c r="J81">
        <f t="shared" si="15"/>
        <v>588.78</v>
      </c>
      <c r="K81">
        <v>511.22</v>
      </c>
      <c r="L81" s="10">
        <f t="shared" si="16"/>
        <v>511.22</v>
      </c>
      <c r="M81" s="10">
        <v>28.18</v>
      </c>
      <c r="N81">
        <v>237.11</v>
      </c>
      <c r="O81">
        <f t="shared" si="17"/>
        <v>265.29000000000002</v>
      </c>
      <c r="P81">
        <v>236.13</v>
      </c>
      <c r="Q81">
        <v>0.33</v>
      </c>
      <c r="R81">
        <v>4.2500000000000003E-2</v>
      </c>
      <c r="S81" s="10" t="s">
        <v>725</v>
      </c>
      <c r="T81" s="10" t="s">
        <v>725</v>
      </c>
      <c r="U81" s="16"/>
      <c r="V81" s="17">
        <f t="shared" si="18"/>
        <v>0</v>
      </c>
      <c r="W81" s="17">
        <f t="shared" si="19"/>
        <v>0.46381205743124293</v>
      </c>
      <c r="X81" s="17">
        <f t="shared" si="20"/>
        <v>273.08326317436718</v>
      </c>
      <c r="Y81" s="17">
        <f t="shared" si="21"/>
        <v>53.618794256875709</v>
      </c>
      <c r="Z81" s="12" t="s">
        <v>657</v>
      </c>
    </row>
    <row r="82" spans="1:26" ht="15.75" customHeight="1" x14ac:dyDescent="0.2">
      <c r="A82" s="4" t="s">
        <v>179</v>
      </c>
      <c r="B82" s="10" t="s">
        <v>604</v>
      </c>
      <c r="C82" s="4" t="s">
        <v>180</v>
      </c>
      <c r="D82" s="6">
        <v>41796</v>
      </c>
      <c r="F82" t="s">
        <v>514</v>
      </c>
      <c r="G82" t="s">
        <v>515</v>
      </c>
      <c r="H82">
        <v>8.18</v>
      </c>
      <c r="I82">
        <v>327.5</v>
      </c>
      <c r="J82">
        <f t="shared" si="15"/>
        <v>335.68</v>
      </c>
      <c r="K82">
        <v>320.68</v>
      </c>
      <c r="L82" s="10">
        <f t="shared" si="16"/>
        <v>320.68</v>
      </c>
      <c r="M82" s="10">
        <v>2.82</v>
      </c>
      <c r="N82">
        <v>201.47</v>
      </c>
      <c r="O82">
        <f t="shared" si="17"/>
        <v>204.29</v>
      </c>
      <c r="P82">
        <v>201.47</v>
      </c>
      <c r="Q82">
        <v>0.50849999999999995</v>
      </c>
      <c r="R82">
        <v>1.2500000000000001E-2</v>
      </c>
      <c r="S82" s="10" t="s">
        <v>725</v>
      </c>
      <c r="T82" s="10" t="s">
        <v>725</v>
      </c>
      <c r="U82" s="16"/>
      <c r="V82" s="17">
        <f t="shared" si="18"/>
        <v>0</v>
      </c>
      <c r="W82" s="17">
        <f t="shared" si="19"/>
        <v>0.6282587002619433</v>
      </c>
      <c r="X82" s="17">
        <f t="shared" si="20"/>
        <v>210.89388050392913</v>
      </c>
      <c r="Y82" s="17">
        <f t="shared" si="21"/>
        <v>37.174129973805663</v>
      </c>
    </row>
    <row r="83" spans="1:26" ht="15.75" customHeight="1" x14ac:dyDescent="0.2">
      <c r="A83" s="4" t="s">
        <v>197</v>
      </c>
      <c r="B83" t="s">
        <v>552</v>
      </c>
      <c r="C83" s="4" t="s">
        <v>198</v>
      </c>
      <c r="D83" s="6">
        <v>41794</v>
      </c>
      <c r="E83" t="str">
        <f t="shared" ref="E83:E113" si="22">CONCATENATE(A83," ",B83," ",C83)</f>
        <v>ACRU 3-D 2-H</v>
      </c>
      <c r="F83" t="s">
        <v>514</v>
      </c>
      <c r="G83" t="s">
        <v>515</v>
      </c>
      <c r="H83">
        <v>8.19</v>
      </c>
      <c r="I83">
        <v>362.52</v>
      </c>
      <c r="J83">
        <f t="shared" si="15"/>
        <v>370.71</v>
      </c>
      <c r="K83">
        <v>351.07</v>
      </c>
      <c r="L83" s="10">
        <f t="shared" si="16"/>
        <v>351.07</v>
      </c>
      <c r="M83" s="10">
        <v>0</v>
      </c>
      <c r="N83">
        <v>103.9</v>
      </c>
      <c r="O83">
        <f t="shared" si="17"/>
        <v>103.9</v>
      </c>
      <c r="P83">
        <v>97.57</v>
      </c>
      <c r="Q83">
        <v>0.48399999999999999</v>
      </c>
      <c r="R83">
        <v>7.9000000000000001E-2</v>
      </c>
      <c r="S83" s="10" t="s">
        <v>725</v>
      </c>
      <c r="T83" s="10" t="s">
        <v>725</v>
      </c>
      <c r="U83" s="16"/>
      <c r="V83" s="17">
        <f t="shared" si="18"/>
        <v>0</v>
      </c>
      <c r="W83" s="17">
        <f t="shared" si="19"/>
        <v>0.29595237417039338</v>
      </c>
      <c r="X83" s="17">
        <f t="shared" si="20"/>
        <v>109.71250462870653</v>
      </c>
      <c r="Y83" s="17">
        <f t="shared" si="21"/>
        <v>70.404762582960657</v>
      </c>
    </row>
    <row r="84" spans="1:26" ht="15.75" customHeight="1" x14ac:dyDescent="0.2">
      <c r="A84" s="4" t="s">
        <v>199</v>
      </c>
      <c r="B84" t="s">
        <v>72</v>
      </c>
      <c r="C84" s="4" t="s">
        <v>200</v>
      </c>
      <c r="D84" s="6">
        <v>41794</v>
      </c>
      <c r="E84" t="str">
        <f t="shared" si="22"/>
        <v>AEGL 1-H 2-H</v>
      </c>
      <c r="F84" t="s">
        <v>514</v>
      </c>
      <c r="G84" t="s">
        <v>515</v>
      </c>
      <c r="H84">
        <v>39.1</v>
      </c>
      <c r="I84">
        <v>164.72</v>
      </c>
      <c r="J84">
        <f t="shared" si="15"/>
        <v>203.82</v>
      </c>
      <c r="K84">
        <v>156.79</v>
      </c>
      <c r="L84" s="10">
        <f t="shared" si="16"/>
        <v>156.79</v>
      </c>
      <c r="M84" s="10">
        <v>0</v>
      </c>
      <c r="N84">
        <v>67.38</v>
      </c>
      <c r="O84">
        <f t="shared" si="17"/>
        <v>67.38</v>
      </c>
      <c r="P84">
        <v>48.84</v>
      </c>
      <c r="Q84">
        <v>0.28299999999999997</v>
      </c>
      <c r="R84">
        <v>1.0500000000000001E-2</v>
      </c>
      <c r="S84" s="10" t="s">
        <v>725</v>
      </c>
      <c r="T84" s="10" t="s">
        <v>725</v>
      </c>
      <c r="U84" s="16"/>
      <c r="V84" s="17">
        <f t="shared" si="18"/>
        <v>0</v>
      </c>
      <c r="W84" s="17">
        <f t="shared" si="19"/>
        <v>0.4297467950762166</v>
      </c>
      <c r="X84" s="17">
        <f t="shared" si="20"/>
        <v>87.590991772434464</v>
      </c>
      <c r="Y84" s="17">
        <f t="shared" si="21"/>
        <v>57.025320492378341</v>
      </c>
    </row>
    <row r="85" spans="1:26" ht="15.75" customHeight="1" x14ac:dyDescent="0.2">
      <c r="A85" s="4" t="s">
        <v>201</v>
      </c>
      <c r="B85" t="s">
        <v>552</v>
      </c>
      <c r="C85" s="4" t="s">
        <v>202</v>
      </c>
      <c r="D85" s="6">
        <v>41794</v>
      </c>
      <c r="E85" t="str">
        <f t="shared" si="22"/>
        <v>AMAR 3-D 2-H</v>
      </c>
      <c r="F85" t="s">
        <v>514</v>
      </c>
      <c r="G85" t="s">
        <v>515</v>
      </c>
      <c r="H85">
        <v>0</v>
      </c>
      <c r="I85">
        <v>488.29</v>
      </c>
      <c r="J85">
        <f t="shared" si="15"/>
        <v>488.29</v>
      </c>
      <c r="K85">
        <v>484.31</v>
      </c>
      <c r="L85" s="10">
        <f t="shared" si="16"/>
        <v>484.31</v>
      </c>
      <c r="M85" s="10">
        <v>0</v>
      </c>
      <c r="N85">
        <v>360.39</v>
      </c>
      <c r="O85">
        <f t="shared" si="17"/>
        <v>360.39</v>
      </c>
      <c r="P85">
        <v>360.39</v>
      </c>
      <c r="Q85">
        <v>0.52300000000000002</v>
      </c>
      <c r="R85">
        <v>1.15E-2</v>
      </c>
      <c r="S85" s="10" t="s">
        <v>725</v>
      </c>
      <c r="T85" s="10" t="s">
        <v>725</v>
      </c>
      <c r="U85" s="16"/>
      <c r="V85" s="17">
        <f t="shared" si="18"/>
        <v>0</v>
      </c>
      <c r="W85" s="17">
        <f t="shared" si="19"/>
        <v>0.74413082529784635</v>
      </c>
      <c r="X85" s="17">
        <f t="shared" si="20"/>
        <v>363.35164068468544</v>
      </c>
      <c r="Y85" s="17">
        <f t="shared" si="21"/>
        <v>25.586917470215358</v>
      </c>
    </row>
    <row r="86" spans="1:26" ht="15.75" customHeight="1" x14ac:dyDescent="0.2">
      <c r="A86" s="4" t="s">
        <v>203</v>
      </c>
      <c r="B86" t="s">
        <v>571</v>
      </c>
      <c r="C86" s="4" t="s">
        <v>204</v>
      </c>
      <c r="D86" s="6">
        <v>41794</v>
      </c>
      <c r="E86" t="str">
        <f t="shared" si="22"/>
        <v>ASTR 3-F 2-H</v>
      </c>
      <c r="F86" t="s">
        <v>514</v>
      </c>
      <c r="G86" t="s">
        <v>515</v>
      </c>
      <c r="H86">
        <v>25.3</v>
      </c>
      <c r="I86">
        <v>168.86</v>
      </c>
      <c r="J86">
        <f t="shared" si="15"/>
        <v>194.16000000000003</v>
      </c>
      <c r="K86">
        <v>155.18</v>
      </c>
      <c r="L86" s="10">
        <f t="shared" si="16"/>
        <v>155.18</v>
      </c>
      <c r="M86" s="10">
        <v>0</v>
      </c>
      <c r="N86">
        <v>85.18</v>
      </c>
      <c r="O86">
        <f t="shared" si="17"/>
        <v>85.18</v>
      </c>
      <c r="P86">
        <v>74.38</v>
      </c>
      <c r="Q86">
        <v>0.23150000000000001</v>
      </c>
      <c r="R86">
        <v>3.85E-2</v>
      </c>
      <c r="S86" s="10" t="s">
        <v>725</v>
      </c>
      <c r="T86" s="10" t="s">
        <v>725</v>
      </c>
      <c r="U86" s="16"/>
      <c r="V86" s="17">
        <f t="shared" si="18"/>
        <v>0</v>
      </c>
      <c r="W86" s="17">
        <f t="shared" si="19"/>
        <v>0.54891094213171798</v>
      </c>
      <c r="X86" s="17">
        <f t="shared" si="20"/>
        <v>106.57654852429438</v>
      </c>
      <c r="Y86" s="17">
        <f t="shared" si="21"/>
        <v>45.108905786828196</v>
      </c>
    </row>
    <row r="87" spans="1:26" ht="15.75" customHeight="1" x14ac:dyDescent="0.2">
      <c r="A87" s="4" t="s">
        <v>205</v>
      </c>
      <c r="B87" t="s">
        <v>521</v>
      </c>
      <c r="C87" s="4" t="s">
        <v>206</v>
      </c>
      <c r="D87" s="6">
        <v>41794</v>
      </c>
      <c r="E87" t="str">
        <f t="shared" si="22"/>
        <v>CATO 1-C 2-H</v>
      </c>
      <c r="F87" t="s">
        <v>514</v>
      </c>
      <c r="G87" t="s">
        <v>515</v>
      </c>
      <c r="H87">
        <v>1.63</v>
      </c>
      <c r="I87">
        <v>355.17</v>
      </c>
      <c r="J87">
        <f t="shared" si="15"/>
        <v>356.8</v>
      </c>
      <c r="K87">
        <v>346.26</v>
      </c>
      <c r="L87" s="10">
        <f t="shared" si="16"/>
        <v>346.26</v>
      </c>
      <c r="M87" s="10">
        <v>0</v>
      </c>
      <c r="N87">
        <v>197.95</v>
      </c>
      <c r="O87">
        <f t="shared" si="17"/>
        <v>197.95</v>
      </c>
      <c r="P87">
        <v>196.53</v>
      </c>
      <c r="Q87">
        <v>0.58099999999999996</v>
      </c>
      <c r="R87">
        <v>3.5999999999999997E-2</v>
      </c>
      <c r="S87" s="10" t="s">
        <v>725</v>
      </c>
      <c r="T87" s="10" t="s">
        <v>725</v>
      </c>
      <c r="U87" s="16"/>
      <c r="V87" s="17">
        <f t="shared" si="18"/>
        <v>0</v>
      </c>
      <c r="W87" s="17">
        <f t="shared" si="19"/>
        <v>0.57168024028186915</v>
      </c>
      <c r="X87" s="17">
        <f t="shared" si="20"/>
        <v>203.97550973257091</v>
      </c>
      <c r="Y87" s="17">
        <f t="shared" si="21"/>
        <v>42.831975971813094</v>
      </c>
    </row>
    <row r="88" spans="1:26" ht="15.75" customHeight="1" x14ac:dyDescent="0.2">
      <c r="A88" s="4" t="s">
        <v>207</v>
      </c>
      <c r="B88" t="s">
        <v>552</v>
      </c>
      <c r="C88" s="4" t="s">
        <v>208</v>
      </c>
      <c r="D88" s="6">
        <v>41794</v>
      </c>
      <c r="E88" t="str">
        <f t="shared" si="22"/>
        <v>CEOC 3-D 2-H</v>
      </c>
      <c r="F88" t="s">
        <v>514</v>
      </c>
      <c r="G88" t="s">
        <v>515</v>
      </c>
      <c r="H88">
        <v>23.5</v>
      </c>
      <c r="I88">
        <v>250.49</v>
      </c>
      <c r="J88">
        <f t="shared" si="15"/>
        <v>273.99</v>
      </c>
      <c r="K88">
        <v>244.57</v>
      </c>
      <c r="L88" s="10">
        <f t="shared" si="16"/>
        <v>244.57</v>
      </c>
      <c r="M88" s="10">
        <v>0</v>
      </c>
      <c r="N88">
        <v>193.11</v>
      </c>
      <c r="O88">
        <f t="shared" si="17"/>
        <v>193.11</v>
      </c>
      <c r="P88">
        <v>180.91</v>
      </c>
      <c r="Q88">
        <v>0.50249999999999995</v>
      </c>
      <c r="R88">
        <v>1.6E-2</v>
      </c>
      <c r="S88" s="10" t="s">
        <v>725</v>
      </c>
      <c r="T88" s="10" t="s">
        <v>725</v>
      </c>
      <c r="U88" s="16"/>
      <c r="V88" s="17">
        <f t="shared" si="18"/>
        <v>0</v>
      </c>
      <c r="W88" s="17">
        <f t="shared" si="19"/>
        <v>0.7895898924643252</v>
      </c>
      <c r="X88" s="17">
        <f t="shared" si="20"/>
        <v>216.33973463630048</v>
      </c>
      <c r="Y88" s="17">
        <f t="shared" si="21"/>
        <v>21.041010753567477</v>
      </c>
    </row>
    <row r="89" spans="1:26" ht="15.75" customHeight="1" x14ac:dyDescent="0.2">
      <c r="A89" s="4" t="s">
        <v>209</v>
      </c>
      <c r="B89" t="s">
        <v>572</v>
      </c>
      <c r="C89" s="4" t="s">
        <v>210</v>
      </c>
      <c r="D89" s="6">
        <v>41794</v>
      </c>
      <c r="E89" t="str">
        <f t="shared" si="22"/>
        <v>CEOC2 3-I 2-H</v>
      </c>
      <c r="F89" t="s">
        <v>514</v>
      </c>
      <c r="G89" t="s">
        <v>515</v>
      </c>
      <c r="H89">
        <v>2.6</v>
      </c>
      <c r="I89">
        <v>437.19</v>
      </c>
      <c r="J89">
        <f t="shared" si="15"/>
        <v>439.79</v>
      </c>
      <c r="K89">
        <v>428.56</v>
      </c>
      <c r="L89" s="10">
        <f t="shared" si="16"/>
        <v>428.56</v>
      </c>
      <c r="M89" s="10">
        <v>0</v>
      </c>
      <c r="N89">
        <v>261.45999999999998</v>
      </c>
      <c r="O89">
        <f t="shared" si="17"/>
        <v>261.45999999999998</v>
      </c>
      <c r="P89">
        <v>259.56</v>
      </c>
      <c r="Q89">
        <v>0.65449999999999997</v>
      </c>
      <c r="R89">
        <v>3.0499999999999999E-2</v>
      </c>
      <c r="S89" s="10" t="s">
        <v>725</v>
      </c>
      <c r="T89" s="10" t="s">
        <v>725</v>
      </c>
      <c r="U89" s="16"/>
      <c r="V89" s="17">
        <f t="shared" si="18"/>
        <v>0</v>
      </c>
      <c r="W89" s="17">
        <f t="shared" si="19"/>
        <v>0.61008960238939702</v>
      </c>
      <c r="X89" s="17">
        <f t="shared" si="20"/>
        <v>268.31130623483295</v>
      </c>
      <c r="Y89" s="17">
        <f t="shared" si="21"/>
        <v>38.9910397610603</v>
      </c>
    </row>
    <row r="90" spans="1:26" ht="15.75" customHeight="1" x14ac:dyDescent="0.2">
      <c r="A90" s="4" t="s">
        <v>569</v>
      </c>
      <c r="B90" t="s">
        <v>583</v>
      </c>
      <c r="C90" s="8" t="s">
        <v>198</v>
      </c>
      <c r="D90" s="6">
        <v>41795</v>
      </c>
      <c r="E90" t="str">
        <f t="shared" si="22"/>
        <v>CEOC2-b 5-I 2-H</v>
      </c>
      <c r="F90" t="s">
        <v>514</v>
      </c>
      <c r="G90" t="s">
        <v>515</v>
      </c>
      <c r="H90">
        <v>0.9</v>
      </c>
      <c r="I90">
        <v>285.75</v>
      </c>
      <c r="J90">
        <f t="shared" si="15"/>
        <v>286.64999999999998</v>
      </c>
      <c r="K90">
        <v>281.85000000000002</v>
      </c>
      <c r="L90" s="10">
        <f t="shared" si="16"/>
        <v>281.85000000000002</v>
      </c>
      <c r="M90" s="10">
        <v>0.73</v>
      </c>
      <c r="N90">
        <v>196.6</v>
      </c>
      <c r="O90">
        <f t="shared" si="17"/>
        <v>197.32999999999998</v>
      </c>
      <c r="P90">
        <v>195.27</v>
      </c>
      <c r="Q90">
        <v>0.40400000000000003</v>
      </c>
      <c r="R90" s="13">
        <v>1.4500000000000001E-2</v>
      </c>
      <c r="S90" s="10" t="s">
        <v>725</v>
      </c>
      <c r="T90" s="10" t="s">
        <v>725</v>
      </c>
      <c r="U90" s="16"/>
      <c r="V90" s="17">
        <f t="shared" si="18"/>
        <v>0</v>
      </c>
      <c r="W90" s="17">
        <f t="shared" si="19"/>
        <v>0.69753414937023228</v>
      </c>
      <c r="X90" s="17">
        <f t="shared" si="20"/>
        <v>199.94816391697708</v>
      </c>
      <c r="Y90" s="17">
        <f t="shared" si="21"/>
        <v>30.246585062976767</v>
      </c>
    </row>
    <row r="91" spans="1:26" ht="15.75" customHeight="1" x14ac:dyDescent="0.2">
      <c r="A91" s="4" t="s">
        <v>211</v>
      </c>
      <c r="B91" t="s">
        <v>531</v>
      </c>
      <c r="C91" s="4" t="s">
        <v>212</v>
      </c>
      <c r="D91" s="6">
        <v>41794</v>
      </c>
      <c r="E91" t="str">
        <f t="shared" si="22"/>
        <v>COFL 2-B 2-H</v>
      </c>
      <c r="F91" t="s">
        <v>514</v>
      </c>
      <c r="G91" t="s">
        <v>515</v>
      </c>
      <c r="H91">
        <v>4.42</v>
      </c>
      <c r="I91">
        <v>227.58</v>
      </c>
      <c r="J91">
        <f t="shared" si="15"/>
        <v>232</v>
      </c>
      <c r="K91">
        <v>218.32</v>
      </c>
      <c r="L91" s="10">
        <f t="shared" si="16"/>
        <v>218.32</v>
      </c>
      <c r="M91" s="10">
        <v>0</v>
      </c>
      <c r="N91">
        <v>126.71</v>
      </c>
      <c r="O91">
        <f t="shared" si="17"/>
        <v>126.71</v>
      </c>
      <c r="P91">
        <v>123.53</v>
      </c>
      <c r="Q91">
        <v>0.32300000000000001</v>
      </c>
      <c r="R91">
        <v>3.85E-2</v>
      </c>
      <c r="S91" s="10" t="s">
        <v>725</v>
      </c>
      <c r="T91" s="10" t="s">
        <v>725</v>
      </c>
      <c r="U91" s="16"/>
      <c r="V91" s="17">
        <f t="shared" si="18"/>
        <v>0</v>
      </c>
      <c r="W91" s="17">
        <f t="shared" si="19"/>
        <v>0.58038658849395386</v>
      </c>
      <c r="X91" s="17">
        <f t="shared" si="20"/>
        <v>134.6496885305973</v>
      </c>
      <c r="Y91" s="17">
        <f t="shared" si="21"/>
        <v>41.961341150604618</v>
      </c>
      <c r="Z91" s="12" t="s">
        <v>659</v>
      </c>
    </row>
    <row r="92" spans="1:26" ht="15.75" customHeight="1" x14ac:dyDescent="0.2">
      <c r="A92" s="4" t="s">
        <v>213</v>
      </c>
      <c r="B92" t="s">
        <v>72</v>
      </c>
      <c r="C92" s="4" t="s">
        <v>214</v>
      </c>
      <c r="D92" s="6">
        <v>41794</v>
      </c>
      <c r="E92" t="str">
        <f t="shared" si="22"/>
        <v>DIVI 1-H 2-H</v>
      </c>
      <c r="F92" t="s">
        <v>514</v>
      </c>
      <c r="G92" t="s">
        <v>515</v>
      </c>
      <c r="H92">
        <v>7.51</v>
      </c>
      <c r="I92">
        <v>265.47000000000003</v>
      </c>
      <c r="J92">
        <f t="shared" si="15"/>
        <v>272.98</v>
      </c>
      <c r="K92">
        <v>258.77</v>
      </c>
      <c r="L92" s="10">
        <f t="shared" si="16"/>
        <v>258.77</v>
      </c>
      <c r="M92" s="10">
        <v>0</v>
      </c>
      <c r="N92">
        <v>181.49</v>
      </c>
      <c r="O92">
        <f t="shared" si="17"/>
        <v>181.49</v>
      </c>
      <c r="P92">
        <v>176.17</v>
      </c>
      <c r="Q92">
        <v>0.39200000000000002</v>
      </c>
      <c r="R92">
        <v>1.7500000000000002E-2</v>
      </c>
      <c r="S92" s="10" t="s">
        <v>725</v>
      </c>
      <c r="T92" s="10" t="s">
        <v>725</v>
      </c>
      <c r="U92" s="16"/>
      <c r="V92" s="17">
        <f t="shared" si="18"/>
        <v>0</v>
      </c>
      <c r="W92" s="17">
        <f t="shared" si="19"/>
        <v>0.70135641689531247</v>
      </c>
      <c r="X92" s="17">
        <f t="shared" si="20"/>
        <v>191.45627468408242</v>
      </c>
      <c r="Y92" s="17">
        <f t="shared" si="21"/>
        <v>29.864358310468749</v>
      </c>
    </row>
    <row r="93" spans="1:26" ht="15.75" customHeight="1" x14ac:dyDescent="0.2">
      <c r="A93" s="4" t="s">
        <v>215</v>
      </c>
      <c r="B93" t="s">
        <v>573</v>
      </c>
      <c r="C93" s="4" t="s">
        <v>216</v>
      </c>
      <c r="D93" s="6">
        <v>41794</v>
      </c>
      <c r="E93" t="str">
        <f t="shared" si="22"/>
        <v>FRAM 2-J 2-H</v>
      </c>
      <c r="F93" t="s">
        <v>514</v>
      </c>
      <c r="G93" t="s">
        <v>515</v>
      </c>
      <c r="H93">
        <v>0</v>
      </c>
      <c r="I93">
        <v>517.30999999999995</v>
      </c>
      <c r="J93">
        <f t="shared" si="15"/>
        <v>517.30999999999995</v>
      </c>
      <c r="K93">
        <v>510.01</v>
      </c>
      <c r="L93" s="10">
        <f t="shared" si="16"/>
        <v>510.01</v>
      </c>
      <c r="M93" s="10">
        <v>0</v>
      </c>
      <c r="N93">
        <v>346.6</v>
      </c>
      <c r="O93">
        <f t="shared" si="17"/>
        <v>346.6</v>
      </c>
      <c r="P93">
        <v>346.6</v>
      </c>
      <c r="Q93">
        <v>0.60399999999999998</v>
      </c>
      <c r="R93">
        <v>2.4E-2</v>
      </c>
      <c r="S93" s="10" t="s">
        <v>725</v>
      </c>
      <c r="T93" s="10" t="s">
        <v>725</v>
      </c>
      <c r="U93" s="16"/>
      <c r="V93" s="17">
        <f t="shared" si="18"/>
        <v>0</v>
      </c>
      <c r="W93" s="17">
        <f t="shared" si="19"/>
        <v>0.67959451775455393</v>
      </c>
      <c r="X93" s="17">
        <f t="shared" si="20"/>
        <v>351.56103997960827</v>
      </c>
      <c r="Y93" s="17">
        <f t="shared" si="21"/>
        <v>32.040548224544615</v>
      </c>
    </row>
    <row r="94" spans="1:26" ht="15.75" customHeight="1" x14ac:dyDescent="0.2">
      <c r="A94" s="4" t="s">
        <v>567</v>
      </c>
      <c r="B94" t="s">
        <v>552</v>
      </c>
      <c r="C94" s="8" t="s">
        <v>198</v>
      </c>
      <c r="D94" s="6">
        <v>41795</v>
      </c>
      <c r="E94" t="str">
        <f t="shared" si="22"/>
        <v>FRAM-b 3-D 2-H</v>
      </c>
      <c r="F94" t="s">
        <v>514</v>
      </c>
      <c r="G94" t="s">
        <v>515</v>
      </c>
      <c r="H94">
        <v>0</v>
      </c>
      <c r="I94">
        <v>599.22</v>
      </c>
      <c r="J94">
        <f t="shared" si="15"/>
        <v>599.22</v>
      </c>
      <c r="K94">
        <v>593.78</v>
      </c>
      <c r="L94" s="10">
        <f t="shared" si="16"/>
        <v>593.78</v>
      </c>
      <c r="M94" s="10">
        <v>0</v>
      </c>
      <c r="N94">
        <v>413.01</v>
      </c>
      <c r="O94">
        <f t="shared" si="17"/>
        <v>413.01</v>
      </c>
      <c r="P94">
        <v>412.68</v>
      </c>
      <c r="Q94">
        <v>0.68799999999999994</v>
      </c>
      <c r="R94">
        <v>2.75E-2</v>
      </c>
      <c r="S94" s="10" t="s">
        <v>725</v>
      </c>
      <c r="T94" s="10" t="s">
        <v>725</v>
      </c>
      <c r="U94" s="16"/>
      <c r="V94" s="17">
        <f t="shared" si="18"/>
        <v>0</v>
      </c>
      <c r="W94" s="17">
        <f t="shared" si="19"/>
        <v>0.69556064535686624</v>
      </c>
      <c r="X94" s="17">
        <f t="shared" si="20"/>
        <v>416.79384991074141</v>
      </c>
      <c r="Y94" s="17">
        <f t="shared" si="21"/>
        <v>30.44393546431338</v>
      </c>
    </row>
    <row r="95" spans="1:26" ht="15.75" customHeight="1" x14ac:dyDescent="0.2">
      <c r="A95" s="4" t="s">
        <v>217</v>
      </c>
      <c r="B95" t="s">
        <v>574</v>
      </c>
      <c r="C95" s="4" t="s">
        <v>218</v>
      </c>
      <c r="D95" s="6">
        <v>41794</v>
      </c>
      <c r="E95" t="str">
        <f t="shared" si="22"/>
        <v>GLTR 1-B 2-H</v>
      </c>
      <c r="F95" t="s">
        <v>514</v>
      </c>
      <c r="G95" t="s">
        <v>515</v>
      </c>
      <c r="H95">
        <v>4.16</v>
      </c>
      <c r="I95">
        <v>335.64</v>
      </c>
      <c r="J95">
        <f t="shared" si="15"/>
        <v>339.8</v>
      </c>
      <c r="K95">
        <v>330.85</v>
      </c>
      <c r="L95" s="10">
        <f t="shared" si="16"/>
        <v>330.85</v>
      </c>
      <c r="M95" s="10">
        <v>0</v>
      </c>
      <c r="N95">
        <v>198.05</v>
      </c>
      <c r="O95">
        <f t="shared" si="17"/>
        <v>198.05</v>
      </c>
      <c r="P95">
        <v>195.43</v>
      </c>
      <c r="Q95">
        <v>0.44</v>
      </c>
      <c r="R95">
        <v>1.7999999999999999E-2</v>
      </c>
      <c r="S95" s="10" t="s">
        <v>725</v>
      </c>
      <c r="T95" s="10" t="s">
        <v>725</v>
      </c>
      <c r="U95" s="16"/>
      <c r="V95" s="17">
        <f t="shared" si="18"/>
        <v>0</v>
      </c>
      <c r="W95" s="17">
        <f t="shared" si="19"/>
        <v>0.59860964183164578</v>
      </c>
      <c r="X95" s="17">
        <f t="shared" si="20"/>
        <v>203.40755629439323</v>
      </c>
      <c r="Y95" s="17">
        <f t="shared" si="21"/>
        <v>40.139035816835424</v>
      </c>
    </row>
    <row r="96" spans="1:26" ht="15.75" customHeight="1" x14ac:dyDescent="0.2">
      <c r="A96" s="4" t="s">
        <v>219</v>
      </c>
      <c r="B96" t="s">
        <v>575</v>
      </c>
      <c r="C96" s="4" t="s">
        <v>220</v>
      </c>
      <c r="D96" s="6">
        <v>41794</v>
      </c>
      <c r="E96" t="str">
        <f t="shared" si="22"/>
        <v>JUNI 1-F 2-H</v>
      </c>
      <c r="F96" t="s">
        <v>514</v>
      </c>
      <c r="G96" t="s">
        <v>515</v>
      </c>
      <c r="H96">
        <v>0</v>
      </c>
      <c r="I96">
        <v>386.63</v>
      </c>
      <c r="J96">
        <f t="shared" si="15"/>
        <v>386.63</v>
      </c>
      <c r="K96">
        <v>381.71</v>
      </c>
      <c r="L96" s="10">
        <f t="shared" si="16"/>
        <v>381.71</v>
      </c>
      <c r="M96" s="10">
        <v>0</v>
      </c>
      <c r="N96">
        <v>235.28</v>
      </c>
      <c r="O96">
        <f t="shared" si="17"/>
        <v>235.28</v>
      </c>
      <c r="P96">
        <v>235.17</v>
      </c>
      <c r="Q96">
        <v>0.53400000000000003</v>
      </c>
      <c r="R96">
        <v>3.6999999999999998E-2</v>
      </c>
      <c r="S96" s="10" t="s">
        <v>725</v>
      </c>
      <c r="T96" s="10" t="s">
        <v>725</v>
      </c>
      <c r="U96" s="16"/>
      <c r="V96" s="17">
        <f t="shared" si="18"/>
        <v>0</v>
      </c>
      <c r="W96" s="17">
        <f t="shared" si="19"/>
        <v>0.61638416598988766</v>
      </c>
      <c r="X96" s="17">
        <f t="shared" si="20"/>
        <v>238.31261009667026</v>
      </c>
      <c r="Y96" s="17">
        <f t="shared" si="21"/>
        <v>38.361583401011231</v>
      </c>
    </row>
    <row r="97" spans="1:26" ht="15.75" customHeight="1" x14ac:dyDescent="0.2">
      <c r="A97" s="4" t="s">
        <v>557</v>
      </c>
      <c r="B97" t="s">
        <v>519</v>
      </c>
      <c r="C97" s="8" t="s">
        <v>198</v>
      </c>
      <c r="D97" s="6">
        <v>41795</v>
      </c>
      <c r="E97" t="str">
        <f t="shared" si="22"/>
        <v>JUNI-b 1-G 2-H</v>
      </c>
      <c r="F97" t="s">
        <v>516</v>
      </c>
      <c r="G97" t="s">
        <v>648</v>
      </c>
      <c r="H97">
        <v>0</v>
      </c>
      <c r="I97">
        <v>429.02</v>
      </c>
      <c r="J97">
        <f t="shared" si="15"/>
        <v>429.02</v>
      </c>
      <c r="K97">
        <v>423.89</v>
      </c>
      <c r="L97" s="10">
        <f t="shared" si="16"/>
        <v>423.89</v>
      </c>
      <c r="M97" s="10">
        <v>0</v>
      </c>
      <c r="N97">
        <v>283.92</v>
      </c>
      <c r="O97">
        <f t="shared" si="17"/>
        <v>283.92</v>
      </c>
      <c r="P97">
        <v>283.92</v>
      </c>
      <c r="Q97">
        <v>0.56899999999999995</v>
      </c>
      <c r="R97">
        <v>2.4E-2</v>
      </c>
      <c r="S97" s="10" t="s">
        <v>725</v>
      </c>
      <c r="T97" s="10" t="s">
        <v>725</v>
      </c>
      <c r="U97" s="16"/>
      <c r="V97" s="17">
        <f t="shared" si="18"/>
        <v>0</v>
      </c>
      <c r="W97" s="17">
        <f t="shared" si="19"/>
        <v>0.66979640944584684</v>
      </c>
      <c r="X97" s="17">
        <f t="shared" si="20"/>
        <v>287.35605558045722</v>
      </c>
      <c r="Y97" s="17">
        <f t="shared" si="21"/>
        <v>33.020359055415312</v>
      </c>
    </row>
    <row r="98" spans="1:26" ht="15.75" customHeight="1" x14ac:dyDescent="0.2">
      <c r="A98" s="4" t="s">
        <v>223</v>
      </c>
      <c r="B98" t="s">
        <v>576</v>
      </c>
      <c r="C98" s="4" t="s">
        <v>224</v>
      </c>
      <c r="D98" s="6">
        <v>41794</v>
      </c>
      <c r="E98" t="str">
        <f t="shared" si="22"/>
        <v>JUVI2 5-G 2-H</v>
      </c>
      <c r="F98" t="s">
        <v>514</v>
      </c>
      <c r="G98" t="s">
        <v>515</v>
      </c>
      <c r="H98">
        <v>2.0099999999999998</v>
      </c>
      <c r="I98">
        <v>351.48</v>
      </c>
      <c r="J98">
        <f t="shared" ref="J98:J129" si="23">(H98+I98)-V98</f>
        <v>353.49</v>
      </c>
      <c r="K98">
        <v>346.32</v>
      </c>
      <c r="L98" s="10">
        <f t="shared" ref="L98:L129" si="24">K98-V98</f>
        <v>346.32</v>
      </c>
      <c r="M98" s="10">
        <v>0</v>
      </c>
      <c r="N98">
        <v>276.2</v>
      </c>
      <c r="O98">
        <f t="shared" ref="O98:O129" si="25">(M98+N98)-V98</f>
        <v>276.2</v>
      </c>
      <c r="P98">
        <v>275.04000000000002</v>
      </c>
      <c r="Q98">
        <v>0.52500000000000002</v>
      </c>
      <c r="R98">
        <v>0.02</v>
      </c>
      <c r="S98" s="10" t="s">
        <v>725</v>
      </c>
      <c r="T98" s="10" t="s">
        <v>725</v>
      </c>
      <c r="U98" s="16"/>
      <c r="V98" s="17">
        <f t="shared" ref="V98:V129" si="26">U98*0.424</f>
        <v>0</v>
      </c>
      <c r="W98" s="17">
        <f t="shared" ref="W98:W129" si="27">N98/L98</f>
        <v>0.79752829752829746</v>
      </c>
      <c r="X98" s="17">
        <f t="shared" ref="X98:X129" si="28">W98*J98</f>
        <v>281.91827789327789</v>
      </c>
      <c r="Y98" s="17">
        <f t="shared" ref="Y98:Y129" si="29">(L98-N98)/L98*100</f>
        <v>20.247170247170249</v>
      </c>
    </row>
    <row r="99" spans="1:26" ht="15" customHeight="1" x14ac:dyDescent="0.2">
      <c r="A99" s="4" t="s">
        <v>565</v>
      </c>
      <c r="B99" t="s">
        <v>584</v>
      </c>
      <c r="C99" s="8" t="s">
        <v>198</v>
      </c>
      <c r="D99" s="6">
        <v>41795</v>
      </c>
      <c r="E99" t="str">
        <f t="shared" si="22"/>
        <v>JUVI2-b 7-C 2-H</v>
      </c>
      <c r="F99" t="s">
        <v>514</v>
      </c>
      <c r="G99" t="s">
        <v>515</v>
      </c>
      <c r="H99">
        <v>63.13</v>
      </c>
      <c r="I99">
        <v>529.77</v>
      </c>
      <c r="J99">
        <f t="shared" si="23"/>
        <v>592.9</v>
      </c>
      <c r="K99">
        <v>525.11</v>
      </c>
      <c r="L99" s="10">
        <f t="shared" si="24"/>
        <v>525.11</v>
      </c>
      <c r="M99" s="10">
        <v>31.31</v>
      </c>
      <c r="N99">
        <v>425.3</v>
      </c>
      <c r="O99">
        <f t="shared" si="25"/>
        <v>456.61</v>
      </c>
      <c r="P99">
        <v>425.3</v>
      </c>
      <c r="Q99">
        <v>0.80200000000000005</v>
      </c>
      <c r="R99">
        <v>2.1999999999999999E-2</v>
      </c>
      <c r="S99" s="10" t="s">
        <v>725</v>
      </c>
      <c r="T99" s="10" t="s">
        <v>725</v>
      </c>
      <c r="U99" s="16"/>
      <c r="V99" s="17">
        <f t="shared" si="26"/>
        <v>0</v>
      </c>
      <c r="W99" s="17">
        <f t="shared" si="27"/>
        <v>0.80992553941079015</v>
      </c>
      <c r="X99" s="17">
        <f t="shared" si="28"/>
        <v>480.20485231665748</v>
      </c>
      <c r="Y99" s="17">
        <f t="shared" si="29"/>
        <v>19.007446058920987</v>
      </c>
    </row>
    <row r="100" spans="1:26" ht="15.75" customHeight="1" x14ac:dyDescent="0.2">
      <c r="A100" s="4" t="s">
        <v>225</v>
      </c>
      <c r="B100" t="s">
        <v>577</v>
      </c>
      <c r="C100" s="4" t="s">
        <v>226</v>
      </c>
      <c r="D100" s="6">
        <v>41794</v>
      </c>
      <c r="E100" t="str">
        <f t="shared" si="22"/>
        <v>LOMA 9-B 2-H</v>
      </c>
      <c r="F100" t="s">
        <v>514</v>
      </c>
      <c r="G100" t="s">
        <v>515</v>
      </c>
      <c r="H100">
        <v>0</v>
      </c>
      <c r="I100">
        <v>626.57000000000005</v>
      </c>
      <c r="J100">
        <f t="shared" si="23"/>
        <v>626.57000000000005</v>
      </c>
      <c r="K100">
        <v>620.47</v>
      </c>
      <c r="L100" s="10">
        <f t="shared" si="24"/>
        <v>620.47</v>
      </c>
      <c r="M100" s="10">
        <v>0</v>
      </c>
      <c r="N100">
        <v>454.74</v>
      </c>
      <c r="O100">
        <f t="shared" si="25"/>
        <v>454.74</v>
      </c>
      <c r="P100">
        <v>453.39</v>
      </c>
      <c r="Q100">
        <v>0.67500000000000004</v>
      </c>
      <c r="R100">
        <v>2.6499999999999999E-2</v>
      </c>
      <c r="S100" s="10" t="s">
        <v>725</v>
      </c>
      <c r="T100" s="10" t="s">
        <v>725</v>
      </c>
      <c r="U100" s="16"/>
      <c r="V100" s="17">
        <f t="shared" si="26"/>
        <v>0</v>
      </c>
      <c r="W100" s="17">
        <f t="shared" si="27"/>
        <v>0.73289603042854612</v>
      </c>
      <c r="X100" s="17">
        <f t="shared" si="28"/>
        <v>459.2106657856142</v>
      </c>
      <c r="Y100" s="17">
        <f t="shared" si="29"/>
        <v>26.710396957145395</v>
      </c>
    </row>
    <row r="101" spans="1:26" ht="15.75" customHeight="1" x14ac:dyDescent="0.2">
      <c r="A101" s="4" t="s">
        <v>561</v>
      </c>
      <c r="B101" t="s">
        <v>585</v>
      </c>
      <c r="C101" s="8" t="s">
        <v>198</v>
      </c>
      <c r="D101" s="6">
        <v>41795</v>
      </c>
      <c r="E101" t="str">
        <f t="shared" si="22"/>
        <v>LOMA-b 10-C 2-H</v>
      </c>
      <c r="F101" t="s">
        <v>514</v>
      </c>
      <c r="G101" t="s">
        <v>515</v>
      </c>
      <c r="H101">
        <v>3.2</v>
      </c>
      <c r="I101">
        <v>565.54999999999995</v>
      </c>
      <c r="J101">
        <f t="shared" si="23"/>
        <v>568.75</v>
      </c>
      <c r="K101">
        <v>561.77</v>
      </c>
      <c r="L101" s="10">
        <f t="shared" si="24"/>
        <v>561.77</v>
      </c>
      <c r="M101" s="10">
        <v>1.34</v>
      </c>
      <c r="N101">
        <v>380.85</v>
      </c>
      <c r="O101">
        <f t="shared" si="25"/>
        <v>382.19</v>
      </c>
      <c r="P101">
        <v>380.85</v>
      </c>
      <c r="Q101">
        <v>0.58750000000000002</v>
      </c>
      <c r="R101">
        <v>1.9E-2</v>
      </c>
      <c r="S101" s="26" t="s">
        <v>725</v>
      </c>
      <c r="T101" s="26" t="s">
        <v>725</v>
      </c>
      <c r="U101" s="16"/>
      <c r="V101" s="17">
        <f t="shared" si="26"/>
        <v>0</v>
      </c>
      <c r="W101" s="17">
        <f t="shared" si="27"/>
        <v>0.67794649055663359</v>
      </c>
      <c r="X101" s="17">
        <f t="shared" si="28"/>
        <v>385.58206650408533</v>
      </c>
      <c r="Y101" s="17">
        <f t="shared" si="29"/>
        <v>32.205350944336644</v>
      </c>
    </row>
    <row r="102" spans="1:26" ht="15.75" customHeight="1" x14ac:dyDescent="0.2">
      <c r="A102" s="4" t="s">
        <v>227</v>
      </c>
      <c r="B102" t="s">
        <v>578</v>
      </c>
      <c r="C102" s="4" t="s">
        <v>228</v>
      </c>
      <c r="D102" s="6">
        <v>41794</v>
      </c>
      <c r="E102" t="str">
        <f t="shared" si="22"/>
        <v>PIEC 2-I 2-H</v>
      </c>
      <c r="F102" t="s">
        <v>514</v>
      </c>
      <c r="G102" t="s">
        <v>515</v>
      </c>
      <c r="H102">
        <v>0.27</v>
      </c>
      <c r="I102">
        <v>349.74</v>
      </c>
      <c r="J102">
        <f t="shared" si="23"/>
        <v>350.01</v>
      </c>
      <c r="K102">
        <v>344.36</v>
      </c>
      <c r="L102" s="10">
        <f t="shared" si="24"/>
        <v>344.36</v>
      </c>
      <c r="M102" s="10">
        <v>0</v>
      </c>
      <c r="N102">
        <v>248.51</v>
      </c>
      <c r="O102">
        <f t="shared" si="25"/>
        <v>248.51</v>
      </c>
      <c r="P102">
        <v>246.82</v>
      </c>
      <c r="Q102">
        <v>0.53100000000000003</v>
      </c>
      <c r="R102">
        <v>1.95E-2</v>
      </c>
      <c r="S102" s="10" t="s">
        <v>725</v>
      </c>
      <c r="T102" s="10" t="s">
        <v>725</v>
      </c>
      <c r="U102" s="16"/>
      <c r="V102" s="17">
        <f t="shared" si="26"/>
        <v>0</v>
      </c>
      <c r="W102" s="17">
        <f t="shared" si="27"/>
        <v>0.72165756766174927</v>
      </c>
      <c r="X102" s="17">
        <f t="shared" si="28"/>
        <v>252.58736525728887</v>
      </c>
      <c r="Y102" s="17">
        <f t="shared" si="29"/>
        <v>27.834243233825074</v>
      </c>
    </row>
    <row r="103" spans="1:26" ht="15.75" customHeight="1" x14ac:dyDescent="0.2">
      <c r="A103" s="4" t="s">
        <v>560</v>
      </c>
      <c r="B103" t="s">
        <v>579</v>
      </c>
      <c r="C103" s="8" t="s">
        <v>198</v>
      </c>
      <c r="D103" s="6">
        <v>41795</v>
      </c>
      <c r="E103" t="str">
        <f t="shared" si="22"/>
        <v>PIEC-b 1-E 2-H</v>
      </c>
      <c r="F103" t="s">
        <v>514</v>
      </c>
      <c r="G103" t="s">
        <v>515</v>
      </c>
      <c r="H103">
        <v>6.01</v>
      </c>
      <c r="I103">
        <v>562.38</v>
      </c>
      <c r="J103">
        <f t="shared" si="23"/>
        <v>568.39</v>
      </c>
      <c r="K103">
        <v>558.72</v>
      </c>
      <c r="L103" s="10">
        <f t="shared" si="24"/>
        <v>558.72</v>
      </c>
      <c r="M103" s="10">
        <v>4.3499999999999996</v>
      </c>
      <c r="N103">
        <v>349.13</v>
      </c>
      <c r="O103">
        <f t="shared" si="25"/>
        <v>353.48</v>
      </c>
      <c r="P103">
        <v>347.85</v>
      </c>
      <c r="Q103">
        <v>0.875</v>
      </c>
      <c r="R103">
        <v>2.1499999999999998E-2</v>
      </c>
      <c r="S103" s="10" t="s">
        <v>725</v>
      </c>
      <c r="T103" s="10" t="s">
        <v>725</v>
      </c>
      <c r="U103" s="16"/>
      <c r="V103" s="17">
        <f t="shared" si="26"/>
        <v>0</v>
      </c>
      <c r="W103" s="17">
        <f t="shared" si="27"/>
        <v>0.62487471363115688</v>
      </c>
      <c r="X103" s="17">
        <f t="shared" si="28"/>
        <v>355.17253848081327</v>
      </c>
      <c r="Y103" s="17">
        <f t="shared" si="29"/>
        <v>37.512528636884312</v>
      </c>
    </row>
    <row r="104" spans="1:26" ht="15.75" customHeight="1" x14ac:dyDescent="0.2">
      <c r="A104" s="4" t="s">
        <v>229</v>
      </c>
      <c r="B104" t="s">
        <v>579</v>
      </c>
      <c r="C104" s="4" t="s">
        <v>230</v>
      </c>
      <c r="D104" s="6">
        <v>41794</v>
      </c>
      <c r="E104" t="str">
        <f t="shared" si="22"/>
        <v>PIST 1-E 2-H</v>
      </c>
      <c r="F104" t="s">
        <v>514</v>
      </c>
      <c r="G104" t="s">
        <v>515</v>
      </c>
      <c r="H104">
        <v>31.2</v>
      </c>
      <c r="I104">
        <v>290.89</v>
      </c>
      <c r="J104">
        <f t="shared" si="23"/>
        <v>322.08999999999997</v>
      </c>
      <c r="K104">
        <v>281.41000000000003</v>
      </c>
      <c r="L104" s="10">
        <f t="shared" si="24"/>
        <v>281.41000000000003</v>
      </c>
      <c r="M104" s="10">
        <v>0</v>
      </c>
      <c r="N104">
        <v>183.88</v>
      </c>
      <c r="O104">
        <f t="shared" si="25"/>
        <v>183.88</v>
      </c>
      <c r="P104">
        <v>162.06</v>
      </c>
      <c r="Q104">
        <v>0.46050000000000002</v>
      </c>
      <c r="R104">
        <v>2.0500000000000001E-2</v>
      </c>
      <c r="S104" s="10" t="s">
        <v>725</v>
      </c>
      <c r="T104" s="10" t="s">
        <v>725</v>
      </c>
      <c r="U104" s="16"/>
      <c r="V104" s="17">
        <f t="shared" si="26"/>
        <v>0</v>
      </c>
      <c r="W104" s="17">
        <f t="shared" si="27"/>
        <v>0.65342382999893389</v>
      </c>
      <c r="X104" s="17">
        <f t="shared" si="28"/>
        <v>210.46128140435661</v>
      </c>
      <c r="Y104" s="17">
        <f t="shared" si="29"/>
        <v>34.657617000106612</v>
      </c>
    </row>
    <row r="105" spans="1:26" ht="15.75" customHeight="1" x14ac:dyDescent="0.2">
      <c r="A105" s="4" t="s">
        <v>231</v>
      </c>
      <c r="B105" t="s">
        <v>580</v>
      </c>
      <c r="C105" s="4" t="s">
        <v>232</v>
      </c>
      <c r="D105" s="6">
        <v>41794</v>
      </c>
      <c r="E105" t="str">
        <f t="shared" si="22"/>
        <v>PLOC 3-1-B 2-H</v>
      </c>
      <c r="F105" t="s">
        <v>514</v>
      </c>
      <c r="G105" t="s">
        <v>515</v>
      </c>
      <c r="H105">
        <v>7.66</v>
      </c>
      <c r="I105">
        <v>481.58</v>
      </c>
      <c r="J105">
        <f t="shared" si="23"/>
        <v>489.24</v>
      </c>
      <c r="K105">
        <v>474.14</v>
      </c>
      <c r="L105" s="10">
        <f t="shared" si="24"/>
        <v>474.14</v>
      </c>
      <c r="M105" s="10">
        <v>0</v>
      </c>
      <c r="N105">
        <v>215.44</v>
      </c>
      <c r="O105">
        <f t="shared" si="25"/>
        <v>215.44</v>
      </c>
      <c r="P105">
        <v>212.94</v>
      </c>
      <c r="Q105">
        <v>0.70399999999999996</v>
      </c>
      <c r="R105">
        <v>0.11799999999999999</v>
      </c>
      <c r="S105" s="10" t="s">
        <v>725</v>
      </c>
      <c r="T105" s="10" t="s">
        <v>725</v>
      </c>
      <c r="U105" s="16"/>
      <c r="V105" s="17">
        <f t="shared" si="26"/>
        <v>0</v>
      </c>
      <c r="W105" s="17">
        <f t="shared" si="27"/>
        <v>0.45438056270299915</v>
      </c>
      <c r="X105" s="17">
        <f t="shared" si="28"/>
        <v>222.30114649681531</v>
      </c>
      <c r="Y105" s="17">
        <f t="shared" si="29"/>
        <v>54.56194372970009</v>
      </c>
    </row>
    <row r="106" spans="1:26" ht="15.75" customHeight="1" x14ac:dyDescent="0.2">
      <c r="A106" s="4" t="s">
        <v>748</v>
      </c>
      <c r="B106" t="s">
        <v>574</v>
      </c>
      <c r="C106" s="4" t="s">
        <v>233</v>
      </c>
      <c r="D106" s="6">
        <v>41794</v>
      </c>
      <c r="E106" t="str">
        <f t="shared" si="22"/>
        <v>PRSE 1-B 2-H</v>
      </c>
      <c r="F106" t="s">
        <v>514</v>
      </c>
      <c r="G106" t="s">
        <v>515</v>
      </c>
      <c r="H106">
        <v>100.39</v>
      </c>
      <c r="I106">
        <v>178.48</v>
      </c>
      <c r="J106">
        <f t="shared" si="23"/>
        <v>278.87</v>
      </c>
      <c r="K106">
        <v>168.96</v>
      </c>
      <c r="L106" s="10">
        <f t="shared" si="24"/>
        <v>168.96</v>
      </c>
      <c r="M106" s="10">
        <v>0</v>
      </c>
      <c r="N106">
        <v>99.9</v>
      </c>
      <c r="O106">
        <f t="shared" si="25"/>
        <v>99.9</v>
      </c>
      <c r="P106">
        <v>36.82</v>
      </c>
      <c r="Q106">
        <v>6.3E-2</v>
      </c>
      <c r="R106" s="12">
        <v>5.0000000000000001E-3</v>
      </c>
      <c r="S106" s="10" t="s">
        <v>725</v>
      </c>
      <c r="T106" s="10" t="s">
        <v>725</v>
      </c>
      <c r="U106" s="16"/>
      <c r="V106" s="17">
        <f t="shared" si="26"/>
        <v>0</v>
      </c>
      <c r="W106" s="17">
        <f t="shared" si="27"/>
        <v>0.59126420454545459</v>
      </c>
      <c r="X106" s="17">
        <f t="shared" si="28"/>
        <v>164.88584872159092</v>
      </c>
      <c r="Y106" s="17">
        <f t="shared" si="29"/>
        <v>40.873579545454547</v>
      </c>
      <c r="Z106" s="12" t="s">
        <v>657</v>
      </c>
    </row>
    <row r="107" spans="1:26" ht="15.75" customHeight="1" x14ac:dyDescent="0.2">
      <c r="A107" s="4" t="s">
        <v>234</v>
      </c>
      <c r="B107" t="s">
        <v>554</v>
      </c>
      <c r="C107" s="4" t="s">
        <v>235</v>
      </c>
      <c r="D107" s="6">
        <v>41794</v>
      </c>
      <c r="E107" t="str">
        <f t="shared" si="22"/>
        <v>QUAL 1-D 2-H</v>
      </c>
      <c r="F107" t="s">
        <v>514</v>
      </c>
      <c r="G107" t="s">
        <v>515</v>
      </c>
      <c r="H107">
        <v>2.56</v>
      </c>
      <c r="I107">
        <v>384.96</v>
      </c>
      <c r="J107">
        <f t="shared" si="23"/>
        <v>387.52</v>
      </c>
      <c r="K107">
        <v>380.2</v>
      </c>
      <c r="L107" s="10">
        <f t="shared" si="24"/>
        <v>380.2</v>
      </c>
      <c r="M107" s="10">
        <v>0</v>
      </c>
      <c r="N107">
        <v>264.42</v>
      </c>
      <c r="O107">
        <f t="shared" si="25"/>
        <v>264.42</v>
      </c>
      <c r="P107">
        <v>262.3</v>
      </c>
      <c r="Q107">
        <v>0.495</v>
      </c>
      <c r="R107">
        <v>2.75E-2</v>
      </c>
      <c r="S107" s="10" t="s">
        <v>725</v>
      </c>
      <c r="T107" s="10" t="s">
        <v>725</v>
      </c>
      <c r="U107" s="16"/>
      <c r="V107" s="17">
        <f t="shared" si="26"/>
        <v>0</v>
      </c>
      <c r="W107" s="17">
        <f t="shared" si="27"/>
        <v>0.69547606522882699</v>
      </c>
      <c r="X107" s="17">
        <f t="shared" si="28"/>
        <v>269.510884797475</v>
      </c>
      <c r="Y107" s="17">
        <f t="shared" si="29"/>
        <v>30.452393477117301</v>
      </c>
    </row>
    <row r="108" spans="1:26" ht="15.75" customHeight="1" x14ac:dyDescent="0.2">
      <c r="A108" s="4" t="s">
        <v>563</v>
      </c>
      <c r="B108" t="s">
        <v>556</v>
      </c>
      <c r="C108" s="8" t="s">
        <v>198</v>
      </c>
      <c r="D108" s="6">
        <v>41795</v>
      </c>
      <c r="E108" t="str">
        <f t="shared" si="22"/>
        <v>QUAL-b 6-D 2-H</v>
      </c>
      <c r="F108" t="s">
        <v>514</v>
      </c>
      <c r="G108" t="s">
        <v>515</v>
      </c>
      <c r="H108">
        <v>3.31</v>
      </c>
      <c r="I108">
        <v>848.86</v>
      </c>
      <c r="J108">
        <f t="shared" si="23"/>
        <v>852.17</v>
      </c>
      <c r="K108">
        <v>841.27</v>
      </c>
      <c r="L108" s="10">
        <f t="shared" si="24"/>
        <v>841.27</v>
      </c>
      <c r="M108" s="10">
        <v>1.95</v>
      </c>
      <c r="N108">
        <v>620.5</v>
      </c>
      <c r="O108">
        <f t="shared" si="25"/>
        <v>622.45000000000005</v>
      </c>
      <c r="P108">
        <v>619.79999999999995</v>
      </c>
      <c r="Q108">
        <v>1.01</v>
      </c>
      <c r="R108">
        <v>2.5499999999999998E-2</v>
      </c>
      <c r="S108" s="10" t="s">
        <v>725</v>
      </c>
      <c r="T108" s="10" t="s">
        <v>725</v>
      </c>
      <c r="U108" s="16"/>
      <c r="V108" s="17">
        <f t="shared" si="26"/>
        <v>0</v>
      </c>
      <c r="W108" s="17">
        <f t="shared" si="27"/>
        <v>0.73757533253295615</v>
      </c>
      <c r="X108" s="17">
        <f t="shared" si="28"/>
        <v>628.53957112460921</v>
      </c>
      <c r="Y108" s="17">
        <f t="shared" si="29"/>
        <v>26.242466746704384</v>
      </c>
    </row>
    <row r="109" spans="1:26" ht="15.75" customHeight="1" x14ac:dyDescent="0.2">
      <c r="A109" s="4" t="s">
        <v>236</v>
      </c>
      <c r="B109" t="s">
        <v>566</v>
      </c>
      <c r="C109" s="4" t="s">
        <v>237</v>
      </c>
      <c r="D109" s="6">
        <v>41794</v>
      </c>
      <c r="E109" t="str">
        <f t="shared" si="22"/>
        <v>QUVE 4-B 2-H</v>
      </c>
      <c r="F109" t="s">
        <v>514</v>
      </c>
      <c r="G109" t="s">
        <v>515</v>
      </c>
      <c r="H109">
        <v>67.3</v>
      </c>
      <c r="I109">
        <v>245.7</v>
      </c>
      <c r="J109">
        <f t="shared" si="23"/>
        <v>313</v>
      </c>
      <c r="K109">
        <v>240.72</v>
      </c>
      <c r="L109" s="10">
        <f t="shared" si="24"/>
        <v>240.72</v>
      </c>
      <c r="M109" s="10">
        <v>0</v>
      </c>
      <c r="N109">
        <v>217.81</v>
      </c>
      <c r="O109">
        <f t="shared" si="25"/>
        <v>217.81</v>
      </c>
      <c r="P109">
        <v>182.61</v>
      </c>
      <c r="Q109">
        <v>0.30349999999999999</v>
      </c>
      <c r="R109" s="12">
        <v>6.4999999999999997E-3</v>
      </c>
      <c r="S109" s="10" t="s">
        <v>725</v>
      </c>
      <c r="T109" s="10" t="s">
        <v>725</v>
      </c>
      <c r="U109" s="16"/>
      <c r="V109" s="17">
        <f t="shared" si="26"/>
        <v>0</v>
      </c>
      <c r="W109" s="17">
        <f t="shared" si="27"/>
        <v>0.90482718511133264</v>
      </c>
      <c r="X109" s="17">
        <f t="shared" si="28"/>
        <v>283.21090893984712</v>
      </c>
      <c r="Y109" s="17">
        <f t="shared" si="29"/>
        <v>9.5172814888667308</v>
      </c>
    </row>
    <row r="110" spans="1:26" ht="15.75" customHeight="1" x14ac:dyDescent="0.2">
      <c r="A110" s="4" t="s">
        <v>238</v>
      </c>
      <c r="B110" t="s">
        <v>581</v>
      </c>
      <c r="C110" s="4" t="s">
        <v>239</v>
      </c>
      <c r="D110" s="6">
        <v>41794</v>
      </c>
      <c r="E110" t="str">
        <f t="shared" si="22"/>
        <v>QUVE2 5-N 2-H</v>
      </c>
      <c r="F110" t="s">
        <v>514</v>
      </c>
      <c r="G110" t="s">
        <v>515</v>
      </c>
      <c r="H110">
        <v>0</v>
      </c>
      <c r="I110">
        <v>462.39</v>
      </c>
      <c r="J110">
        <f t="shared" si="23"/>
        <v>462.39</v>
      </c>
      <c r="K110">
        <v>453.29</v>
      </c>
      <c r="L110" s="10">
        <f t="shared" si="24"/>
        <v>453.29</v>
      </c>
      <c r="M110" s="10">
        <v>0</v>
      </c>
      <c r="N110">
        <v>245.24</v>
      </c>
      <c r="O110">
        <f t="shared" si="25"/>
        <v>245.24</v>
      </c>
      <c r="P110">
        <v>241.92</v>
      </c>
      <c r="Q110">
        <v>0.49</v>
      </c>
      <c r="R110">
        <v>0.04</v>
      </c>
      <c r="S110" s="10" t="s">
        <v>725</v>
      </c>
      <c r="T110" s="10" t="s">
        <v>725</v>
      </c>
      <c r="U110" s="16"/>
      <c r="V110" s="17">
        <f t="shared" si="26"/>
        <v>0</v>
      </c>
      <c r="W110" s="17">
        <f t="shared" si="27"/>
        <v>0.54102230360255021</v>
      </c>
      <c r="X110" s="17">
        <f t="shared" si="28"/>
        <v>250.16330296278318</v>
      </c>
      <c r="Y110" s="17">
        <f t="shared" si="29"/>
        <v>45.897769639744979</v>
      </c>
    </row>
    <row r="111" spans="1:26" ht="15.75" customHeight="1" x14ac:dyDescent="0.2">
      <c r="A111" s="4" t="s">
        <v>559</v>
      </c>
      <c r="B111" t="s">
        <v>586</v>
      </c>
      <c r="C111" s="8" t="s">
        <v>198</v>
      </c>
      <c r="D111" s="6">
        <v>41795</v>
      </c>
      <c r="E111" t="str">
        <f t="shared" si="22"/>
        <v>QUVE2-b 3-Z 2-H</v>
      </c>
      <c r="F111" t="s">
        <v>514</v>
      </c>
      <c r="G111" t="s">
        <v>515</v>
      </c>
      <c r="H111">
        <v>0</v>
      </c>
      <c r="I111">
        <v>524.53</v>
      </c>
      <c r="J111">
        <f t="shared" si="23"/>
        <v>524.53</v>
      </c>
      <c r="K111">
        <v>516.14</v>
      </c>
      <c r="L111" s="10">
        <f t="shared" si="24"/>
        <v>516.14</v>
      </c>
      <c r="M111" s="10">
        <v>0</v>
      </c>
      <c r="N111">
        <v>304.95999999999998</v>
      </c>
      <c r="O111">
        <f t="shared" si="25"/>
        <v>304.95999999999998</v>
      </c>
      <c r="P111">
        <v>304.95999999999998</v>
      </c>
      <c r="Q111">
        <v>0.628</v>
      </c>
      <c r="R111">
        <v>0.02</v>
      </c>
      <c r="S111" s="10" t="s">
        <v>725</v>
      </c>
      <c r="T111" s="10" t="s">
        <v>725</v>
      </c>
      <c r="U111" s="16"/>
      <c r="V111" s="17">
        <f t="shared" si="26"/>
        <v>0</v>
      </c>
      <c r="W111" s="17">
        <f t="shared" si="27"/>
        <v>0.59084744449180449</v>
      </c>
      <c r="X111" s="17">
        <f t="shared" si="28"/>
        <v>309.91721005928616</v>
      </c>
      <c r="Y111" s="17">
        <f t="shared" si="29"/>
        <v>40.915255550819545</v>
      </c>
    </row>
    <row r="112" spans="1:26" ht="15.75" customHeight="1" x14ac:dyDescent="0.2">
      <c r="A112" s="4" t="s">
        <v>240</v>
      </c>
      <c r="B112" t="s">
        <v>564</v>
      </c>
      <c r="C112" s="4" t="s">
        <v>241</v>
      </c>
      <c r="D112" s="6">
        <v>41794</v>
      </c>
      <c r="E112" t="str">
        <f t="shared" si="22"/>
        <v>ULRU 1-A 2-H</v>
      </c>
      <c r="F112" t="s">
        <v>514</v>
      </c>
      <c r="G112" t="s">
        <v>515</v>
      </c>
      <c r="H112">
        <v>84.25</v>
      </c>
      <c r="I112">
        <v>416.37</v>
      </c>
      <c r="J112">
        <f t="shared" si="23"/>
        <v>500.62</v>
      </c>
      <c r="K112">
        <v>409.32</v>
      </c>
      <c r="L112" s="10">
        <f t="shared" si="24"/>
        <v>409.32</v>
      </c>
      <c r="M112" s="10">
        <v>0</v>
      </c>
      <c r="N112">
        <v>283.07</v>
      </c>
      <c r="O112">
        <f t="shared" si="25"/>
        <v>283.07</v>
      </c>
      <c r="P112">
        <v>237.71</v>
      </c>
      <c r="Q112">
        <v>0.69199999999999995</v>
      </c>
      <c r="R112" s="12">
        <v>1.35E-2</v>
      </c>
      <c r="S112" s="10" t="s">
        <v>725</v>
      </c>
      <c r="T112" s="10" t="s">
        <v>725</v>
      </c>
      <c r="U112" s="16"/>
      <c r="V112" s="17">
        <f t="shared" si="26"/>
        <v>0</v>
      </c>
      <c r="W112" s="17">
        <f t="shared" si="27"/>
        <v>0.69156161438483332</v>
      </c>
      <c r="X112" s="17">
        <f t="shared" si="28"/>
        <v>346.20957539333529</v>
      </c>
      <c r="Y112" s="17">
        <f t="shared" si="29"/>
        <v>30.843838561516662</v>
      </c>
      <c r="Z112" s="12" t="s">
        <v>657</v>
      </c>
    </row>
    <row r="113" spans="1:26" ht="15.75" customHeight="1" x14ac:dyDescent="0.2">
      <c r="A113" s="4" t="s">
        <v>242</v>
      </c>
      <c r="B113" t="s">
        <v>582</v>
      </c>
      <c r="C113" s="4" t="s">
        <v>243</v>
      </c>
      <c r="D113" s="6">
        <v>41794</v>
      </c>
      <c r="E113" t="str">
        <f t="shared" si="22"/>
        <v>VIVU 2-2-E 2-H</v>
      </c>
      <c r="F113" t="s">
        <v>514</v>
      </c>
      <c r="G113" t="s">
        <v>515</v>
      </c>
      <c r="H113">
        <v>45.8</v>
      </c>
      <c r="I113">
        <v>136.43</v>
      </c>
      <c r="J113">
        <f t="shared" si="23"/>
        <v>182.23000000000002</v>
      </c>
      <c r="K113">
        <v>129.55000000000001</v>
      </c>
      <c r="L113" s="10">
        <f t="shared" si="24"/>
        <v>129.55000000000001</v>
      </c>
      <c r="N113">
        <v>87.92</v>
      </c>
      <c r="O113">
        <f t="shared" si="25"/>
        <v>87.92</v>
      </c>
      <c r="P113">
        <v>59.16</v>
      </c>
      <c r="Q113">
        <v>0.152</v>
      </c>
      <c r="R113" s="13">
        <v>2.2499999999999999E-2</v>
      </c>
      <c r="S113" s="10" t="s">
        <v>725</v>
      </c>
      <c r="T113" s="10" t="s">
        <v>725</v>
      </c>
      <c r="U113" s="16"/>
      <c r="V113" s="17">
        <f t="shared" si="26"/>
        <v>0</v>
      </c>
      <c r="W113" s="17">
        <f t="shared" si="27"/>
        <v>0.67865688923195677</v>
      </c>
      <c r="X113" s="17">
        <f t="shared" si="28"/>
        <v>123.6716449247395</v>
      </c>
      <c r="Y113" s="17">
        <f t="shared" si="29"/>
        <v>32.13431107680433</v>
      </c>
      <c r="Z113" s="12" t="s">
        <v>660</v>
      </c>
    </row>
    <row r="114" spans="1:26" ht="15.75" customHeight="1" x14ac:dyDescent="0.2">
      <c r="A114" s="4" t="s">
        <v>569</v>
      </c>
      <c r="B114" s="11" t="s">
        <v>622</v>
      </c>
      <c r="C114" s="4" t="s">
        <v>261</v>
      </c>
      <c r="D114" s="6">
        <v>41796</v>
      </c>
      <c r="F114" t="s">
        <v>514</v>
      </c>
      <c r="G114" t="s">
        <v>515</v>
      </c>
      <c r="H114">
        <v>25.35</v>
      </c>
      <c r="I114">
        <v>195.95</v>
      </c>
      <c r="J114">
        <f t="shared" si="23"/>
        <v>221.29999999999998</v>
      </c>
      <c r="K114">
        <v>191.48</v>
      </c>
      <c r="L114" s="10">
        <f t="shared" si="24"/>
        <v>191.48</v>
      </c>
      <c r="M114" s="10">
        <v>13.8</v>
      </c>
      <c r="N114">
        <v>96.06</v>
      </c>
      <c r="O114">
        <f t="shared" si="25"/>
        <v>109.86</v>
      </c>
      <c r="P114">
        <v>96.06</v>
      </c>
      <c r="Q114">
        <v>0.314</v>
      </c>
      <c r="R114">
        <v>7.0000000000000001E-3</v>
      </c>
      <c r="S114" s="10" t="s">
        <v>725</v>
      </c>
      <c r="T114" s="10" t="s">
        <v>725</v>
      </c>
      <c r="U114" s="16"/>
      <c r="V114" s="17">
        <f t="shared" si="26"/>
        <v>0</v>
      </c>
      <c r="W114" s="17">
        <f t="shared" si="27"/>
        <v>0.50167119281387096</v>
      </c>
      <c r="X114" s="17">
        <f t="shared" si="28"/>
        <v>111.01983496970963</v>
      </c>
      <c r="Y114" s="17">
        <f t="shared" si="29"/>
        <v>49.832880718612905</v>
      </c>
    </row>
    <row r="115" spans="1:26" ht="15.75" customHeight="1" x14ac:dyDescent="0.2">
      <c r="A115" s="4" t="s">
        <v>567</v>
      </c>
      <c r="B115" s="11" t="s">
        <v>135</v>
      </c>
      <c r="C115" s="4" t="s">
        <v>261</v>
      </c>
      <c r="D115" s="6">
        <v>41796</v>
      </c>
      <c r="F115" t="s">
        <v>514</v>
      </c>
      <c r="G115" t="s">
        <v>515</v>
      </c>
      <c r="H115">
        <v>0</v>
      </c>
      <c r="I115">
        <v>571.19000000000005</v>
      </c>
      <c r="J115">
        <f t="shared" si="23"/>
        <v>571.19000000000005</v>
      </c>
      <c r="K115">
        <v>565.57000000000005</v>
      </c>
      <c r="L115" s="10">
        <f t="shared" si="24"/>
        <v>565.57000000000005</v>
      </c>
      <c r="M115" s="10">
        <v>0</v>
      </c>
      <c r="N115">
        <v>386.88</v>
      </c>
      <c r="O115">
        <f t="shared" si="25"/>
        <v>386.88</v>
      </c>
      <c r="P115">
        <v>386.88</v>
      </c>
      <c r="Q115">
        <v>0.64700000000000002</v>
      </c>
      <c r="R115">
        <v>2.4E-2</v>
      </c>
      <c r="S115" s="10" t="s">
        <v>725</v>
      </c>
      <c r="T115" s="10" t="s">
        <v>725</v>
      </c>
      <c r="U115" s="16"/>
      <c r="V115" s="17">
        <f t="shared" si="26"/>
        <v>0</v>
      </c>
      <c r="W115" s="17">
        <f t="shared" si="27"/>
        <v>0.68405325600721389</v>
      </c>
      <c r="X115" s="17">
        <f t="shared" si="28"/>
        <v>390.72437929876054</v>
      </c>
      <c r="Y115" s="17">
        <f t="shared" si="29"/>
        <v>31.59467439927861</v>
      </c>
    </row>
    <row r="116" spans="1:26" ht="15.75" customHeight="1" x14ac:dyDescent="0.2">
      <c r="A116" s="4" t="s">
        <v>557</v>
      </c>
      <c r="B116" s="11" t="s">
        <v>574</v>
      </c>
      <c r="C116" s="4" t="s">
        <v>261</v>
      </c>
      <c r="D116" s="6">
        <v>41796</v>
      </c>
      <c r="F116" t="s">
        <v>514</v>
      </c>
      <c r="G116" t="s">
        <v>515</v>
      </c>
      <c r="H116">
        <v>0.83</v>
      </c>
      <c r="I116">
        <v>638.35</v>
      </c>
      <c r="J116">
        <f t="shared" si="23"/>
        <v>639.18000000000006</v>
      </c>
      <c r="K116">
        <v>632.92999999999995</v>
      </c>
      <c r="L116" s="10">
        <f t="shared" si="24"/>
        <v>632.92999999999995</v>
      </c>
      <c r="M116" s="10">
        <v>0.53</v>
      </c>
      <c r="N116">
        <v>321.97000000000003</v>
      </c>
      <c r="O116">
        <f t="shared" si="25"/>
        <v>322.5</v>
      </c>
      <c r="P116">
        <v>321.97000000000003</v>
      </c>
      <c r="Q116">
        <v>0.80700000000000005</v>
      </c>
      <c r="R116">
        <v>3.7999999999999999E-2</v>
      </c>
      <c r="S116" s="10" t="s">
        <v>725</v>
      </c>
      <c r="T116" s="10" t="s">
        <v>725</v>
      </c>
      <c r="U116" s="16"/>
      <c r="V116" s="17">
        <f t="shared" si="26"/>
        <v>0</v>
      </c>
      <c r="W116" s="17">
        <f t="shared" si="27"/>
        <v>0.50869764428925801</v>
      </c>
      <c r="X116" s="17">
        <f t="shared" si="28"/>
        <v>325.14936027680795</v>
      </c>
      <c r="Y116" s="17">
        <f t="shared" si="29"/>
        <v>49.130235571074202</v>
      </c>
    </row>
    <row r="117" spans="1:26" ht="15.75" customHeight="1" x14ac:dyDescent="0.2">
      <c r="A117" s="4" t="s">
        <v>565</v>
      </c>
      <c r="B117" s="11" t="s">
        <v>623</v>
      </c>
      <c r="C117" s="4" t="s">
        <v>261</v>
      </c>
      <c r="D117" s="6">
        <v>41796</v>
      </c>
      <c r="F117" t="s">
        <v>514</v>
      </c>
      <c r="G117" t="s">
        <v>515</v>
      </c>
      <c r="H117">
        <v>2.57</v>
      </c>
      <c r="I117">
        <v>571.65</v>
      </c>
      <c r="J117">
        <f t="shared" si="23"/>
        <v>574.22</v>
      </c>
      <c r="K117">
        <v>566.09</v>
      </c>
      <c r="L117" s="10">
        <f t="shared" si="24"/>
        <v>566.09</v>
      </c>
      <c r="M117" s="10">
        <v>1.94</v>
      </c>
      <c r="N117">
        <v>454.74</v>
      </c>
      <c r="O117">
        <f t="shared" si="25"/>
        <v>456.68</v>
      </c>
      <c r="P117">
        <v>454.74</v>
      </c>
      <c r="Q117">
        <v>0.8095</v>
      </c>
      <c r="R117">
        <v>2.35E-2</v>
      </c>
      <c r="S117" s="10" t="s">
        <v>725</v>
      </c>
      <c r="T117" s="10" t="s">
        <v>725</v>
      </c>
      <c r="U117" s="16"/>
      <c r="V117" s="17">
        <f t="shared" si="26"/>
        <v>0</v>
      </c>
      <c r="W117" s="17">
        <f t="shared" si="27"/>
        <v>0.80329982864915472</v>
      </c>
      <c r="X117" s="17">
        <f t="shared" si="28"/>
        <v>461.27082760691763</v>
      </c>
      <c r="Y117" s="17">
        <f t="shared" si="29"/>
        <v>19.670017135084532</v>
      </c>
    </row>
    <row r="118" spans="1:26" ht="15.75" customHeight="1" x14ac:dyDescent="0.2">
      <c r="A118" s="4" t="s">
        <v>561</v>
      </c>
      <c r="B118" s="11" t="s">
        <v>574</v>
      </c>
      <c r="C118" s="4" t="s">
        <v>261</v>
      </c>
      <c r="D118" s="6">
        <v>41796</v>
      </c>
      <c r="F118" t="s">
        <v>514</v>
      </c>
      <c r="G118" t="s">
        <v>515</v>
      </c>
      <c r="H118">
        <v>2.6</v>
      </c>
      <c r="I118">
        <v>270.7</v>
      </c>
      <c r="J118">
        <f t="shared" si="23"/>
        <v>273.3</v>
      </c>
      <c r="K118">
        <v>266.93</v>
      </c>
      <c r="L118" s="10">
        <f t="shared" si="24"/>
        <v>266.93</v>
      </c>
      <c r="M118">
        <f>1.46-0.06</f>
        <v>1.4</v>
      </c>
      <c r="N118">
        <v>203.3</v>
      </c>
      <c r="O118">
        <f t="shared" si="25"/>
        <v>204.70000000000002</v>
      </c>
      <c r="P118">
        <v>203.3</v>
      </c>
      <c r="Q118">
        <v>0.32850000000000001</v>
      </c>
      <c r="R118">
        <v>6.4999999999999997E-3</v>
      </c>
      <c r="S118" s="10" t="s">
        <v>725</v>
      </c>
      <c r="T118" s="10" t="s">
        <v>725</v>
      </c>
      <c r="U118" s="16"/>
      <c r="V118" s="17">
        <f t="shared" si="26"/>
        <v>0</v>
      </c>
      <c r="W118" s="17">
        <f t="shared" si="27"/>
        <v>0.7616228973888286</v>
      </c>
      <c r="X118" s="17">
        <f t="shared" si="28"/>
        <v>208.15153785636687</v>
      </c>
      <c r="Y118" s="17">
        <f t="shared" si="29"/>
        <v>23.837710261117145</v>
      </c>
    </row>
    <row r="119" spans="1:26" ht="15.75" customHeight="1" x14ac:dyDescent="0.2">
      <c r="A119" s="4" t="s">
        <v>560</v>
      </c>
      <c r="B119" s="11" t="s">
        <v>573</v>
      </c>
      <c r="C119" s="4" t="s">
        <v>261</v>
      </c>
      <c r="D119" s="6">
        <v>41796</v>
      </c>
      <c r="F119" t="s">
        <v>516</v>
      </c>
      <c r="G119" t="s">
        <v>658</v>
      </c>
      <c r="H119">
        <v>6.52</v>
      </c>
      <c r="I119">
        <v>358.99</v>
      </c>
      <c r="J119">
        <f t="shared" si="23"/>
        <v>365.51</v>
      </c>
      <c r="K119">
        <v>353.45</v>
      </c>
      <c r="L119" s="10">
        <f t="shared" si="24"/>
        <v>353.45</v>
      </c>
      <c r="M119" s="10">
        <v>3.95</v>
      </c>
      <c r="N119">
        <v>182.25</v>
      </c>
      <c r="O119">
        <f t="shared" si="25"/>
        <v>186.2</v>
      </c>
      <c r="P119">
        <v>182.25</v>
      </c>
      <c r="Q119">
        <v>0.47549999999999998</v>
      </c>
      <c r="R119">
        <v>2.5499999999999998E-2</v>
      </c>
      <c r="S119" s="10" t="s">
        <v>725</v>
      </c>
      <c r="T119" s="10" t="s">
        <v>725</v>
      </c>
      <c r="U119" s="16"/>
      <c r="V119" s="17">
        <f t="shared" si="26"/>
        <v>0</v>
      </c>
      <c r="W119" s="17">
        <f t="shared" si="27"/>
        <v>0.51563163106521437</v>
      </c>
      <c r="X119" s="17">
        <f t="shared" si="28"/>
        <v>188.4685174706465</v>
      </c>
      <c r="Y119" s="17">
        <f t="shared" si="29"/>
        <v>48.436836893478571</v>
      </c>
    </row>
    <row r="120" spans="1:26" ht="15.75" customHeight="1" x14ac:dyDescent="0.2">
      <c r="A120" s="4" t="s">
        <v>563</v>
      </c>
      <c r="B120" s="11" t="s">
        <v>573</v>
      </c>
      <c r="C120" s="4" t="s">
        <v>261</v>
      </c>
      <c r="D120" s="6">
        <v>41796</v>
      </c>
      <c r="F120" t="s">
        <v>514</v>
      </c>
      <c r="G120" t="s">
        <v>515</v>
      </c>
      <c r="H120">
        <v>131.1</v>
      </c>
      <c r="I120">
        <v>529.23</v>
      </c>
      <c r="J120">
        <f t="shared" si="23"/>
        <v>660.33</v>
      </c>
      <c r="K120">
        <v>519.65</v>
      </c>
      <c r="L120" s="10">
        <f t="shared" si="24"/>
        <v>519.65</v>
      </c>
      <c r="M120" s="10">
        <v>64.319999999999993</v>
      </c>
      <c r="N120">
        <v>166.31</v>
      </c>
      <c r="O120">
        <f t="shared" si="25"/>
        <v>230.63</v>
      </c>
      <c r="P120">
        <v>166.31</v>
      </c>
      <c r="Q120">
        <v>0.48699999999999999</v>
      </c>
      <c r="R120">
        <v>2.1000000000000001E-2</v>
      </c>
      <c r="S120" s="10" t="s">
        <v>725</v>
      </c>
      <c r="T120" s="10" t="s">
        <v>725</v>
      </c>
      <c r="U120" s="16"/>
      <c r="V120" s="17">
        <f t="shared" si="26"/>
        <v>0</v>
      </c>
      <c r="W120" s="17">
        <f t="shared" si="27"/>
        <v>0.32004233618781874</v>
      </c>
      <c r="X120" s="17">
        <f t="shared" si="28"/>
        <v>211.33355585490236</v>
      </c>
      <c r="Y120" s="17">
        <f t="shared" si="29"/>
        <v>67.995766381218132</v>
      </c>
    </row>
    <row r="121" spans="1:26" ht="15.75" customHeight="1" x14ac:dyDescent="0.2">
      <c r="A121" s="4" t="s">
        <v>559</v>
      </c>
      <c r="B121" s="11" t="s">
        <v>589</v>
      </c>
      <c r="C121" s="4" t="s">
        <v>261</v>
      </c>
      <c r="D121" s="6">
        <v>41796</v>
      </c>
      <c r="F121" t="s">
        <v>514</v>
      </c>
      <c r="G121" t="s">
        <v>515</v>
      </c>
      <c r="H121">
        <v>0</v>
      </c>
      <c r="I121">
        <v>613.21</v>
      </c>
      <c r="J121">
        <f t="shared" si="23"/>
        <v>613.21</v>
      </c>
      <c r="K121">
        <v>586.92999999999995</v>
      </c>
      <c r="L121" s="10">
        <f t="shared" si="24"/>
        <v>586.92999999999995</v>
      </c>
      <c r="M121" s="10">
        <v>0</v>
      </c>
      <c r="N121">
        <v>288.45</v>
      </c>
      <c r="O121">
        <f t="shared" si="25"/>
        <v>288.45</v>
      </c>
      <c r="P121">
        <v>285.14</v>
      </c>
      <c r="Q121">
        <v>0.53200000000000003</v>
      </c>
      <c r="R121">
        <v>6.4000000000000001E-2</v>
      </c>
      <c r="S121" s="10" t="s">
        <v>725</v>
      </c>
      <c r="T121" s="10" t="s">
        <v>725</v>
      </c>
      <c r="U121" s="16"/>
      <c r="V121" s="17">
        <f t="shared" si="26"/>
        <v>0</v>
      </c>
      <c r="W121" s="17">
        <f t="shared" si="27"/>
        <v>0.49145553984291146</v>
      </c>
      <c r="X121" s="17">
        <f t="shared" si="28"/>
        <v>301.36545158707173</v>
      </c>
      <c r="Y121" s="17">
        <f t="shared" si="29"/>
        <v>50.854446015708852</v>
      </c>
    </row>
    <row r="122" spans="1:26" ht="15.75" customHeight="1" x14ac:dyDescent="0.2">
      <c r="A122" s="4" t="s">
        <v>321</v>
      </c>
      <c r="B122" s="10" t="s">
        <v>624</v>
      </c>
      <c r="C122" s="4" t="s">
        <v>322</v>
      </c>
      <c r="D122" s="6">
        <v>41806</v>
      </c>
      <c r="F122" s="10" t="s">
        <v>514</v>
      </c>
      <c r="G122" s="12" t="s">
        <v>515</v>
      </c>
      <c r="H122">
        <v>31.02</v>
      </c>
      <c r="I122">
        <v>317.42</v>
      </c>
      <c r="J122">
        <f t="shared" si="23"/>
        <v>347.59199999999998</v>
      </c>
      <c r="K122">
        <v>309.31</v>
      </c>
      <c r="L122" s="10">
        <f t="shared" si="24"/>
        <v>308.46199999999999</v>
      </c>
      <c r="M122" s="10">
        <v>15.29</v>
      </c>
      <c r="N122" s="10">
        <v>72.099999999999994</v>
      </c>
      <c r="O122">
        <f t="shared" si="25"/>
        <v>86.541999999999987</v>
      </c>
      <c r="P122">
        <v>67.31</v>
      </c>
      <c r="Q122">
        <v>0.32900000000000001</v>
      </c>
      <c r="R122">
        <v>0.16400000000000001</v>
      </c>
      <c r="T122" s="6">
        <v>41820</v>
      </c>
      <c r="U122" s="15">
        <v>2</v>
      </c>
      <c r="V122" s="17">
        <f t="shared" si="26"/>
        <v>0.84799999999999998</v>
      </c>
      <c r="W122" s="17">
        <f t="shared" si="27"/>
        <v>0.23374029864294465</v>
      </c>
      <c r="X122" s="17">
        <f t="shared" si="28"/>
        <v>81.246257885898416</v>
      </c>
      <c r="Y122" s="17">
        <f t="shared" si="29"/>
        <v>76.625970135705529</v>
      </c>
    </row>
    <row r="123" spans="1:26" ht="15.75" customHeight="1" x14ac:dyDescent="0.2">
      <c r="A123" s="4" t="s">
        <v>323</v>
      </c>
      <c r="B123" s="10" t="s">
        <v>623</v>
      </c>
      <c r="C123" s="4" t="s">
        <v>324</v>
      </c>
      <c r="D123" s="6">
        <v>41806</v>
      </c>
      <c r="F123" s="10" t="s">
        <v>514</v>
      </c>
      <c r="G123" s="12" t="s">
        <v>515</v>
      </c>
      <c r="H123">
        <v>24.59</v>
      </c>
      <c r="I123">
        <v>219.45</v>
      </c>
      <c r="J123">
        <f t="shared" si="23"/>
        <v>243.19199999999998</v>
      </c>
      <c r="K123">
        <v>211.14</v>
      </c>
      <c r="L123" s="10">
        <f t="shared" si="24"/>
        <v>210.29199999999997</v>
      </c>
      <c r="M123" s="10">
        <v>15.94</v>
      </c>
      <c r="N123" s="10">
        <v>57.43</v>
      </c>
      <c r="O123">
        <f t="shared" si="25"/>
        <v>72.522000000000006</v>
      </c>
      <c r="P123">
        <v>57.43</v>
      </c>
      <c r="Q123">
        <v>0.315</v>
      </c>
      <c r="R123">
        <v>3.6999999999999998E-2</v>
      </c>
      <c r="T123" s="6">
        <v>41820</v>
      </c>
      <c r="U123" s="15">
        <v>2</v>
      </c>
      <c r="V123" s="17">
        <f t="shared" si="26"/>
        <v>0.84799999999999998</v>
      </c>
      <c r="W123" s="17">
        <f t="shared" si="27"/>
        <v>0.27309645635592417</v>
      </c>
      <c r="X123" s="17">
        <f t="shared" si="28"/>
        <v>66.414873414109906</v>
      </c>
      <c r="Y123" s="17">
        <f t="shared" si="29"/>
        <v>72.690354364407582</v>
      </c>
    </row>
    <row r="124" spans="1:26" ht="15.75" customHeight="1" x14ac:dyDescent="0.2">
      <c r="A124" s="4" t="s">
        <v>325</v>
      </c>
      <c r="B124" s="10" t="s">
        <v>625</v>
      </c>
      <c r="C124" s="4" t="s">
        <v>326</v>
      </c>
      <c r="D124" s="6">
        <v>41806</v>
      </c>
      <c r="F124" s="10" t="s">
        <v>514</v>
      </c>
      <c r="G124" s="10" t="s">
        <v>515</v>
      </c>
      <c r="H124">
        <v>86.88</v>
      </c>
      <c r="I124">
        <v>201.12</v>
      </c>
      <c r="J124">
        <f t="shared" si="23"/>
        <v>287.15199999999999</v>
      </c>
      <c r="K124">
        <v>185.25</v>
      </c>
      <c r="L124" s="10">
        <f t="shared" si="24"/>
        <v>184.40199999999999</v>
      </c>
      <c r="M124" s="10">
        <v>49.61</v>
      </c>
      <c r="N124" s="10">
        <v>76.209999999999994</v>
      </c>
      <c r="O124">
        <f t="shared" si="25"/>
        <v>124.97199999999999</v>
      </c>
      <c r="P124">
        <v>28.57</v>
      </c>
      <c r="Q124">
        <v>4.9500000000000002E-2</v>
      </c>
      <c r="R124">
        <v>5.0000000000000001E-3</v>
      </c>
      <c r="T124" s="6">
        <v>41820</v>
      </c>
      <c r="U124" s="15">
        <v>2</v>
      </c>
      <c r="V124" s="17">
        <f t="shared" si="26"/>
        <v>0.84799999999999998</v>
      </c>
      <c r="W124" s="17">
        <f t="shared" si="27"/>
        <v>0.41328185160681552</v>
      </c>
      <c r="X124" s="17">
        <f t="shared" si="28"/>
        <v>118.67471025260028</v>
      </c>
      <c r="Y124" s="17">
        <f t="shared" si="29"/>
        <v>58.671814839318451</v>
      </c>
      <c r="Z124" s="19" t="s">
        <v>657</v>
      </c>
    </row>
    <row r="125" spans="1:26" ht="15.75" customHeight="1" x14ac:dyDescent="0.2">
      <c r="A125" s="4" t="s">
        <v>327</v>
      </c>
      <c r="B125" s="10" t="s">
        <v>599</v>
      </c>
      <c r="C125" s="4" t="s">
        <v>328</v>
      </c>
      <c r="D125" s="6">
        <v>41806</v>
      </c>
      <c r="F125" s="10" t="s">
        <v>514</v>
      </c>
      <c r="G125" s="10" t="s">
        <v>515</v>
      </c>
      <c r="H125">
        <v>0</v>
      </c>
      <c r="I125">
        <v>94.75</v>
      </c>
      <c r="J125">
        <f t="shared" si="23"/>
        <v>93.902000000000001</v>
      </c>
      <c r="K125">
        <v>90.11</v>
      </c>
      <c r="L125" s="10">
        <f t="shared" si="24"/>
        <v>89.262</v>
      </c>
      <c r="M125" s="10">
        <v>0</v>
      </c>
      <c r="N125" s="10">
        <v>57.92</v>
      </c>
      <c r="O125">
        <f t="shared" si="25"/>
        <v>57.072000000000003</v>
      </c>
      <c r="P125">
        <v>57.62</v>
      </c>
      <c r="Q125">
        <v>0.19950000000000001</v>
      </c>
      <c r="R125">
        <v>1.2500000000000001E-2</v>
      </c>
      <c r="T125" s="6">
        <v>41820</v>
      </c>
      <c r="U125" s="15">
        <v>2</v>
      </c>
      <c r="V125" s="17">
        <f t="shared" si="26"/>
        <v>0.84799999999999998</v>
      </c>
      <c r="W125" s="17">
        <f t="shared" si="27"/>
        <v>0.64887634155631735</v>
      </c>
      <c r="X125" s="17">
        <f t="shared" si="28"/>
        <v>60.930786224821311</v>
      </c>
      <c r="Y125" s="17">
        <f t="shared" si="29"/>
        <v>35.112365844368263</v>
      </c>
    </row>
    <row r="126" spans="1:26" ht="15.75" customHeight="1" x14ac:dyDescent="0.2">
      <c r="A126" s="4" t="s">
        <v>329</v>
      </c>
      <c r="B126" s="10" t="s">
        <v>512</v>
      </c>
      <c r="C126" s="4" t="s">
        <v>330</v>
      </c>
      <c r="D126" s="6">
        <v>41806</v>
      </c>
      <c r="F126" s="10" t="s">
        <v>516</v>
      </c>
      <c r="G126" s="10" t="s">
        <v>707</v>
      </c>
      <c r="H126">
        <f>66.16-0.424</f>
        <v>65.73599999999999</v>
      </c>
      <c r="I126">
        <v>414.54</v>
      </c>
      <c r="J126">
        <f t="shared" si="23"/>
        <v>479.428</v>
      </c>
      <c r="K126">
        <v>406.82</v>
      </c>
      <c r="L126" s="10">
        <f t="shared" si="24"/>
        <v>405.97199999999998</v>
      </c>
      <c r="M126" s="10">
        <f>57.04-0.424</f>
        <v>56.616</v>
      </c>
      <c r="N126">
        <v>284.8</v>
      </c>
      <c r="O126">
        <f t="shared" si="25"/>
        <v>340.56799999999998</v>
      </c>
      <c r="P126">
        <v>284.8</v>
      </c>
      <c r="Q126">
        <v>0.58850000000000002</v>
      </c>
      <c r="R126">
        <v>6.3E-2</v>
      </c>
      <c r="S126" s="6">
        <v>41806</v>
      </c>
      <c r="T126" s="6">
        <v>41809</v>
      </c>
      <c r="U126" s="15">
        <v>2</v>
      </c>
      <c r="V126" s="17">
        <f t="shared" si="26"/>
        <v>0.84799999999999998</v>
      </c>
      <c r="W126" s="17">
        <f t="shared" si="27"/>
        <v>0.70152621363049672</v>
      </c>
      <c r="X126" s="17">
        <f t="shared" si="28"/>
        <v>336.33130954844177</v>
      </c>
      <c r="Y126" s="17">
        <f t="shared" si="29"/>
        <v>29.847378636950328</v>
      </c>
      <c r="Z126" s="12" t="s">
        <v>739</v>
      </c>
    </row>
    <row r="127" spans="1:26" ht="15.75" customHeight="1" x14ac:dyDescent="0.2">
      <c r="A127" s="4" t="s">
        <v>331</v>
      </c>
      <c r="B127" s="10" t="s">
        <v>613</v>
      </c>
      <c r="C127" s="4" t="s">
        <v>332</v>
      </c>
      <c r="D127" s="6">
        <v>41806</v>
      </c>
      <c r="F127" s="10" t="s">
        <v>514</v>
      </c>
      <c r="G127" s="10" t="s">
        <v>515</v>
      </c>
      <c r="H127">
        <v>3.83</v>
      </c>
      <c r="I127">
        <v>241.68</v>
      </c>
      <c r="J127">
        <f t="shared" si="23"/>
        <v>244.66200000000001</v>
      </c>
      <c r="K127">
        <v>235.33</v>
      </c>
      <c r="L127" s="10">
        <f t="shared" si="24"/>
        <v>234.482</v>
      </c>
      <c r="M127" s="10">
        <v>2.13</v>
      </c>
      <c r="N127" s="10">
        <v>135.15</v>
      </c>
      <c r="O127">
        <f t="shared" si="25"/>
        <v>136.43199999999999</v>
      </c>
      <c r="P127">
        <v>134.38999999999999</v>
      </c>
      <c r="Q127">
        <v>0.40649999999999997</v>
      </c>
      <c r="R127">
        <v>3.6999999999999998E-2</v>
      </c>
      <c r="T127" s="6">
        <v>41820</v>
      </c>
      <c r="U127" s="15">
        <v>2</v>
      </c>
      <c r="V127" s="17">
        <f t="shared" si="26"/>
        <v>0.84799999999999998</v>
      </c>
      <c r="W127" s="17">
        <f t="shared" si="27"/>
        <v>0.57637686474868011</v>
      </c>
      <c r="X127" s="17">
        <f t="shared" si="28"/>
        <v>141.01751648314158</v>
      </c>
      <c r="Y127" s="17">
        <f t="shared" si="29"/>
        <v>42.362313525131988</v>
      </c>
      <c r="Z127" s="19" t="s">
        <v>657</v>
      </c>
    </row>
    <row r="128" spans="1:26" ht="15.75" customHeight="1" x14ac:dyDescent="0.2">
      <c r="A128" s="4" t="s">
        <v>333</v>
      </c>
      <c r="B128" s="10" t="s">
        <v>594</v>
      </c>
      <c r="C128" s="4" t="s">
        <v>334</v>
      </c>
      <c r="D128" s="6">
        <v>41806</v>
      </c>
      <c r="F128" s="10" t="s">
        <v>516</v>
      </c>
      <c r="G128" s="10" t="s">
        <v>702</v>
      </c>
      <c r="H128">
        <v>21.89</v>
      </c>
      <c r="I128">
        <v>245.58</v>
      </c>
      <c r="J128">
        <f t="shared" si="23"/>
        <v>266.62200000000001</v>
      </c>
      <c r="K128">
        <v>240.02</v>
      </c>
      <c r="L128" s="10">
        <f t="shared" si="24"/>
        <v>239.172</v>
      </c>
      <c r="M128" s="10">
        <v>17.399999999999999</v>
      </c>
      <c r="N128">
        <v>183.43</v>
      </c>
      <c r="O128">
        <f t="shared" si="25"/>
        <v>199.982</v>
      </c>
      <c r="P128">
        <v>183.43</v>
      </c>
      <c r="Q128">
        <v>0.38400000000000001</v>
      </c>
      <c r="R128">
        <v>1.4E-2</v>
      </c>
      <c r="S128" s="6">
        <v>41806</v>
      </c>
      <c r="T128" s="6">
        <v>41809</v>
      </c>
      <c r="U128" s="15">
        <v>2</v>
      </c>
      <c r="V128" s="17">
        <f t="shared" si="26"/>
        <v>0.84799999999999998</v>
      </c>
      <c r="W128" s="17">
        <f t="shared" si="27"/>
        <v>0.76693760139146727</v>
      </c>
      <c r="X128" s="17">
        <f t="shared" si="28"/>
        <v>204.48243715819581</v>
      </c>
      <c r="Y128" s="17">
        <f t="shared" si="29"/>
        <v>23.306239860853275</v>
      </c>
      <c r="Z128" s="23" t="s">
        <v>740</v>
      </c>
    </row>
    <row r="129" spans="1:26" ht="15.75" customHeight="1" x14ac:dyDescent="0.2">
      <c r="A129" s="4" t="s">
        <v>569</v>
      </c>
      <c r="B129" s="11" t="s">
        <v>611</v>
      </c>
      <c r="C129" s="4" t="s">
        <v>322</v>
      </c>
      <c r="D129" s="6">
        <v>41803</v>
      </c>
      <c r="F129" t="s">
        <v>516</v>
      </c>
      <c r="G129" t="s">
        <v>698</v>
      </c>
      <c r="H129">
        <v>105.62</v>
      </c>
      <c r="I129">
        <v>403.21</v>
      </c>
      <c r="J129">
        <f t="shared" si="23"/>
        <v>507.98199999999997</v>
      </c>
      <c r="K129">
        <v>410.03</v>
      </c>
      <c r="L129" s="10">
        <f t="shared" si="24"/>
        <v>409.18199999999996</v>
      </c>
      <c r="M129" s="10">
        <v>53.22</v>
      </c>
      <c r="N129">
        <v>254.76</v>
      </c>
      <c r="O129">
        <f t="shared" si="25"/>
        <v>307.13200000000001</v>
      </c>
      <c r="P129">
        <v>254.76</v>
      </c>
      <c r="Q129">
        <v>0.74099999999999999</v>
      </c>
      <c r="R129">
        <v>1.6E-2</v>
      </c>
      <c r="S129" s="6">
        <v>41806</v>
      </c>
      <c r="T129" s="6">
        <v>41809</v>
      </c>
      <c r="U129" s="15">
        <v>2</v>
      </c>
      <c r="V129" s="17">
        <f t="shared" si="26"/>
        <v>0.84799999999999998</v>
      </c>
      <c r="W129" s="17">
        <f t="shared" si="27"/>
        <v>0.62260803261140518</v>
      </c>
      <c r="X129" s="17">
        <f t="shared" si="28"/>
        <v>316.27367362200681</v>
      </c>
      <c r="Y129" s="17">
        <f t="shared" si="29"/>
        <v>37.739196738859476</v>
      </c>
    </row>
    <row r="130" spans="1:26" ht="15.75" customHeight="1" x14ac:dyDescent="0.2">
      <c r="A130" s="4" t="s">
        <v>335</v>
      </c>
      <c r="B130" s="10" t="s">
        <v>626</v>
      </c>
      <c r="C130" s="4" t="s">
        <v>336</v>
      </c>
      <c r="D130" s="6">
        <v>41806</v>
      </c>
      <c r="F130" s="10" t="s">
        <v>514</v>
      </c>
      <c r="G130" s="10" t="s">
        <v>515</v>
      </c>
      <c r="H130">
        <v>38.21</v>
      </c>
      <c r="I130">
        <v>485.4</v>
      </c>
      <c r="J130">
        <f t="shared" ref="J130:J161" si="30">(H130+I130)-V130</f>
        <v>522.76200000000006</v>
      </c>
      <c r="K130">
        <v>477.81</v>
      </c>
      <c r="L130" s="10">
        <f t="shared" ref="L130:L161" si="31">K130-V130</f>
        <v>476.96199999999999</v>
      </c>
      <c r="M130" s="10">
        <v>23.91</v>
      </c>
      <c r="N130">
        <v>329.44</v>
      </c>
      <c r="O130">
        <f t="shared" ref="O130:O161" si="32">(M130+N130)-V130</f>
        <v>352.50200000000001</v>
      </c>
      <c r="P130">
        <f>N130-0.41</f>
        <v>329.03</v>
      </c>
      <c r="Q130">
        <v>0.65600000000000003</v>
      </c>
      <c r="R130">
        <v>3.3000000000000002E-2</v>
      </c>
      <c r="S130" s="6">
        <v>41809</v>
      </c>
      <c r="T130" s="6">
        <v>41813</v>
      </c>
      <c r="U130" s="15">
        <v>2</v>
      </c>
      <c r="V130" s="17">
        <f t="shared" ref="V130:V161" si="33">U130*0.424</f>
        <v>0.84799999999999998</v>
      </c>
      <c r="W130" s="17">
        <f t="shared" ref="W130:W161" si="34">N130/L130</f>
        <v>0.69070491988879623</v>
      </c>
      <c r="X130" s="17">
        <f t="shared" ref="X130:X161" si="35">W130*J130</f>
        <v>361.07428533090695</v>
      </c>
      <c r="Y130" s="17">
        <f t="shared" ref="Y130:Y161" si="36">(L130-N130)/L130*100</f>
        <v>30.929508011120383</v>
      </c>
    </row>
    <row r="131" spans="1:26" ht="15.75" customHeight="1" x14ac:dyDescent="0.2">
      <c r="A131" s="4" t="s">
        <v>337</v>
      </c>
      <c r="B131" s="10" t="s">
        <v>9</v>
      </c>
      <c r="C131" s="4" t="s">
        <v>338</v>
      </c>
      <c r="D131" s="6">
        <v>41806</v>
      </c>
      <c r="F131" s="10" t="s">
        <v>514</v>
      </c>
      <c r="G131" s="10" t="s">
        <v>515</v>
      </c>
      <c r="H131">
        <v>21.54</v>
      </c>
      <c r="I131">
        <v>150.57</v>
      </c>
      <c r="J131">
        <f t="shared" si="30"/>
        <v>171.26199999999997</v>
      </c>
      <c r="K131">
        <v>142.38</v>
      </c>
      <c r="L131" s="10">
        <f t="shared" si="31"/>
        <v>141.53199999999998</v>
      </c>
      <c r="M131" s="10">
        <v>7.58</v>
      </c>
      <c r="N131" s="10">
        <v>70.09</v>
      </c>
      <c r="O131">
        <f t="shared" si="32"/>
        <v>76.822000000000003</v>
      </c>
      <c r="P131">
        <v>45.24</v>
      </c>
      <c r="Q131">
        <v>0.11899999999999999</v>
      </c>
      <c r="R131">
        <v>8.9999999999999993E-3</v>
      </c>
      <c r="T131" s="6">
        <v>41820</v>
      </c>
      <c r="U131" s="15">
        <v>2</v>
      </c>
      <c r="V131" s="17">
        <f t="shared" si="33"/>
        <v>0.84799999999999998</v>
      </c>
      <c r="W131" s="17">
        <f t="shared" si="34"/>
        <v>0.49522369499477159</v>
      </c>
      <c r="X131" s="17">
        <f t="shared" si="35"/>
        <v>84.813000452194558</v>
      </c>
      <c r="Y131" s="17">
        <f t="shared" si="36"/>
        <v>50.477630500522842</v>
      </c>
      <c r="Z131" s="19" t="s">
        <v>701</v>
      </c>
    </row>
    <row r="132" spans="1:26" ht="15.75" customHeight="1" x14ac:dyDescent="0.2">
      <c r="A132" s="4" t="s">
        <v>339</v>
      </c>
      <c r="B132" s="10" t="s">
        <v>589</v>
      </c>
      <c r="C132" s="4" t="s">
        <v>340</v>
      </c>
      <c r="D132" s="6">
        <v>41806</v>
      </c>
      <c r="F132" s="10" t="s">
        <v>514</v>
      </c>
      <c r="G132" s="10" t="s">
        <v>515</v>
      </c>
      <c r="H132">
        <v>0</v>
      </c>
      <c r="I132">
        <v>592.17999999999995</v>
      </c>
      <c r="J132">
        <f t="shared" si="30"/>
        <v>591.33199999999999</v>
      </c>
      <c r="K132">
        <v>585.4</v>
      </c>
      <c r="L132" s="10">
        <f t="shared" si="31"/>
        <v>584.55200000000002</v>
      </c>
      <c r="M132" s="10">
        <v>0</v>
      </c>
      <c r="N132">
        <v>440.47</v>
      </c>
      <c r="O132">
        <f t="shared" si="32"/>
        <v>439.62200000000001</v>
      </c>
      <c r="P132">
        <v>440.47</v>
      </c>
      <c r="Q132">
        <v>0.71</v>
      </c>
      <c r="R132">
        <v>2.9499999999999998E-2</v>
      </c>
      <c r="S132" s="6">
        <v>41806</v>
      </c>
      <c r="T132" s="6">
        <v>41809</v>
      </c>
      <c r="U132" s="15">
        <v>2</v>
      </c>
      <c r="V132" s="17">
        <f t="shared" si="33"/>
        <v>0.84799999999999998</v>
      </c>
      <c r="W132" s="17">
        <f t="shared" si="34"/>
        <v>0.75351722344633154</v>
      </c>
      <c r="X132" s="17">
        <f t="shared" si="35"/>
        <v>445.57884677496611</v>
      </c>
      <c r="Y132" s="17">
        <f t="shared" si="36"/>
        <v>24.648277655366844</v>
      </c>
    </row>
    <row r="133" spans="1:26" ht="15.75" customHeight="1" x14ac:dyDescent="0.2">
      <c r="A133" s="4" t="s">
        <v>567</v>
      </c>
      <c r="B133" s="11" t="s">
        <v>604</v>
      </c>
      <c r="C133" s="4" t="s">
        <v>322</v>
      </c>
      <c r="D133" s="6">
        <v>41803</v>
      </c>
      <c r="F133" t="s">
        <v>516</v>
      </c>
      <c r="G133" t="s">
        <v>691</v>
      </c>
      <c r="H133">
        <v>0</v>
      </c>
      <c r="I133">
        <v>508.35</v>
      </c>
      <c r="J133">
        <f t="shared" si="30"/>
        <v>507.50200000000001</v>
      </c>
      <c r="K133">
        <v>501.64</v>
      </c>
      <c r="L133" s="10">
        <f t="shared" si="31"/>
        <v>500.79199999999997</v>
      </c>
      <c r="M133" s="10">
        <v>0</v>
      </c>
      <c r="N133">
        <v>360.67</v>
      </c>
      <c r="O133">
        <f t="shared" si="32"/>
        <v>359.822</v>
      </c>
      <c r="P133">
        <v>360.67</v>
      </c>
      <c r="Q133">
        <v>0.56499999999999995</v>
      </c>
      <c r="R133">
        <v>1.9E-2</v>
      </c>
      <c r="S133" s="6">
        <v>41806</v>
      </c>
      <c r="T133" s="6">
        <v>41809</v>
      </c>
      <c r="U133" s="15">
        <v>2</v>
      </c>
      <c r="V133" s="17">
        <f t="shared" si="33"/>
        <v>0.84799999999999998</v>
      </c>
      <c r="W133" s="17">
        <f t="shared" si="34"/>
        <v>0.72019920446013519</v>
      </c>
      <c r="X133" s="17">
        <f t="shared" si="35"/>
        <v>365.50253666192754</v>
      </c>
      <c r="Y133" s="17">
        <f t="shared" si="36"/>
        <v>27.980079553986481</v>
      </c>
    </row>
    <row r="134" spans="1:26" ht="15.75" customHeight="1" x14ac:dyDescent="0.2">
      <c r="A134" s="4" t="s">
        <v>341</v>
      </c>
      <c r="B134" s="10" t="s">
        <v>570</v>
      </c>
      <c r="C134" s="4" t="s">
        <v>342</v>
      </c>
      <c r="D134" s="6">
        <v>41806</v>
      </c>
      <c r="F134" s="10" t="s">
        <v>516</v>
      </c>
      <c r="G134" s="10" t="s">
        <v>708</v>
      </c>
      <c r="H134">
        <v>3.74</v>
      </c>
      <c r="I134">
        <v>358.38</v>
      </c>
      <c r="J134">
        <f t="shared" si="30"/>
        <v>361.27199999999999</v>
      </c>
      <c r="K134">
        <v>336.54</v>
      </c>
      <c r="L134" s="10">
        <f t="shared" si="31"/>
        <v>335.69200000000001</v>
      </c>
      <c r="M134" s="10">
        <v>2.56</v>
      </c>
      <c r="N134" s="10">
        <v>206.75</v>
      </c>
      <c r="O134">
        <f t="shared" si="32"/>
        <v>208.46199999999999</v>
      </c>
      <c r="P134">
        <v>195.57</v>
      </c>
      <c r="Q134">
        <v>0.42849999999999999</v>
      </c>
      <c r="R134">
        <v>6.4500000000000002E-2</v>
      </c>
      <c r="T134" s="6">
        <v>41820</v>
      </c>
      <c r="U134" s="15">
        <v>2</v>
      </c>
      <c r="V134" s="17">
        <f t="shared" si="33"/>
        <v>0.84799999999999998</v>
      </c>
      <c r="W134" s="17">
        <f t="shared" si="34"/>
        <v>0.61589194857190521</v>
      </c>
      <c r="X134" s="17">
        <f t="shared" si="35"/>
        <v>222.50451604446934</v>
      </c>
      <c r="Y134" s="17">
        <f t="shared" si="36"/>
        <v>38.41080514280948</v>
      </c>
    </row>
    <row r="135" spans="1:26" ht="15.75" customHeight="1" x14ac:dyDescent="0.2">
      <c r="A135" s="4" t="s">
        <v>343</v>
      </c>
      <c r="B135" s="10" t="s">
        <v>586</v>
      </c>
      <c r="C135" s="4" t="s">
        <v>344</v>
      </c>
      <c r="D135" s="6">
        <v>41806</v>
      </c>
      <c r="F135" s="10" t="s">
        <v>516</v>
      </c>
      <c r="G135" s="10" t="s">
        <v>704</v>
      </c>
      <c r="H135">
        <v>176.83</v>
      </c>
      <c r="I135">
        <v>495.93</v>
      </c>
      <c r="J135">
        <f t="shared" si="30"/>
        <v>671.91200000000003</v>
      </c>
      <c r="K135">
        <v>487.14</v>
      </c>
      <c r="L135" s="10">
        <f t="shared" si="31"/>
        <v>486.29199999999997</v>
      </c>
      <c r="M135" s="10">
        <v>117.13</v>
      </c>
      <c r="N135">
        <v>310.94</v>
      </c>
      <c r="O135">
        <f t="shared" si="32"/>
        <v>427.22199999999998</v>
      </c>
      <c r="P135">
        <f>N135-0.04</f>
        <v>310.89999999999998</v>
      </c>
      <c r="Q135">
        <v>0.65200000000000002</v>
      </c>
      <c r="R135">
        <v>3.3000000000000002E-2</v>
      </c>
      <c r="S135" s="6">
        <v>41809</v>
      </c>
      <c r="T135" s="6">
        <v>41813</v>
      </c>
      <c r="U135" s="15">
        <v>2</v>
      </c>
      <c r="V135" s="17">
        <f t="shared" si="33"/>
        <v>0.84799999999999998</v>
      </c>
      <c r="W135" s="17">
        <f t="shared" si="34"/>
        <v>0.63941006637987052</v>
      </c>
      <c r="X135" s="17">
        <f t="shared" si="35"/>
        <v>429.62729652143156</v>
      </c>
      <c r="Y135" s="17">
        <f t="shared" si="36"/>
        <v>36.058993362012941</v>
      </c>
      <c r="Z135" s="19" t="s">
        <v>660</v>
      </c>
    </row>
    <row r="136" spans="1:26" ht="15.75" customHeight="1" x14ac:dyDescent="0.2">
      <c r="A136" s="4" t="s">
        <v>557</v>
      </c>
      <c r="B136" s="11" t="s">
        <v>600</v>
      </c>
      <c r="C136" s="4" t="s">
        <v>322</v>
      </c>
      <c r="D136" s="6">
        <v>41803</v>
      </c>
      <c r="F136" t="s">
        <v>516</v>
      </c>
      <c r="G136" t="s">
        <v>700</v>
      </c>
      <c r="H136">
        <v>243.55</v>
      </c>
      <c r="I136">
        <v>386.64</v>
      </c>
      <c r="J136">
        <f t="shared" si="30"/>
        <v>630.19000000000005</v>
      </c>
      <c r="K136">
        <v>379.17</v>
      </c>
      <c r="L136" s="10">
        <f t="shared" si="31"/>
        <v>379.17</v>
      </c>
      <c r="M136" s="10">
        <v>109.09</v>
      </c>
      <c r="N136">
        <v>257.99</v>
      </c>
      <c r="O136">
        <f t="shared" si="32"/>
        <v>367.08000000000004</v>
      </c>
      <c r="P136">
        <f>N136-0.14</f>
        <v>257.85000000000002</v>
      </c>
      <c r="Q136">
        <v>0.65049999999999997</v>
      </c>
      <c r="R136">
        <v>2.35E-2</v>
      </c>
      <c r="V136" s="17">
        <f t="shared" si="33"/>
        <v>0</v>
      </c>
      <c r="W136" s="17">
        <f t="shared" si="34"/>
        <v>0.68040720521138276</v>
      </c>
      <c r="X136" s="17">
        <f t="shared" si="35"/>
        <v>428.78581665216132</v>
      </c>
      <c r="Y136" s="17">
        <f t="shared" si="36"/>
        <v>31.959279478861724</v>
      </c>
    </row>
    <row r="137" spans="1:26" ht="15.75" customHeight="1" x14ac:dyDescent="0.2">
      <c r="A137" s="4" t="s">
        <v>345</v>
      </c>
      <c r="B137" s="10" t="s">
        <v>627</v>
      </c>
      <c r="C137" s="4" t="s">
        <v>346</v>
      </c>
      <c r="D137" s="6">
        <v>41806</v>
      </c>
      <c r="F137" s="10" t="s">
        <v>514</v>
      </c>
      <c r="G137" s="10" t="s">
        <v>515</v>
      </c>
      <c r="H137">
        <v>2.59</v>
      </c>
      <c r="I137">
        <v>434.38</v>
      </c>
      <c r="J137">
        <f t="shared" si="30"/>
        <v>436.12199999999996</v>
      </c>
      <c r="K137">
        <v>426.39</v>
      </c>
      <c r="L137" s="10">
        <f t="shared" si="31"/>
        <v>425.54199999999997</v>
      </c>
      <c r="M137" s="10">
        <v>1.7</v>
      </c>
      <c r="N137">
        <v>340.67</v>
      </c>
      <c r="O137">
        <f t="shared" si="32"/>
        <v>341.52199999999999</v>
      </c>
      <c r="P137">
        <v>340.67</v>
      </c>
      <c r="Q137">
        <v>0.61450000000000005</v>
      </c>
      <c r="R137">
        <v>1.4999999999999999E-2</v>
      </c>
      <c r="S137" s="6">
        <v>41809</v>
      </c>
      <c r="T137" s="6">
        <v>41813</v>
      </c>
      <c r="U137" s="15">
        <v>2</v>
      </c>
      <c r="V137" s="17">
        <f t="shared" si="33"/>
        <v>0.84799999999999998</v>
      </c>
      <c r="W137" s="17">
        <f t="shared" si="34"/>
        <v>0.8005555268340141</v>
      </c>
      <c r="X137" s="17">
        <f t="shared" si="35"/>
        <v>349.13987747390388</v>
      </c>
      <c r="Y137" s="17">
        <f t="shared" si="36"/>
        <v>19.944447316598588</v>
      </c>
    </row>
    <row r="138" spans="1:26" ht="15.75" customHeight="1" x14ac:dyDescent="0.2">
      <c r="A138" s="4" t="s">
        <v>347</v>
      </c>
      <c r="B138" s="10" t="s">
        <v>628</v>
      </c>
      <c r="C138" s="4" t="s">
        <v>348</v>
      </c>
      <c r="D138" s="6">
        <v>41806</v>
      </c>
      <c r="F138" s="10" t="s">
        <v>514</v>
      </c>
      <c r="G138" s="10" t="s">
        <v>515</v>
      </c>
      <c r="H138">
        <v>12.44</v>
      </c>
      <c r="I138">
        <v>476.15</v>
      </c>
      <c r="J138">
        <f t="shared" si="30"/>
        <v>487.74199999999996</v>
      </c>
      <c r="K138">
        <v>468.44</v>
      </c>
      <c r="L138" s="10">
        <f t="shared" si="31"/>
        <v>467.59199999999998</v>
      </c>
      <c r="M138" s="10">
        <v>10.63</v>
      </c>
      <c r="N138">
        <v>369.46</v>
      </c>
      <c r="O138">
        <f t="shared" si="32"/>
        <v>379.24199999999996</v>
      </c>
      <c r="P138">
        <v>369.46</v>
      </c>
      <c r="Q138">
        <v>0.66400000000000003</v>
      </c>
      <c r="R138">
        <v>2.3E-2</v>
      </c>
      <c r="S138" s="6">
        <v>41806</v>
      </c>
      <c r="T138" s="6">
        <v>41809</v>
      </c>
      <c r="U138" s="15">
        <v>2</v>
      </c>
      <c r="V138" s="17">
        <f t="shared" si="33"/>
        <v>0.84799999999999998</v>
      </c>
      <c r="W138" s="17">
        <f t="shared" si="34"/>
        <v>0.79013327858474913</v>
      </c>
      <c r="X138" s="17">
        <f t="shared" si="35"/>
        <v>385.38118556348269</v>
      </c>
      <c r="Y138" s="17">
        <f t="shared" si="36"/>
        <v>20.986672141525091</v>
      </c>
    </row>
    <row r="139" spans="1:26" ht="15.75" customHeight="1" x14ac:dyDescent="0.2">
      <c r="A139" s="4" t="s">
        <v>565</v>
      </c>
      <c r="B139" s="11" t="s">
        <v>594</v>
      </c>
      <c r="C139" s="4" t="s">
        <v>322</v>
      </c>
      <c r="D139" s="6">
        <v>41803</v>
      </c>
      <c r="F139" t="s">
        <v>514</v>
      </c>
      <c r="G139" t="s">
        <v>699</v>
      </c>
      <c r="H139">
        <v>3.39</v>
      </c>
      <c r="I139">
        <v>384.31</v>
      </c>
      <c r="J139">
        <f t="shared" si="30"/>
        <v>386.85199999999998</v>
      </c>
      <c r="K139">
        <v>378.73</v>
      </c>
      <c r="L139" s="10">
        <f t="shared" si="31"/>
        <v>377.88200000000001</v>
      </c>
      <c r="M139" s="10">
        <v>1.58</v>
      </c>
      <c r="N139">
        <v>266.14</v>
      </c>
      <c r="O139">
        <f t="shared" si="32"/>
        <v>266.87199999999996</v>
      </c>
      <c r="P139">
        <f>N139-0.18</f>
        <v>265.95999999999998</v>
      </c>
      <c r="Q139">
        <v>0.50749999999999995</v>
      </c>
      <c r="R139">
        <v>2.3E-2</v>
      </c>
      <c r="S139" s="6">
        <v>41806</v>
      </c>
      <c r="T139" s="6">
        <v>41809</v>
      </c>
      <c r="U139" s="15">
        <v>2</v>
      </c>
      <c r="V139" s="17">
        <f t="shared" si="33"/>
        <v>0.84799999999999998</v>
      </c>
      <c r="W139" s="17">
        <f t="shared" si="34"/>
        <v>0.70429393302671195</v>
      </c>
      <c r="X139" s="17">
        <f t="shared" si="35"/>
        <v>272.45751657924956</v>
      </c>
      <c r="Y139" s="17">
        <f t="shared" si="36"/>
        <v>29.570606697328799</v>
      </c>
    </row>
    <row r="140" spans="1:26" ht="15.75" customHeight="1" x14ac:dyDescent="0.2">
      <c r="A140" s="4" t="s">
        <v>349</v>
      </c>
      <c r="B140" s="10" t="s">
        <v>564</v>
      </c>
      <c r="C140" s="4" t="s">
        <v>350</v>
      </c>
      <c r="D140" s="6">
        <v>41806</v>
      </c>
      <c r="F140" s="10" t="s">
        <v>514</v>
      </c>
      <c r="G140" s="10" t="s">
        <v>515</v>
      </c>
      <c r="H140">
        <v>0.56999999999999995</v>
      </c>
      <c r="I140">
        <v>319</v>
      </c>
      <c r="J140">
        <f t="shared" si="30"/>
        <v>318.72199999999998</v>
      </c>
      <c r="K140">
        <v>312.77</v>
      </c>
      <c r="L140" s="10">
        <f t="shared" si="31"/>
        <v>311.92199999999997</v>
      </c>
      <c r="M140" s="10">
        <v>0.55000000000000004</v>
      </c>
      <c r="N140">
        <v>225.75</v>
      </c>
      <c r="O140">
        <f t="shared" si="32"/>
        <v>225.452</v>
      </c>
      <c r="P140">
        <v>225.75</v>
      </c>
      <c r="Q140">
        <v>0.35</v>
      </c>
      <c r="R140">
        <v>2.1000000000000001E-2</v>
      </c>
      <c r="S140" s="6">
        <v>41806</v>
      </c>
      <c r="T140" s="6">
        <v>41809</v>
      </c>
      <c r="U140" s="15">
        <v>2</v>
      </c>
      <c r="V140" s="17">
        <f t="shared" si="33"/>
        <v>0.84799999999999998</v>
      </c>
      <c r="W140" s="17">
        <f t="shared" si="34"/>
        <v>0.72373862696443347</v>
      </c>
      <c r="X140" s="17">
        <f t="shared" si="35"/>
        <v>230.67142266335816</v>
      </c>
      <c r="Y140" s="17">
        <f t="shared" si="36"/>
        <v>27.626137303556654</v>
      </c>
    </row>
    <row r="141" spans="1:26" ht="15.75" customHeight="1" x14ac:dyDescent="0.2">
      <c r="A141" s="4" t="s">
        <v>561</v>
      </c>
      <c r="B141" s="11" t="s">
        <v>631</v>
      </c>
      <c r="C141" s="4" t="s">
        <v>322</v>
      </c>
      <c r="D141" s="6">
        <v>41803</v>
      </c>
      <c r="F141" t="s">
        <v>516</v>
      </c>
      <c r="G141" t="s">
        <v>697</v>
      </c>
      <c r="H141">
        <v>0</v>
      </c>
      <c r="I141">
        <v>648.48</v>
      </c>
      <c r="J141">
        <f t="shared" si="30"/>
        <v>648.05600000000004</v>
      </c>
      <c r="K141">
        <v>639.59</v>
      </c>
      <c r="L141" s="10">
        <f t="shared" si="31"/>
        <v>639.16600000000005</v>
      </c>
      <c r="M141" s="10">
        <v>0</v>
      </c>
      <c r="N141">
        <v>435.25</v>
      </c>
      <c r="O141">
        <f t="shared" si="32"/>
        <v>434.82600000000002</v>
      </c>
      <c r="P141">
        <f>N141-0.41</f>
        <v>434.84</v>
      </c>
      <c r="Q141">
        <v>0.64549999999999996</v>
      </c>
      <c r="R141">
        <v>2.9000000000000001E-2</v>
      </c>
      <c r="S141" s="6">
        <v>41806</v>
      </c>
      <c r="T141" s="6">
        <v>41809</v>
      </c>
      <c r="U141" s="15">
        <v>1</v>
      </c>
      <c r="V141" s="17">
        <f t="shared" si="33"/>
        <v>0.42399999999999999</v>
      </c>
      <c r="W141" s="17">
        <f t="shared" si="34"/>
        <v>0.68096550817784418</v>
      </c>
      <c r="X141" s="17">
        <f t="shared" si="35"/>
        <v>441.30378336770104</v>
      </c>
      <c r="Y141" s="17">
        <f t="shared" si="36"/>
        <v>31.903449182215581</v>
      </c>
    </row>
    <row r="142" spans="1:26" ht="15.75" customHeight="1" x14ac:dyDescent="0.2">
      <c r="A142" s="4" t="s">
        <v>351</v>
      </c>
      <c r="B142" s="10" t="s">
        <v>72</v>
      </c>
      <c r="C142" s="4" t="s">
        <v>352</v>
      </c>
      <c r="D142" s="6">
        <v>41806</v>
      </c>
      <c r="F142" s="10" t="s">
        <v>516</v>
      </c>
      <c r="G142" s="10" t="s">
        <v>694</v>
      </c>
      <c r="H142">
        <v>13.18</v>
      </c>
      <c r="I142">
        <v>312.14</v>
      </c>
      <c r="J142">
        <f t="shared" si="30"/>
        <v>324.47199999999998</v>
      </c>
      <c r="K142">
        <v>306.10000000000002</v>
      </c>
      <c r="L142" s="10">
        <f t="shared" si="31"/>
        <v>305.25200000000001</v>
      </c>
      <c r="M142" s="10">
        <v>11</v>
      </c>
      <c r="N142">
        <v>191.1</v>
      </c>
      <c r="O142">
        <f t="shared" si="32"/>
        <v>201.25199999999998</v>
      </c>
      <c r="P142">
        <v>191.1</v>
      </c>
      <c r="Q142">
        <v>0.53600000000000003</v>
      </c>
      <c r="R142">
        <v>3.15E-2</v>
      </c>
      <c r="S142" s="6">
        <v>41806</v>
      </c>
      <c r="T142" s="6">
        <v>41809</v>
      </c>
      <c r="U142" s="15">
        <v>2</v>
      </c>
      <c r="V142" s="17">
        <f t="shared" si="33"/>
        <v>0.84799999999999998</v>
      </c>
      <c r="W142" s="17">
        <f t="shared" si="34"/>
        <v>0.62604012422523025</v>
      </c>
      <c r="X142" s="17">
        <f t="shared" si="35"/>
        <v>203.13249118760891</v>
      </c>
      <c r="Y142" s="17">
        <f t="shared" si="36"/>
        <v>37.395987577476973</v>
      </c>
    </row>
    <row r="143" spans="1:26" ht="15.75" customHeight="1" x14ac:dyDescent="0.2">
      <c r="A143" s="4" t="s">
        <v>560</v>
      </c>
      <c r="B143" s="11" t="s">
        <v>531</v>
      </c>
      <c r="C143" s="4" t="s">
        <v>322</v>
      </c>
      <c r="D143" s="6">
        <v>41803</v>
      </c>
      <c r="F143" t="s">
        <v>514</v>
      </c>
      <c r="G143" t="s">
        <v>515</v>
      </c>
      <c r="H143">
        <v>16.760000000000002</v>
      </c>
      <c r="I143">
        <v>703.05</v>
      </c>
      <c r="J143">
        <f t="shared" si="30"/>
        <v>718.96199999999999</v>
      </c>
      <c r="K143">
        <v>695.89</v>
      </c>
      <c r="L143" s="10">
        <f t="shared" si="31"/>
        <v>695.04200000000003</v>
      </c>
      <c r="M143" s="10">
        <v>8.61</v>
      </c>
      <c r="N143">
        <v>458.87</v>
      </c>
      <c r="O143">
        <f t="shared" si="32"/>
        <v>466.63200000000001</v>
      </c>
      <c r="P143">
        <v>458.87</v>
      </c>
      <c r="Q143">
        <v>0.85499999999999998</v>
      </c>
      <c r="R143">
        <v>4.4499999999999998E-2</v>
      </c>
      <c r="S143" s="6">
        <v>41806</v>
      </c>
      <c r="T143" s="6">
        <v>41809</v>
      </c>
      <c r="U143" s="15">
        <v>2</v>
      </c>
      <c r="V143" s="17">
        <f t="shared" si="33"/>
        <v>0.84799999999999998</v>
      </c>
      <c r="W143" s="17">
        <f t="shared" si="34"/>
        <v>0.6602047070536744</v>
      </c>
      <c r="X143" s="17">
        <f t="shared" si="35"/>
        <v>474.66209659272386</v>
      </c>
      <c r="Y143" s="17">
        <f t="shared" si="36"/>
        <v>33.979529294632556</v>
      </c>
    </row>
    <row r="144" spans="1:26" ht="15.75" customHeight="1" x14ac:dyDescent="0.2">
      <c r="A144" s="4" t="s">
        <v>353</v>
      </c>
      <c r="B144" s="10" t="s">
        <v>629</v>
      </c>
      <c r="C144" s="4" t="s">
        <v>354</v>
      </c>
      <c r="D144" s="6">
        <v>41806</v>
      </c>
      <c r="F144" s="10" t="s">
        <v>516</v>
      </c>
      <c r="G144" s="10" t="s">
        <v>703</v>
      </c>
      <c r="H144">
        <v>18.489999999999998</v>
      </c>
      <c r="I144">
        <v>546.13</v>
      </c>
      <c r="J144">
        <f t="shared" si="30"/>
        <v>563.77200000000005</v>
      </c>
      <c r="K144">
        <v>538.83000000000004</v>
      </c>
      <c r="L144" s="10">
        <f t="shared" si="31"/>
        <v>537.98200000000008</v>
      </c>
      <c r="M144" s="10">
        <v>15.12</v>
      </c>
      <c r="N144">
        <v>333.69</v>
      </c>
      <c r="O144">
        <f t="shared" si="32"/>
        <v>347.96199999999999</v>
      </c>
      <c r="P144">
        <f>N144-0.81</f>
        <v>332.88</v>
      </c>
      <c r="Q144">
        <v>0.81599999999999995</v>
      </c>
      <c r="R144">
        <v>5.2999999999999999E-2</v>
      </c>
      <c r="S144" s="6">
        <v>41806</v>
      </c>
      <c r="T144" s="6">
        <v>41809</v>
      </c>
      <c r="U144" s="15">
        <v>2</v>
      </c>
      <c r="V144" s="17">
        <f t="shared" si="33"/>
        <v>0.84799999999999998</v>
      </c>
      <c r="W144" s="17">
        <f t="shared" si="34"/>
        <v>0.62026238796093536</v>
      </c>
      <c r="X144" s="17">
        <f t="shared" si="35"/>
        <v>349.68656698551246</v>
      </c>
      <c r="Y144" s="17">
        <f t="shared" si="36"/>
        <v>37.973761203906456</v>
      </c>
    </row>
    <row r="145" spans="1:26" ht="15.75" customHeight="1" x14ac:dyDescent="0.2">
      <c r="A145" s="4" t="s">
        <v>355</v>
      </c>
      <c r="B145" s="10" t="s">
        <v>630</v>
      </c>
      <c r="C145" s="4" t="s">
        <v>356</v>
      </c>
      <c r="D145" s="6">
        <v>41806</v>
      </c>
      <c r="F145" s="10" t="s">
        <v>514</v>
      </c>
      <c r="G145" s="10" t="s">
        <v>515</v>
      </c>
      <c r="H145">
        <v>0.75</v>
      </c>
      <c r="I145">
        <v>481.4</v>
      </c>
      <c r="J145">
        <f t="shared" si="30"/>
        <v>481.726</v>
      </c>
      <c r="K145">
        <v>463.04</v>
      </c>
      <c r="L145" s="10">
        <f t="shared" si="31"/>
        <v>462.61600000000004</v>
      </c>
      <c r="M145" s="10">
        <v>0.64</v>
      </c>
      <c r="N145">
        <v>135.91</v>
      </c>
      <c r="O145">
        <f t="shared" si="32"/>
        <v>136.12599999999998</v>
      </c>
      <c r="P145">
        <f>N145-0.38</f>
        <v>135.53</v>
      </c>
      <c r="Q145">
        <v>0.41899999999999998</v>
      </c>
      <c r="R145">
        <v>0.42099999999999999</v>
      </c>
      <c r="S145" s="6">
        <v>41809</v>
      </c>
      <c r="T145" s="6">
        <v>41813</v>
      </c>
      <c r="U145" s="15">
        <v>1</v>
      </c>
      <c r="V145" s="17">
        <f t="shared" si="33"/>
        <v>0.42399999999999999</v>
      </c>
      <c r="W145" s="17">
        <f t="shared" si="34"/>
        <v>0.29378577481107437</v>
      </c>
      <c r="X145" s="17">
        <f t="shared" si="35"/>
        <v>141.52424615663961</v>
      </c>
      <c r="Y145" s="17">
        <f t="shared" si="36"/>
        <v>70.621422518892558</v>
      </c>
    </row>
    <row r="146" spans="1:26" ht="15.75" customHeight="1" x14ac:dyDescent="0.2">
      <c r="A146" s="4" t="s">
        <v>748</v>
      </c>
      <c r="B146" s="10" t="s">
        <v>322</v>
      </c>
      <c r="C146" s="4" t="s">
        <v>357</v>
      </c>
      <c r="D146" s="6">
        <v>41806</v>
      </c>
      <c r="F146" s="10" t="s">
        <v>514</v>
      </c>
      <c r="G146" s="10" t="s">
        <v>515</v>
      </c>
      <c r="H146">
        <v>32.46</v>
      </c>
      <c r="I146">
        <v>281.27</v>
      </c>
      <c r="J146">
        <f t="shared" si="30"/>
        <v>312.88199999999995</v>
      </c>
      <c r="K146">
        <v>273.64999999999998</v>
      </c>
      <c r="L146" s="10">
        <f t="shared" si="31"/>
        <v>272.80199999999996</v>
      </c>
      <c r="M146" s="10">
        <v>24.95</v>
      </c>
      <c r="N146" s="10">
        <v>167.94</v>
      </c>
      <c r="O146">
        <f t="shared" si="32"/>
        <v>192.04199999999997</v>
      </c>
      <c r="P146">
        <v>167.94</v>
      </c>
      <c r="Q146">
        <v>0.314</v>
      </c>
      <c r="R146">
        <v>0.05</v>
      </c>
      <c r="T146" s="6">
        <v>41820</v>
      </c>
      <c r="U146" s="15">
        <v>2</v>
      </c>
      <c r="V146" s="17">
        <f t="shared" si="33"/>
        <v>0.84799999999999998</v>
      </c>
      <c r="W146" s="17">
        <f t="shared" si="34"/>
        <v>0.61561132249763573</v>
      </c>
      <c r="X146" s="17">
        <f t="shared" si="35"/>
        <v>192.61370180570523</v>
      </c>
      <c r="Y146" s="17">
        <f t="shared" si="36"/>
        <v>38.438867750236426</v>
      </c>
    </row>
    <row r="147" spans="1:26" ht="15.75" customHeight="1" x14ac:dyDescent="0.2">
      <c r="A147" s="4" t="s">
        <v>358</v>
      </c>
      <c r="B147" s="10" t="s">
        <v>590</v>
      </c>
      <c r="C147" s="4" t="s">
        <v>359</v>
      </c>
      <c r="D147" s="6">
        <v>41806</v>
      </c>
      <c r="F147" s="10" t="s">
        <v>514</v>
      </c>
      <c r="G147" s="10" t="s">
        <v>515</v>
      </c>
      <c r="H147">
        <v>125.27</v>
      </c>
      <c r="I147">
        <v>379.14</v>
      </c>
      <c r="J147">
        <f t="shared" si="30"/>
        <v>503.56199999999995</v>
      </c>
      <c r="K147">
        <v>371.22</v>
      </c>
      <c r="L147" s="10">
        <f t="shared" si="31"/>
        <v>370.37200000000001</v>
      </c>
      <c r="M147" s="10">
        <v>81.75</v>
      </c>
      <c r="N147" s="10">
        <v>193.95</v>
      </c>
      <c r="O147">
        <f t="shared" si="32"/>
        <v>274.85199999999998</v>
      </c>
      <c r="P147">
        <v>193.95</v>
      </c>
      <c r="Q147">
        <v>0.48399999999999999</v>
      </c>
      <c r="R147">
        <v>1.2999999999999999E-2</v>
      </c>
      <c r="T147" s="6">
        <v>41820</v>
      </c>
      <c r="U147" s="15">
        <v>2</v>
      </c>
      <c r="V147" s="17">
        <f t="shared" si="33"/>
        <v>0.84799999999999998</v>
      </c>
      <c r="W147" s="17">
        <f t="shared" si="34"/>
        <v>0.52366269588413805</v>
      </c>
      <c r="X147" s="17">
        <f t="shared" si="35"/>
        <v>263.69663446480831</v>
      </c>
      <c r="Y147" s="17">
        <f t="shared" si="36"/>
        <v>47.633730411586193</v>
      </c>
    </row>
    <row r="148" spans="1:26" ht="15.75" customHeight="1" x14ac:dyDescent="0.2">
      <c r="A148" s="4" t="s">
        <v>563</v>
      </c>
      <c r="B148" s="11" t="s">
        <v>198</v>
      </c>
      <c r="C148" s="4" t="s">
        <v>322</v>
      </c>
      <c r="D148" s="6">
        <v>41803</v>
      </c>
      <c r="F148" t="s">
        <v>516</v>
      </c>
      <c r="G148" t="s">
        <v>696</v>
      </c>
      <c r="H148">
        <v>156.52000000000001</v>
      </c>
      <c r="I148">
        <v>417.24</v>
      </c>
      <c r="J148">
        <f t="shared" si="30"/>
        <v>572.91200000000003</v>
      </c>
      <c r="K148">
        <v>408.33</v>
      </c>
      <c r="L148" s="10">
        <f t="shared" si="31"/>
        <v>407.48199999999997</v>
      </c>
      <c r="M148" s="10">
        <v>70.45</v>
      </c>
      <c r="N148">
        <v>197.55</v>
      </c>
      <c r="O148">
        <f t="shared" si="32"/>
        <v>267.15199999999999</v>
      </c>
      <c r="P148">
        <v>197.55</v>
      </c>
      <c r="Q148">
        <v>0.49249999999999999</v>
      </c>
      <c r="R148">
        <v>1.4E-2</v>
      </c>
      <c r="S148" s="6">
        <v>41806</v>
      </c>
      <c r="T148" s="6">
        <v>41809</v>
      </c>
      <c r="U148" s="15">
        <v>2</v>
      </c>
      <c r="V148" s="17">
        <f t="shared" si="33"/>
        <v>0.84799999999999998</v>
      </c>
      <c r="W148" s="17">
        <f t="shared" si="34"/>
        <v>0.48480669084769396</v>
      </c>
      <c r="X148" s="17">
        <f t="shared" si="35"/>
        <v>277.75157086693406</v>
      </c>
      <c r="Y148" s="17">
        <f t="shared" si="36"/>
        <v>51.519330915230611</v>
      </c>
    </row>
    <row r="149" spans="1:26" ht="15.75" customHeight="1" x14ac:dyDescent="0.2">
      <c r="A149" s="4" t="s">
        <v>360</v>
      </c>
      <c r="B149" s="10" t="s">
        <v>564</v>
      </c>
      <c r="C149" s="4" t="s">
        <v>361</v>
      </c>
      <c r="D149" s="6">
        <v>41806</v>
      </c>
      <c r="F149" s="10" t="s">
        <v>514</v>
      </c>
      <c r="G149" s="10" t="s">
        <v>515</v>
      </c>
      <c r="H149">
        <v>68.81</v>
      </c>
      <c r="I149">
        <v>370.3</v>
      </c>
      <c r="J149">
        <f t="shared" si="30"/>
        <v>438.262</v>
      </c>
      <c r="K149">
        <v>355.95</v>
      </c>
      <c r="L149" s="10">
        <f t="shared" si="31"/>
        <v>355.10199999999998</v>
      </c>
      <c r="M149" s="10">
        <v>46.75</v>
      </c>
      <c r="N149" s="10">
        <v>210.22</v>
      </c>
      <c r="O149">
        <f t="shared" si="32"/>
        <v>256.12200000000001</v>
      </c>
      <c r="P149">
        <v>209.32</v>
      </c>
      <c r="Q149">
        <v>0.42499999999999999</v>
      </c>
      <c r="R149">
        <v>4.3999999999999997E-2</v>
      </c>
      <c r="T149" s="6">
        <v>41820</v>
      </c>
      <c r="U149" s="15">
        <v>2</v>
      </c>
      <c r="V149" s="17">
        <f t="shared" si="33"/>
        <v>0.84799999999999998</v>
      </c>
      <c r="W149" s="17">
        <f t="shared" si="34"/>
        <v>0.59199891862056542</v>
      </c>
      <c r="X149" s="17">
        <f t="shared" si="35"/>
        <v>259.45063007248626</v>
      </c>
      <c r="Y149" s="17">
        <f t="shared" si="36"/>
        <v>40.800108137943461</v>
      </c>
    </row>
    <row r="150" spans="1:26" ht="15.75" customHeight="1" x14ac:dyDescent="0.2">
      <c r="A150" s="4" t="s">
        <v>362</v>
      </c>
      <c r="B150" s="10" t="s">
        <v>9</v>
      </c>
      <c r="C150" s="4" t="s">
        <v>363</v>
      </c>
      <c r="D150" s="6">
        <v>41806</v>
      </c>
      <c r="F150" s="10" t="s">
        <v>516</v>
      </c>
      <c r="G150" s="10" t="s">
        <v>665</v>
      </c>
      <c r="H150">
        <v>70.209999999999994</v>
      </c>
      <c r="I150">
        <v>266.25</v>
      </c>
      <c r="J150">
        <f t="shared" si="30"/>
        <v>335.61199999999997</v>
      </c>
      <c r="K150">
        <v>260.07</v>
      </c>
      <c r="L150" s="10">
        <f t="shared" si="31"/>
        <v>259.22199999999998</v>
      </c>
      <c r="M150" s="10">
        <v>48.7</v>
      </c>
      <c r="N150">
        <v>173.04</v>
      </c>
      <c r="O150">
        <f t="shared" si="32"/>
        <v>220.892</v>
      </c>
      <c r="P150">
        <v>173.04</v>
      </c>
      <c r="Q150">
        <v>0.3125</v>
      </c>
      <c r="R150">
        <v>1.4E-2</v>
      </c>
      <c r="S150" s="6">
        <v>41806</v>
      </c>
      <c r="T150" s="6">
        <v>41809</v>
      </c>
      <c r="U150" s="15">
        <v>2</v>
      </c>
      <c r="V150" s="17">
        <f t="shared" si="33"/>
        <v>0.84799999999999998</v>
      </c>
      <c r="W150" s="17">
        <f t="shared" si="34"/>
        <v>0.66753593445000814</v>
      </c>
      <c r="X150" s="17">
        <f t="shared" si="35"/>
        <v>224.03307003263612</v>
      </c>
      <c r="Y150" s="17">
        <f t="shared" si="36"/>
        <v>33.246406554999183</v>
      </c>
      <c r="Z150" s="19" t="s">
        <v>705</v>
      </c>
    </row>
    <row r="151" spans="1:26" ht="15.75" customHeight="1" x14ac:dyDescent="0.2">
      <c r="A151" s="4" t="s">
        <v>559</v>
      </c>
      <c r="B151" s="11" t="s">
        <v>632</v>
      </c>
      <c r="C151" s="4" t="s">
        <v>322</v>
      </c>
      <c r="D151" s="6">
        <v>41803</v>
      </c>
      <c r="F151" t="s">
        <v>516</v>
      </c>
      <c r="G151" t="s">
        <v>696</v>
      </c>
      <c r="H151">
        <v>391.76</v>
      </c>
      <c r="I151">
        <v>551.29</v>
      </c>
      <c r="J151">
        <f t="shared" si="30"/>
        <v>942.202</v>
      </c>
      <c r="K151">
        <v>540.63</v>
      </c>
      <c r="L151" s="10">
        <f t="shared" si="31"/>
        <v>539.78200000000004</v>
      </c>
      <c r="M151" s="10">
        <v>196.22</v>
      </c>
      <c r="N151">
        <v>265.3</v>
      </c>
      <c r="O151">
        <f t="shared" si="32"/>
        <v>460.67199999999997</v>
      </c>
      <c r="P151">
        <f>N151-0.17</f>
        <v>265.13</v>
      </c>
      <c r="Q151">
        <v>0.61099999999999999</v>
      </c>
      <c r="R151">
        <v>3.2000000000000001E-2</v>
      </c>
      <c r="S151" s="6">
        <v>41806</v>
      </c>
      <c r="T151" s="6">
        <v>41809</v>
      </c>
      <c r="U151" s="15">
        <v>2</v>
      </c>
      <c r="V151" s="17">
        <f t="shared" si="33"/>
        <v>0.84799999999999998</v>
      </c>
      <c r="W151" s="17">
        <f t="shared" si="34"/>
        <v>0.491494714532904</v>
      </c>
      <c r="X151" s="17">
        <f t="shared" si="35"/>
        <v>463.08730302233118</v>
      </c>
      <c r="Y151" s="17">
        <f t="shared" si="36"/>
        <v>50.850528546709597</v>
      </c>
    </row>
    <row r="152" spans="1:26" ht="15.75" customHeight="1" x14ac:dyDescent="0.2">
      <c r="A152" s="4" t="s">
        <v>364</v>
      </c>
      <c r="B152" s="10" t="s">
        <v>599</v>
      </c>
      <c r="C152" s="4" t="s">
        <v>365</v>
      </c>
      <c r="D152" s="6">
        <v>41806</v>
      </c>
      <c r="F152" s="10" t="s">
        <v>516</v>
      </c>
      <c r="G152" s="10" t="s">
        <v>666</v>
      </c>
      <c r="H152">
        <v>29</v>
      </c>
      <c r="I152">
        <v>499.54</v>
      </c>
      <c r="J152">
        <f t="shared" si="30"/>
        <v>527.69200000000001</v>
      </c>
      <c r="K152">
        <v>491.13</v>
      </c>
      <c r="L152" s="10">
        <f t="shared" si="31"/>
        <v>490.28199999999998</v>
      </c>
      <c r="M152" s="10">
        <v>17.23</v>
      </c>
      <c r="N152">
        <v>360.06</v>
      </c>
      <c r="O152">
        <f t="shared" si="32"/>
        <v>376.44200000000001</v>
      </c>
      <c r="P152">
        <f>N152-0.05</f>
        <v>360.01</v>
      </c>
      <c r="Q152">
        <v>0.70050000000000001</v>
      </c>
      <c r="R152">
        <v>2.3E-2</v>
      </c>
      <c r="S152" s="6">
        <v>41809</v>
      </c>
      <c r="T152" s="6">
        <v>41813</v>
      </c>
      <c r="U152" s="15">
        <v>2</v>
      </c>
      <c r="V152" s="17">
        <f t="shared" si="33"/>
        <v>0.84799999999999998</v>
      </c>
      <c r="W152" s="17">
        <f t="shared" si="34"/>
        <v>0.73439367547656254</v>
      </c>
      <c r="X152" s="17">
        <f t="shared" si="35"/>
        <v>387.53366739957823</v>
      </c>
      <c r="Y152" s="17">
        <f t="shared" si="36"/>
        <v>26.560632452343754</v>
      </c>
    </row>
    <row r="153" spans="1:26" ht="15.75" customHeight="1" x14ac:dyDescent="0.2">
      <c r="A153" s="4" t="s">
        <v>366</v>
      </c>
      <c r="B153" s="10" t="s">
        <v>706</v>
      </c>
      <c r="C153" s="4" t="s">
        <v>367</v>
      </c>
      <c r="D153" s="6">
        <v>41806</v>
      </c>
      <c r="F153" s="10" t="s">
        <v>514</v>
      </c>
      <c r="G153" s="10" t="s">
        <v>515</v>
      </c>
      <c r="H153">
        <v>5.42</v>
      </c>
      <c r="I153">
        <v>144.36000000000001</v>
      </c>
      <c r="J153">
        <f t="shared" si="30"/>
        <v>148.93199999999999</v>
      </c>
      <c r="K153">
        <v>135.72</v>
      </c>
      <c r="L153" s="10">
        <f t="shared" si="31"/>
        <v>134.87199999999999</v>
      </c>
      <c r="M153" s="10">
        <v>4.57</v>
      </c>
      <c r="N153" s="10">
        <v>91.99</v>
      </c>
      <c r="O153">
        <f t="shared" si="32"/>
        <v>95.712000000000003</v>
      </c>
      <c r="P153">
        <v>89.44</v>
      </c>
      <c r="Q153">
        <v>0.19750000000000001</v>
      </c>
      <c r="R153">
        <v>1.95E-2</v>
      </c>
      <c r="T153" s="6">
        <v>41820</v>
      </c>
      <c r="U153" s="15">
        <v>2</v>
      </c>
      <c r="V153" s="17">
        <f t="shared" si="33"/>
        <v>0.84799999999999998</v>
      </c>
      <c r="W153" s="17">
        <f t="shared" si="34"/>
        <v>0.68205409573521569</v>
      </c>
      <c r="X153" s="17">
        <f t="shared" si="35"/>
        <v>101.57968058603714</v>
      </c>
      <c r="Y153" s="17">
        <f t="shared" si="36"/>
        <v>31.794590426478436</v>
      </c>
      <c r="Z153" s="19" t="s">
        <v>657</v>
      </c>
    </row>
    <row r="154" spans="1:26" ht="15.75" customHeight="1" x14ac:dyDescent="0.2">
      <c r="A154" s="4" t="s">
        <v>384</v>
      </c>
      <c r="B154" s="10" t="s">
        <v>568</v>
      </c>
      <c r="C154" s="4" t="s">
        <v>385</v>
      </c>
      <c r="D154" s="6">
        <v>41807</v>
      </c>
      <c r="F154" t="s">
        <v>516</v>
      </c>
      <c r="G154" t="s">
        <v>710</v>
      </c>
      <c r="H154">
        <v>23.67</v>
      </c>
      <c r="I154">
        <v>424.28</v>
      </c>
      <c r="J154">
        <f t="shared" si="30"/>
        <v>447.95</v>
      </c>
      <c r="K154">
        <v>407.92</v>
      </c>
      <c r="L154" s="10">
        <f t="shared" si="31"/>
        <v>407.92</v>
      </c>
      <c r="M154" s="10">
        <v>13.26</v>
      </c>
      <c r="N154">
        <v>80.959999999999994</v>
      </c>
      <c r="O154">
        <f t="shared" si="32"/>
        <v>94.22</v>
      </c>
      <c r="P154">
        <f>N154-0.38</f>
        <v>80.58</v>
      </c>
      <c r="Q154">
        <v>0.42399999999999999</v>
      </c>
      <c r="R154">
        <v>5.2999999999999999E-2</v>
      </c>
      <c r="S154" s="6">
        <v>41809</v>
      </c>
      <c r="T154" s="6">
        <v>41813</v>
      </c>
      <c r="U154" s="15">
        <v>0</v>
      </c>
      <c r="V154" s="17">
        <f t="shared" si="33"/>
        <v>0</v>
      </c>
      <c r="W154" s="17">
        <f t="shared" si="34"/>
        <v>0.19847028829182189</v>
      </c>
      <c r="X154" s="17">
        <f t="shared" si="35"/>
        <v>88.904765640321614</v>
      </c>
      <c r="Y154" s="17">
        <f t="shared" si="36"/>
        <v>80.152971170817807</v>
      </c>
    </row>
    <row r="155" spans="1:26" ht="15.75" customHeight="1" x14ac:dyDescent="0.2">
      <c r="A155" s="4" t="s">
        <v>386</v>
      </c>
      <c r="B155" s="10" t="s">
        <v>604</v>
      </c>
      <c r="C155" s="4" t="s">
        <v>387</v>
      </c>
      <c r="D155" s="6">
        <v>41807</v>
      </c>
      <c r="F155" t="s">
        <v>514</v>
      </c>
      <c r="G155" t="s">
        <v>515</v>
      </c>
      <c r="H155">
        <v>5.7</v>
      </c>
      <c r="I155">
        <v>287.31</v>
      </c>
      <c r="J155">
        <f t="shared" si="30"/>
        <v>292.16199999999998</v>
      </c>
      <c r="K155">
        <v>277.45</v>
      </c>
      <c r="L155" s="10">
        <f t="shared" si="31"/>
        <v>276.60199999999998</v>
      </c>
      <c r="M155" s="10">
        <v>3.63</v>
      </c>
      <c r="N155" s="10">
        <v>70.39</v>
      </c>
      <c r="O155">
        <f t="shared" si="32"/>
        <v>73.171999999999997</v>
      </c>
      <c r="P155">
        <v>70.39</v>
      </c>
      <c r="Q155">
        <v>0.3085</v>
      </c>
      <c r="R155">
        <v>1.0999999999999999E-2</v>
      </c>
      <c r="T155" s="6">
        <v>41820</v>
      </c>
      <c r="U155" s="15">
        <v>2</v>
      </c>
      <c r="V155" s="17">
        <f t="shared" si="33"/>
        <v>0.84799999999999998</v>
      </c>
      <c r="W155" s="17">
        <f t="shared" si="34"/>
        <v>0.25448116788743397</v>
      </c>
      <c r="X155" s="17">
        <f t="shared" si="35"/>
        <v>74.349726972328483</v>
      </c>
      <c r="Y155" s="17">
        <f t="shared" si="36"/>
        <v>74.551883211256609</v>
      </c>
    </row>
    <row r="156" spans="1:26" ht="15.75" customHeight="1" x14ac:dyDescent="0.2">
      <c r="A156" s="4" t="s">
        <v>388</v>
      </c>
      <c r="B156" s="10" t="s">
        <v>633</v>
      </c>
      <c r="C156" s="4" t="s">
        <v>389</v>
      </c>
      <c r="D156" s="6">
        <v>41807</v>
      </c>
      <c r="F156" t="s">
        <v>514</v>
      </c>
      <c r="G156" t="s">
        <v>515</v>
      </c>
      <c r="H156">
        <v>29.38</v>
      </c>
      <c r="I156">
        <v>38.909999999999997</v>
      </c>
      <c r="J156">
        <f t="shared" si="30"/>
        <v>68.289999999999992</v>
      </c>
      <c r="K156">
        <v>31.7</v>
      </c>
      <c r="L156" s="10">
        <f t="shared" si="31"/>
        <v>31.7</v>
      </c>
      <c r="M156" s="10">
        <v>10.99</v>
      </c>
      <c r="N156" s="10">
        <v>9.07</v>
      </c>
      <c r="O156">
        <f t="shared" si="32"/>
        <v>20.060000000000002</v>
      </c>
      <c r="P156">
        <v>0.99</v>
      </c>
      <c r="Q156">
        <v>6.4999999999999997E-3</v>
      </c>
      <c r="R156">
        <v>5.0000000000000001E-4</v>
      </c>
      <c r="T156" s="6">
        <v>41820</v>
      </c>
      <c r="U156" s="15">
        <v>0</v>
      </c>
      <c r="V156" s="17">
        <f t="shared" si="33"/>
        <v>0</v>
      </c>
      <c r="W156" s="17">
        <f t="shared" si="34"/>
        <v>0.28611987381703474</v>
      </c>
      <c r="X156" s="17">
        <f t="shared" si="35"/>
        <v>19.539126182965301</v>
      </c>
      <c r="Y156" s="17">
        <f t="shared" si="36"/>
        <v>71.388012618296528</v>
      </c>
    </row>
    <row r="157" spans="1:26" ht="15.75" customHeight="1" x14ac:dyDescent="0.2">
      <c r="A157" s="4" t="s">
        <v>390</v>
      </c>
      <c r="B157" s="10" t="s">
        <v>607</v>
      </c>
      <c r="C157" s="4" t="s">
        <v>391</v>
      </c>
      <c r="D157" s="6">
        <v>41807</v>
      </c>
      <c r="F157" t="s">
        <v>514</v>
      </c>
      <c r="G157" t="s">
        <v>515</v>
      </c>
      <c r="H157">
        <v>0</v>
      </c>
      <c r="I157">
        <v>172.64</v>
      </c>
      <c r="J157">
        <f t="shared" si="30"/>
        <v>172.21599999999998</v>
      </c>
      <c r="K157">
        <v>164.47</v>
      </c>
      <c r="L157" s="10">
        <f t="shared" si="31"/>
        <v>164.04599999999999</v>
      </c>
      <c r="M157" s="10">
        <v>0</v>
      </c>
      <c r="N157">
        <v>48.7</v>
      </c>
      <c r="O157">
        <f t="shared" si="32"/>
        <v>48.276000000000003</v>
      </c>
      <c r="P157">
        <v>48.28</v>
      </c>
      <c r="Q157">
        <v>0.22900000000000001</v>
      </c>
      <c r="R157">
        <v>1.2999999999999999E-2</v>
      </c>
      <c r="T157" s="6">
        <v>41820</v>
      </c>
      <c r="U157" s="15">
        <v>1</v>
      </c>
      <c r="V157" s="17">
        <f t="shared" si="33"/>
        <v>0.42399999999999999</v>
      </c>
      <c r="W157" s="17">
        <f t="shared" si="34"/>
        <v>0.29686795167209201</v>
      </c>
      <c r="X157" s="17">
        <f t="shared" si="35"/>
        <v>51.12541116516099</v>
      </c>
      <c r="Y157" s="17">
        <f t="shared" si="36"/>
        <v>70.313204832790802</v>
      </c>
    </row>
    <row r="158" spans="1:26" ht="15.75" customHeight="1" x14ac:dyDescent="0.2">
      <c r="A158" s="4" t="s">
        <v>392</v>
      </c>
      <c r="B158" s="10" t="s">
        <v>589</v>
      </c>
      <c r="C158" s="4" t="s">
        <v>393</v>
      </c>
      <c r="D158" s="6">
        <v>41807</v>
      </c>
      <c r="F158" t="s">
        <v>514</v>
      </c>
      <c r="G158" t="s">
        <v>515</v>
      </c>
      <c r="H158">
        <v>10.74</v>
      </c>
      <c r="I158">
        <v>375.74</v>
      </c>
      <c r="J158">
        <f t="shared" si="30"/>
        <v>385.63200000000001</v>
      </c>
      <c r="K158">
        <v>368.17</v>
      </c>
      <c r="L158" s="10">
        <f t="shared" si="31"/>
        <v>367.322</v>
      </c>
      <c r="M158" s="10">
        <v>8.1999999999999993</v>
      </c>
      <c r="N158">
        <v>239.31</v>
      </c>
      <c r="O158">
        <f t="shared" si="32"/>
        <v>246.66199999999998</v>
      </c>
      <c r="P158">
        <f>N158-0.28</f>
        <v>239.03</v>
      </c>
      <c r="Q158">
        <v>0.70750000000000002</v>
      </c>
      <c r="R158">
        <v>2.35E-2</v>
      </c>
      <c r="S158" s="6">
        <v>41809</v>
      </c>
      <c r="T158" s="6">
        <v>41813</v>
      </c>
      <c r="U158" s="15">
        <v>2</v>
      </c>
      <c r="V158" s="17">
        <f t="shared" si="33"/>
        <v>0.84799999999999998</v>
      </c>
      <c r="W158" s="17">
        <f t="shared" si="34"/>
        <v>0.65149922955880668</v>
      </c>
      <c r="X158" s="17">
        <f t="shared" si="35"/>
        <v>251.23895089322176</v>
      </c>
      <c r="Y158" s="17">
        <f t="shared" si="36"/>
        <v>34.850077044119324</v>
      </c>
    </row>
    <row r="159" spans="1:26" ht="15.75" customHeight="1" x14ac:dyDescent="0.2">
      <c r="A159" s="4" t="s">
        <v>394</v>
      </c>
      <c r="B159" s="10" t="s">
        <v>634</v>
      </c>
      <c r="C159" s="4" t="s">
        <v>395</v>
      </c>
      <c r="D159" s="6">
        <v>41807</v>
      </c>
      <c r="F159" t="s">
        <v>514</v>
      </c>
      <c r="G159" t="s">
        <v>515</v>
      </c>
      <c r="H159">
        <v>29.3</v>
      </c>
      <c r="I159">
        <v>94.88</v>
      </c>
      <c r="J159">
        <f t="shared" si="30"/>
        <v>124.17999999999999</v>
      </c>
      <c r="K159">
        <v>85.22</v>
      </c>
      <c r="L159" s="10">
        <f t="shared" si="31"/>
        <v>85.22</v>
      </c>
      <c r="M159" s="10">
        <v>7.17</v>
      </c>
      <c r="N159" s="10">
        <v>13.47</v>
      </c>
      <c r="O159">
        <f t="shared" si="32"/>
        <v>20.64</v>
      </c>
      <c r="P159">
        <v>9.08</v>
      </c>
      <c r="Q159">
        <v>6.7000000000000004E-2</v>
      </c>
      <c r="R159">
        <v>5.4999999999999997E-3</v>
      </c>
      <c r="T159" s="6">
        <v>41820</v>
      </c>
      <c r="U159" s="15">
        <v>0</v>
      </c>
      <c r="V159" s="17">
        <f t="shared" si="33"/>
        <v>0</v>
      </c>
      <c r="W159" s="17">
        <f t="shared" si="34"/>
        <v>0.15806148791363531</v>
      </c>
      <c r="X159" s="17">
        <f t="shared" si="35"/>
        <v>19.628075569115232</v>
      </c>
      <c r="Y159" s="17">
        <f t="shared" si="36"/>
        <v>84.193851208636474</v>
      </c>
    </row>
    <row r="160" spans="1:26" ht="15.75" customHeight="1" x14ac:dyDescent="0.2">
      <c r="A160" s="4" t="s">
        <v>396</v>
      </c>
      <c r="B160" s="10" t="s">
        <v>555</v>
      </c>
      <c r="C160" s="4" t="s">
        <v>397</v>
      </c>
      <c r="D160" s="6">
        <v>41807</v>
      </c>
      <c r="F160" t="s">
        <v>514</v>
      </c>
      <c r="G160" t="s">
        <v>515</v>
      </c>
      <c r="H160">
        <v>55.91</v>
      </c>
      <c r="I160">
        <v>309.76</v>
      </c>
      <c r="J160">
        <f t="shared" si="30"/>
        <v>364.82199999999995</v>
      </c>
      <c r="K160">
        <v>304.61</v>
      </c>
      <c r="L160" s="10">
        <f t="shared" si="31"/>
        <v>303.762</v>
      </c>
      <c r="M160" s="10">
        <v>33.770000000000003</v>
      </c>
      <c r="N160" s="10">
        <v>183.92</v>
      </c>
      <c r="O160">
        <f t="shared" si="32"/>
        <v>216.84199999999998</v>
      </c>
      <c r="P160">
        <v>183.92</v>
      </c>
      <c r="Q160">
        <v>0.54100000000000004</v>
      </c>
      <c r="R160">
        <v>1.0500000000000001E-2</v>
      </c>
      <c r="T160" s="6">
        <v>41820</v>
      </c>
      <c r="U160" s="15">
        <v>2</v>
      </c>
      <c r="V160" s="17">
        <f t="shared" si="33"/>
        <v>0.84799999999999998</v>
      </c>
      <c r="W160" s="17">
        <f t="shared" si="34"/>
        <v>0.60547402242545145</v>
      </c>
      <c r="X160" s="17">
        <f t="shared" si="35"/>
        <v>220.89024380929803</v>
      </c>
      <c r="Y160" s="17">
        <f t="shared" si="36"/>
        <v>39.452597757454853</v>
      </c>
    </row>
    <row r="161" spans="1:26" ht="15.75" customHeight="1" x14ac:dyDescent="0.2">
      <c r="A161" s="4" t="s">
        <v>569</v>
      </c>
      <c r="B161" s="11" t="s">
        <v>638</v>
      </c>
      <c r="C161" s="4" t="s">
        <v>385</v>
      </c>
      <c r="D161" s="6">
        <v>41807</v>
      </c>
      <c r="F161" t="s">
        <v>516</v>
      </c>
      <c r="G161" t="s">
        <v>719</v>
      </c>
      <c r="H161">
        <v>53.78</v>
      </c>
      <c r="I161">
        <v>342.19</v>
      </c>
      <c r="J161">
        <f t="shared" si="30"/>
        <v>395.54600000000005</v>
      </c>
      <c r="K161">
        <v>328.96</v>
      </c>
      <c r="L161" s="10">
        <f t="shared" si="31"/>
        <v>328.536</v>
      </c>
      <c r="M161" s="10">
        <v>28</v>
      </c>
      <c r="N161">
        <v>79.08</v>
      </c>
      <c r="O161">
        <f t="shared" si="32"/>
        <v>106.65599999999999</v>
      </c>
      <c r="P161">
        <f>N161-0.11</f>
        <v>78.97</v>
      </c>
      <c r="Q161">
        <v>0.35799999999999998</v>
      </c>
      <c r="R161">
        <v>3.3500000000000002E-2</v>
      </c>
      <c r="S161" s="6">
        <v>41809</v>
      </c>
      <c r="T161" s="6">
        <v>41813</v>
      </c>
      <c r="U161" s="15">
        <v>1</v>
      </c>
      <c r="V161" s="17">
        <f t="shared" si="33"/>
        <v>0.42399999999999999</v>
      </c>
      <c r="W161" s="17">
        <f t="shared" si="34"/>
        <v>0.24070421506318943</v>
      </c>
      <c r="X161" s="17">
        <f t="shared" si="35"/>
        <v>95.209589451384332</v>
      </c>
      <c r="Y161" s="17">
        <f t="shared" si="36"/>
        <v>75.929578493681063</v>
      </c>
      <c r="Z161" s="12" t="s">
        <v>714</v>
      </c>
    </row>
    <row r="162" spans="1:26" ht="15.75" customHeight="1" x14ac:dyDescent="0.2">
      <c r="A162" s="4" t="s">
        <v>398</v>
      </c>
      <c r="B162" s="10" t="s">
        <v>598</v>
      </c>
      <c r="C162" s="4" t="s">
        <v>399</v>
      </c>
      <c r="D162" s="6">
        <v>41807</v>
      </c>
      <c r="F162" t="s">
        <v>516</v>
      </c>
      <c r="G162" t="s">
        <v>709</v>
      </c>
      <c r="H162">
        <v>0</v>
      </c>
      <c r="I162">
        <v>621.20000000000005</v>
      </c>
      <c r="J162">
        <f t="shared" ref="J162:J193" si="37">(H162+I162)-V162</f>
        <v>620.35200000000009</v>
      </c>
      <c r="K162">
        <v>606.21</v>
      </c>
      <c r="L162" s="10">
        <f t="shared" ref="L162:L193" si="38">K162-V162</f>
        <v>605.36200000000008</v>
      </c>
      <c r="M162" s="10">
        <v>0</v>
      </c>
      <c r="N162">
        <v>213.45</v>
      </c>
      <c r="O162">
        <f t="shared" ref="O162:O193" si="39">(M162+N162)-V162</f>
        <v>212.60199999999998</v>
      </c>
      <c r="P162">
        <f>N162-0.22</f>
        <v>213.23</v>
      </c>
      <c r="Q162">
        <v>0.95650000000000002</v>
      </c>
      <c r="R162">
        <v>7.4999999999999997E-2</v>
      </c>
      <c r="S162" s="6">
        <v>41809</v>
      </c>
      <c r="T162" s="6">
        <v>41813</v>
      </c>
      <c r="U162" s="15">
        <v>2</v>
      </c>
      <c r="V162" s="17">
        <f t="shared" ref="V162:V193" si="40">U162*0.424</f>
        <v>0.84799999999999998</v>
      </c>
      <c r="W162" s="17">
        <f t="shared" ref="W162:W186" si="41">N162/L162</f>
        <v>0.35259894079905901</v>
      </c>
      <c r="X162" s="17">
        <f t="shared" ref="X162:X193" si="42">W162*J162</f>
        <v>218.73545812257788</v>
      </c>
      <c r="Y162" s="17">
        <f t="shared" ref="Y162:Y186" si="43">(L162-N162)/L162*100</f>
        <v>64.740105920094109</v>
      </c>
    </row>
    <row r="163" spans="1:26" ht="15.75" customHeight="1" x14ac:dyDescent="0.2">
      <c r="A163" s="4" t="s">
        <v>400</v>
      </c>
      <c r="B163" s="10" t="s">
        <v>571</v>
      </c>
      <c r="C163" s="4" t="s">
        <v>401</v>
      </c>
      <c r="D163" s="6">
        <v>41807</v>
      </c>
      <c r="F163" t="s">
        <v>516</v>
      </c>
      <c r="G163" t="s">
        <v>712</v>
      </c>
      <c r="H163">
        <v>4.28</v>
      </c>
      <c r="I163">
        <v>261.11</v>
      </c>
      <c r="J163">
        <f t="shared" si="37"/>
        <v>264.54199999999997</v>
      </c>
      <c r="K163">
        <v>249.11</v>
      </c>
      <c r="L163" s="10">
        <f t="shared" si="38"/>
        <v>248.262</v>
      </c>
      <c r="M163" s="10">
        <v>1.32</v>
      </c>
      <c r="N163" s="10">
        <v>65.45</v>
      </c>
      <c r="O163">
        <f t="shared" si="39"/>
        <v>65.921999999999997</v>
      </c>
      <c r="P163">
        <v>62.85</v>
      </c>
      <c r="Q163">
        <v>0.27250000000000002</v>
      </c>
      <c r="R163">
        <v>1.4500000000000001E-2</v>
      </c>
      <c r="T163" s="6">
        <v>41820</v>
      </c>
      <c r="U163" s="15">
        <v>2</v>
      </c>
      <c r="V163" s="17">
        <f t="shared" si="40"/>
        <v>0.84799999999999998</v>
      </c>
      <c r="W163" s="17">
        <f t="shared" si="41"/>
        <v>0.26363277505216265</v>
      </c>
      <c r="X163" s="17">
        <f t="shared" si="42"/>
        <v>69.741941577849204</v>
      </c>
      <c r="Y163" s="17">
        <f t="shared" si="43"/>
        <v>73.63672249478374</v>
      </c>
    </row>
    <row r="164" spans="1:26" ht="15.75" customHeight="1" x14ac:dyDescent="0.2">
      <c r="A164" s="4" t="s">
        <v>402</v>
      </c>
      <c r="B164" s="10" t="s">
        <v>550</v>
      </c>
      <c r="C164" s="4" t="s">
        <v>403</v>
      </c>
      <c r="D164" s="6">
        <v>41807</v>
      </c>
      <c r="F164" t="s">
        <v>514</v>
      </c>
      <c r="G164" t="s">
        <v>515</v>
      </c>
      <c r="H164">
        <v>45.58</v>
      </c>
      <c r="I164">
        <v>678.97</v>
      </c>
      <c r="J164">
        <f t="shared" si="37"/>
        <v>723.70200000000011</v>
      </c>
      <c r="K164">
        <v>670.18</v>
      </c>
      <c r="L164" s="10">
        <f t="shared" si="38"/>
        <v>669.33199999999999</v>
      </c>
      <c r="M164" s="10">
        <v>23.3</v>
      </c>
      <c r="N164">
        <v>453.35</v>
      </c>
      <c r="O164">
        <f t="shared" si="39"/>
        <v>475.80200000000002</v>
      </c>
      <c r="P164">
        <f>N164-0.01</f>
        <v>453.34000000000003</v>
      </c>
      <c r="Q164">
        <v>0.80400000000000005</v>
      </c>
      <c r="R164">
        <v>2.7E-2</v>
      </c>
      <c r="S164" s="6">
        <v>41809</v>
      </c>
      <c r="T164" s="6">
        <v>41813</v>
      </c>
      <c r="U164" s="15">
        <v>2</v>
      </c>
      <c r="V164" s="17">
        <f t="shared" si="40"/>
        <v>0.84799999999999998</v>
      </c>
      <c r="W164" s="17">
        <f t="shared" si="41"/>
        <v>0.67731708628901655</v>
      </c>
      <c r="X164" s="17">
        <f t="shared" si="42"/>
        <v>490.17572998153395</v>
      </c>
      <c r="Y164" s="17">
        <f t="shared" si="43"/>
        <v>32.268291371098343</v>
      </c>
    </row>
    <row r="165" spans="1:26" ht="15.75" customHeight="1" x14ac:dyDescent="0.2">
      <c r="A165" s="4" t="s">
        <v>567</v>
      </c>
      <c r="B165" s="11" t="s">
        <v>616</v>
      </c>
      <c r="C165" s="4" t="s">
        <v>385</v>
      </c>
      <c r="D165" s="6">
        <v>41807</v>
      </c>
      <c r="F165" t="s">
        <v>514</v>
      </c>
      <c r="G165" t="s">
        <v>515</v>
      </c>
      <c r="H165">
        <v>0</v>
      </c>
      <c r="I165">
        <v>703.66</v>
      </c>
      <c r="J165">
        <f t="shared" si="37"/>
        <v>702.81200000000001</v>
      </c>
      <c r="K165">
        <v>695.82</v>
      </c>
      <c r="L165" s="10">
        <f t="shared" si="38"/>
        <v>694.97200000000009</v>
      </c>
      <c r="M165" s="10">
        <v>0</v>
      </c>
      <c r="N165">
        <v>423.06</v>
      </c>
      <c r="O165">
        <f t="shared" si="39"/>
        <v>422.21199999999999</v>
      </c>
      <c r="P165">
        <f>N165-0.12</f>
        <v>422.94</v>
      </c>
      <c r="Q165">
        <v>0.80249999999999999</v>
      </c>
      <c r="R165">
        <v>3.95E-2</v>
      </c>
      <c r="S165" s="6">
        <v>41809</v>
      </c>
      <c r="T165" s="6">
        <v>41813</v>
      </c>
      <c r="U165" s="15">
        <v>2</v>
      </c>
      <c r="V165" s="17">
        <f t="shared" si="40"/>
        <v>0.84799999999999998</v>
      </c>
      <c r="W165" s="17">
        <f t="shared" si="41"/>
        <v>0.60874394939652232</v>
      </c>
      <c r="X165" s="17">
        <f t="shared" si="42"/>
        <v>427.83255256326868</v>
      </c>
      <c r="Y165" s="17">
        <f t="shared" si="43"/>
        <v>39.125605060347759</v>
      </c>
      <c r="Z165" s="12" t="s">
        <v>714</v>
      </c>
    </row>
    <row r="166" spans="1:26" ht="15.75" customHeight="1" x14ac:dyDescent="0.2">
      <c r="A166" s="4" t="s">
        <v>404</v>
      </c>
      <c r="B166" s="10" t="s">
        <v>605</v>
      </c>
      <c r="C166" s="4" t="s">
        <v>405</v>
      </c>
      <c r="D166" s="6">
        <v>41807</v>
      </c>
      <c r="F166" t="s">
        <v>514</v>
      </c>
      <c r="G166" t="s">
        <v>515</v>
      </c>
      <c r="H166">
        <v>13.62</v>
      </c>
      <c r="I166">
        <v>31.45</v>
      </c>
      <c r="J166">
        <f t="shared" si="37"/>
        <v>45.07</v>
      </c>
      <c r="K166">
        <v>26.87</v>
      </c>
      <c r="L166" s="10">
        <f t="shared" si="38"/>
        <v>26.87</v>
      </c>
      <c r="M166" s="10">
        <v>4.29</v>
      </c>
      <c r="N166" s="10">
        <v>12.27</v>
      </c>
      <c r="O166">
        <f t="shared" si="39"/>
        <v>16.559999999999999</v>
      </c>
      <c r="P166">
        <v>11.99</v>
      </c>
      <c r="Q166">
        <v>2.3E-2</v>
      </c>
      <c r="R166">
        <v>1E-3</v>
      </c>
      <c r="T166" s="6">
        <v>41820</v>
      </c>
      <c r="U166" s="15">
        <v>0</v>
      </c>
      <c r="V166" s="17">
        <f t="shared" si="40"/>
        <v>0</v>
      </c>
      <c r="W166" s="17">
        <f t="shared" si="41"/>
        <v>0.45664309639002604</v>
      </c>
      <c r="X166" s="17">
        <f t="shared" si="42"/>
        <v>20.580904354298475</v>
      </c>
      <c r="Y166" s="17">
        <f t="shared" si="43"/>
        <v>54.335690360997404</v>
      </c>
    </row>
    <row r="167" spans="1:26" ht="15.75" customHeight="1" x14ac:dyDescent="0.2">
      <c r="A167" s="4" t="s">
        <v>406</v>
      </c>
      <c r="B167" s="10" t="s">
        <v>579</v>
      </c>
      <c r="C167" s="4" t="s">
        <v>407</v>
      </c>
      <c r="D167" s="6">
        <v>41807</v>
      </c>
      <c r="F167" t="s">
        <v>514</v>
      </c>
      <c r="G167" t="s">
        <v>515</v>
      </c>
      <c r="H167">
        <v>109.42</v>
      </c>
      <c r="I167">
        <v>256.48</v>
      </c>
      <c r="J167">
        <f t="shared" si="37"/>
        <v>365.05200000000002</v>
      </c>
      <c r="K167">
        <v>248.68</v>
      </c>
      <c r="L167" s="10">
        <f t="shared" si="38"/>
        <v>247.83199999999999</v>
      </c>
      <c r="M167" s="10">
        <v>65.709999999999994</v>
      </c>
      <c r="N167" s="10">
        <v>139.31</v>
      </c>
      <c r="O167">
        <f t="shared" si="39"/>
        <v>204.17199999999997</v>
      </c>
      <c r="P167">
        <v>139.25</v>
      </c>
      <c r="Q167">
        <v>0.38650000000000001</v>
      </c>
      <c r="R167">
        <v>7.4999999999999997E-3</v>
      </c>
      <c r="T167" s="6">
        <v>41820</v>
      </c>
      <c r="U167" s="15">
        <v>2</v>
      </c>
      <c r="V167" s="17">
        <f t="shared" si="40"/>
        <v>0.84799999999999998</v>
      </c>
      <c r="W167" s="17">
        <f t="shared" si="41"/>
        <v>0.56211465831692442</v>
      </c>
      <c r="X167" s="17">
        <f t="shared" si="42"/>
        <v>205.20108024790991</v>
      </c>
      <c r="Y167" s="17">
        <f t="shared" si="43"/>
        <v>43.788534168307564</v>
      </c>
    </row>
    <row r="168" spans="1:26" ht="15.75" customHeight="1" x14ac:dyDescent="0.2">
      <c r="A168" s="4" t="s">
        <v>557</v>
      </c>
      <c r="B168" s="11" t="s">
        <v>616</v>
      </c>
      <c r="C168" s="4" t="s">
        <v>385</v>
      </c>
      <c r="D168" s="6">
        <v>41807</v>
      </c>
      <c r="F168" t="s">
        <v>514</v>
      </c>
      <c r="G168" t="s">
        <v>515</v>
      </c>
      <c r="H168">
        <v>121.79</v>
      </c>
      <c r="I168">
        <v>466.82</v>
      </c>
      <c r="J168">
        <f t="shared" si="37"/>
        <v>587.76200000000006</v>
      </c>
      <c r="K168">
        <v>458.98</v>
      </c>
      <c r="L168" s="10">
        <f t="shared" si="38"/>
        <v>458.13200000000001</v>
      </c>
      <c r="M168" s="10">
        <v>61.28</v>
      </c>
      <c r="N168">
        <v>261.95999999999998</v>
      </c>
      <c r="O168">
        <f t="shared" si="39"/>
        <v>322.392</v>
      </c>
      <c r="P168">
        <f>N168-0.14</f>
        <v>261.82</v>
      </c>
      <c r="Q168">
        <v>0.6</v>
      </c>
      <c r="R168">
        <v>1.15E-2</v>
      </c>
      <c r="S168" s="6">
        <v>41809</v>
      </c>
      <c r="T168" s="6">
        <v>41813</v>
      </c>
      <c r="U168" s="15">
        <v>2</v>
      </c>
      <c r="V168" s="17">
        <f t="shared" si="40"/>
        <v>0.84799999999999998</v>
      </c>
      <c r="W168" s="17">
        <f t="shared" si="41"/>
        <v>0.57180026717190668</v>
      </c>
      <c r="X168" s="17">
        <f t="shared" si="42"/>
        <v>336.08246863349427</v>
      </c>
      <c r="Y168" s="17">
        <f t="shared" si="43"/>
        <v>42.819973282809329</v>
      </c>
      <c r="Z168" s="12" t="s">
        <v>714</v>
      </c>
    </row>
    <row r="169" spans="1:26" ht="15.75" customHeight="1" x14ac:dyDescent="0.2">
      <c r="A169" s="4" t="s">
        <v>408</v>
      </c>
      <c r="B169" s="10" t="s">
        <v>512</v>
      </c>
      <c r="C169" s="4" t="s">
        <v>409</v>
      </c>
      <c r="D169" s="6">
        <v>41807</v>
      </c>
      <c r="F169" t="s">
        <v>514</v>
      </c>
      <c r="G169" t="s">
        <v>515</v>
      </c>
      <c r="H169">
        <v>0</v>
      </c>
      <c r="I169">
        <v>462.21</v>
      </c>
      <c r="J169">
        <f t="shared" si="37"/>
        <v>461.36199999999997</v>
      </c>
      <c r="K169">
        <v>456.93</v>
      </c>
      <c r="L169" s="10">
        <f t="shared" si="38"/>
        <v>456.08199999999999</v>
      </c>
      <c r="M169" s="10">
        <v>0</v>
      </c>
      <c r="N169">
        <v>268</v>
      </c>
      <c r="O169">
        <f t="shared" si="39"/>
        <v>267.15199999999999</v>
      </c>
      <c r="P169">
        <f>N169-0.06</f>
        <v>267.94</v>
      </c>
      <c r="Q169">
        <v>0.57399999999999995</v>
      </c>
      <c r="R169">
        <v>4.2000000000000003E-2</v>
      </c>
      <c r="S169" s="6">
        <v>41809</v>
      </c>
      <c r="T169" s="6">
        <v>41813</v>
      </c>
      <c r="U169" s="15">
        <v>2</v>
      </c>
      <c r="V169" s="17">
        <f t="shared" si="40"/>
        <v>0.84799999999999998</v>
      </c>
      <c r="W169" s="17">
        <f t="shared" si="41"/>
        <v>0.58761363088216589</v>
      </c>
      <c r="X169" s="17">
        <f t="shared" si="42"/>
        <v>271.10259997105783</v>
      </c>
      <c r="Y169" s="17">
        <f t="shared" si="43"/>
        <v>41.238636911783402</v>
      </c>
    </row>
    <row r="170" spans="1:26" ht="15.75" customHeight="1" x14ac:dyDescent="0.2">
      <c r="A170" s="4" t="s">
        <v>410</v>
      </c>
      <c r="B170" s="10" t="s">
        <v>610</v>
      </c>
      <c r="C170" s="4" t="s">
        <v>411</v>
      </c>
      <c r="D170" s="6">
        <v>41807</v>
      </c>
      <c r="F170" t="s">
        <v>514</v>
      </c>
      <c r="G170" t="s">
        <v>515</v>
      </c>
      <c r="H170">
        <v>34.76</v>
      </c>
      <c r="I170">
        <v>541.05999999999995</v>
      </c>
      <c r="J170">
        <f t="shared" si="37"/>
        <v>575.39599999999996</v>
      </c>
      <c r="K170">
        <v>535.62</v>
      </c>
      <c r="L170" s="10">
        <f t="shared" si="38"/>
        <v>535.19600000000003</v>
      </c>
      <c r="M170" s="10">
        <v>22.86</v>
      </c>
      <c r="N170">
        <v>331.24</v>
      </c>
      <c r="O170">
        <f t="shared" si="39"/>
        <v>353.67600000000004</v>
      </c>
      <c r="P170">
        <f>N170-0.12</f>
        <v>331.12</v>
      </c>
      <c r="Q170">
        <v>0.80800000000000005</v>
      </c>
      <c r="R170">
        <v>1.15E-2</v>
      </c>
      <c r="S170" s="6">
        <v>41809</v>
      </c>
      <c r="T170" s="6">
        <v>41813</v>
      </c>
      <c r="U170" s="15">
        <v>1</v>
      </c>
      <c r="V170" s="17">
        <f t="shared" si="40"/>
        <v>0.42399999999999999</v>
      </c>
      <c r="W170" s="17">
        <f t="shared" si="41"/>
        <v>0.61891344479405674</v>
      </c>
      <c r="X170" s="17">
        <f t="shared" si="42"/>
        <v>356.12032048072103</v>
      </c>
      <c r="Y170" s="17">
        <f t="shared" si="43"/>
        <v>38.108655520594326</v>
      </c>
    </row>
    <row r="171" spans="1:26" ht="15.75" customHeight="1" x14ac:dyDescent="0.2">
      <c r="A171" s="4" t="s">
        <v>565</v>
      </c>
      <c r="B171" s="11" t="s">
        <v>639</v>
      </c>
      <c r="C171" s="4" t="s">
        <v>385</v>
      </c>
      <c r="D171" s="6">
        <v>41807</v>
      </c>
      <c r="F171" t="s">
        <v>516</v>
      </c>
      <c r="G171" t="s">
        <v>720</v>
      </c>
      <c r="H171">
        <v>6.94</v>
      </c>
      <c r="I171">
        <v>297.64</v>
      </c>
      <c r="J171">
        <f t="shared" si="37"/>
        <v>303.73199999999997</v>
      </c>
      <c r="K171">
        <v>290.60000000000002</v>
      </c>
      <c r="L171" s="10">
        <f t="shared" si="38"/>
        <v>289.75200000000001</v>
      </c>
      <c r="M171" s="10">
        <v>4.87</v>
      </c>
      <c r="N171">
        <v>181.89</v>
      </c>
      <c r="O171">
        <f t="shared" si="39"/>
        <v>185.91199999999998</v>
      </c>
      <c r="P171">
        <f>N171-0.17</f>
        <v>181.72</v>
      </c>
      <c r="Q171">
        <v>0.39700000000000002</v>
      </c>
      <c r="R171">
        <v>1.2999999999999999E-2</v>
      </c>
      <c r="S171" s="6">
        <v>41809</v>
      </c>
      <c r="T171" s="6">
        <v>41813</v>
      </c>
      <c r="U171" s="15">
        <v>2</v>
      </c>
      <c r="V171" s="17">
        <f t="shared" si="40"/>
        <v>0.84799999999999998</v>
      </c>
      <c r="W171" s="17">
        <f t="shared" si="41"/>
        <v>0.62774372566884773</v>
      </c>
      <c r="X171" s="17">
        <f t="shared" si="42"/>
        <v>190.66585728485043</v>
      </c>
      <c r="Y171" s="17">
        <f t="shared" si="43"/>
        <v>37.225627433115221</v>
      </c>
      <c r="Z171" s="12" t="s">
        <v>714</v>
      </c>
    </row>
    <row r="172" spans="1:26" ht="15.75" customHeight="1" x14ac:dyDescent="0.2">
      <c r="A172" s="4" t="s">
        <v>412</v>
      </c>
      <c r="B172" s="10" t="s">
        <v>584</v>
      </c>
      <c r="C172" s="4" t="s">
        <v>413</v>
      </c>
      <c r="D172" s="6">
        <v>41807</v>
      </c>
      <c r="F172" t="s">
        <v>514</v>
      </c>
      <c r="G172" t="s">
        <v>515</v>
      </c>
      <c r="H172">
        <v>43.45</v>
      </c>
      <c r="I172">
        <v>490.02</v>
      </c>
      <c r="J172">
        <f t="shared" si="37"/>
        <v>533.04600000000005</v>
      </c>
      <c r="K172">
        <v>480.93</v>
      </c>
      <c r="L172" s="10">
        <f t="shared" si="38"/>
        <v>480.50600000000003</v>
      </c>
      <c r="M172" s="10">
        <v>22.82</v>
      </c>
      <c r="N172">
        <v>303.27</v>
      </c>
      <c r="O172">
        <f t="shared" si="39"/>
        <v>325.666</v>
      </c>
      <c r="P172">
        <f>N172-0.17</f>
        <v>303.09999999999997</v>
      </c>
      <c r="Q172">
        <v>0.47799999999999998</v>
      </c>
      <c r="R172">
        <v>5.0999999999999997E-2</v>
      </c>
      <c r="S172" s="6">
        <v>41809</v>
      </c>
      <c r="T172" s="6">
        <v>41813</v>
      </c>
      <c r="U172" s="15">
        <v>1</v>
      </c>
      <c r="V172" s="17">
        <f t="shared" si="40"/>
        <v>0.42399999999999999</v>
      </c>
      <c r="W172" s="17">
        <f t="shared" si="41"/>
        <v>0.63114716569616192</v>
      </c>
      <c r="X172" s="17">
        <f t="shared" si="42"/>
        <v>336.43047208567634</v>
      </c>
      <c r="Y172" s="17">
        <f t="shared" si="43"/>
        <v>36.885283430383815</v>
      </c>
      <c r="Z172" s="12" t="s">
        <v>740</v>
      </c>
    </row>
    <row r="173" spans="1:26" ht="15.75" customHeight="1" x14ac:dyDescent="0.2">
      <c r="A173" s="4" t="s">
        <v>561</v>
      </c>
      <c r="B173" s="11" t="s">
        <v>640</v>
      </c>
      <c r="C173" s="4" t="s">
        <v>385</v>
      </c>
      <c r="D173" s="6">
        <v>41807</v>
      </c>
      <c r="F173" t="s">
        <v>514</v>
      </c>
      <c r="G173" t="s">
        <v>515</v>
      </c>
      <c r="H173">
        <v>32.4</v>
      </c>
      <c r="I173">
        <v>691.87</v>
      </c>
      <c r="J173">
        <f t="shared" si="37"/>
        <v>723.42200000000003</v>
      </c>
      <c r="K173">
        <v>681.84</v>
      </c>
      <c r="L173" s="10">
        <f t="shared" si="38"/>
        <v>680.99200000000008</v>
      </c>
      <c r="M173" s="10">
        <v>18.23</v>
      </c>
      <c r="N173">
        <v>438.91</v>
      </c>
      <c r="O173">
        <f t="shared" si="39"/>
        <v>456.29200000000003</v>
      </c>
      <c r="P173">
        <f>N173-0.23</f>
        <v>438.68</v>
      </c>
      <c r="Q173">
        <v>0.65700000000000003</v>
      </c>
      <c r="R173">
        <v>2.1000000000000001E-2</v>
      </c>
      <c r="S173" s="6">
        <v>41809</v>
      </c>
      <c r="T173" s="6">
        <v>41813</v>
      </c>
      <c r="U173" s="15">
        <v>2</v>
      </c>
      <c r="V173" s="17">
        <f t="shared" si="40"/>
        <v>0.84799999999999998</v>
      </c>
      <c r="W173" s="17">
        <f t="shared" si="41"/>
        <v>0.64451564776091341</v>
      </c>
      <c r="X173" s="17">
        <f t="shared" si="42"/>
        <v>466.25679893449552</v>
      </c>
      <c r="Y173" s="17">
        <f t="shared" si="43"/>
        <v>35.548435223908655</v>
      </c>
      <c r="Z173" s="12" t="s">
        <v>714</v>
      </c>
    </row>
    <row r="174" spans="1:26" ht="15.75" customHeight="1" x14ac:dyDescent="0.2">
      <c r="A174" s="4" t="s">
        <v>414</v>
      </c>
      <c r="B174" s="10" t="s">
        <v>574</v>
      </c>
      <c r="C174" s="4" t="s">
        <v>415</v>
      </c>
      <c r="D174" s="6">
        <v>41807</v>
      </c>
      <c r="F174" t="s">
        <v>514</v>
      </c>
      <c r="G174" t="s">
        <v>515</v>
      </c>
      <c r="H174">
        <v>121.1</v>
      </c>
      <c r="I174">
        <v>398.88</v>
      </c>
      <c r="J174">
        <f t="shared" si="37"/>
        <v>519.13200000000006</v>
      </c>
      <c r="K174">
        <v>393.4</v>
      </c>
      <c r="L174" s="10">
        <f t="shared" si="38"/>
        <v>392.55199999999996</v>
      </c>
      <c r="M174" s="10">
        <v>76.86</v>
      </c>
      <c r="N174">
        <v>199.58</v>
      </c>
      <c r="O174">
        <f t="shared" si="39"/>
        <v>275.59199999999998</v>
      </c>
      <c r="P174">
        <f>N174-0.25</f>
        <v>199.33</v>
      </c>
      <c r="Q174">
        <v>0.66500000000000004</v>
      </c>
      <c r="R174">
        <v>0.23599999999999999</v>
      </c>
      <c r="S174" s="6">
        <v>41809</v>
      </c>
      <c r="T174" s="6">
        <v>41813</v>
      </c>
      <c r="U174" s="15">
        <v>2</v>
      </c>
      <c r="V174" s="17">
        <f t="shared" si="40"/>
        <v>0.84799999999999998</v>
      </c>
      <c r="W174" s="17">
        <f t="shared" si="41"/>
        <v>0.50841671931361965</v>
      </c>
      <c r="X174" s="17">
        <f t="shared" si="42"/>
        <v>263.93538833071801</v>
      </c>
      <c r="Y174" s="17">
        <f t="shared" si="43"/>
        <v>49.158328068638028</v>
      </c>
      <c r="Z174" s="12" t="s">
        <v>713</v>
      </c>
    </row>
    <row r="175" spans="1:26" ht="15.75" customHeight="1" x14ac:dyDescent="0.2">
      <c r="A175" s="4" t="s">
        <v>560</v>
      </c>
      <c r="B175" s="11" t="s">
        <v>590</v>
      </c>
      <c r="C175" s="4" t="s">
        <v>385</v>
      </c>
      <c r="D175" s="6">
        <v>41807</v>
      </c>
      <c r="F175" t="s">
        <v>516</v>
      </c>
      <c r="G175" t="s">
        <v>721</v>
      </c>
      <c r="H175">
        <v>7.7</v>
      </c>
      <c r="I175">
        <v>263.79000000000002</v>
      </c>
      <c r="J175">
        <f t="shared" si="37"/>
        <v>270.642</v>
      </c>
      <c r="K175">
        <v>257.88</v>
      </c>
      <c r="L175" s="10">
        <f t="shared" si="38"/>
        <v>257.03199999999998</v>
      </c>
      <c r="N175">
        <v>177.26</v>
      </c>
      <c r="O175">
        <f t="shared" si="39"/>
        <v>176.41199999999998</v>
      </c>
      <c r="P175">
        <f>N175-0.39</f>
        <v>176.87</v>
      </c>
      <c r="Q175">
        <v>0.42149999999999999</v>
      </c>
      <c r="R175">
        <v>2.8000000000000001E-2</v>
      </c>
      <c r="S175" s="6">
        <v>41809</v>
      </c>
      <c r="T175" s="6">
        <v>41813</v>
      </c>
      <c r="U175" s="15">
        <v>2</v>
      </c>
      <c r="V175" s="17">
        <f t="shared" si="40"/>
        <v>0.84799999999999998</v>
      </c>
      <c r="W175" s="17">
        <f t="shared" si="41"/>
        <v>0.68964175666843042</v>
      </c>
      <c r="X175" s="17">
        <f t="shared" si="42"/>
        <v>186.64602430825735</v>
      </c>
      <c r="Y175" s="17">
        <f t="shared" si="43"/>
        <v>31.03582433315696</v>
      </c>
      <c r="Z175" s="12" t="s">
        <v>714</v>
      </c>
    </row>
    <row r="176" spans="1:26" ht="15.75" customHeight="1" x14ac:dyDescent="0.2">
      <c r="A176" s="4" t="s">
        <v>416</v>
      </c>
      <c r="B176" s="10" t="s">
        <v>635</v>
      </c>
      <c r="C176" s="4" t="s">
        <v>417</v>
      </c>
      <c r="D176" s="6">
        <v>41807</v>
      </c>
      <c r="F176" t="s">
        <v>514</v>
      </c>
      <c r="G176" t="s">
        <v>515</v>
      </c>
      <c r="H176">
        <v>1.79</v>
      </c>
      <c r="I176">
        <v>207.82</v>
      </c>
      <c r="J176">
        <f t="shared" si="37"/>
        <v>208.76199999999997</v>
      </c>
      <c r="K176">
        <v>191.32</v>
      </c>
      <c r="L176" s="10">
        <f t="shared" si="38"/>
        <v>190.47199999999998</v>
      </c>
      <c r="M176" s="10">
        <v>0.96</v>
      </c>
      <c r="N176" s="10">
        <v>56.11</v>
      </c>
      <c r="O176">
        <f t="shared" si="39"/>
        <v>56.222000000000001</v>
      </c>
      <c r="P176">
        <v>55.53</v>
      </c>
      <c r="Q176">
        <v>0.17699999999999999</v>
      </c>
      <c r="R176">
        <v>0.03</v>
      </c>
      <c r="T176" s="6">
        <v>41820</v>
      </c>
      <c r="U176" s="15">
        <v>2</v>
      </c>
      <c r="V176" s="17">
        <f t="shared" si="40"/>
        <v>0.84799999999999998</v>
      </c>
      <c r="W176" s="17">
        <f t="shared" si="41"/>
        <v>0.2945839808475787</v>
      </c>
      <c r="X176" s="17">
        <f t="shared" si="42"/>
        <v>61.497941009702217</v>
      </c>
      <c r="Y176" s="17">
        <f t="shared" si="43"/>
        <v>70.541601915242126</v>
      </c>
    </row>
    <row r="177" spans="1:26" ht="15.75" customHeight="1" x14ac:dyDescent="0.2">
      <c r="A177" s="4" t="s">
        <v>418</v>
      </c>
      <c r="B177" s="10" t="s">
        <v>636</v>
      </c>
      <c r="C177" s="4" t="s">
        <v>419</v>
      </c>
      <c r="D177" s="6">
        <v>41807</v>
      </c>
      <c r="F177" t="s">
        <v>514</v>
      </c>
      <c r="G177" t="s">
        <v>515</v>
      </c>
      <c r="H177">
        <v>0.52</v>
      </c>
      <c r="I177">
        <v>478.16</v>
      </c>
      <c r="J177">
        <f t="shared" si="37"/>
        <v>477.83199999999999</v>
      </c>
      <c r="K177">
        <v>468.92</v>
      </c>
      <c r="L177" s="10">
        <f t="shared" si="38"/>
        <v>468.072</v>
      </c>
      <c r="M177" s="10">
        <v>0.24</v>
      </c>
      <c r="N177">
        <v>186.92</v>
      </c>
      <c r="O177">
        <f t="shared" si="39"/>
        <v>186.31199999999998</v>
      </c>
      <c r="P177">
        <f>N177-0.63</f>
        <v>186.29</v>
      </c>
      <c r="Q177">
        <v>0.59350000000000003</v>
      </c>
      <c r="R177">
        <v>5.0500000000000003E-2</v>
      </c>
      <c r="S177" s="6">
        <v>41809</v>
      </c>
      <c r="T177" s="6">
        <v>41813</v>
      </c>
      <c r="U177" s="15">
        <v>2</v>
      </c>
      <c r="V177" s="17">
        <f t="shared" si="40"/>
        <v>0.84799999999999998</v>
      </c>
      <c r="W177" s="17">
        <f t="shared" si="41"/>
        <v>0.3993402724367191</v>
      </c>
      <c r="X177" s="17">
        <f t="shared" si="42"/>
        <v>190.81756105898236</v>
      </c>
      <c r="Y177" s="17">
        <f t="shared" si="43"/>
        <v>60.065972756328087</v>
      </c>
    </row>
    <row r="178" spans="1:26" ht="15.75" customHeight="1" x14ac:dyDescent="0.2">
      <c r="A178" s="4" t="s">
        <v>748</v>
      </c>
      <c r="B178" s="10" t="s">
        <v>558</v>
      </c>
      <c r="C178" s="4" t="s">
        <v>420</v>
      </c>
      <c r="D178" s="6">
        <v>41807</v>
      </c>
      <c r="F178" t="s">
        <v>514</v>
      </c>
      <c r="G178" t="s">
        <v>515</v>
      </c>
      <c r="H178">
        <v>17.47</v>
      </c>
      <c r="I178">
        <v>328.98</v>
      </c>
      <c r="J178">
        <f t="shared" si="37"/>
        <v>345.60200000000003</v>
      </c>
      <c r="K178">
        <v>318.83999999999997</v>
      </c>
      <c r="L178" s="10">
        <f t="shared" si="38"/>
        <v>317.99199999999996</v>
      </c>
      <c r="M178" s="10">
        <v>12.07</v>
      </c>
      <c r="N178" s="10">
        <v>186.21</v>
      </c>
      <c r="O178">
        <f t="shared" si="39"/>
        <v>197.43199999999999</v>
      </c>
      <c r="P178">
        <v>184.2</v>
      </c>
      <c r="Q178">
        <v>0.374</v>
      </c>
      <c r="R178">
        <v>2.6499999999999999E-2</v>
      </c>
      <c r="T178" s="6">
        <v>41820</v>
      </c>
      <c r="U178" s="15">
        <v>2</v>
      </c>
      <c r="V178" s="17">
        <f t="shared" si="40"/>
        <v>0.84799999999999998</v>
      </c>
      <c r="W178" s="17">
        <f t="shared" si="41"/>
        <v>0.58558076932753034</v>
      </c>
      <c r="X178" s="17">
        <f t="shared" si="42"/>
        <v>202.37788504113317</v>
      </c>
      <c r="Y178" s="17">
        <f t="shared" si="43"/>
        <v>41.441923067246968</v>
      </c>
      <c r="Z178" s="12" t="s">
        <v>657</v>
      </c>
    </row>
    <row r="179" spans="1:26" ht="15.75" customHeight="1" x14ac:dyDescent="0.2">
      <c r="A179" s="4" t="s">
        <v>421</v>
      </c>
      <c r="B179" s="10" t="s">
        <v>605</v>
      </c>
      <c r="C179" s="4" t="s">
        <v>422</v>
      </c>
      <c r="D179" s="6">
        <v>41807</v>
      </c>
      <c r="F179" t="s">
        <v>516</v>
      </c>
      <c r="G179" t="s">
        <v>696</v>
      </c>
      <c r="H179">
        <v>103.81</v>
      </c>
      <c r="I179">
        <v>372.95</v>
      </c>
      <c r="J179">
        <f t="shared" si="37"/>
        <v>475.91199999999998</v>
      </c>
      <c r="K179">
        <v>366.01</v>
      </c>
      <c r="L179" s="10">
        <f t="shared" si="38"/>
        <v>365.16199999999998</v>
      </c>
      <c r="M179" s="10">
        <v>64.14</v>
      </c>
      <c r="N179" s="10">
        <v>147.18</v>
      </c>
      <c r="O179">
        <f t="shared" si="39"/>
        <v>210.47199999999998</v>
      </c>
      <c r="P179">
        <v>147.18</v>
      </c>
      <c r="Q179">
        <v>0.48749999999999999</v>
      </c>
      <c r="R179">
        <v>1.4999999999999999E-2</v>
      </c>
      <c r="T179" s="6">
        <v>41820</v>
      </c>
      <c r="U179" s="15">
        <v>2</v>
      </c>
      <c r="V179" s="17">
        <f t="shared" si="40"/>
        <v>0.84799999999999998</v>
      </c>
      <c r="W179" s="17">
        <f t="shared" si="41"/>
        <v>0.40305398699755179</v>
      </c>
      <c r="X179" s="17">
        <f t="shared" si="42"/>
        <v>191.81822905997885</v>
      </c>
      <c r="Y179" s="17">
        <f t="shared" si="43"/>
        <v>59.69460130024482</v>
      </c>
    </row>
    <row r="180" spans="1:26" ht="15.75" customHeight="1" x14ac:dyDescent="0.2">
      <c r="A180" s="4" t="s">
        <v>563</v>
      </c>
      <c r="B180" s="11" t="s">
        <v>609</v>
      </c>
      <c r="C180" s="4" t="s">
        <v>385</v>
      </c>
      <c r="D180" s="6">
        <v>41807</v>
      </c>
      <c r="F180" t="s">
        <v>514</v>
      </c>
      <c r="G180" t="s">
        <v>515</v>
      </c>
      <c r="H180">
        <v>168.94</v>
      </c>
      <c r="I180">
        <v>855.97</v>
      </c>
      <c r="J180">
        <f t="shared" si="37"/>
        <v>1024.0620000000001</v>
      </c>
      <c r="K180">
        <v>848.93</v>
      </c>
      <c r="L180" s="10">
        <f t="shared" si="38"/>
        <v>848.08199999999999</v>
      </c>
      <c r="M180" s="10">
        <v>92.7</v>
      </c>
      <c r="N180">
        <v>463.97</v>
      </c>
      <c r="O180">
        <f t="shared" si="39"/>
        <v>555.82200000000012</v>
      </c>
      <c r="P180">
        <f>N180-0.1</f>
        <v>463.87</v>
      </c>
      <c r="Q180">
        <v>0.98350000000000004</v>
      </c>
      <c r="R180">
        <v>2.7E-2</v>
      </c>
      <c r="S180" s="6">
        <v>41809</v>
      </c>
      <c r="T180" s="6">
        <v>41813</v>
      </c>
      <c r="U180" s="15">
        <v>2</v>
      </c>
      <c r="V180" s="17">
        <f t="shared" si="40"/>
        <v>0.84799999999999998</v>
      </c>
      <c r="W180" s="17">
        <f t="shared" si="41"/>
        <v>0.54708153221032874</v>
      </c>
      <c r="X180" s="17">
        <f t="shared" si="42"/>
        <v>560.24540803837374</v>
      </c>
      <c r="Y180" s="17">
        <f t="shared" si="43"/>
        <v>45.291846778967127</v>
      </c>
      <c r="Z180" s="12" t="s">
        <v>714</v>
      </c>
    </row>
    <row r="181" spans="1:26" ht="15.75" customHeight="1" x14ac:dyDescent="0.2">
      <c r="A181" s="4" t="s">
        <v>423</v>
      </c>
      <c r="B181" s="10" t="s">
        <v>623</v>
      </c>
      <c r="C181" s="4" t="s">
        <v>424</v>
      </c>
      <c r="D181" s="6">
        <v>41807</v>
      </c>
      <c r="F181" t="s">
        <v>514</v>
      </c>
      <c r="G181" t="s">
        <v>515</v>
      </c>
      <c r="H181">
        <v>12.24</v>
      </c>
      <c r="I181">
        <v>201.17</v>
      </c>
      <c r="J181">
        <f t="shared" si="37"/>
        <v>212.56199999999998</v>
      </c>
      <c r="K181">
        <v>195.7</v>
      </c>
      <c r="L181" s="10">
        <f t="shared" si="38"/>
        <v>194.85199999999998</v>
      </c>
      <c r="M181" s="10">
        <v>9.27</v>
      </c>
      <c r="N181" s="10">
        <v>108.04</v>
      </c>
      <c r="O181">
        <f t="shared" si="39"/>
        <v>116.462</v>
      </c>
      <c r="P181">
        <v>108.04</v>
      </c>
      <c r="Q181">
        <v>0.27600000000000002</v>
      </c>
      <c r="R181">
        <v>5.4999999999999997E-3</v>
      </c>
      <c r="T181" s="6">
        <v>41820</v>
      </c>
      <c r="U181" s="15">
        <v>2</v>
      </c>
      <c r="V181" s="17">
        <f t="shared" si="40"/>
        <v>0.84799999999999998</v>
      </c>
      <c r="W181" s="17">
        <f t="shared" si="41"/>
        <v>0.5544721121671834</v>
      </c>
      <c r="X181" s="17">
        <f t="shared" si="42"/>
        <v>117.85970110648083</v>
      </c>
      <c r="Y181" s="17">
        <f t="shared" si="43"/>
        <v>44.552788783281663</v>
      </c>
    </row>
    <row r="182" spans="1:26" ht="15.75" customHeight="1" x14ac:dyDescent="0.2">
      <c r="A182" s="4" t="s">
        <v>425</v>
      </c>
      <c r="B182" s="10" t="s">
        <v>611</v>
      </c>
      <c r="C182" s="4" t="s">
        <v>426</v>
      </c>
      <c r="D182" s="6">
        <v>41807</v>
      </c>
      <c r="F182" t="s">
        <v>516</v>
      </c>
      <c r="G182" t="s">
        <v>711</v>
      </c>
      <c r="H182">
        <v>242.24</v>
      </c>
      <c r="I182">
        <v>411.8</v>
      </c>
      <c r="J182">
        <f t="shared" si="37"/>
        <v>653.19200000000001</v>
      </c>
      <c r="K182">
        <v>398.08</v>
      </c>
      <c r="L182" s="10">
        <f t="shared" si="38"/>
        <v>397.23199999999997</v>
      </c>
      <c r="M182" s="10">
        <v>148.97</v>
      </c>
      <c r="N182">
        <v>142.54</v>
      </c>
      <c r="O182">
        <f t="shared" si="39"/>
        <v>290.66199999999998</v>
      </c>
      <c r="P182">
        <f>N182-0.19</f>
        <v>142.35</v>
      </c>
      <c r="Q182">
        <v>0.378</v>
      </c>
      <c r="R182">
        <v>4.5499999999999999E-2</v>
      </c>
      <c r="S182" s="6">
        <v>41809</v>
      </c>
      <c r="T182" s="6">
        <v>41813</v>
      </c>
      <c r="U182" s="15">
        <v>2</v>
      </c>
      <c r="V182" s="17">
        <f t="shared" si="40"/>
        <v>0.84799999999999998</v>
      </c>
      <c r="W182" s="17">
        <f t="shared" si="41"/>
        <v>0.35883312522656785</v>
      </c>
      <c r="X182" s="17">
        <f t="shared" si="42"/>
        <v>234.38692673299232</v>
      </c>
      <c r="Y182" s="17">
        <f t="shared" si="43"/>
        <v>64.11668747734322</v>
      </c>
    </row>
    <row r="183" spans="1:26" ht="15.75" customHeight="1" x14ac:dyDescent="0.2">
      <c r="A183" s="4" t="s">
        <v>559</v>
      </c>
      <c r="B183" s="11" t="s">
        <v>531</v>
      </c>
      <c r="C183" s="4" t="s">
        <v>385</v>
      </c>
      <c r="D183" s="6">
        <v>41807</v>
      </c>
      <c r="F183" t="s">
        <v>514</v>
      </c>
      <c r="G183" t="s">
        <v>515</v>
      </c>
      <c r="H183">
        <v>301.93</v>
      </c>
      <c r="I183">
        <v>622.65</v>
      </c>
      <c r="J183">
        <f t="shared" si="37"/>
        <v>923.73199999999997</v>
      </c>
      <c r="K183">
        <v>608.63</v>
      </c>
      <c r="L183" s="10">
        <f t="shared" si="38"/>
        <v>607.78200000000004</v>
      </c>
      <c r="M183" s="10">
        <v>158.91</v>
      </c>
      <c r="N183">
        <v>215.01</v>
      </c>
      <c r="O183">
        <f t="shared" si="39"/>
        <v>373.07199999999995</v>
      </c>
      <c r="P183">
        <f>N183</f>
        <v>215.01</v>
      </c>
      <c r="Q183">
        <v>0.51949999999999996</v>
      </c>
      <c r="R183">
        <v>1.4500000000000001E-2</v>
      </c>
      <c r="S183" s="6">
        <v>41809</v>
      </c>
      <c r="T183" s="6">
        <v>41813</v>
      </c>
      <c r="U183" s="15">
        <v>2</v>
      </c>
      <c r="V183" s="17">
        <f t="shared" si="40"/>
        <v>0.84799999999999998</v>
      </c>
      <c r="W183" s="17">
        <f t="shared" si="41"/>
        <v>0.35376171061334488</v>
      </c>
      <c r="X183" s="17">
        <f t="shared" si="42"/>
        <v>326.78101246828629</v>
      </c>
      <c r="Y183" s="17">
        <f t="shared" si="43"/>
        <v>64.623828938665511</v>
      </c>
      <c r="Z183" s="12" t="s">
        <v>722</v>
      </c>
    </row>
    <row r="184" spans="1:26" ht="15.75" customHeight="1" x14ac:dyDescent="0.2">
      <c r="A184" s="4" t="s">
        <v>427</v>
      </c>
      <c r="B184" s="10" t="s">
        <v>521</v>
      </c>
      <c r="C184" s="4" t="s">
        <v>428</v>
      </c>
      <c r="D184" s="6">
        <v>41807</v>
      </c>
      <c r="F184" t="s">
        <v>516</v>
      </c>
      <c r="G184" t="s">
        <v>658</v>
      </c>
      <c r="H184">
        <v>2.9</v>
      </c>
      <c r="I184">
        <v>500.94</v>
      </c>
      <c r="J184">
        <f t="shared" si="37"/>
        <v>502.99199999999996</v>
      </c>
      <c r="K184">
        <v>488.78</v>
      </c>
      <c r="L184" s="10">
        <f t="shared" si="38"/>
        <v>487.93199999999996</v>
      </c>
      <c r="M184" s="10">
        <v>1.85</v>
      </c>
      <c r="N184">
        <v>134.63999999999999</v>
      </c>
      <c r="O184">
        <f t="shared" si="39"/>
        <v>135.64199999999997</v>
      </c>
      <c r="P184">
        <f>N184-0.06</f>
        <v>134.57999999999998</v>
      </c>
      <c r="Q184">
        <v>0.51749999999999996</v>
      </c>
      <c r="R184">
        <v>2.2499999999999999E-2</v>
      </c>
      <c r="S184" s="6">
        <v>41809</v>
      </c>
      <c r="T184" s="6">
        <v>41813</v>
      </c>
      <c r="U184" s="15">
        <v>2</v>
      </c>
      <c r="V184" s="17">
        <f t="shared" si="40"/>
        <v>0.84799999999999998</v>
      </c>
      <c r="W184" s="17">
        <f t="shared" si="41"/>
        <v>0.27594009001254272</v>
      </c>
      <c r="X184" s="17">
        <f t="shared" si="42"/>
        <v>138.79565775558888</v>
      </c>
      <c r="Y184" s="17">
        <f t="shared" si="43"/>
        <v>72.405990998745722</v>
      </c>
    </row>
    <row r="185" spans="1:26" ht="15.75" customHeight="1" x14ac:dyDescent="0.2">
      <c r="A185" s="4" t="s">
        <v>429</v>
      </c>
      <c r="B185" s="10" t="s">
        <v>637</v>
      </c>
      <c r="C185" s="4" t="s">
        <v>430</v>
      </c>
      <c r="D185" s="6">
        <v>41807</v>
      </c>
      <c r="F185" t="s">
        <v>514</v>
      </c>
      <c r="G185" t="s">
        <v>515</v>
      </c>
      <c r="H185">
        <v>0.75</v>
      </c>
      <c r="I185">
        <v>29.52</v>
      </c>
      <c r="J185">
        <f t="shared" si="37"/>
        <v>30.27</v>
      </c>
      <c r="K185">
        <v>26.28</v>
      </c>
      <c r="L185" s="10">
        <f t="shared" si="38"/>
        <v>26.28</v>
      </c>
      <c r="M185" s="10">
        <v>0.75</v>
      </c>
      <c r="N185" s="10">
        <v>16.440000000000001</v>
      </c>
      <c r="O185">
        <f t="shared" si="39"/>
        <v>17.190000000000001</v>
      </c>
      <c r="P185">
        <v>14.34</v>
      </c>
      <c r="Q185">
        <v>3.1E-2</v>
      </c>
      <c r="R185">
        <v>3.5000000000000001E-3</v>
      </c>
      <c r="T185" s="6">
        <v>41820</v>
      </c>
      <c r="U185" s="15">
        <v>0</v>
      </c>
      <c r="V185" s="17">
        <f t="shared" si="40"/>
        <v>0</v>
      </c>
      <c r="W185" s="17">
        <f t="shared" si="41"/>
        <v>0.62557077625570778</v>
      </c>
      <c r="X185" s="17">
        <f t="shared" si="42"/>
        <v>18.936027397260276</v>
      </c>
      <c r="Y185" s="17">
        <f t="shared" si="43"/>
        <v>37.442922374429223</v>
      </c>
    </row>
    <row r="186" spans="1:26" ht="15.75" customHeight="1" x14ac:dyDescent="0.2">
      <c r="A186" s="4" t="s">
        <v>567</v>
      </c>
      <c r="B186" s="11" t="s">
        <v>616</v>
      </c>
      <c r="C186" s="4" t="s">
        <v>448</v>
      </c>
      <c r="D186" s="6">
        <v>41801</v>
      </c>
      <c r="F186" t="s">
        <v>516</v>
      </c>
      <c r="G186" t="s">
        <v>686</v>
      </c>
      <c r="H186">
        <v>0</v>
      </c>
      <c r="I186">
        <v>613.29</v>
      </c>
      <c r="J186">
        <f t="shared" si="37"/>
        <v>612.44200000000001</v>
      </c>
      <c r="K186">
        <v>606.35</v>
      </c>
      <c r="L186" s="10">
        <f t="shared" si="38"/>
        <v>605.50200000000007</v>
      </c>
      <c r="M186" s="10">
        <v>0</v>
      </c>
      <c r="N186">
        <v>399.47</v>
      </c>
      <c r="O186">
        <f t="shared" si="39"/>
        <v>398.62200000000001</v>
      </c>
      <c r="P186">
        <f>N186</f>
        <v>399.47</v>
      </c>
      <c r="Q186">
        <v>0.64700000000000002</v>
      </c>
      <c r="R186">
        <v>3.2000000000000001E-2</v>
      </c>
      <c r="S186" s="6">
        <v>41806</v>
      </c>
      <c r="T186" s="6">
        <v>41809</v>
      </c>
      <c r="U186" s="15">
        <v>2</v>
      </c>
      <c r="V186" s="17">
        <f t="shared" si="40"/>
        <v>0.84799999999999998</v>
      </c>
      <c r="W186" s="17">
        <f t="shared" si="41"/>
        <v>0.65973357643740238</v>
      </c>
      <c r="X186" s="17">
        <f t="shared" si="42"/>
        <v>404.0485510204756</v>
      </c>
      <c r="Y186" s="17">
        <f t="shared" si="43"/>
        <v>34.026642356259771</v>
      </c>
      <c r="Z186" s="19" t="s">
        <v>716</v>
      </c>
    </row>
  </sheetData>
  <sortState ref="A2:Z186">
    <sortCondition ref="C2:C186" customList="1-L,1-H,2-L,2-H,3-L,3-H,4-L,4-H"/>
    <sortCondition ref="A2:A186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2"/>
  <sheetViews>
    <sheetView zoomScale="80" zoomScaleNormal="80" workbookViewId="0">
      <pane ySplit="1" topLeftCell="A2" activePane="bottomLeft" state="frozen"/>
      <selection pane="bottomLeft" activeCell="X12" sqref="X12"/>
    </sheetView>
  </sheetViews>
  <sheetFormatPr defaultRowHeight="12.75" x14ac:dyDescent="0.2"/>
  <cols>
    <col min="3" max="3" width="9.140625" style="32"/>
    <col min="4" max="4" width="9.85546875" hidden="1" customWidth="1"/>
    <col min="5" max="6" width="0" hidden="1" customWidth="1"/>
    <col min="7" max="7" width="13.140625" hidden="1" customWidth="1"/>
    <col min="8" max="8" width="13.28515625" hidden="1" customWidth="1"/>
    <col min="9" max="9" width="0" hidden="1" customWidth="1"/>
    <col min="10" max="10" width="13" hidden="1" customWidth="1"/>
    <col min="11" max="11" width="13.140625" hidden="1" customWidth="1"/>
    <col min="12" max="12" width="13.85546875" customWidth="1"/>
    <col min="13" max="13" width="18.85546875" bestFit="1" customWidth="1"/>
    <col min="14" max="14" width="15.140625" bestFit="1" customWidth="1"/>
    <col min="15" max="15" width="13.28515625" customWidth="1"/>
    <col min="16" max="16" width="12" hidden="1" customWidth="1"/>
    <col min="17" max="17" width="12.85546875" hidden="1" customWidth="1"/>
    <col min="18" max="18" width="12.42578125" hidden="1" customWidth="1"/>
    <col min="19" max="19" width="13.7109375" hidden="1" customWidth="1"/>
    <col min="20" max="20" width="6.7109375" hidden="1" customWidth="1"/>
    <col min="21" max="21" width="0" hidden="1" customWidth="1"/>
    <col min="22" max="22" width="13.28515625" hidden="1" customWidth="1"/>
    <col min="23" max="23" width="13.28515625" bestFit="1" customWidth="1"/>
    <col min="24" max="24" width="25.7109375" bestFit="1" customWidth="1"/>
  </cols>
  <sheetData>
    <row r="1" spans="1:25" ht="15.75" customHeight="1" x14ac:dyDescent="0.2">
      <c r="A1" s="1" t="s">
        <v>0</v>
      </c>
      <c r="B1" s="2" t="s">
        <v>1</v>
      </c>
      <c r="C1" s="29" t="s">
        <v>2</v>
      </c>
      <c r="D1" s="2" t="s">
        <v>3</v>
      </c>
      <c r="E1" s="3" t="s">
        <v>5</v>
      </c>
      <c r="F1" s="3" t="s">
        <v>6</v>
      </c>
      <c r="G1" s="7" t="s">
        <v>730</v>
      </c>
      <c r="H1" s="7" t="s">
        <v>735</v>
      </c>
      <c r="I1" s="7" t="s">
        <v>734</v>
      </c>
      <c r="J1" s="7" t="s">
        <v>731</v>
      </c>
      <c r="K1" s="7" t="s">
        <v>736</v>
      </c>
      <c r="L1" s="7" t="s">
        <v>737</v>
      </c>
      <c r="M1" s="7" t="s">
        <v>738</v>
      </c>
      <c r="N1" s="7" t="s">
        <v>732</v>
      </c>
      <c r="O1" s="7" t="s">
        <v>733</v>
      </c>
      <c r="P1" s="7" t="s">
        <v>646</v>
      </c>
      <c r="Q1" s="7" t="s">
        <v>647</v>
      </c>
      <c r="R1" s="7" t="s">
        <v>717</v>
      </c>
      <c r="S1" s="7" t="s">
        <v>718</v>
      </c>
      <c r="T1" s="14" t="s">
        <v>715</v>
      </c>
      <c r="U1" s="14" t="s">
        <v>726</v>
      </c>
      <c r="V1" s="14" t="s">
        <v>728</v>
      </c>
      <c r="W1" s="14" t="s">
        <v>729</v>
      </c>
      <c r="X1" s="27" t="s">
        <v>746</v>
      </c>
      <c r="Y1" s="25" t="s">
        <v>7</v>
      </c>
    </row>
    <row r="2" spans="1:25" ht="15.75" customHeight="1" x14ac:dyDescent="0.2">
      <c r="A2" s="18" t="s">
        <v>71</v>
      </c>
      <c r="B2" s="19" t="s">
        <v>587</v>
      </c>
      <c r="C2" s="33" t="s">
        <v>72</v>
      </c>
      <c r="D2" s="20">
        <v>41801</v>
      </c>
      <c r="E2" s="12" t="s">
        <v>514</v>
      </c>
      <c r="F2" s="12" t="s">
        <v>515</v>
      </c>
      <c r="G2" s="12">
        <v>80.849999999999994</v>
      </c>
      <c r="H2" s="12">
        <v>338.91</v>
      </c>
      <c r="I2">
        <f t="shared" ref="I2:I33" si="0">(G2+H2)-U2</f>
        <v>419.76</v>
      </c>
      <c r="J2" s="12">
        <v>331.47</v>
      </c>
      <c r="K2" s="10">
        <f t="shared" ref="K2:K33" si="1">J2-U2</f>
        <v>331.47</v>
      </c>
      <c r="L2" s="19">
        <v>30.85</v>
      </c>
      <c r="M2" s="19" t="s">
        <v>515</v>
      </c>
      <c r="N2" t="s">
        <v>515</v>
      </c>
      <c r="O2" s="19" t="s">
        <v>515</v>
      </c>
      <c r="P2" s="19" t="s">
        <v>515</v>
      </c>
      <c r="Q2" s="19" t="s">
        <v>515</v>
      </c>
      <c r="R2" s="19" t="s">
        <v>515</v>
      </c>
      <c r="S2" s="19" t="s">
        <v>515</v>
      </c>
      <c r="T2" s="19"/>
      <c r="U2" s="17">
        <f t="shared" ref="U2:U33" si="2">T2*0.424</f>
        <v>0</v>
      </c>
      <c r="V2" s="17" t="e">
        <f t="shared" ref="V2:V33" si="3">N2/K2</f>
        <v>#VALUE!</v>
      </c>
      <c r="W2" s="17" t="s">
        <v>515</v>
      </c>
      <c r="X2" t="s">
        <v>515</v>
      </c>
      <c r="Y2" s="24" t="s">
        <v>723</v>
      </c>
    </row>
    <row r="3" spans="1:25" ht="15.75" customHeight="1" x14ac:dyDescent="0.2">
      <c r="A3" s="4" t="s">
        <v>75</v>
      </c>
      <c r="B3" s="10" t="s">
        <v>588</v>
      </c>
      <c r="C3" s="30" t="s">
        <v>76</v>
      </c>
      <c r="D3" s="6">
        <v>41801</v>
      </c>
      <c r="E3" t="s">
        <v>516</v>
      </c>
      <c r="F3" t="s">
        <v>680</v>
      </c>
      <c r="G3">
        <v>32.79</v>
      </c>
      <c r="H3">
        <v>292.55</v>
      </c>
      <c r="I3">
        <f t="shared" si="0"/>
        <v>325.34000000000003</v>
      </c>
      <c r="J3">
        <v>287.33</v>
      </c>
      <c r="K3" s="10">
        <f t="shared" si="1"/>
        <v>287.33</v>
      </c>
      <c r="L3" s="10">
        <v>17.87</v>
      </c>
      <c r="M3" s="10">
        <v>148.54</v>
      </c>
      <c r="N3">
        <f>(L3+M3)-U3</f>
        <v>166.41</v>
      </c>
      <c r="P3">
        <v>0.29649999999999999</v>
      </c>
      <c r="Q3">
        <v>9.4999999999999998E-3</v>
      </c>
      <c r="R3" s="6">
        <v>41836</v>
      </c>
      <c r="S3" s="6">
        <v>41838</v>
      </c>
      <c r="T3" s="15">
        <v>0</v>
      </c>
      <c r="U3" s="17">
        <f t="shared" si="2"/>
        <v>0</v>
      </c>
      <c r="V3" s="17">
        <f t="shared" si="3"/>
        <v>0.57915985104235546</v>
      </c>
      <c r="W3" s="17">
        <f>V3*I3</f>
        <v>188.42386593811995</v>
      </c>
      <c r="X3">
        <v>194.5</v>
      </c>
      <c r="Y3" s="12"/>
    </row>
    <row r="4" spans="1:25" ht="15.75" customHeight="1" x14ac:dyDescent="0.2">
      <c r="A4" s="4" t="s">
        <v>77</v>
      </c>
      <c r="B4" s="10" t="s">
        <v>513</v>
      </c>
      <c r="C4" s="30" t="s">
        <v>78</v>
      </c>
      <c r="D4" s="6">
        <v>41801</v>
      </c>
      <c r="E4" t="s">
        <v>516</v>
      </c>
      <c r="F4" t="s">
        <v>681</v>
      </c>
      <c r="G4">
        <v>33.57</v>
      </c>
      <c r="H4">
        <v>450.55</v>
      </c>
      <c r="I4">
        <f t="shared" si="0"/>
        <v>484.12</v>
      </c>
      <c r="J4">
        <v>443.84</v>
      </c>
      <c r="K4" s="10">
        <f t="shared" si="1"/>
        <v>443.84</v>
      </c>
      <c r="L4" s="10">
        <v>12.69</v>
      </c>
      <c r="M4" s="10" t="s">
        <v>515</v>
      </c>
      <c r="N4" t="s">
        <v>515</v>
      </c>
      <c r="O4" s="10" t="s">
        <v>515</v>
      </c>
      <c r="P4" s="10" t="s">
        <v>515</v>
      </c>
      <c r="Q4" s="10" t="s">
        <v>515</v>
      </c>
      <c r="R4" s="10" t="s">
        <v>515</v>
      </c>
      <c r="S4" s="10" t="s">
        <v>515</v>
      </c>
      <c r="T4" s="10"/>
      <c r="U4" s="17">
        <f t="shared" si="2"/>
        <v>0</v>
      </c>
      <c r="V4" s="17" t="e">
        <f t="shared" si="3"/>
        <v>#VALUE!</v>
      </c>
      <c r="W4" s="17" t="s">
        <v>515</v>
      </c>
      <c r="X4" t="s">
        <v>515</v>
      </c>
      <c r="Y4" s="24" t="s">
        <v>723</v>
      </c>
    </row>
    <row r="5" spans="1:25" ht="15.75" customHeight="1" x14ac:dyDescent="0.2">
      <c r="A5" s="4" t="s">
        <v>79</v>
      </c>
      <c r="B5" s="10" t="s">
        <v>571</v>
      </c>
      <c r="C5" s="30" t="s">
        <v>80</v>
      </c>
      <c r="D5" s="6">
        <v>41801</v>
      </c>
      <c r="E5" t="s">
        <v>516</v>
      </c>
      <c r="F5" t="s">
        <v>679</v>
      </c>
      <c r="G5">
        <v>139.16</v>
      </c>
      <c r="H5">
        <v>379.81</v>
      </c>
      <c r="I5">
        <f t="shared" si="0"/>
        <v>518.97</v>
      </c>
      <c r="J5">
        <v>374.36</v>
      </c>
      <c r="K5" s="10">
        <f t="shared" si="1"/>
        <v>374.36</v>
      </c>
      <c r="L5" s="10">
        <f>13.74+73.21</f>
        <v>86.949999999999989</v>
      </c>
      <c r="M5" t="s">
        <v>515</v>
      </c>
      <c r="N5" t="s">
        <v>515</v>
      </c>
      <c r="T5" s="15"/>
      <c r="U5" s="17">
        <f t="shared" si="2"/>
        <v>0</v>
      </c>
      <c r="V5" s="17" t="e">
        <f t="shared" si="3"/>
        <v>#VALUE!</v>
      </c>
      <c r="W5" s="17" t="s">
        <v>515</v>
      </c>
      <c r="X5" t="s">
        <v>515</v>
      </c>
      <c r="Y5" s="12" t="s">
        <v>745</v>
      </c>
    </row>
    <row r="6" spans="1:25" ht="15.75" customHeight="1" x14ac:dyDescent="0.2">
      <c r="A6" s="4" t="s">
        <v>81</v>
      </c>
      <c r="B6" s="10" t="s">
        <v>579</v>
      </c>
      <c r="C6" s="30" t="s">
        <v>82</v>
      </c>
      <c r="D6" s="6">
        <v>41801</v>
      </c>
      <c r="E6" t="s">
        <v>516</v>
      </c>
      <c r="F6" t="s">
        <v>682</v>
      </c>
      <c r="G6">
        <v>6.39</v>
      </c>
      <c r="H6">
        <v>389.58</v>
      </c>
      <c r="I6">
        <f t="shared" si="0"/>
        <v>395.96999999999997</v>
      </c>
      <c r="J6">
        <v>381.04</v>
      </c>
      <c r="K6" s="10">
        <f t="shared" si="1"/>
        <v>381.04</v>
      </c>
      <c r="L6" s="10">
        <v>3.42</v>
      </c>
      <c r="M6" s="10" t="s">
        <v>515</v>
      </c>
      <c r="N6" t="s">
        <v>515</v>
      </c>
      <c r="O6" s="10" t="s">
        <v>515</v>
      </c>
      <c r="P6" s="10" t="s">
        <v>515</v>
      </c>
      <c r="Q6" s="10" t="s">
        <v>515</v>
      </c>
      <c r="R6" s="10" t="s">
        <v>515</v>
      </c>
      <c r="S6" s="10" t="s">
        <v>515</v>
      </c>
      <c r="T6" s="10"/>
      <c r="U6" s="17">
        <f t="shared" si="2"/>
        <v>0</v>
      </c>
      <c r="V6" s="17" t="e">
        <f t="shared" si="3"/>
        <v>#VALUE!</v>
      </c>
      <c r="W6" s="17" t="s">
        <v>515</v>
      </c>
      <c r="X6" t="s">
        <v>515</v>
      </c>
      <c r="Y6" s="24" t="s">
        <v>723</v>
      </c>
    </row>
    <row r="7" spans="1:25" ht="15.75" customHeight="1" x14ac:dyDescent="0.2">
      <c r="A7" s="4" t="s">
        <v>85</v>
      </c>
      <c r="B7" s="10" t="s">
        <v>568</v>
      </c>
      <c r="C7" s="30" t="s">
        <v>86</v>
      </c>
      <c r="D7" s="6">
        <v>41801</v>
      </c>
      <c r="E7" t="s">
        <v>514</v>
      </c>
      <c r="F7" t="s">
        <v>515</v>
      </c>
      <c r="G7">
        <v>45.63</v>
      </c>
      <c r="H7">
        <v>478.79</v>
      </c>
      <c r="I7">
        <f t="shared" si="0"/>
        <v>524.42000000000007</v>
      </c>
      <c r="J7">
        <v>471.89</v>
      </c>
      <c r="K7" s="10">
        <f t="shared" si="1"/>
        <v>471.89</v>
      </c>
      <c r="L7" s="10">
        <v>19.8</v>
      </c>
      <c r="M7" s="10" t="s">
        <v>515</v>
      </c>
      <c r="N7" t="s">
        <v>515</v>
      </c>
      <c r="O7" s="10" t="s">
        <v>515</v>
      </c>
      <c r="P7" s="10" t="s">
        <v>515</v>
      </c>
      <c r="Q7" s="10" t="s">
        <v>515</v>
      </c>
      <c r="R7" s="10" t="s">
        <v>515</v>
      </c>
      <c r="S7" s="10" t="s">
        <v>515</v>
      </c>
      <c r="T7" s="10"/>
      <c r="U7" s="17">
        <f t="shared" si="2"/>
        <v>0</v>
      </c>
      <c r="V7" s="17" t="e">
        <f t="shared" si="3"/>
        <v>#VALUE!</v>
      </c>
      <c r="W7" s="17" t="s">
        <v>515</v>
      </c>
      <c r="X7" t="s">
        <v>515</v>
      </c>
      <c r="Y7" s="19" t="s">
        <v>724</v>
      </c>
    </row>
    <row r="8" spans="1:25" ht="15.75" customHeight="1" x14ac:dyDescent="0.2">
      <c r="A8" s="4" t="s">
        <v>87</v>
      </c>
      <c r="B8" s="10" t="s">
        <v>589</v>
      </c>
      <c r="C8" s="30" t="s">
        <v>88</v>
      </c>
      <c r="D8" s="6">
        <v>41801</v>
      </c>
      <c r="E8" t="s">
        <v>516</v>
      </c>
      <c r="F8" t="s">
        <v>676</v>
      </c>
      <c r="G8">
        <v>21.82</v>
      </c>
      <c r="H8">
        <v>210.43</v>
      </c>
      <c r="I8">
        <f t="shared" si="0"/>
        <v>232.25</v>
      </c>
      <c r="J8">
        <v>202.28</v>
      </c>
      <c r="K8" s="10">
        <f t="shared" si="1"/>
        <v>202.28</v>
      </c>
      <c r="L8" s="10">
        <v>10</v>
      </c>
      <c r="M8" s="10" t="s">
        <v>515</v>
      </c>
      <c r="N8" t="s">
        <v>515</v>
      </c>
      <c r="O8" s="10" t="s">
        <v>515</v>
      </c>
      <c r="P8" s="10" t="s">
        <v>515</v>
      </c>
      <c r="Q8" s="10" t="s">
        <v>515</v>
      </c>
      <c r="R8" s="10" t="s">
        <v>515</v>
      </c>
      <c r="S8" s="10" t="s">
        <v>515</v>
      </c>
      <c r="T8" s="10"/>
      <c r="U8" s="17">
        <f t="shared" si="2"/>
        <v>0</v>
      </c>
      <c r="V8" s="17" t="e">
        <f t="shared" si="3"/>
        <v>#VALUE!</v>
      </c>
      <c r="W8" s="17" t="s">
        <v>515</v>
      </c>
      <c r="X8" t="s">
        <v>515</v>
      </c>
      <c r="Y8" s="24" t="s">
        <v>723</v>
      </c>
    </row>
    <row r="9" spans="1:25" ht="15.75" customHeight="1" x14ac:dyDescent="0.2">
      <c r="A9" s="4" t="s">
        <v>91</v>
      </c>
      <c r="B9" s="10" t="s">
        <v>590</v>
      </c>
      <c r="C9" s="30" t="s">
        <v>92</v>
      </c>
      <c r="D9" s="6">
        <v>41801</v>
      </c>
      <c r="E9" t="s">
        <v>516</v>
      </c>
      <c r="F9" t="s">
        <v>674</v>
      </c>
      <c r="G9">
        <v>5.92</v>
      </c>
      <c r="H9">
        <v>529.28</v>
      </c>
      <c r="I9">
        <f t="shared" si="0"/>
        <v>534.35199999999998</v>
      </c>
      <c r="J9">
        <v>522.87</v>
      </c>
      <c r="K9" s="10">
        <f t="shared" si="1"/>
        <v>522.02200000000005</v>
      </c>
      <c r="L9" s="10">
        <v>2.82</v>
      </c>
      <c r="M9">
        <v>216.94</v>
      </c>
      <c r="N9">
        <f>(L9+M9)-U9</f>
        <v>218.91199999999998</v>
      </c>
      <c r="O9">
        <f>M9-0.01</f>
        <v>216.93</v>
      </c>
      <c r="P9">
        <v>0.78900000000000003</v>
      </c>
      <c r="Q9">
        <v>2.6499999999999999E-2</v>
      </c>
      <c r="R9" s="6">
        <v>41809</v>
      </c>
      <c r="S9" s="6">
        <v>41813</v>
      </c>
      <c r="T9" s="15">
        <v>2</v>
      </c>
      <c r="U9" s="17">
        <f t="shared" si="2"/>
        <v>0.84799999999999998</v>
      </c>
      <c r="V9" s="17">
        <f t="shared" si="3"/>
        <v>0.41935397358732002</v>
      </c>
      <c r="W9" s="17">
        <f>V9*I9</f>
        <v>224.08263449433161</v>
      </c>
      <c r="X9" t="s">
        <v>515</v>
      </c>
      <c r="Y9" s="12"/>
    </row>
    <row r="10" spans="1:25" ht="15.75" customHeight="1" x14ac:dyDescent="0.2">
      <c r="A10" s="4" t="s">
        <v>95</v>
      </c>
      <c r="B10" s="10" t="s">
        <v>533</v>
      </c>
      <c r="C10" s="30" t="s">
        <v>96</v>
      </c>
      <c r="D10" s="6">
        <v>41801</v>
      </c>
      <c r="E10" t="s">
        <v>514</v>
      </c>
      <c r="F10" t="s">
        <v>515</v>
      </c>
      <c r="G10">
        <v>2.0299999999999998</v>
      </c>
      <c r="H10">
        <v>312.64</v>
      </c>
      <c r="I10">
        <f t="shared" si="0"/>
        <v>314.66999999999996</v>
      </c>
      <c r="J10">
        <v>307.14</v>
      </c>
      <c r="K10" s="10">
        <f t="shared" si="1"/>
        <v>307.14</v>
      </c>
      <c r="L10" s="10">
        <v>1.21</v>
      </c>
      <c r="M10" s="10">
        <v>66.849999999999994</v>
      </c>
      <c r="N10">
        <f>(L10+M10)-U10</f>
        <v>68.059999999999988</v>
      </c>
      <c r="P10">
        <v>0.1265</v>
      </c>
      <c r="Q10">
        <v>6.0000000000000001E-3</v>
      </c>
      <c r="R10" s="6">
        <v>41836</v>
      </c>
      <c r="S10" s="6">
        <v>41838</v>
      </c>
      <c r="T10" s="15">
        <v>0</v>
      </c>
      <c r="U10" s="17">
        <f t="shared" si="2"/>
        <v>0</v>
      </c>
      <c r="V10" s="17">
        <f t="shared" si="3"/>
        <v>0.2215927590024093</v>
      </c>
      <c r="W10" s="17">
        <f>V10*I10</f>
        <v>69.728593475288122</v>
      </c>
      <c r="X10">
        <v>221.49</v>
      </c>
      <c r="Y10" s="12"/>
    </row>
    <row r="11" spans="1:25" ht="15.75" customHeight="1" x14ac:dyDescent="0.2">
      <c r="A11" s="4" t="s">
        <v>103</v>
      </c>
      <c r="B11" s="10" t="s">
        <v>592</v>
      </c>
      <c r="C11" s="30" t="s">
        <v>104</v>
      </c>
      <c r="D11" s="6">
        <v>41801</v>
      </c>
      <c r="E11" t="s">
        <v>516</v>
      </c>
      <c r="F11" t="s">
        <v>678</v>
      </c>
      <c r="G11">
        <v>13.74</v>
      </c>
      <c r="H11">
        <v>213.29</v>
      </c>
      <c r="I11">
        <f t="shared" si="0"/>
        <v>227.03</v>
      </c>
      <c r="J11">
        <v>208.26</v>
      </c>
      <c r="K11" s="10">
        <f t="shared" si="1"/>
        <v>208.26</v>
      </c>
      <c r="L11" s="10">
        <v>6.42</v>
      </c>
      <c r="M11" s="10" t="s">
        <v>515</v>
      </c>
      <c r="N11" t="s">
        <v>515</v>
      </c>
      <c r="O11" s="10" t="s">
        <v>515</v>
      </c>
      <c r="P11" s="10" t="s">
        <v>515</v>
      </c>
      <c r="Q11" s="10" t="s">
        <v>515</v>
      </c>
      <c r="R11" s="10" t="s">
        <v>515</v>
      </c>
      <c r="S11" s="10" t="s">
        <v>515</v>
      </c>
      <c r="T11" s="10"/>
      <c r="U11" s="17">
        <f t="shared" si="2"/>
        <v>0</v>
      </c>
      <c r="V11" s="17" t="e">
        <f t="shared" si="3"/>
        <v>#VALUE!</v>
      </c>
      <c r="W11" s="17" t="s">
        <v>515</v>
      </c>
      <c r="X11" t="s">
        <v>515</v>
      </c>
      <c r="Y11" s="24" t="s">
        <v>723</v>
      </c>
    </row>
    <row r="12" spans="1:25" ht="15.75" customHeight="1" x14ac:dyDescent="0.2">
      <c r="A12" s="4" t="s">
        <v>105</v>
      </c>
      <c r="B12" s="10" t="s">
        <v>593</v>
      </c>
      <c r="C12" s="30" t="s">
        <v>106</v>
      </c>
      <c r="D12" s="6">
        <v>41801</v>
      </c>
      <c r="E12" t="s">
        <v>516</v>
      </c>
      <c r="F12" t="s">
        <v>677</v>
      </c>
      <c r="G12">
        <v>9.91</v>
      </c>
      <c r="H12">
        <v>298.08</v>
      </c>
      <c r="I12">
        <f t="shared" si="0"/>
        <v>307.99</v>
      </c>
      <c r="J12">
        <v>290.20999999999998</v>
      </c>
      <c r="K12" s="10">
        <f t="shared" si="1"/>
        <v>290.20999999999998</v>
      </c>
      <c r="L12" s="10">
        <v>4.0599999999999996</v>
      </c>
      <c r="M12" s="10">
        <v>159.71</v>
      </c>
      <c r="N12">
        <f>(L12+M12)-U12</f>
        <v>163.77000000000001</v>
      </c>
      <c r="P12" s="10">
        <v>0.501</v>
      </c>
      <c r="Q12" s="10">
        <v>2.2499999999999999E-2</v>
      </c>
      <c r="R12" s="6">
        <v>41836</v>
      </c>
      <c r="S12" s="6">
        <v>41838</v>
      </c>
      <c r="T12" s="16">
        <v>0</v>
      </c>
      <c r="U12" s="17">
        <f t="shared" si="2"/>
        <v>0</v>
      </c>
      <c r="V12" s="17">
        <f t="shared" si="3"/>
        <v>0.5643154956755454</v>
      </c>
      <c r="W12" s="17">
        <f>V12*I12</f>
        <v>173.80352951311124</v>
      </c>
      <c r="X12" t="s">
        <v>515</v>
      </c>
      <c r="Y12" s="12" t="s">
        <v>657</v>
      </c>
    </row>
    <row r="13" spans="1:25" ht="15.75" customHeight="1" x14ac:dyDescent="0.2">
      <c r="A13" s="4" t="s">
        <v>748</v>
      </c>
      <c r="B13" s="10" t="s">
        <v>521</v>
      </c>
      <c r="C13" s="30" t="s">
        <v>107</v>
      </c>
      <c r="D13" s="6">
        <v>41801</v>
      </c>
      <c r="E13" t="s">
        <v>516</v>
      </c>
      <c r="F13" t="s">
        <v>679</v>
      </c>
      <c r="G13">
        <v>50.84</v>
      </c>
      <c r="H13">
        <v>178.75</v>
      </c>
      <c r="I13">
        <f t="shared" si="0"/>
        <v>229.166</v>
      </c>
      <c r="J13">
        <v>167.29</v>
      </c>
      <c r="K13" s="10">
        <f t="shared" si="1"/>
        <v>166.86599999999999</v>
      </c>
      <c r="L13" s="10">
        <v>27.35</v>
      </c>
      <c r="M13">
        <v>68.45</v>
      </c>
      <c r="N13">
        <f>(L13+M13)-U13</f>
        <v>95.376000000000005</v>
      </c>
      <c r="O13">
        <v>67.89</v>
      </c>
      <c r="P13">
        <v>0.16400000000000001</v>
      </c>
      <c r="Q13">
        <v>5.2499999999999998E-2</v>
      </c>
      <c r="S13" s="6">
        <v>41820</v>
      </c>
      <c r="T13" s="15">
        <v>1</v>
      </c>
      <c r="U13" s="17">
        <f t="shared" si="2"/>
        <v>0.42399999999999999</v>
      </c>
      <c r="V13" s="17">
        <f t="shared" si="3"/>
        <v>0.57157239941030535</v>
      </c>
      <c r="W13" s="17">
        <f>V13*I13</f>
        <v>130.98496048326203</v>
      </c>
      <c r="X13" t="s">
        <v>515</v>
      </c>
      <c r="Y13" s="12"/>
    </row>
    <row r="14" spans="1:25" ht="15.75" customHeight="1" x14ac:dyDescent="0.2">
      <c r="A14" s="4" t="s">
        <v>110</v>
      </c>
      <c r="B14" s="10" t="s">
        <v>594</v>
      </c>
      <c r="C14" s="30" t="s">
        <v>111</v>
      </c>
      <c r="D14" s="6">
        <v>41801</v>
      </c>
      <c r="E14" t="s">
        <v>514</v>
      </c>
      <c r="F14" t="s">
        <v>515</v>
      </c>
      <c r="G14">
        <v>52.93</v>
      </c>
      <c r="H14">
        <v>257.55</v>
      </c>
      <c r="I14">
        <f t="shared" si="0"/>
        <v>310.48</v>
      </c>
      <c r="J14">
        <v>248.33</v>
      </c>
      <c r="K14" s="10">
        <f t="shared" si="1"/>
        <v>248.33</v>
      </c>
      <c r="L14" s="10">
        <v>27.93</v>
      </c>
      <c r="M14" s="10" t="s">
        <v>515</v>
      </c>
      <c r="N14" t="s">
        <v>515</v>
      </c>
      <c r="O14" s="10" t="s">
        <v>515</v>
      </c>
      <c r="P14" s="10" t="s">
        <v>515</v>
      </c>
      <c r="Q14" s="10" t="s">
        <v>515</v>
      </c>
      <c r="R14" s="10" t="s">
        <v>515</v>
      </c>
      <c r="S14" s="10" t="s">
        <v>515</v>
      </c>
      <c r="T14" s="10"/>
      <c r="U14" s="17">
        <f t="shared" si="2"/>
        <v>0</v>
      </c>
      <c r="V14" s="17" t="e">
        <f t="shared" si="3"/>
        <v>#VALUE!</v>
      </c>
      <c r="W14" s="17" t="s">
        <v>515</v>
      </c>
      <c r="X14" t="s">
        <v>515</v>
      </c>
      <c r="Y14" s="22" t="s">
        <v>723</v>
      </c>
    </row>
    <row r="15" spans="1:25" ht="15.75" customHeight="1" x14ac:dyDescent="0.2">
      <c r="A15" s="4" t="s">
        <v>114</v>
      </c>
      <c r="B15" s="10" t="s">
        <v>596</v>
      </c>
      <c r="C15" s="30" t="s">
        <v>115</v>
      </c>
      <c r="D15" s="6">
        <v>41801</v>
      </c>
      <c r="E15" t="s">
        <v>514</v>
      </c>
      <c r="F15" t="s">
        <v>515</v>
      </c>
      <c r="G15">
        <v>5.78</v>
      </c>
      <c r="H15">
        <v>243.61</v>
      </c>
      <c r="I15">
        <f t="shared" si="0"/>
        <v>249.39000000000001</v>
      </c>
      <c r="J15">
        <v>236.88</v>
      </c>
      <c r="K15" s="10">
        <f t="shared" si="1"/>
        <v>236.88</v>
      </c>
      <c r="L15" s="10">
        <v>2.2799999999999998</v>
      </c>
      <c r="M15" s="10">
        <v>98.49</v>
      </c>
      <c r="N15">
        <f>(L15+M15)-U15</f>
        <v>100.77</v>
      </c>
      <c r="P15">
        <v>0.17150000000000001</v>
      </c>
      <c r="Q15">
        <v>4.4999999999999997E-3</v>
      </c>
      <c r="R15" s="6">
        <v>41836</v>
      </c>
      <c r="S15" s="6">
        <v>41838</v>
      </c>
      <c r="T15" s="15">
        <v>0</v>
      </c>
      <c r="U15" s="17">
        <f t="shared" si="2"/>
        <v>0</v>
      </c>
      <c r="V15" s="17">
        <f t="shared" si="3"/>
        <v>0.42540526849037485</v>
      </c>
      <c r="W15" s="17">
        <f>V15*I15</f>
        <v>106.09181990881459</v>
      </c>
      <c r="X15">
        <v>174.24</v>
      </c>
      <c r="Y15" s="12"/>
    </row>
    <row r="16" spans="1:25" ht="15.75" customHeight="1" x14ac:dyDescent="0.2">
      <c r="A16" s="4" t="s">
        <v>563</v>
      </c>
      <c r="B16" s="11" t="s">
        <v>595</v>
      </c>
      <c r="C16" s="31" t="s">
        <v>135</v>
      </c>
      <c r="D16" s="6">
        <v>41795</v>
      </c>
      <c r="E16" t="s">
        <v>516</v>
      </c>
      <c r="F16" t="s">
        <v>651</v>
      </c>
      <c r="G16">
        <v>5.52</v>
      </c>
      <c r="H16">
        <v>934.73</v>
      </c>
      <c r="I16">
        <f t="shared" si="0"/>
        <v>940.25</v>
      </c>
      <c r="J16">
        <v>927.66</v>
      </c>
      <c r="K16" s="10">
        <f t="shared" si="1"/>
        <v>927.66</v>
      </c>
      <c r="L16" s="10">
        <v>2.4700000000000002</v>
      </c>
      <c r="M16">
        <v>557.22</v>
      </c>
      <c r="N16">
        <f>(L16+M16)-U16</f>
        <v>559.69000000000005</v>
      </c>
      <c r="O16">
        <v>556.58000000000004</v>
      </c>
      <c r="P16" s="19" t="s">
        <v>515</v>
      </c>
      <c r="Q16" s="19" t="s">
        <v>515</v>
      </c>
      <c r="R16" s="19" t="s">
        <v>515</v>
      </c>
      <c r="S16" s="23" t="s">
        <v>515</v>
      </c>
      <c r="T16" s="24"/>
      <c r="U16" s="17">
        <f t="shared" si="2"/>
        <v>0</v>
      </c>
      <c r="V16" s="17">
        <f t="shared" si="3"/>
        <v>0.60333527369941586</v>
      </c>
      <c r="W16" s="17">
        <f>V16*I16</f>
        <v>567.28599109587572</v>
      </c>
      <c r="X16" t="s">
        <v>515</v>
      </c>
      <c r="Y16" s="19" t="s">
        <v>723</v>
      </c>
    </row>
    <row r="17" spans="1:25" ht="15.75" customHeight="1" x14ac:dyDescent="0.2">
      <c r="A17" s="4" t="s">
        <v>221</v>
      </c>
      <c r="B17" t="s">
        <v>521</v>
      </c>
      <c r="C17" s="31" t="s">
        <v>222</v>
      </c>
      <c r="D17" s="6">
        <v>41794</v>
      </c>
      <c r="E17" t="s">
        <v>514</v>
      </c>
      <c r="F17" t="s">
        <v>515</v>
      </c>
      <c r="G17">
        <v>0</v>
      </c>
      <c r="H17">
        <v>550.69000000000005</v>
      </c>
      <c r="I17">
        <f t="shared" si="0"/>
        <v>550.69000000000005</v>
      </c>
      <c r="J17">
        <v>545.41999999999996</v>
      </c>
      <c r="K17" s="10">
        <f t="shared" si="1"/>
        <v>545.41999999999996</v>
      </c>
      <c r="L17" s="10">
        <v>0</v>
      </c>
      <c r="M17">
        <v>418.95</v>
      </c>
      <c r="N17">
        <f>(L17+M17)-U17</f>
        <v>418.95</v>
      </c>
      <c r="O17">
        <v>418.07</v>
      </c>
      <c r="P17" s="19" t="s">
        <v>515</v>
      </c>
      <c r="Q17" s="19" t="s">
        <v>515</v>
      </c>
      <c r="R17" s="19" t="s">
        <v>515</v>
      </c>
      <c r="S17" s="19" t="s">
        <v>515</v>
      </c>
      <c r="T17" s="19"/>
      <c r="U17" s="17">
        <f t="shared" si="2"/>
        <v>0</v>
      </c>
      <c r="V17" s="17">
        <f t="shared" si="3"/>
        <v>0.76812364783102938</v>
      </c>
      <c r="W17" s="17">
        <f>V17*I17</f>
        <v>422.99801162406959</v>
      </c>
      <c r="X17" t="s">
        <v>515</v>
      </c>
      <c r="Y17" s="19" t="s">
        <v>723</v>
      </c>
    </row>
    <row r="18" spans="1:25" ht="15.75" customHeight="1" x14ac:dyDescent="0.2">
      <c r="A18" s="18" t="s">
        <v>260</v>
      </c>
      <c r="B18" s="19" t="s">
        <v>617</v>
      </c>
      <c r="C18" s="34" t="s">
        <v>261</v>
      </c>
      <c r="D18" s="20">
        <v>41799</v>
      </c>
      <c r="E18" s="12" t="s">
        <v>514</v>
      </c>
      <c r="F18" s="12" t="s">
        <v>515</v>
      </c>
      <c r="G18" s="12">
        <v>23.51</v>
      </c>
      <c r="H18" s="12">
        <v>419.69</v>
      </c>
      <c r="I18">
        <f t="shared" si="0"/>
        <v>443.2</v>
      </c>
      <c r="J18" s="12">
        <v>411.88</v>
      </c>
      <c r="K18" s="10">
        <f t="shared" si="1"/>
        <v>411.88</v>
      </c>
      <c r="L18" s="19">
        <v>10</v>
      </c>
      <c r="M18" s="23">
        <v>223.34</v>
      </c>
      <c r="N18">
        <f>(L18+M18)-U18</f>
        <v>233.34</v>
      </c>
      <c r="O18" s="12"/>
      <c r="P18" s="12">
        <v>0.60850000000000004</v>
      </c>
      <c r="Q18" s="13">
        <v>4.8800000000000003E-2</v>
      </c>
      <c r="R18" s="6">
        <v>41836</v>
      </c>
      <c r="S18" s="6">
        <v>41838</v>
      </c>
      <c r="T18" s="21">
        <v>0</v>
      </c>
      <c r="U18" s="17">
        <f t="shared" si="2"/>
        <v>0</v>
      </c>
      <c r="V18" s="17">
        <f t="shared" si="3"/>
        <v>0.56652423035835686</v>
      </c>
      <c r="W18" s="17">
        <f>V18*I18</f>
        <v>251.08353889482376</v>
      </c>
      <c r="X18" t="s">
        <v>515</v>
      </c>
      <c r="Y18" s="12" t="s">
        <v>663</v>
      </c>
    </row>
    <row r="19" spans="1:25" ht="15.75" customHeight="1" x14ac:dyDescent="0.2">
      <c r="A19" s="4" t="s">
        <v>262</v>
      </c>
      <c r="B19" s="10" t="s">
        <v>564</v>
      </c>
      <c r="C19" s="31" t="s">
        <v>263</v>
      </c>
      <c r="D19" s="6">
        <v>41799</v>
      </c>
      <c r="E19" t="s">
        <v>514</v>
      </c>
      <c r="F19" t="s">
        <v>515</v>
      </c>
      <c r="G19">
        <v>4.83</v>
      </c>
      <c r="H19">
        <v>152.13999999999999</v>
      </c>
      <c r="I19">
        <f t="shared" si="0"/>
        <v>156.97</v>
      </c>
      <c r="J19">
        <v>148.06</v>
      </c>
      <c r="K19" s="10">
        <f t="shared" si="1"/>
        <v>148.06</v>
      </c>
      <c r="L19" s="10">
        <v>3.08</v>
      </c>
      <c r="M19" s="10">
        <v>29.83</v>
      </c>
      <c r="N19">
        <f>(L19+M19)-U19</f>
        <v>32.909999999999997</v>
      </c>
      <c r="P19">
        <v>0.125</v>
      </c>
      <c r="Q19">
        <v>3.5000000000000001E-3</v>
      </c>
      <c r="R19" s="6">
        <v>41836</v>
      </c>
      <c r="S19" s="6">
        <v>41838</v>
      </c>
      <c r="T19" s="28">
        <v>0</v>
      </c>
      <c r="U19" s="17">
        <f t="shared" si="2"/>
        <v>0</v>
      </c>
      <c r="V19" s="17">
        <f t="shared" si="3"/>
        <v>0.22227475347831957</v>
      </c>
      <c r="W19" s="17">
        <f>V19*I19</f>
        <v>34.890468053491823</v>
      </c>
      <c r="X19">
        <v>51.97</v>
      </c>
      <c r="Y19" s="12"/>
    </row>
    <row r="20" spans="1:25" ht="15.75" customHeight="1" x14ac:dyDescent="0.2">
      <c r="A20" s="4" t="s">
        <v>264</v>
      </c>
      <c r="B20" s="10" t="s">
        <v>568</v>
      </c>
      <c r="C20" s="31" t="s">
        <v>265</v>
      </c>
      <c r="D20" s="6">
        <v>41799</v>
      </c>
      <c r="E20" t="s">
        <v>514</v>
      </c>
      <c r="F20" t="s">
        <v>515</v>
      </c>
      <c r="G20">
        <v>4.5199999999999996</v>
      </c>
      <c r="H20">
        <v>307.29000000000002</v>
      </c>
      <c r="I20">
        <f t="shared" si="0"/>
        <v>311.81</v>
      </c>
      <c r="J20">
        <v>292.41000000000003</v>
      </c>
      <c r="K20" s="10">
        <f t="shared" si="1"/>
        <v>292.41000000000003</v>
      </c>
      <c r="L20" s="10">
        <v>14.8</v>
      </c>
      <c r="M20" s="10" t="s">
        <v>515</v>
      </c>
      <c r="N20" t="s">
        <v>515</v>
      </c>
      <c r="O20" s="10" t="s">
        <v>515</v>
      </c>
      <c r="P20" s="10" t="s">
        <v>515</v>
      </c>
      <c r="Q20" s="10" t="s">
        <v>515</v>
      </c>
      <c r="R20" s="10" t="s">
        <v>515</v>
      </c>
      <c r="S20" s="10" t="s">
        <v>515</v>
      </c>
      <c r="T20" s="10"/>
      <c r="U20" s="17">
        <f t="shared" si="2"/>
        <v>0</v>
      </c>
      <c r="V20" s="17" t="e">
        <f t="shared" si="3"/>
        <v>#VALUE!</v>
      </c>
      <c r="W20" s="17" t="s">
        <v>515</v>
      </c>
      <c r="X20" t="s">
        <v>515</v>
      </c>
      <c r="Y20" s="24" t="s">
        <v>723</v>
      </c>
    </row>
    <row r="21" spans="1:25" ht="15.75" customHeight="1" x14ac:dyDescent="0.2">
      <c r="A21" s="4" t="s">
        <v>266</v>
      </c>
      <c r="B21" s="10" t="s">
        <v>568</v>
      </c>
      <c r="C21" s="31" t="s">
        <v>267</v>
      </c>
      <c r="D21" s="6">
        <v>41799</v>
      </c>
      <c r="E21" t="s">
        <v>514</v>
      </c>
      <c r="F21" t="s">
        <v>515</v>
      </c>
      <c r="G21">
        <v>0</v>
      </c>
      <c r="H21">
        <v>205.8</v>
      </c>
      <c r="I21">
        <f t="shared" si="0"/>
        <v>205.8</v>
      </c>
      <c r="J21">
        <v>197.34</v>
      </c>
      <c r="K21" s="10">
        <f t="shared" si="1"/>
        <v>197.34</v>
      </c>
      <c r="L21" s="10">
        <v>0</v>
      </c>
      <c r="M21" t="s">
        <v>515</v>
      </c>
      <c r="N21" t="s">
        <v>515</v>
      </c>
      <c r="T21" s="15"/>
      <c r="U21" s="17">
        <f t="shared" si="2"/>
        <v>0</v>
      </c>
      <c r="V21" s="17" t="e">
        <f t="shared" si="3"/>
        <v>#VALUE!</v>
      </c>
      <c r="W21" s="17" t="s">
        <v>515</v>
      </c>
      <c r="X21" t="s">
        <v>515</v>
      </c>
      <c r="Y21" s="12"/>
    </row>
    <row r="22" spans="1:25" ht="15.75" customHeight="1" x14ac:dyDescent="0.2">
      <c r="A22" s="4" t="s">
        <v>268</v>
      </c>
      <c r="B22" s="10" t="s">
        <v>588</v>
      </c>
      <c r="C22" s="31" t="s">
        <v>269</v>
      </c>
      <c r="D22" s="6">
        <v>41799</v>
      </c>
      <c r="E22" t="s">
        <v>514</v>
      </c>
      <c r="F22" t="s">
        <v>515</v>
      </c>
      <c r="G22">
        <v>145.66999999999999</v>
      </c>
      <c r="H22">
        <v>462.47</v>
      </c>
      <c r="I22">
        <f t="shared" si="0"/>
        <v>608.14</v>
      </c>
      <c r="J22">
        <v>455.53</v>
      </c>
      <c r="K22" s="10">
        <f t="shared" si="1"/>
        <v>455.53</v>
      </c>
      <c r="L22" s="10">
        <v>94.86</v>
      </c>
      <c r="M22" t="s">
        <v>515</v>
      </c>
      <c r="N22" t="s">
        <v>515</v>
      </c>
      <c r="T22" s="15"/>
      <c r="U22" s="17">
        <f t="shared" si="2"/>
        <v>0</v>
      </c>
      <c r="V22" s="17" t="e">
        <f t="shared" si="3"/>
        <v>#VALUE!</v>
      </c>
      <c r="W22" s="17" t="s">
        <v>515</v>
      </c>
      <c r="X22" t="s">
        <v>515</v>
      </c>
      <c r="Y22" s="12" t="s">
        <v>657</v>
      </c>
    </row>
    <row r="23" spans="1:25" ht="15.75" customHeight="1" x14ac:dyDescent="0.2">
      <c r="A23" s="4" t="s">
        <v>270</v>
      </c>
      <c r="B23" s="10" t="s">
        <v>575</v>
      </c>
      <c r="C23" s="31" t="s">
        <v>271</v>
      </c>
      <c r="D23" s="6">
        <v>41799</v>
      </c>
      <c r="E23" t="s">
        <v>514</v>
      </c>
      <c r="F23" t="s">
        <v>515</v>
      </c>
      <c r="G23">
        <v>6.96</v>
      </c>
      <c r="H23">
        <v>190.95</v>
      </c>
      <c r="I23">
        <f t="shared" si="0"/>
        <v>197.91</v>
      </c>
      <c r="J23">
        <v>185.5</v>
      </c>
      <c r="K23" s="10">
        <f t="shared" si="1"/>
        <v>185.5</v>
      </c>
      <c r="L23" s="10">
        <v>2.2599999999999998</v>
      </c>
      <c r="M23" t="s">
        <v>515</v>
      </c>
      <c r="N23" t="s">
        <v>515</v>
      </c>
      <c r="T23" s="15"/>
      <c r="U23" s="17">
        <f t="shared" si="2"/>
        <v>0</v>
      </c>
      <c r="V23" s="17" t="e">
        <f t="shared" si="3"/>
        <v>#VALUE!</v>
      </c>
      <c r="W23" s="17" t="s">
        <v>515</v>
      </c>
      <c r="X23" t="s">
        <v>515</v>
      </c>
      <c r="Y23" s="12"/>
    </row>
    <row r="24" spans="1:25" ht="15.75" customHeight="1" x14ac:dyDescent="0.2">
      <c r="A24" s="4" t="s">
        <v>272</v>
      </c>
      <c r="B24" s="10" t="s">
        <v>576</v>
      </c>
      <c r="C24" s="31" t="s">
        <v>273</v>
      </c>
      <c r="D24" s="6">
        <v>41799</v>
      </c>
      <c r="E24" t="s">
        <v>516</v>
      </c>
      <c r="F24" t="s">
        <v>522</v>
      </c>
      <c r="G24">
        <v>47.12</v>
      </c>
      <c r="H24">
        <v>214.61</v>
      </c>
      <c r="I24">
        <f t="shared" si="0"/>
        <v>261.73</v>
      </c>
      <c r="J24">
        <v>208.65</v>
      </c>
      <c r="K24" s="10">
        <f t="shared" si="1"/>
        <v>208.65</v>
      </c>
      <c r="L24" s="10">
        <v>26.39</v>
      </c>
      <c r="M24" s="10" t="s">
        <v>515</v>
      </c>
      <c r="N24" t="s">
        <v>515</v>
      </c>
      <c r="O24" s="10" t="s">
        <v>515</v>
      </c>
      <c r="P24" s="10" t="s">
        <v>515</v>
      </c>
      <c r="Q24" s="10" t="s">
        <v>515</v>
      </c>
      <c r="R24" s="10" t="s">
        <v>515</v>
      </c>
      <c r="S24" s="10" t="s">
        <v>515</v>
      </c>
      <c r="T24" s="10"/>
      <c r="U24" s="17">
        <f t="shared" si="2"/>
        <v>0</v>
      </c>
      <c r="V24" s="17" t="e">
        <f t="shared" si="3"/>
        <v>#VALUE!</v>
      </c>
      <c r="W24" s="17" t="s">
        <v>515</v>
      </c>
      <c r="X24" t="s">
        <v>515</v>
      </c>
      <c r="Y24" s="24" t="s">
        <v>723</v>
      </c>
    </row>
    <row r="25" spans="1:25" ht="15.75" customHeight="1" x14ac:dyDescent="0.2">
      <c r="A25" s="4" t="s">
        <v>274</v>
      </c>
      <c r="B25" s="11" t="s">
        <v>611</v>
      </c>
      <c r="C25" s="31" t="s">
        <v>275</v>
      </c>
      <c r="D25" s="6">
        <v>41799</v>
      </c>
      <c r="E25" t="s">
        <v>514</v>
      </c>
      <c r="F25" t="s">
        <v>515</v>
      </c>
      <c r="G25">
        <v>0.6</v>
      </c>
      <c r="H25">
        <v>170.32</v>
      </c>
      <c r="I25">
        <f t="shared" si="0"/>
        <v>170.92</v>
      </c>
      <c r="J25">
        <v>159.24</v>
      </c>
      <c r="K25" s="10">
        <f t="shared" si="1"/>
        <v>159.24</v>
      </c>
      <c r="L25" s="10">
        <v>0.08</v>
      </c>
      <c r="M25" s="10">
        <v>56.4</v>
      </c>
      <c r="N25">
        <f>(L25+M25)-U25</f>
        <v>56.48</v>
      </c>
      <c r="P25">
        <v>0.16800000000000001</v>
      </c>
      <c r="Q25">
        <v>1.7999999999999999E-2</v>
      </c>
      <c r="R25" s="6">
        <v>41836</v>
      </c>
      <c r="S25" s="6">
        <v>41838</v>
      </c>
      <c r="T25" s="15">
        <v>0</v>
      </c>
      <c r="U25" s="17">
        <f t="shared" si="2"/>
        <v>0</v>
      </c>
      <c r="V25" s="17">
        <f t="shared" si="3"/>
        <v>0.35468475257472992</v>
      </c>
      <c r="W25" s="17">
        <f>V25*I25</f>
        <v>60.622717910072836</v>
      </c>
      <c r="X25" t="s">
        <v>515</v>
      </c>
      <c r="Y25" s="12"/>
    </row>
    <row r="26" spans="1:25" ht="15.75" customHeight="1" x14ac:dyDescent="0.2">
      <c r="A26" s="4" t="s">
        <v>276</v>
      </c>
      <c r="B26" s="10" t="s">
        <v>599</v>
      </c>
      <c r="C26" s="31" t="s">
        <v>277</v>
      </c>
      <c r="D26" s="6">
        <v>41799</v>
      </c>
      <c r="E26" t="s">
        <v>514</v>
      </c>
      <c r="F26" t="s">
        <v>515</v>
      </c>
      <c r="G26">
        <v>25.59</v>
      </c>
      <c r="H26">
        <v>601.69000000000005</v>
      </c>
      <c r="I26">
        <f t="shared" si="0"/>
        <v>627.28000000000009</v>
      </c>
      <c r="J26">
        <v>585.13</v>
      </c>
      <c r="K26" s="10">
        <f t="shared" si="1"/>
        <v>585.13</v>
      </c>
      <c r="L26" s="10">
        <v>11.38</v>
      </c>
      <c r="M26" t="s">
        <v>515</v>
      </c>
      <c r="N26" t="s">
        <v>515</v>
      </c>
      <c r="T26" s="15"/>
      <c r="U26" s="17">
        <f t="shared" si="2"/>
        <v>0</v>
      </c>
      <c r="V26" s="17" t="e">
        <f t="shared" si="3"/>
        <v>#VALUE!</v>
      </c>
      <c r="W26" s="17" t="s">
        <v>515</v>
      </c>
      <c r="X26" t="s">
        <v>515</v>
      </c>
      <c r="Y26" s="12" t="s">
        <v>664</v>
      </c>
    </row>
    <row r="27" spans="1:25" ht="15.75" customHeight="1" x14ac:dyDescent="0.2">
      <c r="A27" s="4" t="s">
        <v>278</v>
      </c>
      <c r="B27" s="10" t="s">
        <v>510</v>
      </c>
      <c r="C27" s="31" t="s">
        <v>279</v>
      </c>
      <c r="D27" s="6">
        <v>41799</v>
      </c>
      <c r="E27" t="s">
        <v>514</v>
      </c>
      <c r="F27" t="s">
        <v>515</v>
      </c>
      <c r="G27">
        <v>0</v>
      </c>
      <c r="H27">
        <v>485.23</v>
      </c>
      <c r="I27">
        <f t="shared" si="0"/>
        <v>485.23</v>
      </c>
      <c r="J27">
        <v>480.03</v>
      </c>
      <c r="K27" s="10">
        <f t="shared" si="1"/>
        <v>480.03</v>
      </c>
      <c r="L27" s="10">
        <v>0</v>
      </c>
      <c r="M27" s="10">
        <v>203.86</v>
      </c>
      <c r="N27">
        <f>(L27+M27)-U27</f>
        <v>203.86</v>
      </c>
      <c r="P27">
        <v>0.35699999999999998</v>
      </c>
      <c r="Q27">
        <v>1.0999999999999999E-2</v>
      </c>
      <c r="R27" s="6">
        <v>41836</v>
      </c>
      <c r="S27" s="6">
        <v>41838</v>
      </c>
      <c r="T27" s="15">
        <v>0</v>
      </c>
      <c r="U27" s="17">
        <f t="shared" si="2"/>
        <v>0</v>
      </c>
      <c r="V27" s="17">
        <f t="shared" si="3"/>
        <v>0.42468179072141332</v>
      </c>
      <c r="W27" s="17">
        <f>V27*I27</f>
        <v>206.06834531175139</v>
      </c>
      <c r="X27">
        <v>315.64</v>
      </c>
      <c r="Y27" s="12"/>
    </row>
    <row r="28" spans="1:25" ht="15.75" customHeight="1" x14ac:dyDescent="0.2">
      <c r="A28" s="4" t="s">
        <v>280</v>
      </c>
      <c r="B28" s="10" t="s">
        <v>607</v>
      </c>
      <c r="C28" s="31" t="s">
        <v>281</v>
      </c>
      <c r="D28" s="6">
        <v>41799</v>
      </c>
      <c r="E28" t="s">
        <v>514</v>
      </c>
      <c r="F28" t="s">
        <v>515</v>
      </c>
      <c r="G28">
        <v>0</v>
      </c>
      <c r="H28">
        <v>191.92</v>
      </c>
      <c r="I28">
        <f t="shared" si="0"/>
        <v>191.92</v>
      </c>
      <c r="J28">
        <v>175.78</v>
      </c>
      <c r="K28" s="10">
        <f t="shared" si="1"/>
        <v>175.78</v>
      </c>
      <c r="L28" s="10">
        <v>0</v>
      </c>
      <c r="M28" t="s">
        <v>515</v>
      </c>
      <c r="N28" t="s">
        <v>515</v>
      </c>
      <c r="T28" s="15"/>
      <c r="U28" s="17">
        <f t="shared" si="2"/>
        <v>0</v>
      </c>
      <c r="V28" s="17" t="e">
        <f t="shared" si="3"/>
        <v>#VALUE!</v>
      </c>
      <c r="W28" s="17" t="s">
        <v>515</v>
      </c>
      <c r="X28" t="s">
        <v>515</v>
      </c>
      <c r="Y28" s="12"/>
    </row>
    <row r="29" spans="1:25" ht="15.75" customHeight="1" x14ac:dyDescent="0.2">
      <c r="A29" s="4" t="s">
        <v>282</v>
      </c>
      <c r="B29" s="10" t="s">
        <v>618</v>
      </c>
      <c r="C29" s="31" t="s">
        <v>283</v>
      </c>
      <c r="D29" s="6">
        <v>41799</v>
      </c>
      <c r="E29" t="s">
        <v>514</v>
      </c>
      <c r="F29" t="s">
        <v>515</v>
      </c>
      <c r="G29">
        <v>0</v>
      </c>
      <c r="H29">
        <v>258.73</v>
      </c>
      <c r="I29">
        <f t="shared" si="0"/>
        <v>258.73</v>
      </c>
      <c r="J29">
        <v>254.47</v>
      </c>
      <c r="K29" s="10">
        <f t="shared" si="1"/>
        <v>254.47</v>
      </c>
      <c r="L29" s="10">
        <v>0</v>
      </c>
      <c r="M29" s="10">
        <v>73.33</v>
      </c>
      <c r="N29">
        <f t="shared" ref="N29:N34" si="4">(L29+M29)-U29</f>
        <v>73.33</v>
      </c>
      <c r="P29">
        <v>0.1845</v>
      </c>
      <c r="Q29">
        <v>1.9E-2</v>
      </c>
      <c r="R29" s="6">
        <v>41836</v>
      </c>
      <c r="S29" s="6">
        <v>41838</v>
      </c>
      <c r="T29" s="15">
        <v>0</v>
      </c>
      <c r="U29" s="17">
        <f t="shared" si="2"/>
        <v>0</v>
      </c>
      <c r="V29" s="17">
        <f t="shared" si="3"/>
        <v>0.28816756395645854</v>
      </c>
      <c r="W29" s="17">
        <f t="shared" ref="W29:W34" si="5">V29*I29</f>
        <v>74.557593822454521</v>
      </c>
      <c r="X29">
        <v>122.55</v>
      </c>
      <c r="Y29" s="12"/>
    </row>
    <row r="30" spans="1:25" ht="15.75" customHeight="1" x14ac:dyDescent="0.2">
      <c r="A30" s="4" t="s">
        <v>284</v>
      </c>
      <c r="B30" s="10" t="s">
        <v>555</v>
      </c>
      <c r="C30" s="31" t="s">
        <v>285</v>
      </c>
      <c r="D30" s="6">
        <v>41799</v>
      </c>
      <c r="E30" t="s">
        <v>514</v>
      </c>
      <c r="F30" t="s">
        <v>515</v>
      </c>
      <c r="G30">
        <v>0.76</v>
      </c>
      <c r="H30">
        <v>542.54</v>
      </c>
      <c r="I30">
        <f t="shared" si="0"/>
        <v>543.29999999999995</v>
      </c>
      <c r="J30">
        <v>535.99</v>
      </c>
      <c r="K30" s="10">
        <f t="shared" si="1"/>
        <v>535.99</v>
      </c>
      <c r="L30" s="10">
        <v>0.52</v>
      </c>
      <c r="M30" s="10">
        <v>389.11</v>
      </c>
      <c r="N30">
        <f t="shared" si="4"/>
        <v>389.63</v>
      </c>
      <c r="P30">
        <v>0.84250000000000003</v>
      </c>
      <c r="Q30">
        <v>1.4500000000000001E-2</v>
      </c>
      <c r="R30" s="6">
        <v>41836</v>
      </c>
      <c r="S30" s="6">
        <v>41838</v>
      </c>
      <c r="T30" s="16">
        <v>0</v>
      </c>
      <c r="U30" s="17">
        <f t="shared" si="2"/>
        <v>0</v>
      </c>
      <c r="V30" s="17">
        <f t="shared" si="3"/>
        <v>0.72693520401500022</v>
      </c>
      <c r="W30" s="17">
        <f t="shared" si="5"/>
        <v>394.94389634134961</v>
      </c>
      <c r="X30" t="s">
        <v>515</v>
      </c>
      <c r="Y30" s="12"/>
    </row>
    <row r="31" spans="1:25" ht="15.75" customHeight="1" x14ac:dyDescent="0.2">
      <c r="A31" s="4" t="s">
        <v>286</v>
      </c>
      <c r="B31" s="10" t="s">
        <v>608</v>
      </c>
      <c r="C31" s="31" t="s">
        <v>287</v>
      </c>
      <c r="D31" s="6">
        <v>41799</v>
      </c>
      <c r="E31" t="s">
        <v>514</v>
      </c>
      <c r="F31" t="s">
        <v>515</v>
      </c>
      <c r="G31">
        <v>0</v>
      </c>
      <c r="H31">
        <v>472.9</v>
      </c>
      <c r="I31">
        <f t="shared" si="0"/>
        <v>472.9</v>
      </c>
      <c r="J31">
        <v>466.95</v>
      </c>
      <c r="K31" s="10">
        <f t="shared" si="1"/>
        <v>466.95</v>
      </c>
      <c r="L31" s="10">
        <v>0</v>
      </c>
      <c r="M31" s="10">
        <v>199.18</v>
      </c>
      <c r="N31">
        <f t="shared" si="4"/>
        <v>199.18</v>
      </c>
      <c r="P31">
        <v>0.37</v>
      </c>
      <c r="Q31">
        <v>8.9999999999999993E-3</v>
      </c>
      <c r="R31" s="6">
        <v>41836</v>
      </c>
      <c r="S31" s="6">
        <v>41838</v>
      </c>
      <c r="T31" s="15">
        <v>0</v>
      </c>
      <c r="U31" s="17">
        <f t="shared" si="2"/>
        <v>0</v>
      </c>
      <c r="V31" s="17">
        <f t="shared" si="3"/>
        <v>0.4265553057072492</v>
      </c>
      <c r="W31" s="17">
        <f t="shared" si="5"/>
        <v>201.71800406895812</v>
      </c>
      <c r="X31">
        <v>304.95999999999998</v>
      </c>
      <c r="Y31" s="12"/>
    </row>
    <row r="32" spans="1:25" ht="15.75" customHeight="1" x14ac:dyDescent="0.2">
      <c r="A32" s="4" t="s">
        <v>288</v>
      </c>
      <c r="B32" s="10" t="s">
        <v>619</v>
      </c>
      <c r="C32" s="31" t="s">
        <v>289</v>
      </c>
      <c r="D32" s="6">
        <v>41799</v>
      </c>
      <c r="E32" t="s">
        <v>514</v>
      </c>
      <c r="F32" t="s">
        <v>515</v>
      </c>
      <c r="G32">
        <v>22.31</v>
      </c>
      <c r="H32">
        <v>289.3</v>
      </c>
      <c r="I32">
        <f t="shared" si="0"/>
        <v>311.61</v>
      </c>
      <c r="J32">
        <v>281.62</v>
      </c>
      <c r="K32" s="10">
        <f t="shared" si="1"/>
        <v>281.62</v>
      </c>
      <c r="L32" s="10">
        <v>12.57</v>
      </c>
      <c r="M32" s="10">
        <v>129.35</v>
      </c>
      <c r="N32">
        <f t="shared" si="4"/>
        <v>141.91999999999999</v>
      </c>
      <c r="P32">
        <v>0.23200000000000001</v>
      </c>
      <c r="Q32">
        <v>9.4999999999999998E-3</v>
      </c>
      <c r="R32" s="6">
        <v>41836</v>
      </c>
      <c r="S32" s="6">
        <v>41838</v>
      </c>
      <c r="T32" s="15">
        <v>0</v>
      </c>
      <c r="U32" s="17">
        <f t="shared" si="2"/>
        <v>0</v>
      </c>
      <c r="V32" s="17">
        <f t="shared" si="3"/>
        <v>0.50394148142887574</v>
      </c>
      <c r="W32" s="17">
        <f t="shared" si="5"/>
        <v>157.03320502805198</v>
      </c>
      <c r="X32">
        <v>171.67</v>
      </c>
      <c r="Y32" s="12"/>
    </row>
    <row r="33" spans="1:25" ht="15.75" customHeight="1" x14ac:dyDescent="0.2">
      <c r="A33" s="4" t="s">
        <v>290</v>
      </c>
      <c r="B33" s="10" t="s">
        <v>605</v>
      </c>
      <c r="C33" s="31" t="s">
        <v>291</v>
      </c>
      <c r="D33" s="6">
        <v>41799</v>
      </c>
      <c r="E33" t="s">
        <v>514</v>
      </c>
      <c r="F33" t="s">
        <v>515</v>
      </c>
      <c r="G33">
        <v>3.9</v>
      </c>
      <c r="H33">
        <v>298.13</v>
      </c>
      <c r="I33">
        <f t="shared" si="0"/>
        <v>302.02999999999997</v>
      </c>
      <c r="J33">
        <v>290.49</v>
      </c>
      <c r="K33" s="10">
        <f t="shared" si="1"/>
        <v>290.49</v>
      </c>
      <c r="L33" s="10">
        <v>2.38</v>
      </c>
      <c r="M33" s="10">
        <v>70.52</v>
      </c>
      <c r="N33">
        <f t="shared" si="4"/>
        <v>72.899999999999991</v>
      </c>
      <c r="P33">
        <v>0.16400000000000001</v>
      </c>
      <c r="Q33">
        <v>8.9999999999999993E-3</v>
      </c>
      <c r="R33" s="6">
        <v>41836</v>
      </c>
      <c r="S33" s="6">
        <v>41838</v>
      </c>
      <c r="T33" s="15">
        <v>0</v>
      </c>
      <c r="U33" s="17">
        <f t="shared" si="2"/>
        <v>0</v>
      </c>
      <c r="V33" s="17">
        <f t="shared" si="3"/>
        <v>0.25095528245378496</v>
      </c>
      <c r="W33" s="17">
        <f t="shared" si="5"/>
        <v>75.79602395951666</v>
      </c>
      <c r="X33">
        <v>112.96</v>
      </c>
      <c r="Y33" s="12"/>
    </row>
    <row r="34" spans="1:25" ht="15.75" customHeight="1" x14ac:dyDescent="0.2">
      <c r="A34" s="4" t="s">
        <v>292</v>
      </c>
      <c r="B34" s="10" t="s">
        <v>620</v>
      </c>
      <c r="C34" s="31" t="s">
        <v>293</v>
      </c>
      <c r="D34" s="6">
        <v>41799</v>
      </c>
      <c r="E34" t="s">
        <v>514</v>
      </c>
      <c r="F34" t="s">
        <v>515</v>
      </c>
      <c r="G34">
        <v>8.1199999999999992</v>
      </c>
      <c r="H34">
        <v>216.9</v>
      </c>
      <c r="I34">
        <f t="shared" ref="I34:I65" si="6">(G34+H34)-U34</f>
        <v>225.02</v>
      </c>
      <c r="J34">
        <v>211.79</v>
      </c>
      <c r="K34" s="10">
        <f t="shared" ref="K34:K65" si="7">J34-U34</f>
        <v>211.79</v>
      </c>
      <c r="L34" s="10">
        <v>5.34</v>
      </c>
      <c r="M34" s="10">
        <v>41.31</v>
      </c>
      <c r="N34">
        <f t="shared" si="4"/>
        <v>46.650000000000006</v>
      </c>
      <c r="P34">
        <v>0.1095</v>
      </c>
      <c r="Q34">
        <v>3.0000000000000001E-3</v>
      </c>
      <c r="R34" s="6">
        <v>41836</v>
      </c>
      <c r="S34" s="6">
        <v>44030</v>
      </c>
      <c r="T34" s="15">
        <v>0</v>
      </c>
      <c r="U34" s="17">
        <f t="shared" ref="U34:U65" si="8">T34*0.424</f>
        <v>0</v>
      </c>
      <c r="V34" s="17">
        <f t="shared" ref="V34:V65" si="9">N34/K34</f>
        <v>0.22026535719344636</v>
      </c>
      <c r="W34" s="17">
        <f t="shared" si="5"/>
        <v>49.564110675669305</v>
      </c>
      <c r="X34">
        <v>82.26</v>
      </c>
      <c r="Y34" s="12"/>
    </row>
    <row r="35" spans="1:25" ht="15.75" customHeight="1" x14ac:dyDescent="0.2">
      <c r="A35" s="4" t="s">
        <v>294</v>
      </c>
      <c r="B35" s="10" t="s">
        <v>621</v>
      </c>
      <c r="C35" s="31" t="s">
        <v>295</v>
      </c>
      <c r="D35" s="6">
        <v>41799</v>
      </c>
      <c r="E35" t="s">
        <v>516</v>
      </c>
      <c r="F35" t="s">
        <v>673</v>
      </c>
      <c r="G35">
        <v>31.05</v>
      </c>
      <c r="H35">
        <v>338.44</v>
      </c>
      <c r="I35">
        <f t="shared" si="6"/>
        <v>369.49</v>
      </c>
      <c r="J35">
        <v>326.5</v>
      </c>
      <c r="K35" s="10">
        <f t="shared" si="7"/>
        <v>326.5</v>
      </c>
      <c r="L35" s="10">
        <v>12.19</v>
      </c>
      <c r="M35" s="10" t="s">
        <v>515</v>
      </c>
      <c r="N35" t="s">
        <v>515</v>
      </c>
      <c r="O35" s="10" t="s">
        <v>515</v>
      </c>
      <c r="P35" s="10" t="s">
        <v>515</v>
      </c>
      <c r="Q35" s="10" t="s">
        <v>515</v>
      </c>
      <c r="R35" s="10" t="s">
        <v>515</v>
      </c>
      <c r="S35" s="10" t="s">
        <v>515</v>
      </c>
      <c r="T35" s="10"/>
      <c r="U35" s="17">
        <f t="shared" si="8"/>
        <v>0</v>
      </c>
      <c r="V35" s="17" t="e">
        <f t="shared" si="9"/>
        <v>#VALUE!</v>
      </c>
      <c r="W35" s="17" t="s">
        <v>515</v>
      </c>
      <c r="X35" t="s">
        <v>515</v>
      </c>
      <c r="Y35" s="24" t="s">
        <v>723</v>
      </c>
    </row>
    <row r="36" spans="1:25" ht="15.75" customHeight="1" x14ac:dyDescent="0.2">
      <c r="A36" s="4" t="s">
        <v>748</v>
      </c>
      <c r="B36" s="10" t="s">
        <v>519</v>
      </c>
      <c r="C36" s="31" t="s">
        <v>296</v>
      </c>
      <c r="D36" s="6">
        <v>41799</v>
      </c>
      <c r="E36" t="s">
        <v>514</v>
      </c>
      <c r="F36" t="s">
        <v>515</v>
      </c>
      <c r="G36">
        <v>120.04</v>
      </c>
      <c r="H36">
        <v>419.68</v>
      </c>
      <c r="I36">
        <f t="shared" si="6"/>
        <v>539.72</v>
      </c>
      <c r="J36">
        <v>407.85</v>
      </c>
      <c r="K36" s="10">
        <f t="shared" si="7"/>
        <v>407.85</v>
      </c>
      <c r="L36" s="10">
        <v>63.8</v>
      </c>
      <c r="M36" t="s">
        <v>515</v>
      </c>
      <c r="N36" t="s">
        <v>515</v>
      </c>
      <c r="T36" s="15"/>
      <c r="U36" s="17">
        <f t="shared" si="8"/>
        <v>0</v>
      </c>
      <c r="V36" s="17" t="e">
        <f t="shared" si="9"/>
        <v>#VALUE!</v>
      </c>
      <c r="W36" s="17" t="s">
        <v>515</v>
      </c>
      <c r="X36" t="s">
        <v>515</v>
      </c>
      <c r="Y36" s="12"/>
    </row>
    <row r="37" spans="1:25" ht="15.75" customHeight="1" x14ac:dyDescent="0.2">
      <c r="A37" s="4" t="s">
        <v>297</v>
      </c>
      <c r="B37" s="10" t="s">
        <v>616</v>
      </c>
      <c r="C37" s="31" t="s">
        <v>298</v>
      </c>
      <c r="D37" s="6">
        <v>41799</v>
      </c>
      <c r="E37" t="s">
        <v>514</v>
      </c>
      <c r="F37" t="s">
        <v>515</v>
      </c>
      <c r="G37">
        <v>175.21</v>
      </c>
      <c r="H37">
        <v>578.66</v>
      </c>
      <c r="I37">
        <f t="shared" si="6"/>
        <v>753.87</v>
      </c>
      <c r="J37">
        <v>571.66</v>
      </c>
      <c r="K37" s="10">
        <f t="shared" si="7"/>
        <v>571.66</v>
      </c>
      <c r="L37" s="10">
        <v>92.28</v>
      </c>
      <c r="M37" s="10">
        <v>157.4</v>
      </c>
      <c r="N37">
        <f>(L37+M37)-U37</f>
        <v>249.68</v>
      </c>
      <c r="P37">
        <v>0.39750000000000002</v>
      </c>
      <c r="Q37">
        <v>8.9999999999999993E-3</v>
      </c>
      <c r="R37" s="6">
        <v>41836</v>
      </c>
      <c r="S37" s="6">
        <v>41838</v>
      </c>
      <c r="T37" s="15">
        <v>0</v>
      </c>
      <c r="U37" s="17">
        <f t="shared" si="8"/>
        <v>0</v>
      </c>
      <c r="V37" s="17">
        <f t="shared" si="9"/>
        <v>0.43676311094006931</v>
      </c>
      <c r="W37" s="17">
        <f>V37*I37</f>
        <v>329.26260644439003</v>
      </c>
      <c r="X37">
        <v>267.32</v>
      </c>
      <c r="Y37" s="12"/>
    </row>
    <row r="38" spans="1:25" ht="15.75" customHeight="1" x14ac:dyDescent="0.2">
      <c r="A38" s="4" t="s">
        <v>299</v>
      </c>
      <c r="B38" s="10" t="s">
        <v>554</v>
      </c>
      <c r="C38" s="31" t="s">
        <v>300</v>
      </c>
      <c r="D38" s="6">
        <v>41799</v>
      </c>
      <c r="E38" t="s">
        <v>514</v>
      </c>
      <c r="F38" t="s">
        <v>515</v>
      </c>
      <c r="G38">
        <v>37.119999999999997</v>
      </c>
      <c r="H38">
        <v>433.92</v>
      </c>
      <c r="I38">
        <f t="shared" si="6"/>
        <v>471.04</v>
      </c>
      <c r="J38">
        <v>424.26</v>
      </c>
      <c r="K38" s="10">
        <f t="shared" si="7"/>
        <v>424.26</v>
      </c>
      <c r="L38" s="10">
        <v>19.34</v>
      </c>
      <c r="M38" s="10" t="s">
        <v>515</v>
      </c>
      <c r="N38" t="s">
        <v>515</v>
      </c>
      <c r="O38" s="10" t="s">
        <v>515</v>
      </c>
      <c r="P38" s="10" t="s">
        <v>515</v>
      </c>
      <c r="Q38" s="10" t="s">
        <v>515</v>
      </c>
      <c r="R38" s="10" t="s">
        <v>515</v>
      </c>
      <c r="S38" s="10" t="s">
        <v>515</v>
      </c>
      <c r="T38" s="10"/>
      <c r="U38" s="17">
        <f t="shared" si="8"/>
        <v>0</v>
      </c>
      <c r="V38" s="17" t="e">
        <f t="shared" si="9"/>
        <v>#VALUE!</v>
      </c>
      <c r="W38" s="17" t="s">
        <v>515</v>
      </c>
      <c r="X38" t="s">
        <v>515</v>
      </c>
      <c r="Y38" s="24" t="s">
        <v>723</v>
      </c>
    </row>
    <row r="39" spans="1:25" ht="15.75" customHeight="1" x14ac:dyDescent="0.2">
      <c r="A39" s="4" t="s">
        <v>301</v>
      </c>
      <c r="B39" s="10" t="s">
        <v>555</v>
      </c>
      <c r="C39" s="31" t="s">
        <v>302</v>
      </c>
      <c r="D39" s="6">
        <v>41799</v>
      </c>
      <c r="E39" t="s">
        <v>516</v>
      </c>
      <c r="F39" t="s">
        <v>662</v>
      </c>
      <c r="G39">
        <v>186.16</v>
      </c>
      <c r="H39">
        <v>220.32</v>
      </c>
      <c r="I39">
        <f t="shared" si="6"/>
        <v>406.48</v>
      </c>
      <c r="J39">
        <v>213.32</v>
      </c>
      <c r="K39" s="10">
        <f t="shared" si="7"/>
        <v>213.32</v>
      </c>
      <c r="L39" s="10">
        <v>102.89</v>
      </c>
      <c r="M39" s="10">
        <v>29.67</v>
      </c>
      <c r="N39">
        <f>(L39+M39)-U39</f>
        <v>132.56</v>
      </c>
      <c r="P39">
        <v>0.128</v>
      </c>
      <c r="Q39">
        <v>6.0000000000000001E-3</v>
      </c>
      <c r="R39" s="6">
        <v>41836</v>
      </c>
      <c r="S39" s="6">
        <v>41838</v>
      </c>
      <c r="T39" s="15">
        <v>0</v>
      </c>
      <c r="U39" s="17">
        <f t="shared" si="8"/>
        <v>0</v>
      </c>
      <c r="V39" s="17">
        <f t="shared" si="9"/>
        <v>0.62141383836489783</v>
      </c>
      <c r="W39" s="17">
        <f>V39*I39</f>
        <v>252.59229701856367</v>
      </c>
      <c r="X39">
        <v>40.68</v>
      </c>
      <c r="Y39" s="12"/>
    </row>
    <row r="40" spans="1:25" ht="15.75" customHeight="1" x14ac:dyDescent="0.2">
      <c r="A40" s="4" t="s">
        <v>303</v>
      </c>
      <c r="B40" s="10" t="s">
        <v>574</v>
      </c>
      <c r="C40" s="31" t="s">
        <v>304</v>
      </c>
      <c r="D40" s="6">
        <v>41799</v>
      </c>
      <c r="E40" t="s">
        <v>514</v>
      </c>
      <c r="F40" t="s">
        <v>515</v>
      </c>
      <c r="G40">
        <v>117.44</v>
      </c>
      <c r="H40">
        <v>414.45</v>
      </c>
      <c r="I40">
        <f t="shared" si="6"/>
        <v>531.89</v>
      </c>
      <c r="J40">
        <v>407.52</v>
      </c>
      <c r="K40" s="10">
        <f t="shared" si="7"/>
        <v>407.52</v>
      </c>
      <c r="L40" s="10">
        <v>53.11</v>
      </c>
      <c r="M40" s="10" t="s">
        <v>515</v>
      </c>
      <c r="N40" t="s">
        <v>515</v>
      </c>
      <c r="O40" s="10" t="s">
        <v>515</v>
      </c>
      <c r="P40" s="10" t="s">
        <v>515</v>
      </c>
      <c r="Q40" s="10" t="s">
        <v>515</v>
      </c>
      <c r="R40" s="10" t="s">
        <v>515</v>
      </c>
      <c r="S40" s="10" t="s">
        <v>515</v>
      </c>
      <c r="T40" s="10"/>
      <c r="U40" s="17">
        <f t="shared" si="8"/>
        <v>0</v>
      </c>
      <c r="V40" s="17" t="e">
        <f t="shared" si="9"/>
        <v>#VALUE!</v>
      </c>
      <c r="W40" s="17" t="s">
        <v>515</v>
      </c>
      <c r="X40" t="s">
        <v>515</v>
      </c>
      <c r="Y40" s="19" t="s">
        <v>724</v>
      </c>
    </row>
    <row r="41" spans="1:25" ht="15.75" customHeight="1" x14ac:dyDescent="0.2">
      <c r="A41" s="4" t="s">
        <v>305</v>
      </c>
      <c r="B41" s="11" t="s">
        <v>564</v>
      </c>
      <c r="C41" s="31" t="s">
        <v>306</v>
      </c>
      <c r="D41" s="6">
        <v>41799</v>
      </c>
      <c r="E41" t="s">
        <v>514</v>
      </c>
      <c r="F41" t="s">
        <v>515</v>
      </c>
      <c r="G41">
        <v>26.61</v>
      </c>
      <c r="H41">
        <v>65.94</v>
      </c>
      <c r="I41">
        <f t="shared" si="6"/>
        <v>92.55</v>
      </c>
      <c r="J41">
        <v>59.95</v>
      </c>
      <c r="K41" s="10">
        <f t="shared" si="7"/>
        <v>59.95</v>
      </c>
      <c r="L41" s="10">
        <v>8.6199999999999992</v>
      </c>
      <c r="M41" t="s">
        <v>515</v>
      </c>
      <c r="N41" t="s">
        <v>515</v>
      </c>
      <c r="T41" s="15"/>
      <c r="U41" s="17">
        <f t="shared" si="8"/>
        <v>0</v>
      </c>
      <c r="V41" s="17" t="e">
        <f t="shared" si="9"/>
        <v>#VALUE!</v>
      </c>
      <c r="W41" s="17" t="s">
        <v>515</v>
      </c>
      <c r="X41" t="s">
        <v>515</v>
      </c>
      <c r="Y41" s="12"/>
    </row>
    <row r="42" spans="1:25" ht="15.75" customHeight="1" x14ac:dyDescent="0.2">
      <c r="A42" s="18" t="s">
        <v>447</v>
      </c>
      <c r="B42" s="19" t="s">
        <v>606</v>
      </c>
      <c r="C42" s="34" t="s">
        <v>448</v>
      </c>
      <c r="D42" s="20">
        <v>41800</v>
      </c>
      <c r="E42" s="12" t="s">
        <v>514</v>
      </c>
      <c r="F42" s="12" t="s">
        <v>515</v>
      </c>
      <c r="G42" s="12">
        <v>81.569999999999993</v>
      </c>
      <c r="H42" s="12">
        <v>587.39</v>
      </c>
      <c r="I42">
        <f t="shared" si="6"/>
        <v>668.96</v>
      </c>
      <c r="J42" s="12">
        <v>577</v>
      </c>
      <c r="K42" s="10">
        <f t="shared" si="7"/>
        <v>577</v>
      </c>
      <c r="L42" s="19">
        <v>37.39</v>
      </c>
      <c r="M42" s="19" t="s">
        <v>515</v>
      </c>
      <c r="N42" t="s">
        <v>515</v>
      </c>
      <c r="O42" s="19" t="s">
        <v>515</v>
      </c>
      <c r="P42" s="19" t="s">
        <v>515</v>
      </c>
      <c r="Q42" s="19" t="s">
        <v>515</v>
      </c>
      <c r="R42" s="19" t="s">
        <v>515</v>
      </c>
      <c r="S42" s="19" t="s">
        <v>515</v>
      </c>
      <c r="T42" s="19"/>
      <c r="U42" s="17">
        <f t="shared" si="8"/>
        <v>0</v>
      </c>
      <c r="V42" s="17" t="e">
        <f t="shared" si="9"/>
        <v>#VALUE!</v>
      </c>
      <c r="W42" s="17" t="s">
        <v>515</v>
      </c>
      <c r="X42" t="s">
        <v>515</v>
      </c>
      <c r="Y42" s="22" t="s">
        <v>723</v>
      </c>
    </row>
    <row r="43" spans="1:25" ht="15.75" customHeight="1" x14ac:dyDescent="0.2">
      <c r="A43" s="4" t="s">
        <v>449</v>
      </c>
      <c r="B43" s="10" t="s">
        <v>519</v>
      </c>
      <c r="C43" s="31" t="s">
        <v>450</v>
      </c>
      <c r="D43" s="6">
        <v>41800</v>
      </c>
      <c r="E43" t="s">
        <v>514</v>
      </c>
      <c r="F43" t="s">
        <v>515</v>
      </c>
      <c r="G43">
        <v>57.96</v>
      </c>
      <c r="H43">
        <v>320.31</v>
      </c>
      <c r="I43">
        <f t="shared" si="6"/>
        <v>378.27</v>
      </c>
      <c r="J43">
        <v>299.02999999999997</v>
      </c>
      <c r="K43" s="10">
        <f t="shared" si="7"/>
        <v>299.02999999999997</v>
      </c>
      <c r="L43" s="10">
        <v>26.44</v>
      </c>
      <c r="M43" s="10" t="s">
        <v>515</v>
      </c>
      <c r="N43" t="s">
        <v>515</v>
      </c>
      <c r="O43" s="10" t="s">
        <v>515</v>
      </c>
      <c r="P43" s="10" t="s">
        <v>515</v>
      </c>
      <c r="Q43" s="10" t="s">
        <v>515</v>
      </c>
      <c r="R43" s="10" t="s">
        <v>515</v>
      </c>
      <c r="S43" s="10" t="s">
        <v>515</v>
      </c>
      <c r="T43" s="10"/>
      <c r="U43" s="17">
        <f t="shared" si="8"/>
        <v>0</v>
      </c>
      <c r="V43" s="17" t="e">
        <f t="shared" si="9"/>
        <v>#VALUE!</v>
      </c>
      <c r="W43" s="17" t="s">
        <v>515</v>
      </c>
      <c r="X43" t="s">
        <v>515</v>
      </c>
      <c r="Y43" s="24" t="s">
        <v>723</v>
      </c>
    </row>
    <row r="44" spans="1:25" ht="15.75" customHeight="1" x14ac:dyDescent="0.2">
      <c r="A44" s="4" t="s">
        <v>451</v>
      </c>
      <c r="B44" s="10" t="s">
        <v>598</v>
      </c>
      <c r="C44" s="31" t="s">
        <v>452</v>
      </c>
      <c r="D44" s="6">
        <v>41800</v>
      </c>
      <c r="E44" t="s">
        <v>514</v>
      </c>
      <c r="F44" t="s">
        <v>515</v>
      </c>
      <c r="G44">
        <v>83.13</v>
      </c>
      <c r="H44">
        <v>127.11</v>
      </c>
      <c r="I44">
        <f t="shared" si="6"/>
        <v>210.24</v>
      </c>
      <c r="J44">
        <v>121.33</v>
      </c>
      <c r="K44" s="10">
        <f t="shared" si="7"/>
        <v>121.33</v>
      </c>
      <c r="L44" s="10">
        <v>31.18</v>
      </c>
      <c r="M44" s="10" t="s">
        <v>515</v>
      </c>
      <c r="N44" t="s">
        <v>515</v>
      </c>
      <c r="T44" s="15"/>
      <c r="U44" s="17">
        <f t="shared" si="8"/>
        <v>0</v>
      </c>
      <c r="V44" s="17" t="e">
        <f t="shared" si="9"/>
        <v>#VALUE!</v>
      </c>
      <c r="W44" s="17" t="s">
        <v>515</v>
      </c>
      <c r="X44" t="s">
        <v>515</v>
      </c>
      <c r="Y44" s="12"/>
    </row>
    <row r="45" spans="1:25" ht="15.75" customHeight="1" x14ac:dyDescent="0.2">
      <c r="A45" s="4" t="s">
        <v>453</v>
      </c>
      <c r="B45" s="10" t="s">
        <v>531</v>
      </c>
      <c r="C45" s="31" t="s">
        <v>454</v>
      </c>
      <c r="D45" s="6">
        <v>41800</v>
      </c>
      <c r="E45" t="s">
        <v>514</v>
      </c>
      <c r="F45" t="s">
        <v>515</v>
      </c>
      <c r="G45">
        <v>1.35</v>
      </c>
      <c r="H45">
        <v>149.96</v>
      </c>
      <c r="I45">
        <f t="shared" si="6"/>
        <v>151.31</v>
      </c>
      <c r="J45">
        <v>145.38</v>
      </c>
      <c r="K45" s="10">
        <f t="shared" si="7"/>
        <v>145.38</v>
      </c>
      <c r="L45" s="10">
        <v>0.56000000000000005</v>
      </c>
      <c r="M45" t="s">
        <v>515</v>
      </c>
      <c r="N45" t="s">
        <v>515</v>
      </c>
      <c r="T45" s="15"/>
      <c r="U45" s="17">
        <f t="shared" si="8"/>
        <v>0</v>
      </c>
      <c r="V45" s="17" t="e">
        <f t="shared" si="9"/>
        <v>#VALUE!</v>
      </c>
      <c r="W45" s="17" t="s">
        <v>515</v>
      </c>
      <c r="X45" t="s">
        <v>515</v>
      </c>
      <c r="Y45" s="12" t="s">
        <v>670</v>
      </c>
    </row>
    <row r="46" spans="1:25" ht="15.75" customHeight="1" x14ac:dyDescent="0.2">
      <c r="A46" s="4" t="s">
        <v>455</v>
      </c>
      <c r="B46" s="10" t="s">
        <v>616</v>
      </c>
      <c r="C46" s="31" t="s">
        <v>456</v>
      </c>
      <c r="D46" s="6">
        <v>41800</v>
      </c>
      <c r="E46" t="s">
        <v>514</v>
      </c>
      <c r="F46" t="s">
        <v>515</v>
      </c>
      <c r="G46">
        <v>135.46</v>
      </c>
      <c r="H46">
        <v>467.62</v>
      </c>
      <c r="I46">
        <f t="shared" si="6"/>
        <v>603.08000000000004</v>
      </c>
      <c r="J46">
        <v>457.08</v>
      </c>
      <c r="K46" s="10">
        <f t="shared" si="7"/>
        <v>457.08</v>
      </c>
      <c r="L46" s="10">
        <v>64.39</v>
      </c>
      <c r="M46" s="10">
        <v>131.46</v>
      </c>
      <c r="N46">
        <f>(L46+M46)-U46</f>
        <v>195.85000000000002</v>
      </c>
      <c r="P46">
        <v>0.39100000000000001</v>
      </c>
      <c r="Q46">
        <v>2.1000000000000001E-2</v>
      </c>
      <c r="R46" s="6">
        <v>41836</v>
      </c>
      <c r="S46" s="6">
        <v>41838</v>
      </c>
      <c r="T46" s="15">
        <v>0</v>
      </c>
      <c r="U46" s="17">
        <f t="shared" si="8"/>
        <v>0</v>
      </c>
      <c r="V46" s="17">
        <f t="shared" si="9"/>
        <v>0.42848079110877751</v>
      </c>
      <c r="W46" s="17">
        <f>V46*I46</f>
        <v>258.40819550188155</v>
      </c>
      <c r="X46">
        <v>209.94</v>
      </c>
      <c r="Y46" s="12"/>
    </row>
    <row r="47" spans="1:25" ht="15.75" customHeight="1" x14ac:dyDescent="0.2">
      <c r="A47" s="4" t="s">
        <v>457</v>
      </c>
      <c r="B47" s="10" t="s">
        <v>588</v>
      </c>
      <c r="C47" s="31" t="s">
        <v>458</v>
      </c>
      <c r="D47" s="6">
        <v>41800</v>
      </c>
      <c r="E47" t="s">
        <v>514</v>
      </c>
      <c r="F47" t="s">
        <v>515</v>
      </c>
      <c r="G47">
        <v>38.36</v>
      </c>
      <c r="H47">
        <v>471.38</v>
      </c>
      <c r="I47">
        <f t="shared" si="6"/>
        <v>509.74</v>
      </c>
      <c r="J47">
        <v>464.17</v>
      </c>
      <c r="K47" s="10">
        <f t="shared" si="7"/>
        <v>464.17</v>
      </c>
      <c r="L47" s="10">
        <v>17.73</v>
      </c>
      <c r="M47" s="10" t="s">
        <v>515</v>
      </c>
      <c r="N47" t="s">
        <v>515</v>
      </c>
      <c r="O47" s="10" t="s">
        <v>515</v>
      </c>
      <c r="P47" s="10" t="s">
        <v>515</v>
      </c>
      <c r="Q47" s="10" t="s">
        <v>515</v>
      </c>
      <c r="R47" s="10" t="s">
        <v>515</v>
      </c>
      <c r="S47" s="10" t="s">
        <v>515</v>
      </c>
      <c r="T47" s="10"/>
      <c r="U47" s="17">
        <f t="shared" si="8"/>
        <v>0</v>
      </c>
      <c r="V47" s="17" t="e">
        <f t="shared" si="9"/>
        <v>#VALUE!</v>
      </c>
      <c r="W47" s="17" t="s">
        <v>515</v>
      </c>
      <c r="X47" t="s">
        <v>515</v>
      </c>
      <c r="Y47" s="22" t="s">
        <v>723</v>
      </c>
    </row>
    <row r="48" spans="1:25" ht="15.75" customHeight="1" x14ac:dyDescent="0.2">
      <c r="A48" s="4" t="s">
        <v>459</v>
      </c>
      <c r="B48" s="10" t="s">
        <v>641</v>
      </c>
      <c r="C48" s="31" t="s">
        <v>460</v>
      </c>
      <c r="D48" s="6">
        <v>41800</v>
      </c>
      <c r="E48" t="s">
        <v>516</v>
      </c>
      <c r="F48" t="s">
        <v>669</v>
      </c>
      <c r="G48">
        <v>17.32</v>
      </c>
      <c r="H48">
        <v>206.2</v>
      </c>
      <c r="I48">
        <f t="shared" si="6"/>
        <v>223.51999999999998</v>
      </c>
      <c r="J48">
        <v>200.11</v>
      </c>
      <c r="K48" s="10">
        <f t="shared" si="7"/>
        <v>200.11</v>
      </c>
      <c r="L48" s="10">
        <v>8.15</v>
      </c>
      <c r="M48" s="10">
        <v>56.53</v>
      </c>
      <c r="N48">
        <f>(L48+M48)-U48</f>
        <v>64.680000000000007</v>
      </c>
      <c r="P48">
        <v>0.19400000000000001</v>
      </c>
      <c r="Q48">
        <v>8.9999999999999993E-3</v>
      </c>
      <c r="R48" s="6">
        <v>41836</v>
      </c>
      <c r="S48" s="6">
        <v>41838</v>
      </c>
      <c r="T48" s="15">
        <v>0</v>
      </c>
      <c r="U48" s="17">
        <f t="shared" si="8"/>
        <v>0</v>
      </c>
      <c r="V48" s="17">
        <f t="shared" si="9"/>
        <v>0.32322222777472392</v>
      </c>
      <c r="W48" s="17">
        <f>V48*I48</f>
        <v>72.246632352206291</v>
      </c>
      <c r="X48">
        <v>84.2</v>
      </c>
      <c r="Y48" s="12"/>
    </row>
    <row r="49" spans="1:25" ht="15.75" customHeight="1" x14ac:dyDescent="0.2">
      <c r="A49" s="4" t="s">
        <v>569</v>
      </c>
      <c r="B49" s="11" t="s">
        <v>198</v>
      </c>
      <c r="C49" s="31" t="s">
        <v>448</v>
      </c>
      <c r="D49" s="6">
        <v>41801</v>
      </c>
      <c r="E49" t="s">
        <v>516</v>
      </c>
      <c r="F49" t="s">
        <v>685</v>
      </c>
      <c r="G49">
        <v>0.47</v>
      </c>
      <c r="H49">
        <v>405.52</v>
      </c>
      <c r="I49">
        <f t="shared" si="6"/>
        <v>405.99</v>
      </c>
      <c r="J49">
        <v>396.37</v>
      </c>
      <c r="K49" s="10">
        <f t="shared" si="7"/>
        <v>396.37</v>
      </c>
      <c r="L49">
        <f>0.35-0.06</f>
        <v>0.28999999999999998</v>
      </c>
      <c r="M49">
        <v>136.78</v>
      </c>
      <c r="N49">
        <f>(L49+M49)-U49</f>
        <v>137.07</v>
      </c>
      <c r="P49">
        <v>0.41749999999999998</v>
      </c>
      <c r="Q49">
        <v>1.6E-2</v>
      </c>
      <c r="R49" s="6">
        <v>41836</v>
      </c>
      <c r="S49" s="6">
        <v>41838</v>
      </c>
      <c r="T49" s="15">
        <v>0</v>
      </c>
      <c r="U49" s="17">
        <f t="shared" si="8"/>
        <v>0</v>
      </c>
      <c r="V49" s="17">
        <f t="shared" si="9"/>
        <v>0.34581325529177281</v>
      </c>
      <c r="W49" s="17">
        <f>V49*I49</f>
        <v>140.39672351590684</v>
      </c>
      <c r="X49">
        <v>190.85</v>
      </c>
      <c r="Y49" s="12" t="s">
        <v>747</v>
      </c>
    </row>
    <row r="50" spans="1:25" ht="15.75" customHeight="1" x14ac:dyDescent="0.2">
      <c r="A50" s="4" t="s">
        <v>461</v>
      </c>
      <c r="B50" s="10" t="s">
        <v>599</v>
      </c>
      <c r="C50" s="31" t="s">
        <v>462</v>
      </c>
      <c r="D50" s="6">
        <v>41800</v>
      </c>
      <c r="E50" t="s">
        <v>514</v>
      </c>
      <c r="F50" t="s">
        <v>515</v>
      </c>
      <c r="G50">
        <v>39.03</v>
      </c>
      <c r="H50">
        <v>357.28</v>
      </c>
      <c r="I50">
        <f t="shared" si="6"/>
        <v>396.30999999999995</v>
      </c>
      <c r="J50">
        <v>341.59</v>
      </c>
      <c r="K50" s="10">
        <f t="shared" si="7"/>
        <v>341.59</v>
      </c>
      <c r="L50" s="10">
        <v>13.63</v>
      </c>
      <c r="M50" t="s">
        <v>515</v>
      </c>
      <c r="N50" t="s">
        <v>515</v>
      </c>
      <c r="T50" s="15"/>
      <c r="U50" s="17">
        <f t="shared" si="8"/>
        <v>0</v>
      </c>
      <c r="V50" s="17" t="e">
        <f t="shared" si="9"/>
        <v>#VALUE!</v>
      </c>
      <c r="W50" s="17" t="s">
        <v>515</v>
      </c>
      <c r="X50" t="s">
        <v>515</v>
      </c>
      <c r="Y50" s="12"/>
    </row>
    <row r="51" spans="1:25" ht="15.75" customHeight="1" x14ac:dyDescent="0.2">
      <c r="A51" s="4" t="s">
        <v>463</v>
      </c>
      <c r="B51" s="10" t="s">
        <v>568</v>
      </c>
      <c r="C51" s="31" t="s">
        <v>464</v>
      </c>
      <c r="D51" s="6">
        <v>41800</v>
      </c>
      <c r="E51" t="s">
        <v>514</v>
      </c>
      <c r="F51" t="s">
        <v>515</v>
      </c>
      <c r="G51">
        <v>25.26</v>
      </c>
      <c r="H51">
        <v>305.10000000000002</v>
      </c>
      <c r="I51">
        <f t="shared" si="6"/>
        <v>330.36</v>
      </c>
      <c r="J51">
        <v>295.38</v>
      </c>
      <c r="K51" s="10">
        <f t="shared" si="7"/>
        <v>295.38</v>
      </c>
      <c r="L51" s="10">
        <v>10.92</v>
      </c>
      <c r="M51" s="10" t="s">
        <v>515</v>
      </c>
      <c r="N51" t="s">
        <v>515</v>
      </c>
      <c r="O51" s="10" t="s">
        <v>515</v>
      </c>
      <c r="P51" s="10" t="s">
        <v>515</v>
      </c>
      <c r="Q51" s="10" t="s">
        <v>515</v>
      </c>
      <c r="R51" s="10" t="s">
        <v>515</v>
      </c>
      <c r="S51" s="10" t="s">
        <v>515</v>
      </c>
      <c r="T51" s="10"/>
      <c r="U51" s="17">
        <f t="shared" si="8"/>
        <v>0</v>
      </c>
      <c r="V51" s="17" t="e">
        <f t="shared" si="9"/>
        <v>#VALUE!</v>
      </c>
      <c r="W51" s="17" t="s">
        <v>515</v>
      </c>
      <c r="X51" t="s">
        <v>515</v>
      </c>
      <c r="Y51" s="22" t="s">
        <v>723</v>
      </c>
    </row>
    <row r="52" spans="1:25" ht="15.75" customHeight="1" x14ac:dyDescent="0.2">
      <c r="A52" s="4" t="s">
        <v>465</v>
      </c>
      <c r="B52" s="10" t="s">
        <v>531</v>
      </c>
      <c r="C52" s="31" t="s">
        <v>466</v>
      </c>
      <c r="D52" s="6">
        <v>41800</v>
      </c>
      <c r="E52" t="s">
        <v>516</v>
      </c>
      <c r="F52" t="s">
        <v>665</v>
      </c>
      <c r="G52">
        <v>0</v>
      </c>
      <c r="H52">
        <v>806.33</v>
      </c>
      <c r="I52">
        <f t="shared" si="6"/>
        <v>806.33</v>
      </c>
      <c r="J52">
        <v>799.78</v>
      </c>
      <c r="K52" s="10">
        <f t="shared" si="7"/>
        <v>799.78</v>
      </c>
      <c r="L52" s="10">
        <v>0</v>
      </c>
      <c r="M52" s="10">
        <v>364.69</v>
      </c>
      <c r="N52">
        <f>(L52+M52)-U52</f>
        <v>364.69</v>
      </c>
      <c r="P52">
        <v>0.59450000000000003</v>
      </c>
      <c r="Q52">
        <v>0.04</v>
      </c>
      <c r="R52" s="6">
        <v>41836</v>
      </c>
      <c r="S52" s="6">
        <v>41838</v>
      </c>
      <c r="T52" s="15">
        <v>0</v>
      </c>
      <c r="U52" s="17">
        <f t="shared" si="8"/>
        <v>0</v>
      </c>
      <c r="V52" s="17">
        <f t="shared" si="9"/>
        <v>0.45598789667158468</v>
      </c>
      <c r="W52" s="17">
        <f>V52*I52</f>
        <v>367.67672072319891</v>
      </c>
      <c r="X52">
        <v>549.71</v>
      </c>
      <c r="Y52" s="12"/>
    </row>
    <row r="53" spans="1:25" ht="15.75" customHeight="1" x14ac:dyDescent="0.2">
      <c r="A53" s="4" t="s">
        <v>467</v>
      </c>
      <c r="B53" s="10" t="s">
        <v>626</v>
      </c>
      <c r="C53" s="31" t="s">
        <v>468</v>
      </c>
      <c r="D53" s="6">
        <v>41800</v>
      </c>
      <c r="E53" t="s">
        <v>514</v>
      </c>
      <c r="F53" t="s">
        <v>515</v>
      </c>
      <c r="G53">
        <v>20.8</v>
      </c>
      <c r="H53">
        <v>287.85000000000002</v>
      </c>
      <c r="I53">
        <f t="shared" si="6"/>
        <v>308.65000000000003</v>
      </c>
      <c r="J53">
        <v>276.8</v>
      </c>
      <c r="K53" s="10">
        <f t="shared" si="7"/>
        <v>276.8</v>
      </c>
      <c r="L53" s="10">
        <v>7.18</v>
      </c>
      <c r="M53" s="10">
        <v>72.73</v>
      </c>
      <c r="N53">
        <f>(L53+M53)-U53</f>
        <v>79.91</v>
      </c>
      <c r="P53">
        <v>0.32750000000000001</v>
      </c>
      <c r="Q53">
        <v>2.1999999999999999E-2</v>
      </c>
      <c r="R53" s="6">
        <v>41836</v>
      </c>
      <c r="S53" s="6">
        <v>41838</v>
      </c>
      <c r="T53" s="15">
        <v>0</v>
      </c>
      <c r="U53" s="17">
        <f t="shared" si="8"/>
        <v>0</v>
      </c>
      <c r="V53" s="17">
        <f t="shared" si="9"/>
        <v>0.2886921965317919</v>
      </c>
      <c r="W53" s="17">
        <f>V53*I53</f>
        <v>89.104846459537583</v>
      </c>
      <c r="X53" t="s">
        <v>515</v>
      </c>
      <c r="Y53" s="12"/>
    </row>
    <row r="54" spans="1:25" ht="15.75" customHeight="1" x14ac:dyDescent="0.2">
      <c r="A54" s="4" t="s">
        <v>469</v>
      </c>
      <c r="B54" s="10" t="s">
        <v>590</v>
      </c>
      <c r="C54" s="31" t="s">
        <v>470</v>
      </c>
      <c r="D54" s="6">
        <v>41800</v>
      </c>
      <c r="E54" t="s">
        <v>516</v>
      </c>
      <c r="F54" t="s">
        <v>666</v>
      </c>
      <c r="G54">
        <v>1.58</v>
      </c>
      <c r="H54">
        <v>287.8</v>
      </c>
      <c r="I54">
        <f t="shared" si="6"/>
        <v>289.38</v>
      </c>
      <c r="J54">
        <v>280.57</v>
      </c>
      <c r="K54" s="10">
        <f t="shared" si="7"/>
        <v>280.57</v>
      </c>
      <c r="L54" s="10">
        <v>0.8</v>
      </c>
      <c r="M54" s="10" t="s">
        <v>515</v>
      </c>
      <c r="N54" t="s">
        <v>515</v>
      </c>
      <c r="O54" s="10" t="s">
        <v>515</v>
      </c>
      <c r="P54" s="10" t="s">
        <v>515</v>
      </c>
      <c r="Q54" s="10" t="s">
        <v>515</v>
      </c>
      <c r="R54" s="10" t="s">
        <v>515</v>
      </c>
      <c r="S54" s="10" t="s">
        <v>515</v>
      </c>
      <c r="T54" s="10"/>
      <c r="U54" s="17">
        <f t="shared" si="8"/>
        <v>0</v>
      </c>
      <c r="V54" s="17" t="e">
        <f t="shared" si="9"/>
        <v>#VALUE!</v>
      </c>
      <c r="W54" s="17" t="s">
        <v>515</v>
      </c>
      <c r="X54" t="s">
        <v>515</v>
      </c>
      <c r="Y54" s="22" t="s">
        <v>723</v>
      </c>
    </row>
    <row r="55" spans="1:25" ht="15.75" customHeight="1" x14ac:dyDescent="0.2">
      <c r="A55" s="4" t="s">
        <v>557</v>
      </c>
      <c r="B55" t="s">
        <v>512</v>
      </c>
      <c r="C55" s="31" t="s">
        <v>448</v>
      </c>
      <c r="D55" s="6">
        <v>41801</v>
      </c>
      <c r="E55" t="s">
        <v>516</v>
      </c>
      <c r="F55" t="s">
        <v>685</v>
      </c>
      <c r="G55">
        <v>0</v>
      </c>
      <c r="H55">
        <v>834.84</v>
      </c>
      <c r="I55">
        <f t="shared" si="6"/>
        <v>833.99200000000008</v>
      </c>
      <c r="J55">
        <v>827.04</v>
      </c>
      <c r="K55" s="10">
        <f t="shared" si="7"/>
        <v>826.19200000000001</v>
      </c>
      <c r="L55" s="10">
        <v>0</v>
      </c>
      <c r="M55">
        <v>528.54</v>
      </c>
      <c r="N55">
        <f>(L55+M55)-U55</f>
        <v>527.69200000000001</v>
      </c>
      <c r="O55">
        <f>M55-0</f>
        <v>528.54</v>
      </c>
      <c r="P55">
        <v>0.92</v>
      </c>
      <c r="Q55">
        <v>3.85E-2</v>
      </c>
      <c r="R55" s="6">
        <v>41809</v>
      </c>
      <c r="S55" s="6">
        <v>41813</v>
      </c>
      <c r="T55" s="15">
        <v>2</v>
      </c>
      <c r="U55" s="17">
        <f t="shared" si="8"/>
        <v>0.84799999999999998</v>
      </c>
      <c r="V55" s="17">
        <f t="shared" si="9"/>
        <v>0.6387038363963824</v>
      </c>
      <c r="W55" s="17">
        <f>V55*I55</f>
        <v>532.67388992389181</v>
      </c>
      <c r="X55" t="s">
        <v>515</v>
      </c>
      <c r="Y55" s="12"/>
    </row>
    <row r="56" spans="1:25" ht="15.75" customHeight="1" x14ac:dyDescent="0.2">
      <c r="A56" s="4" t="s">
        <v>471</v>
      </c>
      <c r="B56" s="10" t="s">
        <v>448</v>
      </c>
      <c r="C56" s="31" t="s">
        <v>472</v>
      </c>
      <c r="D56" s="6">
        <v>41800</v>
      </c>
      <c r="E56" t="s">
        <v>514</v>
      </c>
      <c r="F56" t="s">
        <v>515</v>
      </c>
      <c r="G56">
        <v>7.62</v>
      </c>
      <c r="H56">
        <v>293.95</v>
      </c>
      <c r="I56">
        <f t="shared" si="6"/>
        <v>301.57</v>
      </c>
      <c r="J56">
        <v>290.23</v>
      </c>
      <c r="K56" s="10">
        <f t="shared" si="7"/>
        <v>290.23</v>
      </c>
      <c r="L56" s="10">
        <v>3.07</v>
      </c>
      <c r="M56" s="10" t="s">
        <v>515</v>
      </c>
      <c r="N56" t="s">
        <v>515</v>
      </c>
      <c r="O56" s="10" t="s">
        <v>515</v>
      </c>
      <c r="P56" s="10" t="s">
        <v>515</v>
      </c>
      <c r="Q56" s="10" t="s">
        <v>515</v>
      </c>
      <c r="R56" s="10" t="s">
        <v>515</v>
      </c>
      <c r="S56" s="10" t="s">
        <v>515</v>
      </c>
      <c r="T56" s="10"/>
      <c r="U56" s="17">
        <f t="shared" si="8"/>
        <v>0</v>
      </c>
      <c r="V56" s="17" t="e">
        <f t="shared" si="9"/>
        <v>#VALUE!</v>
      </c>
      <c r="W56" s="17" t="s">
        <v>515</v>
      </c>
      <c r="X56" t="s">
        <v>515</v>
      </c>
      <c r="Y56" s="22" t="s">
        <v>723</v>
      </c>
    </row>
    <row r="57" spans="1:25" ht="15.75" customHeight="1" x14ac:dyDescent="0.2">
      <c r="A57" s="4" t="s">
        <v>473</v>
      </c>
      <c r="B57" s="10" t="s">
        <v>642</v>
      </c>
      <c r="C57" s="31" t="s">
        <v>474</v>
      </c>
      <c r="D57" s="6">
        <v>41800</v>
      </c>
      <c r="E57" t="s">
        <v>514</v>
      </c>
      <c r="F57" t="s">
        <v>515</v>
      </c>
      <c r="G57">
        <v>15.01</v>
      </c>
      <c r="H57">
        <v>521.98</v>
      </c>
      <c r="I57">
        <f t="shared" si="6"/>
        <v>536.14200000000005</v>
      </c>
      <c r="J57">
        <v>516.91999999999996</v>
      </c>
      <c r="K57" s="10">
        <f t="shared" si="7"/>
        <v>516.072</v>
      </c>
      <c r="L57" s="10">
        <v>6.84</v>
      </c>
      <c r="M57">
        <v>407.24</v>
      </c>
      <c r="N57">
        <f>(L57+M57)-U57</f>
        <v>413.23199999999997</v>
      </c>
      <c r="O57">
        <f>M57-0</f>
        <v>407.24</v>
      </c>
      <c r="P57">
        <v>0.748</v>
      </c>
      <c r="Q57">
        <v>1.0999999999999999E-2</v>
      </c>
      <c r="R57" s="6">
        <v>41809</v>
      </c>
      <c r="S57" s="6">
        <v>41813</v>
      </c>
      <c r="T57" s="15">
        <v>2</v>
      </c>
      <c r="U57" s="17">
        <f t="shared" si="8"/>
        <v>0.84799999999999998</v>
      </c>
      <c r="V57" s="17">
        <f t="shared" si="9"/>
        <v>0.80072548016555822</v>
      </c>
      <c r="W57" s="17">
        <f>V57*I57</f>
        <v>429.30256038692278</v>
      </c>
      <c r="X57" t="s">
        <v>515</v>
      </c>
      <c r="Y57" s="12"/>
    </row>
    <row r="58" spans="1:25" ht="15.75" customHeight="1" x14ac:dyDescent="0.2">
      <c r="A58" s="4" t="s">
        <v>565</v>
      </c>
      <c r="B58" t="s">
        <v>611</v>
      </c>
      <c r="C58" s="31" t="s">
        <v>448</v>
      </c>
      <c r="D58" s="6">
        <v>41801</v>
      </c>
      <c r="E58" t="s">
        <v>516</v>
      </c>
      <c r="F58" t="s">
        <v>687</v>
      </c>
      <c r="G58">
        <v>2.82</v>
      </c>
      <c r="H58">
        <v>573.66</v>
      </c>
      <c r="I58">
        <f t="shared" si="6"/>
        <v>575.63200000000006</v>
      </c>
      <c r="J58">
        <v>567.65</v>
      </c>
      <c r="K58" s="10">
        <f t="shared" si="7"/>
        <v>566.80200000000002</v>
      </c>
      <c r="L58" s="10">
        <v>1.5</v>
      </c>
      <c r="M58">
        <v>413.47</v>
      </c>
      <c r="N58">
        <f>(L58+M58)-U58</f>
        <v>414.12200000000001</v>
      </c>
      <c r="O58">
        <f>M58-0.12</f>
        <v>413.35</v>
      </c>
      <c r="P58">
        <v>0.82199999999999995</v>
      </c>
      <c r="Q58">
        <v>1.7999999999999999E-2</v>
      </c>
      <c r="R58" s="6">
        <v>41809</v>
      </c>
      <c r="S58" s="6">
        <v>41813</v>
      </c>
      <c r="T58" s="15">
        <v>2</v>
      </c>
      <c r="U58" s="17">
        <f t="shared" si="8"/>
        <v>0.84799999999999998</v>
      </c>
      <c r="V58" s="17">
        <f t="shared" si="9"/>
        <v>0.73062903800621737</v>
      </c>
      <c r="W58" s="17">
        <f>V58*I58</f>
        <v>420.57345440559499</v>
      </c>
      <c r="X58" t="s">
        <v>515</v>
      </c>
      <c r="Y58" s="12"/>
    </row>
    <row r="59" spans="1:25" ht="15.75" customHeight="1" x14ac:dyDescent="0.2">
      <c r="A59" s="4" t="s">
        <v>475</v>
      </c>
      <c r="B59" s="10" t="s">
        <v>615</v>
      </c>
      <c r="C59" s="31" t="s">
        <v>476</v>
      </c>
      <c r="D59" s="6">
        <v>41800</v>
      </c>
      <c r="E59" t="s">
        <v>514</v>
      </c>
      <c r="F59" t="s">
        <v>515</v>
      </c>
      <c r="G59">
        <v>0</v>
      </c>
      <c r="H59">
        <v>868.34</v>
      </c>
      <c r="I59">
        <f t="shared" si="6"/>
        <v>867.91600000000005</v>
      </c>
      <c r="J59">
        <v>860.46</v>
      </c>
      <c r="K59" s="10">
        <f t="shared" si="7"/>
        <v>860.03600000000006</v>
      </c>
      <c r="L59" s="10">
        <v>0</v>
      </c>
      <c r="M59" s="10">
        <v>332.15</v>
      </c>
      <c r="N59">
        <f>(L59+M59)-U59</f>
        <v>331.726</v>
      </c>
      <c r="P59">
        <v>0.47799999999999998</v>
      </c>
      <c r="Q59">
        <v>0.02</v>
      </c>
      <c r="R59" s="6">
        <v>41836</v>
      </c>
      <c r="S59" s="6">
        <v>41838</v>
      </c>
      <c r="T59" s="15">
        <v>1</v>
      </c>
      <c r="U59" s="17">
        <f t="shared" si="8"/>
        <v>0.42399999999999999</v>
      </c>
      <c r="V59" s="17">
        <f t="shared" si="9"/>
        <v>0.38571176090303194</v>
      </c>
      <c r="W59" s="17">
        <f>V59*I59</f>
        <v>334.76540867591586</v>
      </c>
      <c r="X59">
        <v>560.57000000000005</v>
      </c>
      <c r="Y59" s="12"/>
    </row>
    <row r="60" spans="1:25" ht="15.75" customHeight="1" x14ac:dyDescent="0.2">
      <c r="A60" s="4" t="s">
        <v>561</v>
      </c>
      <c r="B60" t="s">
        <v>645</v>
      </c>
      <c r="C60" s="31" t="s">
        <v>448</v>
      </c>
      <c r="D60" s="6">
        <v>41801</v>
      </c>
      <c r="E60" t="s">
        <v>516</v>
      </c>
      <c r="F60" t="s">
        <v>683</v>
      </c>
      <c r="G60">
        <v>1.03</v>
      </c>
      <c r="H60">
        <v>592.65</v>
      </c>
      <c r="I60">
        <f t="shared" si="6"/>
        <v>592.83199999999999</v>
      </c>
      <c r="J60">
        <v>585.14</v>
      </c>
      <c r="K60" s="10">
        <f t="shared" si="7"/>
        <v>584.29200000000003</v>
      </c>
      <c r="L60" s="10">
        <v>0.38</v>
      </c>
      <c r="M60">
        <v>385.53</v>
      </c>
      <c r="N60">
        <f>(L60+M60)-U60</f>
        <v>385.06199999999995</v>
      </c>
      <c r="O60">
        <f>M60-0.22</f>
        <v>385.30999999999995</v>
      </c>
      <c r="P60">
        <v>0.61599999999999999</v>
      </c>
      <c r="Q60">
        <v>2.1000000000000001E-2</v>
      </c>
      <c r="R60" s="6">
        <v>41809</v>
      </c>
      <c r="S60" s="6">
        <v>41813</v>
      </c>
      <c r="T60" s="15">
        <v>2</v>
      </c>
      <c r="U60" s="17">
        <f t="shared" si="8"/>
        <v>0.84799999999999998</v>
      </c>
      <c r="V60" s="17">
        <f t="shared" si="9"/>
        <v>0.65902322811197134</v>
      </c>
      <c r="W60" s="17">
        <f>V60*I60</f>
        <v>390.69005836807617</v>
      </c>
      <c r="X60" t="s">
        <v>515</v>
      </c>
      <c r="Y60" s="12"/>
    </row>
    <row r="61" spans="1:25" ht="15.75" customHeight="1" x14ac:dyDescent="0.2">
      <c r="A61" s="4" t="s">
        <v>477</v>
      </c>
      <c r="B61" s="10" t="s">
        <v>512</v>
      </c>
      <c r="C61" s="31" t="s">
        <v>478</v>
      </c>
      <c r="D61" s="6">
        <v>41800</v>
      </c>
      <c r="E61" t="s">
        <v>514</v>
      </c>
      <c r="F61" t="s">
        <v>515</v>
      </c>
      <c r="G61">
        <v>8.36</v>
      </c>
      <c r="H61">
        <v>667.06</v>
      </c>
      <c r="I61">
        <f t="shared" si="6"/>
        <v>675.42</v>
      </c>
      <c r="J61">
        <v>660.74</v>
      </c>
      <c r="K61" s="10">
        <f t="shared" si="7"/>
        <v>660.74</v>
      </c>
      <c r="L61" s="10">
        <v>4.91</v>
      </c>
      <c r="M61" s="10">
        <v>322.58999999999997</v>
      </c>
      <c r="N61">
        <f>(L61+M61)-U61</f>
        <v>327.5</v>
      </c>
      <c r="P61">
        <v>0.56399999999999995</v>
      </c>
      <c r="Q61">
        <v>1.7999999999999999E-2</v>
      </c>
      <c r="R61" s="6">
        <v>41836</v>
      </c>
      <c r="S61" s="6">
        <v>41838</v>
      </c>
      <c r="T61" s="15">
        <v>0</v>
      </c>
      <c r="U61" s="17">
        <f t="shared" si="8"/>
        <v>0</v>
      </c>
      <c r="V61" s="17">
        <f t="shared" si="9"/>
        <v>0.49565638526500588</v>
      </c>
      <c r="W61" s="17">
        <f>V61*I61</f>
        <v>334.77623573569025</v>
      </c>
      <c r="X61">
        <v>457.27</v>
      </c>
      <c r="Y61" s="12"/>
    </row>
    <row r="62" spans="1:25" ht="15.75" customHeight="1" x14ac:dyDescent="0.2">
      <c r="A62" s="4" t="s">
        <v>560</v>
      </c>
      <c r="B62" t="s">
        <v>555</v>
      </c>
      <c r="C62" s="31" t="s">
        <v>448</v>
      </c>
      <c r="D62" s="6">
        <v>41801</v>
      </c>
      <c r="E62" t="s">
        <v>514</v>
      </c>
      <c r="F62" t="s">
        <v>515</v>
      </c>
      <c r="G62">
        <v>12.87</v>
      </c>
      <c r="H62">
        <v>477.27</v>
      </c>
      <c r="I62">
        <f t="shared" si="6"/>
        <v>490.14</v>
      </c>
      <c r="J62">
        <v>465.02</v>
      </c>
      <c r="K62" s="10">
        <f t="shared" si="7"/>
        <v>465.02</v>
      </c>
      <c r="L62" s="10"/>
      <c r="M62" t="s">
        <v>515</v>
      </c>
      <c r="N62" t="s">
        <v>515</v>
      </c>
      <c r="T62" s="15"/>
      <c r="U62" s="17">
        <f t="shared" si="8"/>
        <v>0</v>
      </c>
      <c r="V62" s="17" t="e">
        <f t="shared" si="9"/>
        <v>#VALUE!</v>
      </c>
      <c r="W62" s="17" t="s">
        <v>515</v>
      </c>
      <c r="X62" t="s">
        <v>515</v>
      </c>
      <c r="Y62" s="12"/>
    </row>
    <row r="63" spans="1:25" ht="15.75" customHeight="1" x14ac:dyDescent="0.2">
      <c r="A63" s="4" t="s">
        <v>479</v>
      </c>
      <c r="B63" s="10" t="s">
        <v>613</v>
      </c>
      <c r="C63" s="31" t="s">
        <v>480</v>
      </c>
      <c r="D63" s="6">
        <v>41800</v>
      </c>
      <c r="E63" t="s">
        <v>514</v>
      </c>
      <c r="F63" t="s">
        <v>515</v>
      </c>
      <c r="G63">
        <v>2.25</v>
      </c>
      <c r="H63">
        <v>206.3</v>
      </c>
      <c r="I63">
        <f t="shared" si="6"/>
        <v>208.55</v>
      </c>
      <c r="J63">
        <v>197.01</v>
      </c>
      <c r="K63" s="10">
        <f t="shared" si="7"/>
        <v>197.01</v>
      </c>
      <c r="M63">
        <v>91.3</v>
      </c>
      <c r="N63">
        <f>(L63+M63)-U63</f>
        <v>91.3</v>
      </c>
      <c r="P63">
        <v>0.2215</v>
      </c>
      <c r="Q63">
        <v>2.1999999999999999E-2</v>
      </c>
      <c r="R63" s="6">
        <v>41836</v>
      </c>
      <c r="S63" s="6">
        <v>41838</v>
      </c>
      <c r="T63" s="15">
        <v>0</v>
      </c>
      <c r="U63" s="17">
        <f t="shared" si="8"/>
        <v>0</v>
      </c>
      <c r="V63" s="17">
        <f t="shared" si="9"/>
        <v>0.46342825237297602</v>
      </c>
      <c r="W63" s="17">
        <f>V63*I63</f>
        <v>96.647962032384157</v>
      </c>
      <c r="X63" t="s">
        <v>515</v>
      </c>
      <c r="Y63" s="12"/>
    </row>
    <row r="64" spans="1:25" ht="15.75" customHeight="1" x14ac:dyDescent="0.2">
      <c r="A64" s="4" t="s">
        <v>481</v>
      </c>
      <c r="B64" s="10" t="s">
        <v>643</v>
      </c>
      <c r="C64" s="31" t="s">
        <v>482</v>
      </c>
      <c r="D64" s="6">
        <v>41800</v>
      </c>
      <c r="E64" t="s">
        <v>514</v>
      </c>
      <c r="F64" t="s">
        <v>515</v>
      </c>
      <c r="G64">
        <v>16.48</v>
      </c>
      <c r="H64">
        <v>454.51</v>
      </c>
      <c r="I64">
        <f t="shared" si="6"/>
        <v>470.99</v>
      </c>
      <c r="J64">
        <v>446.99</v>
      </c>
      <c r="K64" s="10">
        <f t="shared" si="7"/>
        <v>446.99</v>
      </c>
      <c r="L64" s="10">
        <v>4.25</v>
      </c>
      <c r="M64" s="10" t="s">
        <v>515</v>
      </c>
      <c r="N64" t="s">
        <v>515</v>
      </c>
      <c r="O64" s="10" t="s">
        <v>515</v>
      </c>
      <c r="P64" s="10" t="s">
        <v>515</v>
      </c>
      <c r="Q64" s="10" t="s">
        <v>515</v>
      </c>
      <c r="R64" s="10" t="s">
        <v>515</v>
      </c>
      <c r="S64" s="10" t="s">
        <v>515</v>
      </c>
      <c r="T64" s="10"/>
      <c r="U64" s="17">
        <f t="shared" si="8"/>
        <v>0</v>
      </c>
      <c r="V64" s="17" t="e">
        <f t="shared" si="9"/>
        <v>#VALUE!</v>
      </c>
      <c r="W64" s="17" t="s">
        <v>515</v>
      </c>
      <c r="X64" t="s">
        <v>515</v>
      </c>
      <c r="Y64" s="22" t="s">
        <v>723</v>
      </c>
    </row>
    <row r="65" spans="1:25" ht="15.75" customHeight="1" x14ac:dyDescent="0.2">
      <c r="A65" s="4" t="s">
        <v>748</v>
      </c>
      <c r="B65" s="10" t="s">
        <v>510</v>
      </c>
      <c r="C65" s="31" t="s">
        <v>483</v>
      </c>
      <c r="D65" s="6">
        <v>41800</v>
      </c>
      <c r="E65" t="s">
        <v>514</v>
      </c>
      <c r="F65" t="s">
        <v>515</v>
      </c>
      <c r="G65">
        <v>87.77</v>
      </c>
      <c r="H65">
        <v>272.91000000000003</v>
      </c>
      <c r="I65">
        <f t="shared" si="6"/>
        <v>360.68</v>
      </c>
      <c r="J65">
        <v>265.7</v>
      </c>
      <c r="K65" s="10">
        <f t="shared" si="7"/>
        <v>265.7</v>
      </c>
      <c r="L65" s="10">
        <v>44.69</v>
      </c>
      <c r="M65" t="s">
        <v>515</v>
      </c>
      <c r="N65" t="s">
        <v>515</v>
      </c>
      <c r="T65" s="15"/>
      <c r="U65" s="17">
        <f t="shared" si="8"/>
        <v>0</v>
      </c>
      <c r="V65" s="17" t="e">
        <f t="shared" si="9"/>
        <v>#VALUE!</v>
      </c>
      <c r="W65" s="17" t="s">
        <v>515</v>
      </c>
      <c r="X65" t="s">
        <v>515</v>
      </c>
      <c r="Y65" s="12" t="s">
        <v>660</v>
      </c>
    </row>
    <row r="66" spans="1:25" ht="15.75" customHeight="1" x14ac:dyDescent="0.2">
      <c r="A66" s="4" t="s">
        <v>484</v>
      </c>
      <c r="B66" s="10" t="s">
        <v>575</v>
      </c>
      <c r="C66" s="31" t="s">
        <v>485</v>
      </c>
      <c r="D66" s="6">
        <v>41800</v>
      </c>
      <c r="E66" t="s">
        <v>516</v>
      </c>
      <c r="F66" t="s">
        <v>667</v>
      </c>
      <c r="G66">
        <v>3.78</v>
      </c>
      <c r="H66">
        <v>370.91</v>
      </c>
      <c r="I66">
        <f t="shared" ref="I66:I97" si="10">(G66+H66)-U66</f>
        <v>374.69</v>
      </c>
      <c r="J66">
        <v>360.06</v>
      </c>
      <c r="K66" s="10">
        <f t="shared" ref="K66:K97" si="11">J66-U66</f>
        <v>360.06</v>
      </c>
      <c r="L66" s="10">
        <v>1.57</v>
      </c>
      <c r="M66" s="10">
        <v>209.35</v>
      </c>
      <c r="N66">
        <f>(L66+M66)-U66</f>
        <v>210.92</v>
      </c>
      <c r="P66">
        <v>0.40450000000000003</v>
      </c>
      <c r="Q66">
        <v>3.2500000000000001E-2</v>
      </c>
      <c r="R66" s="6">
        <v>41836</v>
      </c>
      <c r="S66" s="6">
        <v>41838</v>
      </c>
      <c r="T66" s="15">
        <v>0</v>
      </c>
      <c r="U66" s="17">
        <f t="shared" ref="U66:U97" si="12">T66*0.424</f>
        <v>0</v>
      </c>
      <c r="V66" s="17">
        <f t="shared" ref="V66:V72" si="13">N66/K66</f>
        <v>0.58579125701272006</v>
      </c>
      <c r="W66" s="17">
        <f>V66*I66</f>
        <v>219.49012609009608</v>
      </c>
      <c r="X66" t="s">
        <v>515</v>
      </c>
      <c r="Y66" s="12"/>
    </row>
    <row r="67" spans="1:25" ht="15.75" customHeight="1" x14ac:dyDescent="0.2">
      <c r="A67" s="4" t="s">
        <v>563</v>
      </c>
      <c r="B67" t="s">
        <v>642</v>
      </c>
      <c r="C67" s="31" t="s">
        <v>448</v>
      </c>
      <c r="D67" s="6">
        <v>41801</v>
      </c>
      <c r="E67" t="s">
        <v>516</v>
      </c>
      <c r="F67" t="s">
        <v>684</v>
      </c>
      <c r="G67">
        <v>3.27</v>
      </c>
      <c r="H67">
        <v>869.62</v>
      </c>
      <c r="I67">
        <f t="shared" si="10"/>
        <v>872.46600000000001</v>
      </c>
      <c r="J67">
        <v>855.83</v>
      </c>
      <c r="K67" s="10">
        <f t="shared" si="11"/>
        <v>855.40600000000006</v>
      </c>
      <c r="L67" s="10">
        <v>0.8</v>
      </c>
      <c r="M67">
        <v>458.84</v>
      </c>
      <c r="N67">
        <f>(L67+M67)-U67</f>
        <v>459.21600000000001</v>
      </c>
      <c r="O67">
        <f>M67-0</f>
        <v>458.84</v>
      </c>
      <c r="P67">
        <v>0.93100000000000005</v>
      </c>
      <c r="Q67">
        <v>0.04</v>
      </c>
      <c r="R67" s="6">
        <v>41809</v>
      </c>
      <c r="S67" s="6">
        <v>41813</v>
      </c>
      <c r="T67" s="15">
        <v>1</v>
      </c>
      <c r="U67" s="17">
        <f t="shared" si="12"/>
        <v>0.42399999999999999</v>
      </c>
      <c r="V67" s="17">
        <f t="shared" si="13"/>
        <v>0.5368398164146615</v>
      </c>
      <c r="W67" s="17">
        <f>V67*I67</f>
        <v>468.37448726803404</v>
      </c>
      <c r="X67" t="s">
        <v>515</v>
      </c>
      <c r="Y67" s="12"/>
    </row>
    <row r="68" spans="1:25" ht="15.75" customHeight="1" x14ac:dyDescent="0.2">
      <c r="A68" s="4" t="s">
        <v>486</v>
      </c>
      <c r="B68" s="10" t="s">
        <v>551</v>
      </c>
      <c r="C68" s="31" t="s">
        <v>487</v>
      </c>
      <c r="D68" s="6">
        <v>41800</v>
      </c>
      <c r="E68" t="s">
        <v>514</v>
      </c>
      <c r="F68" t="s">
        <v>515</v>
      </c>
      <c r="G68">
        <v>187.14</v>
      </c>
      <c r="H68">
        <v>184.44</v>
      </c>
      <c r="I68">
        <f t="shared" si="10"/>
        <v>371.58</v>
      </c>
      <c r="J68">
        <v>179.62</v>
      </c>
      <c r="K68" s="10">
        <f t="shared" si="11"/>
        <v>179.62</v>
      </c>
      <c r="L68" s="10">
        <v>80.89</v>
      </c>
      <c r="M68" t="s">
        <v>515</v>
      </c>
      <c r="N68" t="s">
        <v>515</v>
      </c>
      <c r="T68" s="15"/>
      <c r="U68" s="17">
        <f t="shared" si="12"/>
        <v>0</v>
      </c>
      <c r="V68" s="17" t="e">
        <f t="shared" si="13"/>
        <v>#VALUE!</v>
      </c>
      <c r="W68" s="17" t="s">
        <v>515</v>
      </c>
      <c r="X68" t="s">
        <v>515</v>
      </c>
      <c r="Y68" s="12" t="s">
        <v>668</v>
      </c>
    </row>
    <row r="69" spans="1:25" ht="15.75" customHeight="1" x14ac:dyDescent="0.2">
      <c r="A69" s="4" t="s">
        <v>488</v>
      </c>
      <c r="B69" s="10" t="s">
        <v>519</v>
      </c>
      <c r="C69" s="31" t="s">
        <v>489</v>
      </c>
      <c r="D69" s="6">
        <v>41800</v>
      </c>
      <c r="E69" t="s">
        <v>514</v>
      </c>
      <c r="F69" t="s">
        <v>515</v>
      </c>
      <c r="G69">
        <v>211.41</v>
      </c>
      <c r="H69">
        <v>492.14</v>
      </c>
      <c r="I69">
        <f t="shared" si="10"/>
        <v>703.55</v>
      </c>
      <c r="J69">
        <v>483.65</v>
      </c>
      <c r="K69" s="10">
        <f t="shared" si="11"/>
        <v>483.65</v>
      </c>
      <c r="L69" s="10">
        <v>104.4</v>
      </c>
      <c r="M69" s="10">
        <v>87.35</v>
      </c>
      <c r="N69">
        <f>(L69+M69)-U69</f>
        <v>191.75</v>
      </c>
      <c r="P69">
        <v>0.1615</v>
      </c>
      <c r="Q69">
        <v>5.0000000000000001E-3</v>
      </c>
      <c r="R69" s="6">
        <v>41836</v>
      </c>
      <c r="S69" s="6">
        <v>41838</v>
      </c>
      <c r="T69" s="15">
        <v>0</v>
      </c>
      <c r="U69" s="17">
        <f t="shared" si="12"/>
        <v>0</v>
      </c>
      <c r="V69" s="17">
        <f t="shared" si="13"/>
        <v>0.39646438540266726</v>
      </c>
      <c r="W69" s="17">
        <f>V69*I69</f>
        <v>278.93251835004651</v>
      </c>
      <c r="X69">
        <v>256.3</v>
      </c>
      <c r="Y69" s="12" t="s">
        <v>672</v>
      </c>
    </row>
    <row r="70" spans="1:25" ht="15.75" customHeight="1" x14ac:dyDescent="0.2">
      <c r="A70" s="4" t="s">
        <v>559</v>
      </c>
      <c r="B70" t="s">
        <v>578</v>
      </c>
      <c r="C70" s="31" t="s">
        <v>448</v>
      </c>
      <c r="D70" s="6">
        <v>41801</v>
      </c>
      <c r="E70" t="s">
        <v>514</v>
      </c>
      <c r="F70" t="s">
        <v>515</v>
      </c>
      <c r="G70">
        <v>0</v>
      </c>
      <c r="H70">
        <v>393.28</v>
      </c>
      <c r="I70">
        <f t="shared" si="10"/>
        <v>393.28</v>
      </c>
      <c r="J70">
        <v>382.15</v>
      </c>
      <c r="K70" s="10">
        <f t="shared" si="11"/>
        <v>382.15</v>
      </c>
      <c r="L70" s="10">
        <v>0</v>
      </c>
      <c r="M70" s="10">
        <v>180.64</v>
      </c>
      <c r="N70">
        <f>(L70+M70)-U70</f>
        <v>180.64</v>
      </c>
      <c r="P70">
        <v>0.39350000000000002</v>
      </c>
      <c r="Q70">
        <v>1.4999999999999999E-2</v>
      </c>
      <c r="R70" s="6">
        <v>41836</v>
      </c>
      <c r="S70" s="6">
        <v>41838</v>
      </c>
      <c r="T70" s="15">
        <v>0</v>
      </c>
      <c r="U70" s="17">
        <f t="shared" si="12"/>
        <v>0</v>
      </c>
      <c r="V70" s="17">
        <f t="shared" si="13"/>
        <v>0.47269396833704042</v>
      </c>
      <c r="W70" s="17">
        <f>V70*I70</f>
        <v>185.90108386759124</v>
      </c>
      <c r="X70" t="s">
        <v>515</v>
      </c>
      <c r="Y70" s="12"/>
    </row>
    <row r="71" spans="1:25" ht="15.75" customHeight="1" x14ac:dyDescent="0.2">
      <c r="A71" s="4" t="s">
        <v>490</v>
      </c>
      <c r="B71" s="10" t="s">
        <v>554</v>
      </c>
      <c r="C71" s="31" t="s">
        <v>491</v>
      </c>
      <c r="D71" s="6">
        <v>41800</v>
      </c>
      <c r="E71" t="s">
        <v>514</v>
      </c>
      <c r="F71" t="s">
        <v>515</v>
      </c>
      <c r="G71">
        <v>92.54</v>
      </c>
      <c r="H71">
        <v>505.94</v>
      </c>
      <c r="I71">
        <f t="shared" si="10"/>
        <v>598.48</v>
      </c>
      <c r="J71">
        <v>498.09</v>
      </c>
      <c r="K71" s="10">
        <f t="shared" si="11"/>
        <v>498.09</v>
      </c>
      <c r="L71" s="10">
        <v>34.42</v>
      </c>
      <c r="M71" s="10">
        <v>160.44999999999999</v>
      </c>
      <c r="N71">
        <f>(L71+M71)-U71</f>
        <v>194.87</v>
      </c>
      <c r="P71">
        <v>0.61799999999999999</v>
      </c>
      <c r="Q71">
        <v>2.35E-2</v>
      </c>
      <c r="R71" s="6">
        <v>41836</v>
      </c>
      <c r="S71" s="6">
        <v>41838</v>
      </c>
      <c r="T71" s="15">
        <v>0</v>
      </c>
      <c r="U71" s="17">
        <f t="shared" si="12"/>
        <v>0</v>
      </c>
      <c r="V71" s="17">
        <f t="shared" si="13"/>
        <v>0.39123451585054914</v>
      </c>
      <c r="W71" s="17">
        <f>V71*I71</f>
        <v>234.14603304623665</v>
      </c>
      <c r="X71">
        <v>201.73</v>
      </c>
      <c r="Y71" s="12"/>
    </row>
    <row r="72" spans="1:25" ht="15.75" customHeight="1" x14ac:dyDescent="0.2">
      <c r="A72" s="4" t="s">
        <v>492</v>
      </c>
      <c r="B72" s="10" t="s">
        <v>644</v>
      </c>
      <c r="C72" s="31" t="s">
        <v>493</v>
      </c>
      <c r="D72" s="6">
        <v>41800</v>
      </c>
      <c r="E72" t="s">
        <v>514</v>
      </c>
      <c r="F72" t="s">
        <v>515</v>
      </c>
      <c r="G72">
        <v>88.25</v>
      </c>
      <c r="H72">
        <v>68.67</v>
      </c>
      <c r="I72">
        <f t="shared" si="10"/>
        <v>156.92000000000002</v>
      </c>
      <c r="J72">
        <v>62.21</v>
      </c>
      <c r="K72" s="10">
        <f t="shared" si="11"/>
        <v>62.21</v>
      </c>
      <c r="L72" s="10">
        <v>25.94</v>
      </c>
      <c r="M72" t="s">
        <v>515</v>
      </c>
      <c r="N72" t="s">
        <v>515</v>
      </c>
      <c r="T72" s="15"/>
      <c r="U72" s="17">
        <f t="shared" si="12"/>
        <v>0</v>
      </c>
      <c r="V72" s="17" t="e">
        <f t="shared" si="13"/>
        <v>#VALUE!</v>
      </c>
      <c r="W72" s="17" t="s">
        <v>515</v>
      </c>
      <c r="X72" t="s">
        <v>515</v>
      </c>
      <c r="Y72" s="12" t="s">
        <v>671</v>
      </c>
    </row>
  </sheetData>
  <sortState ref="A2:Y72">
    <sortCondition ref="C2:C72" customList="1-L,1-H,2-L,2-H,3-L,3-H,4-L,4-H"/>
    <sortCondition ref="A2:A72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9"/>
  <sheetViews>
    <sheetView zoomScale="90" zoomScaleNormal="90" workbookViewId="0">
      <selection activeCell="L35" sqref="L35"/>
    </sheetView>
  </sheetViews>
  <sheetFormatPr defaultRowHeight="12.75" x14ac:dyDescent="0.2"/>
  <cols>
    <col min="2" max="2" width="7.85546875" bestFit="1" customWidth="1"/>
    <col min="3" max="3" width="4.5703125" style="32" bestFit="1" customWidth="1"/>
    <col min="4" max="4" width="9.85546875" bestFit="1" customWidth="1"/>
    <col min="5" max="5" width="12.42578125" bestFit="1" customWidth="1"/>
    <col min="6" max="6" width="13.7109375" bestFit="1" customWidth="1"/>
    <col min="7" max="7" width="8.5703125" bestFit="1" customWidth="1"/>
  </cols>
  <sheetData>
    <row r="1" spans="1:8" ht="15.75" customHeight="1" x14ac:dyDescent="0.2">
      <c r="A1" s="1" t="s">
        <v>0</v>
      </c>
      <c r="B1" s="2" t="s">
        <v>1</v>
      </c>
      <c r="C1" s="29" t="s">
        <v>2</v>
      </c>
      <c r="D1" s="2" t="s">
        <v>3</v>
      </c>
      <c r="E1" s="7" t="s">
        <v>717</v>
      </c>
      <c r="F1" s="7" t="s">
        <v>718</v>
      </c>
      <c r="G1" s="7" t="s">
        <v>729</v>
      </c>
      <c r="H1" s="25" t="s">
        <v>7</v>
      </c>
    </row>
    <row r="2" spans="1:8" ht="15.75" customHeight="1" x14ac:dyDescent="0.2">
      <c r="A2" s="4" t="s">
        <v>118</v>
      </c>
      <c r="B2" s="10" t="s">
        <v>623</v>
      </c>
      <c r="C2" s="30" t="s">
        <v>119</v>
      </c>
      <c r="D2" s="6">
        <v>41820</v>
      </c>
      <c r="E2" s="6">
        <v>41834</v>
      </c>
      <c r="F2" s="6">
        <v>41836</v>
      </c>
      <c r="G2">
        <v>219.79</v>
      </c>
      <c r="H2" s="12"/>
    </row>
    <row r="3" spans="1:8" ht="15.75" customHeight="1" x14ac:dyDescent="0.2">
      <c r="A3" s="4" t="s">
        <v>55</v>
      </c>
      <c r="B3" s="10" t="s">
        <v>322</v>
      </c>
      <c r="C3" s="30" t="s">
        <v>56</v>
      </c>
      <c r="D3" s="6">
        <v>41820</v>
      </c>
      <c r="E3" s="6">
        <v>41834</v>
      </c>
      <c r="F3" s="6">
        <v>41836</v>
      </c>
      <c r="G3">
        <v>251.88</v>
      </c>
      <c r="H3" s="12"/>
    </row>
    <row r="4" spans="1:8" ht="15.75" customHeight="1" x14ac:dyDescent="0.2">
      <c r="A4" s="4" t="s">
        <v>244</v>
      </c>
      <c r="B4" s="10" t="s">
        <v>571</v>
      </c>
      <c r="C4" s="31" t="s">
        <v>245</v>
      </c>
      <c r="D4" s="6">
        <v>41820</v>
      </c>
      <c r="E4" s="6">
        <v>41834</v>
      </c>
      <c r="F4" s="6">
        <v>41836</v>
      </c>
      <c r="G4">
        <v>264.07</v>
      </c>
      <c r="H4" s="12"/>
    </row>
    <row r="5" spans="1:8" ht="15.75" customHeight="1" x14ac:dyDescent="0.2">
      <c r="A5" s="4" t="s">
        <v>181</v>
      </c>
      <c r="B5" s="10" t="s">
        <v>613</v>
      </c>
      <c r="C5" s="31" t="s">
        <v>182</v>
      </c>
      <c r="D5" s="6">
        <v>41820</v>
      </c>
      <c r="E5" s="6">
        <v>41834</v>
      </c>
      <c r="F5" s="6">
        <v>41836</v>
      </c>
      <c r="G5">
        <v>275.77999999999997</v>
      </c>
      <c r="H5" s="12"/>
    </row>
    <row r="6" spans="1:8" ht="15.75" customHeight="1" x14ac:dyDescent="0.2">
      <c r="A6" s="4" t="s">
        <v>368</v>
      </c>
      <c r="B6" s="10" t="s">
        <v>531</v>
      </c>
      <c r="C6" s="31" t="s">
        <v>369</v>
      </c>
      <c r="D6" s="6">
        <v>41820</v>
      </c>
      <c r="E6" s="6">
        <v>41834</v>
      </c>
      <c r="F6" s="6">
        <v>41836</v>
      </c>
      <c r="G6">
        <v>273.82</v>
      </c>
      <c r="H6" s="12"/>
    </row>
    <row r="7" spans="1:8" ht="15.75" customHeight="1" x14ac:dyDescent="0.2">
      <c r="A7" s="4" t="s">
        <v>307</v>
      </c>
      <c r="B7" s="10" t="s">
        <v>513</v>
      </c>
      <c r="C7" s="31" t="s">
        <v>308</v>
      </c>
      <c r="D7" s="6">
        <v>41820</v>
      </c>
      <c r="E7" s="6">
        <v>41834</v>
      </c>
      <c r="F7" s="6">
        <v>41836</v>
      </c>
      <c r="G7">
        <v>244.28</v>
      </c>
      <c r="H7" s="12"/>
    </row>
    <row r="8" spans="1:8" ht="15.75" customHeight="1" x14ac:dyDescent="0.2">
      <c r="A8" s="4" t="s">
        <v>494</v>
      </c>
      <c r="B8" s="10" t="s">
        <v>552</v>
      </c>
      <c r="C8" s="31" t="s">
        <v>495</v>
      </c>
      <c r="D8" s="6">
        <v>41821</v>
      </c>
      <c r="E8" s="6">
        <v>41834</v>
      </c>
      <c r="F8" s="6">
        <v>41836</v>
      </c>
      <c r="G8">
        <v>284.2</v>
      </c>
      <c r="H8" s="12"/>
    </row>
    <row r="9" spans="1:8" ht="15.75" customHeight="1" x14ac:dyDescent="0.2">
      <c r="A9" s="4" t="s">
        <v>431</v>
      </c>
      <c r="B9" s="10" t="s">
        <v>554</v>
      </c>
      <c r="C9" s="31" t="s">
        <v>432</v>
      </c>
      <c r="D9" s="6">
        <v>41821</v>
      </c>
      <c r="E9" s="6">
        <v>41834</v>
      </c>
      <c r="F9" s="6">
        <v>41836</v>
      </c>
      <c r="G9">
        <v>272.38</v>
      </c>
      <c r="H9" s="12"/>
    </row>
    <row r="10" spans="1:8" ht="15.75" customHeight="1" x14ac:dyDescent="0.2">
      <c r="A10" s="4" t="s">
        <v>120</v>
      </c>
      <c r="B10" s="10" t="s">
        <v>564</v>
      </c>
      <c r="C10" s="30" t="s">
        <v>121</v>
      </c>
      <c r="D10" s="6">
        <v>41820</v>
      </c>
      <c r="E10" s="6">
        <v>41834</v>
      </c>
      <c r="F10" s="6">
        <v>41836</v>
      </c>
      <c r="G10">
        <v>372.63</v>
      </c>
      <c r="H10" s="12"/>
    </row>
    <row r="11" spans="1:8" ht="15.75" customHeight="1" x14ac:dyDescent="0.2">
      <c r="A11" s="4" t="s">
        <v>57</v>
      </c>
      <c r="B11" s="10" t="s">
        <v>531</v>
      </c>
      <c r="C11" s="30" t="s">
        <v>58</v>
      </c>
      <c r="D11" s="6">
        <v>41820</v>
      </c>
      <c r="E11" s="6">
        <v>41834</v>
      </c>
      <c r="F11" s="6">
        <v>41836</v>
      </c>
      <c r="G11">
        <v>367.18</v>
      </c>
      <c r="H11" s="12"/>
    </row>
    <row r="12" spans="1:8" ht="15.75" customHeight="1" x14ac:dyDescent="0.2">
      <c r="A12" s="4" t="s">
        <v>246</v>
      </c>
      <c r="B12" s="10" t="s">
        <v>598</v>
      </c>
      <c r="C12" s="31" t="s">
        <v>247</v>
      </c>
      <c r="D12" s="6">
        <v>41820</v>
      </c>
      <c r="E12" s="6">
        <v>41834</v>
      </c>
      <c r="F12" s="6">
        <v>41836</v>
      </c>
      <c r="G12">
        <v>337.09</v>
      </c>
      <c r="H12" s="12"/>
    </row>
    <row r="13" spans="1:8" ht="15.75" customHeight="1" x14ac:dyDescent="0.2">
      <c r="A13" s="4" t="s">
        <v>183</v>
      </c>
      <c r="B13" s="11" t="s">
        <v>552</v>
      </c>
      <c r="C13" s="31" t="s">
        <v>184</v>
      </c>
      <c r="D13" s="6">
        <v>41820</v>
      </c>
      <c r="E13" s="6">
        <v>41834</v>
      </c>
      <c r="F13" s="6">
        <v>41836</v>
      </c>
      <c r="G13">
        <v>336.74</v>
      </c>
      <c r="H13" s="12"/>
    </row>
    <row r="14" spans="1:8" ht="15.75" customHeight="1" x14ac:dyDescent="0.2">
      <c r="A14" s="4" t="s">
        <v>370</v>
      </c>
      <c r="B14" s="11" t="s">
        <v>616</v>
      </c>
      <c r="C14" s="31" t="s">
        <v>371</v>
      </c>
      <c r="D14" s="6">
        <v>41820</v>
      </c>
      <c r="E14" s="6">
        <v>41834</v>
      </c>
      <c r="F14" s="6">
        <v>41836</v>
      </c>
      <c r="G14">
        <v>373.83</v>
      </c>
      <c r="H14" s="12"/>
    </row>
    <row r="15" spans="1:8" ht="15.75" customHeight="1" x14ac:dyDescent="0.2">
      <c r="A15" s="4" t="s">
        <v>309</v>
      </c>
      <c r="B15" s="11" t="s">
        <v>512</v>
      </c>
      <c r="C15" s="31" t="s">
        <v>310</v>
      </c>
      <c r="D15" s="6">
        <v>41820</v>
      </c>
      <c r="E15" s="6">
        <v>41834</v>
      </c>
      <c r="F15" s="6">
        <v>41836</v>
      </c>
      <c r="G15">
        <v>303.81</v>
      </c>
      <c r="H15" s="12"/>
    </row>
    <row r="16" spans="1:8" ht="15.75" customHeight="1" x14ac:dyDescent="0.2">
      <c r="A16" s="4" t="s">
        <v>496</v>
      </c>
      <c r="B16" s="11" t="s">
        <v>554</v>
      </c>
      <c r="C16" s="31" t="s">
        <v>497</v>
      </c>
      <c r="D16" s="6">
        <v>41821</v>
      </c>
      <c r="E16" s="6">
        <v>41834</v>
      </c>
      <c r="F16" s="6">
        <v>41836</v>
      </c>
      <c r="G16">
        <v>343.67</v>
      </c>
      <c r="H16" s="12"/>
    </row>
    <row r="17" spans="1:8" ht="15.75" customHeight="1" x14ac:dyDescent="0.2">
      <c r="A17" s="4" t="s">
        <v>433</v>
      </c>
      <c r="B17" s="11" t="s">
        <v>606</v>
      </c>
      <c r="C17" s="31" t="s">
        <v>434</v>
      </c>
      <c r="D17" s="6">
        <v>41821</v>
      </c>
      <c r="E17" s="6">
        <v>41834</v>
      </c>
      <c r="F17" s="6">
        <v>41836</v>
      </c>
      <c r="G17">
        <v>316.17</v>
      </c>
      <c r="H17" s="12"/>
    </row>
    <row r="18" spans="1:8" ht="15.75" customHeight="1" x14ac:dyDescent="0.2">
      <c r="A18" s="4" t="s">
        <v>122</v>
      </c>
      <c r="B18" s="10" t="s">
        <v>613</v>
      </c>
      <c r="C18" s="30" t="s">
        <v>123</v>
      </c>
      <c r="D18" s="6">
        <v>41820</v>
      </c>
      <c r="E18" s="6">
        <v>41834</v>
      </c>
      <c r="F18" s="6">
        <v>41836</v>
      </c>
      <c r="G18">
        <v>297.2</v>
      </c>
      <c r="H18" s="12"/>
    </row>
    <row r="19" spans="1:8" ht="15.75" customHeight="1" x14ac:dyDescent="0.2">
      <c r="A19" s="4" t="s">
        <v>59</v>
      </c>
      <c r="B19" s="10" t="s">
        <v>531</v>
      </c>
      <c r="C19" s="30" t="s">
        <v>60</v>
      </c>
      <c r="D19" s="6">
        <v>41820</v>
      </c>
      <c r="E19" s="6">
        <v>41834</v>
      </c>
      <c r="F19" s="6">
        <v>41836</v>
      </c>
      <c r="G19">
        <v>269.63</v>
      </c>
      <c r="H19" s="12"/>
    </row>
    <row r="20" spans="1:8" ht="15.75" customHeight="1" x14ac:dyDescent="0.2">
      <c r="A20" s="4" t="s">
        <v>248</v>
      </c>
      <c r="B20" s="10" t="s">
        <v>554</v>
      </c>
      <c r="C20" s="31" t="s">
        <v>249</v>
      </c>
      <c r="D20" s="6">
        <v>41820</v>
      </c>
      <c r="E20" s="6">
        <v>41834</v>
      </c>
      <c r="F20" s="6">
        <v>41836</v>
      </c>
      <c r="G20">
        <v>289.29000000000002</v>
      </c>
      <c r="H20" s="12"/>
    </row>
    <row r="21" spans="1:8" ht="15.75" customHeight="1" x14ac:dyDescent="0.2">
      <c r="A21" s="4" t="s">
        <v>185</v>
      </c>
      <c r="B21" s="10" t="s">
        <v>513</v>
      </c>
      <c r="C21" s="31" t="s">
        <v>186</v>
      </c>
      <c r="D21" s="6">
        <v>41820</v>
      </c>
      <c r="E21" s="6">
        <v>41834</v>
      </c>
      <c r="F21" s="6">
        <v>41836</v>
      </c>
      <c r="G21">
        <v>180.54</v>
      </c>
      <c r="H21" s="12"/>
    </row>
    <row r="22" spans="1:8" ht="15.75" customHeight="1" x14ac:dyDescent="0.2">
      <c r="A22" s="4" t="s">
        <v>372</v>
      </c>
      <c r="B22" s="10" t="s">
        <v>72</v>
      </c>
      <c r="C22" s="31" t="s">
        <v>373</v>
      </c>
      <c r="D22" s="6">
        <v>41820</v>
      </c>
      <c r="E22" s="6">
        <v>41834</v>
      </c>
      <c r="F22" s="6">
        <v>41836</v>
      </c>
      <c r="G22">
        <v>275.70999999999998</v>
      </c>
      <c r="H22" s="12"/>
    </row>
    <row r="23" spans="1:8" ht="15.75" customHeight="1" x14ac:dyDescent="0.2">
      <c r="A23" s="4" t="s">
        <v>311</v>
      </c>
      <c r="B23" s="10" t="s">
        <v>519</v>
      </c>
      <c r="C23" s="31" t="s">
        <v>312</v>
      </c>
      <c r="D23" s="6">
        <v>41820</v>
      </c>
      <c r="E23" s="6">
        <v>41834</v>
      </c>
      <c r="F23" s="6">
        <v>41836</v>
      </c>
      <c r="G23">
        <v>306.77</v>
      </c>
      <c r="H23" s="12"/>
    </row>
    <row r="24" spans="1:8" ht="15.75" customHeight="1" x14ac:dyDescent="0.2">
      <c r="A24" s="4" t="s">
        <v>498</v>
      </c>
      <c r="B24" s="10" t="s">
        <v>566</v>
      </c>
      <c r="C24" s="31" t="s">
        <v>499</v>
      </c>
      <c r="D24" s="6">
        <v>41821</v>
      </c>
      <c r="E24" s="6">
        <v>41834</v>
      </c>
      <c r="F24" s="6">
        <v>41836</v>
      </c>
      <c r="G24">
        <v>315.69</v>
      </c>
      <c r="H24" s="12"/>
    </row>
    <row r="25" spans="1:8" ht="15.75" customHeight="1" x14ac:dyDescent="0.2">
      <c r="A25" s="4" t="s">
        <v>435</v>
      </c>
      <c r="B25" s="10" t="s">
        <v>575</v>
      </c>
      <c r="C25" s="31" t="s">
        <v>436</v>
      </c>
      <c r="D25" s="6">
        <v>41821</v>
      </c>
      <c r="E25" s="6">
        <v>41834</v>
      </c>
      <c r="F25" s="6">
        <v>41836</v>
      </c>
      <c r="G25">
        <v>128.66</v>
      </c>
      <c r="H25" s="12"/>
    </row>
    <row r="26" spans="1:8" ht="15.75" customHeight="1" x14ac:dyDescent="0.2">
      <c r="A26" s="4" t="s">
        <v>124</v>
      </c>
      <c r="B26" s="10" t="s">
        <v>521</v>
      </c>
      <c r="C26" s="30" t="s">
        <v>125</v>
      </c>
      <c r="D26" s="6">
        <v>41820</v>
      </c>
      <c r="E26" s="6">
        <v>41834</v>
      </c>
      <c r="F26" s="6">
        <v>41836</v>
      </c>
      <c r="G26">
        <v>258.89</v>
      </c>
      <c r="H26" s="12"/>
    </row>
    <row r="27" spans="1:8" ht="15.75" customHeight="1" x14ac:dyDescent="0.2">
      <c r="A27" s="4" t="s">
        <v>61</v>
      </c>
      <c r="B27" s="10" t="s">
        <v>531</v>
      </c>
      <c r="C27" s="30" t="s">
        <v>62</v>
      </c>
      <c r="D27" s="6">
        <v>41820</v>
      </c>
      <c r="E27" s="6">
        <v>41834</v>
      </c>
      <c r="F27" s="6">
        <v>41836</v>
      </c>
      <c r="G27">
        <v>150.99</v>
      </c>
      <c r="H27" s="12"/>
    </row>
    <row r="28" spans="1:8" ht="15.75" customHeight="1" x14ac:dyDescent="0.2">
      <c r="A28" s="4" t="s">
        <v>61</v>
      </c>
      <c r="B28" s="10" t="s">
        <v>513</v>
      </c>
      <c r="C28" s="30" t="s">
        <v>9</v>
      </c>
      <c r="D28" s="6">
        <v>41820</v>
      </c>
      <c r="E28" s="6">
        <v>41834</v>
      </c>
      <c r="F28" s="6">
        <v>41836</v>
      </c>
      <c r="G28">
        <v>370.32</v>
      </c>
      <c r="H28" s="12"/>
    </row>
    <row r="29" spans="1:8" ht="15.75" customHeight="1" x14ac:dyDescent="0.2">
      <c r="A29" s="4" t="s">
        <v>250</v>
      </c>
      <c r="B29" s="10" t="s">
        <v>519</v>
      </c>
      <c r="C29" s="31" t="s">
        <v>251</v>
      </c>
      <c r="D29" s="6">
        <v>41820</v>
      </c>
      <c r="E29" s="6">
        <v>41834</v>
      </c>
      <c r="F29" s="6">
        <v>41836</v>
      </c>
      <c r="G29">
        <v>181.07</v>
      </c>
      <c r="H29" s="12"/>
    </row>
    <row r="30" spans="1:8" ht="15.75" customHeight="1" x14ac:dyDescent="0.2">
      <c r="A30" s="4" t="s">
        <v>187</v>
      </c>
      <c r="B30" s="10" t="s">
        <v>552</v>
      </c>
      <c r="C30" s="31" t="s">
        <v>188</v>
      </c>
      <c r="D30" s="6">
        <v>41820</v>
      </c>
      <c r="E30" s="6">
        <v>41834</v>
      </c>
      <c r="F30" s="6">
        <v>41836</v>
      </c>
      <c r="G30">
        <v>366.28</v>
      </c>
      <c r="H30" s="12"/>
    </row>
    <row r="31" spans="1:8" ht="15.75" customHeight="1" x14ac:dyDescent="0.2">
      <c r="A31" s="4" t="s">
        <v>374</v>
      </c>
      <c r="B31" s="10" t="s">
        <v>198</v>
      </c>
      <c r="C31" s="31" t="s">
        <v>375</v>
      </c>
      <c r="D31" s="6">
        <v>41820</v>
      </c>
      <c r="E31" s="6">
        <v>41834</v>
      </c>
      <c r="F31" s="6">
        <v>41836</v>
      </c>
      <c r="G31">
        <v>269.63</v>
      </c>
      <c r="H31" s="12"/>
    </row>
    <row r="32" spans="1:8" ht="15.75" customHeight="1" x14ac:dyDescent="0.2">
      <c r="A32" s="4" t="s">
        <v>313</v>
      </c>
      <c r="B32" s="10" t="s">
        <v>607</v>
      </c>
      <c r="C32" s="31" t="s">
        <v>314</v>
      </c>
      <c r="D32" s="6">
        <v>41820</v>
      </c>
      <c r="E32" s="6">
        <v>41834</v>
      </c>
      <c r="F32" s="6">
        <v>41836</v>
      </c>
      <c r="G32">
        <v>407.63</v>
      </c>
      <c r="H32" s="12"/>
    </row>
    <row r="33" spans="1:8" ht="15.75" customHeight="1" x14ac:dyDescent="0.2">
      <c r="A33" s="4" t="s">
        <v>500</v>
      </c>
      <c r="B33" s="10" t="s">
        <v>623</v>
      </c>
      <c r="C33" s="31" t="s">
        <v>501</v>
      </c>
      <c r="D33" s="6">
        <v>41821</v>
      </c>
      <c r="E33" s="6">
        <v>41834</v>
      </c>
      <c r="F33" s="6">
        <v>41836</v>
      </c>
      <c r="G33">
        <v>463.73</v>
      </c>
      <c r="H33" s="12"/>
    </row>
    <row r="34" spans="1:8" ht="15.75" customHeight="1" x14ac:dyDescent="0.2">
      <c r="A34" s="4" t="s">
        <v>437</v>
      </c>
      <c r="B34" s="10" t="s">
        <v>579</v>
      </c>
      <c r="C34" s="31" t="s">
        <v>438</v>
      </c>
      <c r="D34" s="6">
        <v>41821</v>
      </c>
      <c r="E34" s="6">
        <v>41834</v>
      </c>
      <c r="F34" s="6">
        <v>41836</v>
      </c>
      <c r="G34">
        <v>28.45</v>
      </c>
      <c r="H34" s="12"/>
    </row>
    <row r="35" spans="1:8" ht="15.75" customHeight="1" x14ac:dyDescent="0.2">
      <c r="A35" s="4" t="s">
        <v>61</v>
      </c>
      <c r="B35" s="10" t="s">
        <v>519</v>
      </c>
      <c r="C35" s="31" t="s">
        <v>385</v>
      </c>
      <c r="D35" s="6">
        <v>41821</v>
      </c>
      <c r="E35" s="6"/>
      <c r="F35" s="6"/>
      <c r="G35">
        <v>59.63</v>
      </c>
      <c r="H35" s="12"/>
    </row>
    <row r="36" spans="1:8" ht="15.75" customHeight="1" x14ac:dyDescent="0.2">
      <c r="A36" s="4" t="s">
        <v>126</v>
      </c>
      <c r="B36" s="10" t="s">
        <v>571</v>
      </c>
      <c r="C36" s="30" t="s">
        <v>127</v>
      </c>
      <c r="D36" s="6">
        <v>41820</v>
      </c>
      <c r="E36" s="6">
        <v>41834</v>
      </c>
      <c r="F36" s="6">
        <v>41836</v>
      </c>
      <c r="G36">
        <v>213.59</v>
      </c>
      <c r="H36" s="12"/>
    </row>
    <row r="37" spans="1:8" ht="15.75" customHeight="1" x14ac:dyDescent="0.2">
      <c r="A37" s="4" t="s">
        <v>63</v>
      </c>
      <c r="B37" s="10" t="s">
        <v>552</v>
      </c>
      <c r="C37" s="30" t="s">
        <v>64</v>
      </c>
      <c r="D37" s="6">
        <v>41820</v>
      </c>
      <c r="E37" s="6">
        <v>41834</v>
      </c>
      <c r="F37" s="6">
        <v>41836</v>
      </c>
      <c r="G37">
        <v>182.84</v>
      </c>
      <c r="H37" s="19" t="s">
        <v>743</v>
      </c>
    </row>
    <row r="38" spans="1:8" ht="15.75" customHeight="1" x14ac:dyDescent="0.2">
      <c r="A38" s="4" t="s">
        <v>252</v>
      </c>
      <c r="B38" s="10" t="s">
        <v>322</v>
      </c>
      <c r="C38" s="31" t="s">
        <v>253</v>
      </c>
      <c r="D38" s="6">
        <v>41820</v>
      </c>
      <c r="E38" s="6">
        <v>41834</v>
      </c>
      <c r="F38" s="6">
        <v>41836</v>
      </c>
      <c r="G38">
        <v>215.03</v>
      </c>
      <c r="H38" s="19" t="s">
        <v>660</v>
      </c>
    </row>
    <row r="39" spans="1:8" ht="15.75" customHeight="1" x14ac:dyDescent="0.2">
      <c r="A39" s="4" t="s">
        <v>189</v>
      </c>
      <c r="B39" s="11" t="s">
        <v>554</v>
      </c>
      <c r="C39" s="31" t="s">
        <v>190</v>
      </c>
      <c r="D39" s="6">
        <v>41820</v>
      </c>
      <c r="E39" s="6">
        <v>41834</v>
      </c>
      <c r="F39" s="6">
        <v>41836</v>
      </c>
      <c r="G39">
        <v>173.5</v>
      </c>
      <c r="H39" s="12"/>
    </row>
    <row r="40" spans="1:8" ht="15.75" customHeight="1" x14ac:dyDescent="0.2">
      <c r="A40" s="4" t="s">
        <v>376</v>
      </c>
      <c r="B40" s="11" t="s">
        <v>611</v>
      </c>
      <c r="C40" s="31" t="s">
        <v>377</v>
      </c>
      <c r="D40" s="6">
        <v>41820</v>
      </c>
      <c r="E40" s="6">
        <v>41834</v>
      </c>
      <c r="F40" s="6">
        <v>41836</v>
      </c>
      <c r="G40">
        <v>120.7</v>
      </c>
      <c r="H40" s="12"/>
    </row>
    <row r="41" spans="1:8" ht="15.75" customHeight="1" x14ac:dyDescent="0.2">
      <c r="A41" s="4" t="s">
        <v>63</v>
      </c>
      <c r="B41" s="10" t="s">
        <v>564</v>
      </c>
      <c r="C41" s="31" t="s">
        <v>261</v>
      </c>
      <c r="D41" s="6">
        <v>41820</v>
      </c>
      <c r="E41" s="6">
        <v>41834</v>
      </c>
      <c r="F41" s="6">
        <v>41836</v>
      </c>
      <c r="G41">
        <v>84.33</v>
      </c>
      <c r="H41" s="19"/>
    </row>
    <row r="42" spans="1:8" ht="15.75" customHeight="1" x14ac:dyDescent="0.2">
      <c r="A42" s="4" t="s">
        <v>63</v>
      </c>
      <c r="B42" s="10" t="s">
        <v>550</v>
      </c>
      <c r="C42" s="31" t="s">
        <v>261</v>
      </c>
      <c r="D42" s="6">
        <v>41820</v>
      </c>
      <c r="E42" s="6">
        <v>41834</v>
      </c>
      <c r="F42" s="6">
        <v>41836</v>
      </c>
      <c r="G42">
        <v>159.16999999999999</v>
      </c>
      <c r="H42" s="12"/>
    </row>
    <row r="43" spans="1:8" ht="15.75" customHeight="1" x14ac:dyDescent="0.2">
      <c r="A43" s="4" t="s">
        <v>502</v>
      </c>
      <c r="B43" s="11" t="s">
        <v>513</v>
      </c>
      <c r="C43" s="31" t="s">
        <v>503</v>
      </c>
      <c r="D43" s="6">
        <v>41821</v>
      </c>
      <c r="E43" s="6">
        <v>41834</v>
      </c>
      <c r="F43" s="6">
        <v>41836</v>
      </c>
      <c r="G43">
        <v>180.77</v>
      </c>
      <c r="H43" s="12"/>
    </row>
    <row r="44" spans="1:8" ht="15.75" customHeight="1" x14ac:dyDescent="0.2">
      <c r="A44" s="4" t="s">
        <v>439</v>
      </c>
      <c r="B44" s="11" t="s">
        <v>519</v>
      </c>
      <c r="C44" s="31" t="s">
        <v>440</v>
      </c>
      <c r="D44" s="6">
        <v>41821</v>
      </c>
      <c r="E44" s="6">
        <v>41834</v>
      </c>
      <c r="F44" s="6">
        <v>41836</v>
      </c>
      <c r="G44">
        <v>38.9</v>
      </c>
      <c r="H44" s="12"/>
    </row>
    <row r="45" spans="1:8" ht="15.75" customHeight="1" x14ac:dyDescent="0.2">
      <c r="A45" s="4" t="s">
        <v>128</v>
      </c>
      <c r="B45" s="10" t="s">
        <v>589</v>
      </c>
      <c r="C45" s="30" t="s">
        <v>129</v>
      </c>
      <c r="D45" s="6">
        <v>41820</v>
      </c>
      <c r="E45" s="6">
        <v>41834</v>
      </c>
      <c r="F45" s="6">
        <v>41836</v>
      </c>
      <c r="G45">
        <v>305.63</v>
      </c>
      <c r="H45" s="12"/>
    </row>
    <row r="46" spans="1:8" ht="15.75" customHeight="1" x14ac:dyDescent="0.2">
      <c r="A46" s="4" t="s">
        <v>65</v>
      </c>
      <c r="B46" s="10" t="s">
        <v>741</v>
      </c>
      <c r="C46" s="30" t="s">
        <v>66</v>
      </c>
      <c r="D46" s="6">
        <v>41820</v>
      </c>
      <c r="E46" s="6">
        <v>41834</v>
      </c>
      <c r="F46" s="6">
        <v>41836</v>
      </c>
      <c r="G46">
        <v>156.34</v>
      </c>
      <c r="H46" s="19" t="s">
        <v>742</v>
      </c>
    </row>
    <row r="47" spans="1:8" ht="15.75" customHeight="1" x14ac:dyDescent="0.2">
      <c r="A47" s="4" t="s">
        <v>254</v>
      </c>
      <c r="B47" s="10" t="s">
        <v>628</v>
      </c>
      <c r="C47" s="31" t="s">
        <v>255</v>
      </c>
      <c r="D47" s="6">
        <v>41820</v>
      </c>
      <c r="E47" s="6">
        <v>41834</v>
      </c>
      <c r="F47" s="6">
        <v>41836</v>
      </c>
      <c r="G47">
        <v>358.32</v>
      </c>
      <c r="H47" s="12"/>
    </row>
    <row r="48" spans="1:8" ht="15.75" customHeight="1" x14ac:dyDescent="0.2">
      <c r="A48" s="4" t="s">
        <v>191</v>
      </c>
      <c r="B48" s="11" t="s">
        <v>623</v>
      </c>
      <c r="C48" s="31" t="s">
        <v>192</v>
      </c>
      <c r="D48" s="6">
        <v>41820</v>
      </c>
      <c r="E48" s="6">
        <v>41834</v>
      </c>
      <c r="F48" s="6">
        <v>41836</v>
      </c>
      <c r="G48">
        <v>289.32</v>
      </c>
      <c r="H48" s="12"/>
    </row>
    <row r="49" spans="1:8" ht="15.75" customHeight="1" x14ac:dyDescent="0.2">
      <c r="A49" s="4" t="s">
        <v>378</v>
      </c>
      <c r="B49" s="10" t="s">
        <v>551</v>
      </c>
      <c r="C49" s="31" t="s">
        <v>379</v>
      </c>
      <c r="D49" s="6">
        <v>41820</v>
      </c>
      <c r="E49" s="6">
        <v>41834</v>
      </c>
      <c r="F49" s="6">
        <v>41836</v>
      </c>
      <c r="G49">
        <v>337.13</v>
      </c>
      <c r="H49" s="12"/>
    </row>
    <row r="50" spans="1:8" ht="15.75" customHeight="1" x14ac:dyDescent="0.2">
      <c r="A50" s="4" t="s">
        <v>315</v>
      </c>
      <c r="B50" s="10" t="s">
        <v>597</v>
      </c>
      <c r="C50" s="31" t="s">
        <v>316</v>
      </c>
      <c r="D50" s="6">
        <v>41820</v>
      </c>
      <c r="E50" s="6">
        <v>41834</v>
      </c>
      <c r="F50" s="6">
        <v>41836</v>
      </c>
      <c r="G50">
        <v>371.75</v>
      </c>
      <c r="H50" s="12"/>
    </row>
    <row r="51" spans="1:8" ht="15.75" customHeight="1" x14ac:dyDescent="0.2">
      <c r="A51" s="4" t="s">
        <v>504</v>
      </c>
      <c r="B51" s="10" t="s">
        <v>602</v>
      </c>
      <c r="C51" s="31" t="s">
        <v>505</v>
      </c>
      <c r="D51" s="6">
        <v>41821</v>
      </c>
      <c r="E51" s="6">
        <v>41834</v>
      </c>
      <c r="F51" s="6">
        <v>41836</v>
      </c>
      <c r="G51">
        <v>400.8</v>
      </c>
      <c r="H51" s="12"/>
    </row>
    <row r="52" spans="1:8" ht="15.75" customHeight="1" x14ac:dyDescent="0.2">
      <c r="A52" s="4" t="s">
        <v>65</v>
      </c>
      <c r="B52" s="10" t="s">
        <v>555</v>
      </c>
      <c r="C52" s="31" t="s">
        <v>385</v>
      </c>
      <c r="D52" s="6">
        <v>41821</v>
      </c>
      <c r="E52" s="6">
        <v>41834</v>
      </c>
      <c r="F52" s="6">
        <v>41836</v>
      </c>
      <c r="G52">
        <v>152.01</v>
      </c>
      <c r="H52" s="12"/>
    </row>
    <row r="53" spans="1:8" ht="15.75" customHeight="1" x14ac:dyDescent="0.2">
      <c r="A53" s="4" t="s">
        <v>441</v>
      </c>
      <c r="B53" s="10" t="s">
        <v>615</v>
      </c>
      <c r="C53" s="31" t="s">
        <v>442</v>
      </c>
      <c r="D53" s="6">
        <v>41821</v>
      </c>
      <c r="E53" s="6">
        <v>41834</v>
      </c>
      <c r="F53" s="6">
        <v>41836</v>
      </c>
      <c r="G53">
        <v>342.09</v>
      </c>
      <c r="H53" s="12"/>
    </row>
    <row r="54" spans="1:8" ht="15.75" customHeight="1" x14ac:dyDescent="0.2">
      <c r="A54" s="4" t="s">
        <v>130</v>
      </c>
      <c r="B54" s="10" t="s">
        <v>613</v>
      </c>
      <c r="C54" s="30" t="s">
        <v>131</v>
      </c>
      <c r="D54" s="6">
        <v>41820</v>
      </c>
      <c r="E54" s="6">
        <v>41834</v>
      </c>
      <c r="F54" s="6">
        <v>41836</v>
      </c>
      <c r="G54">
        <v>556.99</v>
      </c>
      <c r="H54" s="12"/>
    </row>
    <row r="55" spans="1:8" ht="15.75" customHeight="1" x14ac:dyDescent="0.2">
      <c r="A55" s="4" t="s">
        <v>67</v>
      </c>
      <c r="B55" s="10" t="s">
        <v>521</v>
      </c>
      <c r="C55" s="30" t="s">
        <v>68</v>
      </c>
      <c r="D55" s="6">
        <v>41820</v>
      </c>
      <c r="E55" s="6">
        <v>41834</v>
      </c>
      <c r="F55" s="6">
        <v>41836</v>
      </c>
      <c r="G55">
        <v>534.02</v>
      </c>
      <c r="H55" s="12"/>
    </row>
    <row r="56" spans="1:8" ht="15.75" customHeight="1" x14ac:dyDescent="0.2">
      <c r="A56" s="4" t="s">
        <v>256</v>
      </c>
      <c r="B56" s="10" t="s">
        <v>531</v>
      </c>
      <c r="C56" s="31" t="s">
        <v>257</v>
      </c>
      <c r="D56" s="6">
        <v>41820</v>
      </c>
      <c r="E56" s="6">
        <v>41834</v>
      </c>
      <c r="F56" s="6">
        <v>41836</v>
      </c>
      <c r="G56">
        <v>548.03</v>
      </c>
      <c r="H56" s="12"/>
    </row>
    <row r="57" spans="1:8" ht="15.75" customHeight="1" x14ac:dyDescent="0.2">
      <c r="A57" s="4" t="s">
        <v>193</v>
      </c>
      <c r="B57" s="10" t="s">
        <v>611</v>
      </c>
      <c r="C57" s="31" t="s">
        <v>194</v>
      </c>
      <c r="D57" s="6">
        <v>41820</v>
      </c>
      <c r="E57" s="6">
        <v>41834</v>
      </c>
      <c r="F57" s="6">
        <v>41836</v>
      </c>
      <c r="G57">
        <v>553.16999999999996</v>
      </c>
      <c r="H57" s="12"/>
    </row>
    <row r="58" spans="1:8" ht="15.75" customHeight="1" x14ac:dyDescent="0.2">
      <c r="A58" s="4" t="s">
        <v>380</v>
      </c>
      <c r="B58" s="10" t="s">
        <v>599</v>
      </c>
      <c r="C58" s="31" t="s">
        <v>381</v>
      </c>
      <c r="D58" s="6">
        <v>41820</v>
      </c>
      <c r="E58" s="6">
        <v>41834</v>
      </c>
      <c r="F58" s="6">
        <v>41836</v>
      </c>
      <c r="G58">
        <v>555.09</v>
      </c>
      <c r="H58" s="12"/>
    </row>
    <row r="59" spans="1:8" ht="15.75" customHeight="1" x14ac:dyDescent="0.2">
      <c r="A59" s="4" t="s">
        <v>317</v>
      </c>
      <c r="B59" s="10" t="s">
        <v>519</v>
      </c>
      <c r="C59" s="31" t="s">
        <v>318</v>
      </c>
      <c r="D59" s="6">
        <v>41820</v>
      </c>
      <c r="E59" s="6">
        <v>41834</v>
      </c>
      <c r="F59" s="6">
        <v>41836</v>
      </c>
      <c r="G59">
        <v>546.79</v>
      </c>
      <c r="H59" s="12"/>
    </row>
    <row r="60" spans="1:8" ht="15.75" customHeight="1" x14ac:dyDescent="0.2">
      <c r="A60" s="4" t="s">
        <v>506</v>
      </c>
      <c r="B60" s="10" t="s">
        <v>550</v>
      </c>
      <c r="C60" s="31" t="s">
        <v>507</v>
      </c>
      <c r="D60" s="6">
        <v>41821</v>
      </c>
      <c r="E60" s="6">
        <v>41834</v>
      </c>
      <c r="F60" s="6">
        <v>41836</v>
      </c>
      <c r="G60">
        <v>553.79999999999995</v>
      </c>
      <c r="H60" s="12"/>
    </row>
    <row r="61" spans="1:8" ht="15.75" customHeight="1" x14ac:dyDescent="0.2">
      <c r="A61" s="4" t="s">
        <v>443</v>
      </c>
      <c r="B61" s="10" t="s">
        <v>578</v>
      </c>
      <c r="C61" s="31" t="s">
        <v>444</v>
      </c>
      <c r="D61" s="6">
        <v>41821</v>
      </c>
      <c r="E61" s="6">
        <v>41834</v>
      </c>
      <c r="F61" s="6">
        <v>41836</v>
      </c>
      <c r="G61">
        <v>542.38</v>
      </c>
      <c r="H61" s="12"/>
    </row>
    <row r="62" spans="1:8" ht="15.75" customHeight="1" x14ac:dyDescent="0.2">
      <c r="A62" s="4" t="s">
        <v>132</v>
      </c>
      <c r="B62" s="10" t="s">
        <v>589</v>
      </c>
      <c r="C62" s="30" t="s">
        <v>133</v>
      </c>
      <c r="D62" s="6">
        <v>41820</v>
      </c>
      <c r="E62" s="6">
        <v>41834</v>
      </c>
      <c r="F62" s="6">
        <v>41836</v>
      </c>
      <c r="G62">
        <v>392.18</v>
      </c>
      <c r="H62" s="12"/>
    </row>
    <row r="63" spans="1:8" ht="15.75" customHeight="1" x14ac:dyDescent="0.2">
      <c r="A63" s="4" t="s">
        <v>69</v>
      </c>
      <c r="B63" s="10" t="s">
        <v>623</v>
      </c>
      <c r="C63" s="30" t="s">
        <v>70</v>
      </c>
      <c r="D63" s="6">
        <v>41820</v>
      </c>
      <c r="E63" s="6">
        <v>41834</v>
      </c>
      <c r="F63" s="6">
        <v>41836</v>
      </c>
      <c r="G63">
        <v>244.3</v>
      </c>
      <c r="H63" s="19" t="s">
        <v>744</v>
      </c>
    </row>
    <row r="64" spans="1:8" ht="15.75" customHeight="1" x14ac:dyDescent="0.2">
      <c r="A64" s="4" t="s">
        <v>258</v>
      </c>
      <c r="B64" s="10" t="s">
        <v>531</v>
      </c>
      <c r="C64" s="31" t="s">
        <v>259</v>
      </c>
      <c r="D64" s="6">
        <v>41820</v>
      </c>
      <c r="E64" s="6">
        <v>41834</v>
      </c>
      <c r="F64" s="6">
        <v>41836</v>
      </c>
      <c r="G64">
        <v>396.84</v>
      </c>
      <c r="H64" s="12"/>
    </row>
    <row r="65" spans="1:8" ht="15.75" customHeight="1" x14ac:dyDescent="0.2">
      <c r="A65" s="4" t="s">
        <v>195</v>
      </c>
      <c r="B65" s="10" t="s">
        <v>571</v>
      </c>
      <c r="C65" s="31" t="s">
        <v>196</v>
      </c>
      <c r="D65" s="6">
        <v>41820</v>
      </c>
      <c r="E65" s="6">
        <v>41834</v>
      </c>
      <c r="F65" s="6">
        <v>41836</v>
      </c>
      <c r="G65">
        <v>300.7</v>
      </c>
      <c r="H65" s="12"/>
    </row>
    <row r="66" spans="1:8" ht="15.75" customHeight="1" x14ac:dyDescent="0.2">
      <c r="A66" s="4" t="s">
        <v>382</v>
      </c>
      <c r="B66" s="11" t="s">
        <v>198</v>
      </c>
      <c r="C66" s="31" t="s">
        <v>383</v>
      </c>
      <c r="D66" s="6">
        <v>41820</v>
      </c>
      <c r="E66" s="6">
        <v>41834</v>
      </c>
      <c r="F66" s="6">
        <v>41836</v>
      </c>
      <c r="G66">
        <v>380.18</v>
      </c>
      <c r="H66" s="12"/>
    </row>
    <row r="67" spans="1:8" ht="15.75" customHeight="1" x14ac:dyDescent="0.2">
      <c r="A67" s="4" t="s">
        <v>319</v>
      </c>
      <c r="B67" s="11" t="s">
        <v>555</v>
      </c>
      <c r="C67" s="31" t="s">
        <v>320</v>
      </c>
      <c r="D67" s="26">
        <v>41820</v>
      </c>
      <c r="E67" s="6">
        <v>41834</v>
      </c>
      <c r="F67" s="6">
        <v>41836</v>
      </c>
      <c r="G67">
        <v>247.36</v>
      </c>
      <c r="H67" s="12"/>
    </row>
    <row r="68" spans="1:8" ht="15.75" customHeight="1" x14ac:dyDescent="0.2">
      <c r="A68" s="4" t="s">
        <v>508</v>
      </c>
      <c r="B68" s="11" t="s">
        <v>519</v>
      </c>
      <c r="C68" s="31" t="s">
        <v>509</v>
      </c>
      <c r="D68" s="6">
        <v>41821</v>
      </c>
      <c r="E68" s="6">
        <v>41834</v>
      </c>
      <c r="F68" s="6">
        <v>41836</v>
      </c>
      <c r="G68">
        <v>429.87</v>
      </c>
      <c r="H68" s="12"/>
    </row>
    <row r="69" spans="1:8" ht="15.75" customHeight="1" x14ac:dyDescent="0.2">
      <c r="A69" s="4" t="s">
        <v>445</v>
      </c>
      <c r="B69" s="11" t="s">
        <v>616</v>
      </c>
      <c r="C69" s="31" t="s">
        <v>446</v>
      </c>
      <c r="D69" s="6">
        <v>41821</v>
      </c>
      <c r="E69" s="6">
        <v>41834</v>
      </c>
      <c r="F69" s="6">
        <v>41836</v>
      </c>
      <c r="G69">
        <v>236.24</v>
      </c>
      <c r="H69" s="1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2.75" x14ac:dyDescent="0.2"/>
  <sheetData>
    <row r="1" spans="1:1" x14ac:dyDescent="0.2">
      <c r="A1">
        <v>0.43</v>
      </c>
    </row>
    <row r="2" spans="1:1" x14ac:dyDescent="0.2">
      <c r="A2">
        <v>0.42</v>
      </c>
    </row>
    <row r="3" spans="1:1" x14ac:dyDescent="0.2">
      <c r="A3">
        <v>0.43</v>
      </c>
    </row>
    <row r="4" spans="1:1" x14ac:dyDescent="0.2">
      <c r="A4">
        <v>0.43</v>
      </c>
    </row>
    <row r="5" spans="1:1" x14ac:dyDescent="0.2">
      <c r="A5">
        <v>0.43</v>
      </c>
    </row>
    <row r="6" spans="1:1" x14ac:dyDescent="0.2">
      <c r="A6">
        <v>0.41</v>
      </c>
    </row>
    <row r="7" spans="1:1" x14ac:dyDescent="0.2">
      <c r="A7">
        <v>0.43</v>
      </c>
    </row>
    <row r="8" spans="1:1" x14ac:dyDescent="0.2">
      <c r="A8">
        <v>0.43</v>
      </c>
    </row>
    <row r="9" spans="1:1" x14ac:dyDescent="0.2">
      <c r="A9">
        <v>0.42</v>
      </c>
    </row>
    <row r="10" spans="1:1" x14ac:dyDescent="0.2">
      <c r="A10">
        <v>0.41</v>
      </c>
    </row>
    <row r="11" spans="1:1" x14ac:dyDescent="0.2">
      <c r="A11">
        <v>0.42</v>
      </c>
    </row>
    <row r="12" spans="1:1" x14ac:dyDescent="0.2">
      <c r="A12">
        <v>0.43</v>
      </c>
    </row>
    <row r="13" spans="1:1" x14ac:dyDescent="0.2">
      <c r="A13">
        <v>0.43</v>
      </c>
    </row>
    <row r="14" spans="1:1" x14ac:dyDescent="0.2">
      <c r="A14">
        <v>0.44</v>
      </c>
    </row>
    <row r="15" spans="1:1" x14ac:dyDescent="0.2">
      <c r="A15">
        <v>0.44</v>
      </c>
    </row>
    <row r="16" spans="1:1" x14ac:dyDescent="0.2">
      <c r="A16">
        <v>0.42</v>
      </c>
    </row>
    <row r="17" spans="1:2" x14ac:dyDescent="0.2">
      <c r="A17">
        <v>0.43</v>
      </c>
    </row>
    <row r="18" spans="1:2" x14ac:dyDescent="0.2">
      <c r="A18">
        <v>0.43</v>
      </c>
    </row>
    <row r="19" spans="1:2" x14ac:dyDescent="0.2">
      <c r="A19">
        <v>0.41</v>
      </c>
    </row>
    <row r="20" spans="1:2" x14ac:dyDescent="0.2">
      <c r="A20">
        <v>0.41</v>
      </c>
    </row>
    <row r="21" spans="1:2" x14ac:dyDescent="0.2">
      <c r="A21">
        <v>0.43</v>
      </c>
    </row>
    <row r="22" spans="1:2" x14ac:dyDescent="0.2">
      <c r="A22">
        <v>0.43</v>
      </c>
    </row>
    <row r="23" spans="1:2" x14ac:dyDescent="0.2">
      <c r="A23">
        <v>0.43</v>
      </c>
    </row>
    <row r="24" spans="1:2" x14ac:dyDescent="0.2">
      <c r="A24">
        <v>0.39</v>
      </c>
    </row>
    <row r="25" spans="1:2" x14ac:dyDescent="0.2">
      <c r="A25">
        <v>0.42</v>
      </c>
    </row>
    <row r="27" spans="1:2" x14ac:dyDescent="0.2">
      <c r="A27">
        <f>AVERAGE(A1:A25)</f>
        <v>0.42399999999999999</v>
      </c>
      <c r="B27" s="10" t="s">
        <v>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Burned</vt:lpstr>
      <vt:lpstr>Planks</vt:lpstr>
      <vt:lpstr>Tack mass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User</cp:lastModifiedBy>
  <dcterms:created xsi:type="dcterms:W3CDTF">2014-06-02T16:30:53Z</dcterms:created>
  <dcterms:modified xsi:type="dcterms:W3CDTF">2014-10-10T13:48:20Z</dcterms:modified>
</cp:coreProperties>
</file>